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charts/chart8.xml" ContentType="application/vnd.openxmlformats-officedocument.drawingml.chart+xml"/>
  <Override PartName="/xl/drawings/drawing1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7.xml" ContentType="application/vnd.openxmlformats-officedocument.spreadsheetml.comments+xml"/>
  <Override PartName="/xl/drawings/drawing1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codeName="ThisWorkbook" defaultThemeVersion="124226"/>
  <mc:AlternateContent xmlns:mc="http://schemas.openxmlformats.org/markup-compatibility/2006">
    <mc:Choice Requires="x15">
      <x15ac:absPath xmlns:x15ac="http://schemas.microsoft.com/office/spreadsheetml/2010/11/ac" url="C:\Users\juan.lizarazo\OneDrive - uaermv\Escritorio\Para publicar\"/>
    </mc:Choice>
  </mc:AlternateContent>
  <bookViews>
    <workbookView xWindow="0" yWindow="0" windowWidth="20490" windowHeight="8940" tabRatio="910" firstSheet="16" activeTab="17"/>
  </bookViews>
  <sheets>
    <sheet name="1. Encabezado" sheetId="49" state="hidden" r:id="rId1"/>
    <sheet name="RESUMEN BG" sheetId="50" state="hidden" r:id="rId2"/>
    <sheet name="Gradacion " sheetId="47" state="hidden" r:id="rId3"/>
    <sheet name="Lavado tamiz N°200 " sheetId="48" state="hidden" r:id="rId4"/>
    <sheet name="5. Limites M1" sheetId="55" state="hidden" r:id="rId5"/>
    <sheet name="7. E.A. M1" sheetId="56" state="hidden" r:id="rId6"/>
    <sheet name="TERRONES DE ARCILLA (2)" sheetId="66" state="hidden" r:id="rId7"/>
    <sheet name="CF - IF " sheetId="63" state="hidden" r:id="rId8"/>
    <sheet name="ANGULARIDAD" sheetId="62" state="hidden" r:id="rId9"/>
    <sheet name="Microdeval " sheetId="53" state="hidden" r:id="rId10"/>
    <sheet name="10% De Finos (2)" sheetId="54" state="hidden" r:id="rId11"/>
    <sheet name="Desgaste" sheetId="52" state="hidden" r:id="rId12"/>
    <sheet name="Solidez" sheetId="57" state="hidden" r:id="rId13"/>
    <sheet name="INV 222-13 " sheetId="64" state="hidden" r:id="rId14"/>
    <sheet name="INV 223-13 " sheetId="65" state="hidden" r:id="rId15"/>
    <sheet name="PROCTOR" sheetId="61" state="hidden" r:id="rId16"/>
    <sheet name=" CBR 1" sheetId="58" r:id="rId17"/>
    <sheet name=" CBR (2)" sheetId="59"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s>
  <definedNames>
    <definedName name="__123Graph_A" hidden="1">[1]AIU!$D$338:$D$357</definedName>
    <definedName name="__123Graph_Acaja" hidden="1">[1]EVA!$D$39:$AD$39</definedName>
    <definedName name="__123Graph_ACart_AnticAdic" hidden="1">[1]EVA!$F$95:$I$95</definedName>
    <definedName name="__123Graph_AFACTURAC" hidden="1">[1]Program!$B$120:$Y$120</definedName>
    <definedName name="__123Graph_AGraph2" hidden="1">[1]AIU!$D$338:$D$357</definedName>
    <definedName name="__123Graph_Bcaja" hidden="1">[1]EVA!$D$56:$AD$56</definedName>
    <definedName name="__123Graph_BCart_AnticAdic" hidden="1">[1]EVA!$F$96:$I$96</definedName>
    <definedName name="__123Graph_Ccaja" hidden="1">[1]EVA!$D$58:$AD$58</definedName>
    <definedName name="__123Graph_CCart_AnticAdic" hidden="1">[1]EVA!$F$97:$I$97</definedName>
    <definedName name="__123Graph_Dcaja" hidden="1">[1]EVA!$D$61:$AD$61</definedName>
    <definedName name="__123Graph_DCart_AnticAdic" hidden="1">[1]EVA!$F$99:$I$99</definedName>
    <definedName name="__123Graph_ECart_AnticAdic" hidden="1">[1]EVA!$F$99:$I$99</definedName>
    <definedName name="__123Graph_LBL_ACart_AnticAdic" hidden="1">[1]EVA!$J$95:$K$95</definedName>
    <definedName name="__123Graph_LBL_Ccaja" hidden="1">[1]EVA!$D$58:$AD$58</definedName>
    <definedName name="__123Graph_LBL_DCart_AnticAdic" hidden="1">[1]EVA!$F$98:$I$98</definedName>
    <definedName name="__123Graph_X" hidden="1">[1]AIU!$C$338:$C$357</definedName>
    <definedName name="__123Graph_Xcaja" hidden="1">[1]EVA!$D$6:$AD$6</definedName>
    <definedName name="_1__123Graph_ACart_Utilidad" hidden="1">[1]EVA!$F$104:$I$104</definedName>
    <definedName name="_2__123Graph_BCart_Utilidad" hidden="1">[1]EVA!$F$105:$I$105</definedName>
    <definedName name="_3__123Graph_CCart_Utilidad" hidden="1">[1]EVA!$F$106:$I$106</definedName>
    <definedName name="_4__123Graph_LBL_ACart_Utilidad" hidden="1">[1]EVA!$F$109:$I$109</definedName>
    <definedName name="_5__123Graph_LBL_BCart_Utilidad" hidden="1">[1]EVA!$F$110:$I$110</definedName>
    <definedName name="_6__123Graph_LBL_CCart_Utilidad" hidden="1">[1]EVA!$F$111:$I$111</definedName>
    <definedName name="_7__123Graph_XCart_Utilidad" hidden="1">[1]EVA!$F$103:$I$103</definedName>
    <definedName name="_Fill" localSheetId="17" hidden="1">#REF!</definedName>
    <definedName name="_Fill" localSheetId="0" hidden="1">#REF!</definedName>
    <definedName name="_Fill" localSheetId="10" hidden="1">#REF!</definedName>
    <definedName name="_Fill" localSheetId="4" hidden="1">#REF!</definedName>
    <definedName name="_Fill" localSheetId="5" hidden="1">#REF!</definedName>
    <definedName name="_Fill" localSheetId="8" hidden="1">#REF!</definedName>
    <definedName name="_Fill" localSheetId="7" hidden="1">#REF!</definedName>
    <definedName name="_Fill" localSheetId="11" hidden="1">#REF!</definedName>
    <definedName name="_Fill" localSheetId="2" hidden="1">#REF!</definedName>
    <definedName name="_Fill" localSheetId="13" hidden="1">#REF!</definedName>
    <definedName name="_Fill" localSheetId="14" hidden="1">#REF!</definedName>
    <definedName name="_Fill" localSheetId="3" hidden="1">#REF!</definedName>
    <definedName name="_Fill" localSheetId="9" hidden="1">#REF!</definedName>
    <definedName name="_Fill" localSheetId="15" hidden="1">#REF!</definedName>
    <definedName name="_Fill" localSheetId="1" hidden="1">#REF!</definedName>
    <definedName name="_Fill" localSheetId="12" hidden="1">#REF!</definedName>
    <definedName name="_Fill" localSheetId="6" hidden="1">#REF!</definedName>
    <definedName name="_Fill" hidden="1">#REF!</definedName>
    <definedName name="_Key1" localSheetId="0" hidden="1">[2]OCTUBRE!#REF!</definedName>
    <definedName name="_Key1" localSheetId="10" hidden="1">[3]OCTUBRE!#REF!</definedName>
    <definedName name="_Key1" localSheetId="4" hidden="1">[3]OCTUBRE!#REF!</definedName>
    <definedName name="_Key1" localSheetId="5" hidden="1">[4]OCTUBRE!#REF!</definedName>
    <definedName name="_Key1" localSheetId="8" hidden="1">[3]OCTUBRE!#REF!</definedName>
    <definedName name="_Key1" localSheetId="7" hidden="1">[3]OCTUBRE!#REF!</definedName>
    <definedName name="_Key1" localSheetId="11" hidden="1">[3]OCTUBRE!#REF!</definedName>
    <definedName name="_Key1" localSheetId="2" hidden="1">[3]OCTUBRE!#REF!</definedName>
    <definedName name="_Key1" localSheetId="13" hidden="1">[5]OCTUBRE!#REF!</definedName>
    <definedName name="_Key1" localSheetId="14" hidden="1">[6]OCTUBRE!#REF!</definedName>
    <definedName name="_Key1" localSheetId="3" hidden="1">[3]OCTUBRE!#REF!</definedName>
    <definedName name="_Key1" localSheetId="9" hidden="1">[3]OCTUBRE!#REF!</definedName>
    <definedName name="_Key1" localSheetId="15" hidden="1">[3]OCTUBRE!#REF!</definedName>
    <definedName name="_Key1" localSheetId="1" hidden="1">[3]OCTUBRE!#REF!</definedName>
    <definedName name="_Key1" localSheetId="12" hidden="1">[3]OCTUBRE!#REF!</definedName>
    <definedName name="_Key1" localSheetId="6" hidden="1">[3]OCTUBRE!#REF!</definedName>
    <definedName name="_Key1" hidden="1">[3]OCTUBRE!#REF!</definedName>
    <definedName name="_Order1" hidden="1">255</definedName>
    <definedName name="_Order2" hidden="1">255</definedName>
    <definedName name="_Regression_Out" localSheetId="17" hidden="1">[7]L!#REF!</definedName>
    <definedName name="_Regression_Out" localSheetId="16" hidden="1">[7]L!#REF!</definedName>
    <definedName name="_Regression_Out" localSheetId="0" hidden="1">[7]L!#REF!</definedName>
    <definedName name="_Regression_Out" localSheetId="10" hidden="1">[7]L!#REF!</definedName>
    <definedName name="_Regression_Out" localSheetId="4" hidden="1">[7]L!#REF!</definedName>
    <definedName name="_Regression_Out" localSheetId="5" hidden="1">[7]L!#REF!</definedName>
    <definedName name="_Regression_Out" localSheetId="8" hidden="1">[7]L!#REF!</definedName>
    <definedName name="_Regression_Out" localSheetId="7" hidden="1">[7]L!#REF!</definedName>
    <definedName name="_Regression_Out" localSheetId="11" hidden="1">[7]L!#REF!</definedName>
    <definedName name="_Regression_Out" localSheetId="2" hidden="1">[7]L!#REF!</definedName>
    <definedName name="_Regression_Out" localSheetId="13" hidden="1">[7]L!#REF!</definedName>
    <definedName name="_Regression_Out" localSheetId="14" hidden="1">[7]L!#REF!</definedName>
    <definedName name="_Regression_Out" localSheetId="3" hidden="1">[7]L!#REF!</definedName>
    <definedName name="_Regression_Out" localSheetId="9" hidden="1">[7]L!#REF!</definedName>
    <definedName name="_Regression_Out" localSheetId="15" hidden="1">[7]L!#REF!</definedName>
    <definedName name="_Regression_Out" localSheetId="1" hidden="1">[7]L!#REF!</definedName>
    <definedName name="_Regression_Out" localSheetId="12" hidden="1">[7]L!#REF!</definedName>
    <definedName name="_Regression_Out" localSheetId="6" hidden="1">[7]L!#REF!</definedName>
    <definedName name="_Regression_Out" hidden="1">[7]L!#REF!</definedName>
    <definedName name="_Regression_X" localSheetId="17" hidden="1">#REF!</definedName>
    <definedName name="_Regression_X" localSheetId="16" hidden="1">#REF!</definedName>
    <definedName name="_Regression_X" localSheetId="0" hidden="1">#REF!</definedName>
    <definedName name="_Regression_X" localSheetId="10" hidden="1">#REF!</definedName>
    <definedName name="_Regression_X" localSheetId="4" hidden="1">#REF!</definedName>
    <definedName name="_Regression_X" localSheetId="5" hidden="1">#REF!</definedName>
    <definedName name="_Regression_X" localSheetId="8" hidden="1">#REF!</definedName>
    <definedName name="_Regression_X" localSheetId="7" hidden="1">#REF!</definedName>
    <definedName name="_Regression_X" localSheetId="11" hidden="1">#REF!</definedName>
    <definedName name="_Regression_X" localSheetId="2" hidden="1">#REF!</definedName>
    <definedName name="_Regression_X" localSheetId="13" hidden="1">#REF!</definedName>
    <definedName name="_Regression_X" localSheetId="14" hidden="1">#REF!</definedName>
    <definedName name="_Regression_X" localSheetId="3" hidden="1">#REF!</definedName>
    <definedName name="_Regression_X" localSheetId="9" hidden="1">#REF!</definedName>
    <definedName name="_Regression_X" localSheetId="15" hidden="1">#REF!</definedName>
    <definedName name="_Regression_X" localSheetId="1" hidden="1">#REF!</definedName>
    <definedName name="_Regression_X" localSheetId="12" hidden="1">#REF!</definedName>
    <definedName name="_Regression_X" localSheetId="6" hidden="1">#REF!</definedName>
    <definedName name="_Regression_X" hidden="1">#REF!</definedName>
    <definedName name="_Regression_Y" localSheetId="17" hidden="1">#REF!</definedName>
    <definedName name="_Regression_Y" localSheetId="16" hidden="1">#REF!</definedName>
    <definedName name="_Regression_Y" localSheetId="0" hidden="1">#REF!</definedName>
    <definedName name="_Regression_Y" localSheetId="10" hidden="1">#REF!</definedName>
    <definedName name="_Regression_Y" localSheetId="4" hidden="1">#REF!</definedName>
    <definedName name="_Regression_Y" localSheetId="5" hidden="1">#REF!</definedName>
    <definedName name="_Regression_Y" localSheetId="8" hidden="1">#REF!</definedName>
    <definedName name="_Regression_Y" localSheetId="7" hidden="1">#REF!</definedName>
    <definedName name="_Regression_Y" localSheetId="11" hidden="1">#REF!</definedName>
    <definedName name="_Regression_Y" localSheetId="2" hidden="1">#REF!</definedName>
    <definedName name="_Regression_Y" localSheetId="13" hidden="1">#REF!</definedName>
    <definedName name="_Regression_Y" localSheetId="14" hidden="1">#REF!</definedName>
    <definedName name="_Regression_Y" localSheetId="3" hidden="1">#REF!</definedName>
    <definedName name="_Regression_Y" localSheetId="9" hidden="1">#REF!</definedName>
    <definedName name="_Regression_Y" localSheetId="15" hidden="1">#REF!</definedName>
    <definedName name="_Regression_Y" localSheetId="1" hidden="1">#REF!</definedName>
    <definedName name="_Regression_Y" localSheetId="12" hidden="1">#REF!</definedName>
    <definedName name="_Regression_Y" localSheetId="6" hidden="1">#REF!</definedName>
    <definedName name="_Regression_Y" hidden="1">#REF!</definedName>
    <definedName name="_Sort" localSheetId="0" hidden="1">[2]OCTUBRE!#REF!</definedName>
    <definedName name="_Sort" localSheetId="10" hidden="1">[3]OCTUBRE!#REF!</definedName>
    <definedName name="_Sort" localSheetId="4" hidden="1">[3]OCTUBRE!#REF!</definedName>
    <definedName name="_Sort" localSheetId="5" hidden="1">[4]OCTUBRE!#REF!</definedName>
    <definedName name="_Sort" localSheetId="8" hidden="1">[3]OCTUBRE!#REF!</definedName>
    <definedName name="_Sort" localSheetId="7" hidden="1">[3]OCTUBRE!#REF!</definedName>
    <definedName name="_Sort" localSheetId="11" hidden="1">[3]OCTUBRE!#REF!</definedName>
    <definedName name="_Sort" localSheetId="2" hidden="1">[3]OCTUBRE!#REF!</definedName>
    <definedName name="_Sort" localSheetId="13" hidden="1">[5]OCTUBRE!#REF!</definedName>
    <definedName name="_Sort" localSheetId="14" hidden="1">[6]OCTUBRE!#REF!</definedName>
    <definedName name="_Sort" localSheetId="3" hidden="1">[3]OCTUBRE!#REF!</definedName>
    <definedName name="_Sort" localSheetId="9" hidden="1">[3]OCTUBRE!#REF!</definedName>
    <definedName name="_Sort" localSheetId="15" hidden="1">[3]OCTUBRE!#REF!</definedName>
    <definedName name="_Sort" localSheetId="1" hidden="1">[3]OCTUBRE!#REF!</definedName>
    <definedName name="_Sort" localSheetId="12" hidden="1">[3]OCTUBRE!#REF!</definedName>
    <definedName name="_Sort" localSheetId="6" hidden="1">[3]OCTUBRE!#REF!</definedName>
    <definedName name="_Sort" hidden="1">[3]OCTUBRE!#REF!</definedName>
    <definedName name="AC" localSheetId="0" hidden="1">#REF!</definedName>
    <definedName name="AC" localSheetId="13" hidden="1">#REF!</definedName>
    <definedName name="AC" localSheetId="14" hidden="1">#REF!</definedName>
    <definedName name="AC" localSheetId="1" hidden="1">#REF!</definedName>
    <definedName name="AC" localSheetId="6" hidden="1">#REF!</definedName>
    <definedName name="AC" hidden="1">#REF!</definedName>
    <definedName name="aprobo" localSheetId="0">INDEX([8]firmas!$C$33:$C$35,MATCH('[8]INV 222-13 '!$AA$45:$AJ$45,[8]firmas!$A$33:$A$35,0))</definedName>
    <definedName name="aprobo" localSheetId="5">INDEX(#REF!,MATCH(#REF!,#REF!,0))</definedName>
    <definedName name="aprobo" localSheetId="8">INDEX([9]firmas!$C$33:$C$35,MATCH('[9]INV 222-13'!$AA$45:$AJ$45,[9]firmas!$A$33:$A$35,0))</definedName>
    <definedName name="aprobo" localSheetId="13">INDEX(#REF!,MATCH('INV 222-13 '!#REF!,#REF!,0))</definedName>
    <definedName name="aprobo" localSheetId="14">INDEX([10]firmas!$C$33:$C$35,MATCH('[10]INV 222-13 '!$AA$45:$AJ$45,[10]firmas!$A$33:$A$35,0))</definedName>
    <definedName name="aprobo" localSheetId="3">INDEX([11]firmas!$C$33:$C$35,MATCH(#REF!,[11]firmas!$A$33:$A$35,0))</definedName>
    <definedName name="aprobo" localSheetId="6">INDEX(#REF!,MATCH(#REF!,#REF!,0))</definedName>
    <definedName name="aprobo">INDEX(#REF!,MATCH(#REF!,#REF!,0))</definedName>
    <definedName name="APROBO_A" localSheetId="8">INDEX([9]firmas!$C$33:$C$35,MATCH(ANGULARIDAD!#REF!,[9]firmas!$A$33:$A$35,0))</definedName>
    <definedName name="APROBO_A" localSheetId="3">INDEX([12]firmas!$C$33:$C$35,MATCH([12]ANGULARIDAD!$AK$29,[12]firmas!$A$33:$A$35,0))</definedName>
    <definedName name="APROBO_A">INDEX([12]firmas!$C$33:$C$35,MATCH([12]ANGULARIDAD!$AK$29,[12]firmas!$A$33:$A$35,0))</definedName>
    <definedName name="Aprobo_firmas" localSheetId="13">INDEX([13]firmas!$C$39:$C$41,MATCH('[13]Formato '!#REF!,[13]firmas!$A$39:$A$41,0))</definedName>
    <definedName name="Aprobo_firmas" localSheetId="14">INDEX([13]firmas!$C$39:$C$41,MATCH('[13]Formato '!#REF!,[13]firmas!$A$39:$A$41,0))</definedName>
    <definedName name="Aprobo_firmas" localSheetId="6">INDEX([13]firmas!$C$39:$C$41,MATCH('[13]Formato '!#REF!,[13]firmas!$A$39:$A$41,0))</definedName>
    <definedName name="Aprobo_firmas">INDEX([13]firmas!$C$39:$C$41,MATCH('[13]Formato '!#REF!,[13]firmas!$A$39:$A$41,0))</definedName>
    <definedName name="Aprobo_Gra_1">INDEX([14]firmas!$C$39:$C$41,MATCH('[14]4. CLASIFICACION M1'!$J$48:$P$48,[14]firmas!$A$39:$A$41,0))</definedName>
    <definedName name="Aprobo_Gra_2">INDEX([14]firmas!$C$39:$C$41,MATCH('[14]8. CLASIFICACION M2'!$J$48:$P$48,[14]firmas!$A$39:$A$41,0))</definedName>
    <definedName name="Aprobo_Gra_3">INDEX([14]firmas!$C$39:$C$41,MATCH('[14]12. CLASIFICACION M3'!$J$48:$P$48,[14]firmas!$A$39:$A$41,0))</definedName>
    <definedName name="aprobofirmas" localSheetId="0">INDEX([15]firmas!$C$33:$C$35,MATCH('[15]LIMITES M3'!$C$52:$E$52,[15]firmas!$A$33:$A$35,0))</definedName>
    <definedName name="aprobofirmas" localSheetId="5">INDEX(#REF!,MATCH(#REF!,#REF!,0))</definedName>
    <definedName name="aprobofirmas" localSheetId="13">INDEX(#REF!,MATCH(#REF!,#REF!,0))</definedName>
    <definedName name="aprobofirmas" localSheetId="14">INDEX([16]firmas!$C$33:$C$35,MATCH('[16]RESUMEN '!$V$50:$X$50,[16]firmas!$A$33:$A$35,0))</definedName>
    <definedName name="aprobofirmas" localSheetId="3">INDEX([16]firmas!$C$33:$C$35,MATCH('[16]RESUMEN '!$V$50:$X$50,[16]firmas!$A$33:$A$35,0))</definedName>
    <definedName name="aprobofirmas" localSheetId="1">INDEX([16]firmas!$C$33:$C$35,MATCH('[16]RESUMEN '!$V$50:$X$50,[16]firmas!$A$33:$A$35,0))</definedName>
    <definedName name="aprobofirmas" localSheetId="12">INDEX([9]firmas!$C$33:$C$35,MATCH('[9]RESUMEN '!$V$50:$X$50,[9]firmas!$A$33:$A$35,0))</definedName>
    <definedName name="aprobofirmas" localSheetId="6">INDEX([9]firmas!$C$33:$C$35,MATCH('[9]RESUMEN '!$V$50:$X$50,[9]firmas!$A$33:$A$35,0))</definedName>
    <definedName name="aprobofirmas">INDEX(#REF!,MATCH(#REF!,#REF!,0))</definedName>
    <definedName name="aprobofirmas1" localSheetId="0">INDEX([17]firmas!$C$33:$C$35,MATCH('[17]REG FOTOGRAFICO'!$N$55:$Q$55,[17]firmas!$A$33:$A$35,0))</definedName>
    <definedName name="aprobofirmas1" localSheetId="10">INDEX([18]firmas!$C$33:$C$35,MATCH('[18]RESUMEN '!$V$45:$X$45,[18]firmas!$A$33:$A$35,0))</definedName>
    <definedName name="aprobofirmas1" localSheetId="4">INDEX(#REF!,MATCH(#REF!,#REF!,0))</definedName>
    <definedName name="aprobofirmas1" localSheetId="5">INDEX([19]firmas!$C$33:$C$35,MATCH('[19]RESUMEN '!$V$45:$X$45,[19]firmas!$A$33:$A$35,0))</definedName>
    <definedName name="aprobofirmas1" localSheetId="8">INDEX([9]firmas!$C$33:$C$35,MATCH('[9]RESUMEN '!$V$46:$X$46,[9]firmas!$A$33:$A$35,0))</definedName>
    <definedName name="aprobofirmas1" localSheetId="7">INDEX([18]firmas!$C$33:$C$35,MATCH('[18]RESUMEN '!$V$45:$X$45,[18]firmas!$A$33:$A$35,0))</definedName>
    <definedName name="aprobofirmas1" localSheetId="11">INDEX([18]firmas!$C$33:$C$35,MATCH('[18]RESUMEN '!$V$45:$X$45,[18]firmas!$A$33:$A$35,0))</definedName>
    <definedName name="aprobofirmas1" localSheetId="13">INDEX([12]firmas!$C$33:$C$35,MATCH('[12]RESUMEN '!$V$46:$X$46,[12]firmas!$A$33:$A$35,0))</definedName>
    <definedName name="aprobofirmas1" localSheetId="14">INDEX(#REF!,MATCH(#REF!,#REF!,0))</definedName>
    <definedName name="aprobofirmas1" localSheetId="3">INDEX([19]firmas!$C$33:$C$35,MATCH('[19]RESUMEN '!$V$45:$X$45,[19]firmas!$A$33:$A$35,0))</definedName>
    <definedName name="aprobofirmas1" localSheetId="9">INDEX([18]firmas!$C$33:$C$35,MATCH('[18]RESUMEN '!$V$45:$X$45,[18]firmas!$A$33:$A$35,0))</definedName>
    <definedName name="aprobofirmas1" localSheetId="15">INDEX(#REF!,MATCH(#REF!,#REF!,0))</definedName>
    <definedName name="aprobofirmas1" localSheetId="1">INDEX(#REF!,MATCH('RESUMEN BG'!#REF!,#REF!,0))</definedName>
    <definedName name="aprobofirmas1">INDEX([19]firmas!$C$33:$C$35,MATCH('[19]RESUMEN '!$V$45:$X$45,[19]firmas!$A$33:$A$35,0))</definedName>
    <definedName name="aprobofirmas10" localSheetId="0">INDEX([20]firmas!$C$33:$C$35,MATCH('[20]CF - IF '!$Y$43,[20]firmas!$A$33:$A$35,0))</definedName>
    <definedName name="aprobofirmas10" localSheetId="10">INDEX([18]firmas!$C$33:$C$35,MATCH(#REF!,[18]firmas!$A$33:$A$35,0))</definedName>
    <definedName name="aprobofirmas10" localSheetId="4">INDEX(#REF!,MATCH(#REF!,#REF!,0))</definedName>
    <definedName name="aprobofirmas10" localSheetId="5">INDEX(#REF!,MATCH(#REF!,#REF!,0))</definedName>
    <definedName name="aprobofirmas10" localSheetId="8">INDEX([9]firmas!$C$33:$C$35,MATCH('[9]CF - IF '!$Y$43,[9]firmas!$A$33:$A$35,0))</definedName>
    <definedName name="aprobofirmas10" localSheetId="7">INDEX([18]firmas!$C$33:$C$35,MATCH('CF - IF '!#REF!,[18]firmas!$A$33:$A$35,0))</definedName>
    <definedName name="aprobofirmas10" localSheetId="11">INDEX([18]firmas!$C$33:$C$35,MATCH(#REF!,[18]firmas!$A$33:$A$35,0))</definedName>
    <definedName name="aprobofirmas10" localSheetId="13">INDEX([21]firmas!$C$33:$C$35,MATCH('[21]CF - IF '!$Y$43,[21]firmas!$A$33:$A$35,0))</definedName>
    <definedName name="aprobofirmas10" localSheetId="14">INDEX(#REF!,MATCH(#REF!,#REF!,0))</definedName>
    <definedName name="aprobofirmas10" localSheetId="3">INDEX([16]firmas!$C$33:$C$35,MATCH([16]EQUIVALENTE!$J$29,[16]firmas!$A$33:$A$35,0))</definedName>
    <definedName name="aprobofirmas10" localSheetId="9">INDEX([18]firmas!$C$33:$C$35,MATCH(#REF!,[18]firmas!$A$33:$A$35,0))</definedName>
    <definedName name="aprobofirmas10" localSheetId="15">INDEX(#REF!,MATCH('[22]CF - IF '!$Y$43,#REF!,0))</definedName>
    <definedName name="aprobofirmas10" localSheetId="1">INDEX(#REF!,MATCH('[23]CF - IF '!$Y$43,#REF!,0))</definedName>
    <definedName name="aprobofirmas10" localSheetId="12">INDEX([9]firmas!$C$33:$C$35,MATCH([9]EQUIVALENTE!$J$29,[9]firmas!$A$33:$A$35,0))</definedName>
    <definedName name="aprobofirmas10" localSheetId="6">INDEX([9]firmas!$C$33:$C$35,MATCH(#REF!,[9]firmas!$A$33:$A$35,0))</definedName>
    <definedName name="aprobofirmas10">INDEX(#REF!,MATCH(#REF!,#REF!,0))</definedName>
    <definedName name="aprobofirmas11" localSheetId="0">INDEX([20]firmas!$C$33:$C$35,MATCH([20]ANGULARIDAD!$AK$29,[20]firmas!$A$33:$A$35,0))</definedName>
    <definedName name="aprobofirmas11" localSheetId="10">INDEX([18]firmas!$C$33:$C$35,MATCH([18]ANGULARIDAD!$AK$29,[18]firmas!$A$33:$A$35,0))</definedName>
    <definedName name="aprobofirmas11" localSheetId="4">INDEX(#REF!,MATCH(#REF!,#REF!,0))</definedName>
    <definedName name="aprobofirmas11" localSheetId="5">INDEX(#REF!,MATCH(#REF!,#REF!,0))</definedName>
    <definedName name="aprobofirmas11" localSheetId="8">INDEX([9]firmas!$C$33:$C$35,MATCH(ANGULARIDAD!#REF!,[9]firmas!$A$33:$A$35,0))</definedName>
    <definedName name="aprobofirmas11" localSheetId="7">INDEX([18]firmas!$C$33:$C$35,MATCH([18]ANGULARIDAD!$AK$29,[18]firmas!$A$33:$A$35,0))</definedName>
    <definedName name="aprobofirmas11" localSheetId="11">INDEX([18]firmas!$C$33:$C$35,MATCH([18]ANGULARIDAD!$AK$29,[18]firmas!$A$33:$A$35,0))</definedName>
    <definedName name="aprobofirmas11" localSheetId="13">INDEX([21]firmas!$C$33:$C$35,MATCH([21]ANGULARIDAD!$AK$29,[21]firmas!$A$33:$A$35,0))</definedName>
    <definedName name="aprobofirmas11" localSheetId="14">INDEX(#REF!,MATCH(#REF!,#REF!,0))</definedName>
    <definedName name="aprobofirmas11" localSheetId="3">INDEX([16]firmas!$C$33:$C$35,MATCH(#REF!,[16]firmas!$A$33:$A$35,0))</definedName>
    <definedName name="aprobofirmas11" localSheetId="9">INDEX([18]firmas!$C$33:$C$35,MATCH([18]ANGULARIDAD!$AK$29,[18]firmas!$A$33:$A$35,0))</definedName>
    <definedName name="aprobofirmas11" localSheetId="15">INDEX(#REF!,MATCH([22]ANGULARIDAD!$AK$29,#REF!,0))</definedName>
    <definedName name="aprobofirmas11" localSheetId="1">INDEX(#REF!,MATCH([23]ANGULARIDAD!$AK$29,#REF!,0))</definedName>
    <definedName name="aprobofirmas11" localSheetId="12">INDEX([9]firmas!$C$33:$C$35,MATCH([9]ANGULARIDAD!$AK$29,[9]firmas!$A$33:$A$35,0))</definedName>
    <definedName name="aprobofirmas11" localSheetId="6">INDEX([9]firmas!$C$33:$C$35,MATCH([9]ANGULARIDAD!$AK$29,[9]firmas!$A$33:$A$35,0))</definedName>
    <definedName name="aprobofirmas11">INDEX(#REF!,MATCH(#REF!,#REF!,0))</definedName>
    <definedName name="aprobofirmas12" localSheetId="0">INDEX([20]firmas!$C$33:$C$35,MATCH([20]PROCTOR!$I$42,[20]firmas!$A$33:$A$35,0))</definedName>
    <definedName name="aprobofirmas12" localSheetId="10">INDEX([18]firmas!$C$33:$C$35,MATCH([18]PROCTOR!$I$42,[18]firmas!$A$33:$A$35,0))</definedName>
    <definedName name="aprobofirmas12" localSheetId="4">INDEX(#REF!,MATCH(#REF!,#REF!,0))</definedName>
    <definedName name="aprobofirmas12" localSheetId="5">INDEX(#REF!,MATCH(#REF!,#REF!,0))</definedName>
    <definedName name="aprobofirmas12" localSheetId="8">INDEX([9]firmas!$C$33:$C$35,MATCH([9]PROCTOR!$I$42,[9]firmas!$A$33:$A$35,0))</definedName>
    <definedName name="aprobofirmas12" localSheetId="7">INDEX([18]firmas!$C$33:$C$35,MATCH([18]PROCTOR!$I$42,[18]firmas!$A$33:$A$35,0))</definedName>
    <definedName name="aprobofirmas12" localSheetId="11">INDEX([18]firmas!$C$33:$C$35,MATCH([18]PROCTOR!$I$42,[18]firmas!$A$33:$A$35,0))</definedName>
    <definedName name="aprobofirmas12" localSheetId="13">INDEX([21]firmas!$C$33:$C$35,MATCH([21]PROCTOR!$I$42,[21]firmas!$A$33:$A$35,0))</definedName>
    <definedName name="aprobofirmas12" localSheetId="14">INDEX(#REF!,MATCH(#REF!,#REF!,0))</definedName>
    <definedName name="aprobofirmas12" localSheetId="3">INDEX([16]firmas!$C$33:$C$35,MATCH([16]PROCTOR!$I$42,[16]firmas!$A$33:$A$35,0))</definedName>
    <definedName name="aprobofirmas12" localSheetId="9">INDEX([18]firmas!$C$33:$C$35,MATCH([18]PROCTOR!$I$42,[18]firmas!$A$33:$A$35,0))</definedName>
    <definedName name="aprobofirmas12" localSheetId="15">INDEX(#REF!,MATCH(PROCTOR!#REF!,#REF!,0))</definedName>
    <definedName name="aprobofirmas12" localSheetId="1">INDEX(#REF!,MATCH([23]PROCTOR!$I$42,#REF!,0))</definedName>
    <definedName name="aprobofirmas12" localSheetId="12">INDEX([9]firmas!$C$33:$C$35,MATCH([9]PROCTOR!$I$42,[9]firmas!$A$33:$A$35,0))</definedName>
    <definedName name="aprobofirmas12" localSheetId="6">INDEX([9]firmas!$C$33:$C$35,MATCH([9]PROCTOR!$I$42,[9]firmas!$A$33:$A$35,0))</definedName>
    <definedName name="aprobofirmas12">INDEX(#REF!,MATCH(#REF!,#REF!,0))</definedName>
    <definedName name="aprobofirmas13" localSheetId="0">INDEX([20]firmas!$C$33:$C$35,MATCH('[20] CBR 1'!$AP$55:$AQ$55,[20]firmas!$A$33:$A$35,0))</definedName>
    <definedName name="aprobofirmas13" localSheetId="10">INDEX([18]firmas!$C$33:$C$35,MATCH('[18] CBR 1'!$AP$55:$AQ$55,[18]firmas!$A$33:$A$35,0))</definedName>
    <definedName name="aprobofirmas13" localSheetId="4">INDEX(#REF!,MATCH(#REF!,#REF!,0))</definedName>
    <definedName name="aprobofirmas13" localSheetId="5">INDEX(#REF!,MATCH(#REF!,#REF!,0))</definedName>
    <definedName name="aprobofirmas13" localSheetId="8">INDEX([9]firmas!$C$33:$C$35,MATCH('[9] CBR 1'!$AP$55:$AQ$55,[9]firmas!$A$33:$A$35,0))</definedName>
    <definedName name="aprobofirmas13" localSheetId="7">INDEX([18]firmas!$C$33:$C$35,MATCH('[18] CBR 1'!$AP$55:$AQ$55,[18]firmas!$A$33:$A$35,0))</definedName>
    <definedName name="aprobofirmas13" localSheetId="11">INDEX([18]firmas!$C$33:$C$35,MATCH('[18] CBR 1'!$AP$55:$AQ$55,[18]firmas!$A$33:$A$35,0))</definedName>
    <definedName name="aprobofirmas13" localSheetId="13">INDEX([21]firmas!$C$33:$C$35,MATCH('[21] CBR 1'!$AP$55:$AQ$55,[21]firmas!$A$33:$A$35,0))</definedName>
    <definedName name="aprobofirmas13" localSheetId="14">INDEX(#REF!,MATCH(#REF!,#REF!,0))</definedName>
    <definedName name="aprobofirmas13" localSheetId="3">INDEX([16]firmas!$C$33:$C$35,MATCH('[16] CBR 1'!$AP$55:$AQ$55,[16]firmas!$A$33:$A$35,0))</definedName>
    <definedName name="aprobofirmas13" localSheetId="9">INDEX([18]firmas!$C$33:$C$35,MATCH('[18] CBR 1'!$AP$55:$AQ$55,[18]firmas!$A$33:$A$35,0))</definedName>
    <definedName name="aprobofirmas13" localSheetId="15">INDEX(#REF!,MATCH('[22] CBR 1'!$AP$55:$AQ$55,#REF!,0))</definedName>
    <definedName name="aprobofirmas13" localSheetId="1">INDEX(#REF!,MATCH('[23] CBR 1'!$AP$117:$AQ$117,#REF!,0))</definedName>
    <definedName name="aprobofirmas13" localSheetId="12">INDEX([9]firmas!$C$33:$C$35,MATCH('[9] CBR 1'!$AP$55:$AQ$55,[9]firmas!$A$33:$A$35,0))</definedName>
    <definedName name="aprobofirmas13" localSheetId="6">INDEX([9]firmas!$C$33:$C$35,MATCH('[9] CBR 1'!$AP$55:$AQ$55,[9]firmas!$A$33:$A$35,0))</definedName>
    <definedName name="aprobofirmas13">INDEX(#REF!,MATCH(#REF!,#REF!,0))</definedName>
    <definedName name="aprobofirmas14" localSheetId="0">INDEX([20]firmas!$C$33:$C$35,MATCH('[20] CBR (2)'!$G$55:$H$55,[20]firmas!$A$33:$A$35,0))</definedName>
    <definedName name="aprobofirmas14" localSheetId="10">INDEX([18]firmas!$C$33:$C$35,MATCH('[18] CBR (2)'!$G$55:$H$55,[18]firmas!$A$33:$A$35,0))</definedName>
    <definedName name="aprobofirmas14" localSheetId="4">INDEX(#REF!,MATCH(#REF!,#REF!,0))</definedName>
    <definedName name="aprobofirmas14" localSheetId="5">INDEX(#REF!,MATCH(#REF!,#REF!,0))</definedName>
    <definedName name="aprobofirmas14" localSheetId="8">INDEX([9]firmas!$C$33:$C$35,MATCH('[9] CBR (2)'!$G$55:$H$55,[9]firmas!$A$33:$A$35,0))</definedName>
    <definedName name="aprobofirmas14" localSheetId="7">INDEX([18]firmas!$C$33:$C$35,MATCH('[18] CBR (2)'!$G$55:$H$55,[18]firmas!$A$33:$A$35,0))</definedName>
    <definedName name="aprobofirmas14" localSheetId="11">INDEX([18]firmas!$C$33:$C$35,MATCH('[18] CBR (2)'!$G$55:$H$55,[18]firmas!$A$33:$A$35,0))</definedName>
    <definedName name="aprobofirmas14" localSheetId="13">INDEX([21]firmas!$C$33:$C$35,MATCH('[21] CBR (2)'!$G$55:$H$55,[21]firmas!$A$33:$A$35,0))</definedName>
    <definedName name="aprobofirmas14" localSheetId="14">INDEX(#REF!,MATCH(#REF!,#REF!,0))</definedName>
    <definedName name="aprobofirmas14" localSheetId="3">INDEX([16]firmas!$C$33:$C$35,MATCH('[16] CBR (2)'!$G$55:$H$55,[16]firmas!$A$33:$A$35,0))</definedName>
    <definedName name="aprobofirmas14" localSheetId="9">INDEX([18]firmas!$C$33:$C$35,MATCH('[18] CBR (2)'!$G$55:$H$55,[18]firmas!$A$33:$A$35,0))</definedName>
    <definedName name="aprobofirmas14" localSheetId="15">INDEX(#REF!,MATCH('[22] CBR (2)'!$G$55:$H$55,#REF!,0))</definedName>
    <definedName name="aprobofirmas14" localSheetId="1">INDEX(#REF!,MATCH('[23] CBR (2)'!$G$55:$H$55,#REF!,0))</definedName>
    <definedName name="aprobofirmas14" localSheetId="12">INDEX([9]firmas!$C$33:$C$35,MATCH('[9] CBR (2)'!$G$55:$H$55,[9]firmas!$A$33:$A$35,0))</definedName>
    <definedName name="aprobofirmas14" localSheetId="6">INDEX([9]firmas!$C$33:$C$35,MATCH('[9] CBR (2)'!$G$55:$H$55,[9]firmas!$A$33:$A$35,0))</definedName>
    <definedName name="aprobofirmas14">INDEX(#REF!,MATCH(#REF!,#REF!,0))</definedName>
    <definedName name="aprobofirmas2" localSheetId="0">INDEX([17]firmas!$C$33:$C$35,MATCH('[17]CONO DINAMICO'!$L$57:$O$57,[17]firmas!$A$33:$A$35,0))</definedName>
    <definedName name="aprobofirmas2" localSheetId="10">INDEX([18]firmas!$C$33:$C$35,MATCH(#REF!,[18]firmas!$A$33:$A$35,0))</definedName>
    <definedName name="aprobofirmas2" localSheetId="4">INDEX(#REF!,MATCH(#REF!,#REF!,0))</definedName>
    <definedName name="aprobofirmas2" localSheetId="5">INDEX(#REF!,MATCH(#REF!,#REF!,0))</definedName>
    <definedName name="aprobofirmas2" localSheetId="8">INDEX([9]firmas!$C$33:$C$35,MATCH('[9]Gradacion '!$Y$46,[9]firmas!$A$33:$A$35,0))</definedName>
    <definedName name="aprobofirmas2" localSheetId="7">INDEX([18]firmas!$C$33:$C$35,MATCH(#REF!,[18]firmas!$A$33:$A$35,0))</definedName>
    <definedName name="aprobofirmas2" localSheetId="11">INDEX([18]firmas!$C$33:$C$35,MATCH(#REF!,[18]firmas!$A$33:$A$35,0))</definedName>
    <definedName name="Aprobofirmas2" localSheetId="2">INDEX(#REF!,MATCH('Gradacion '!#REF!,#REF!,0))</definedName>
    <definedName name="aprobofirmas2" localSheetId="13">INDEX([12]firmas!$C$33:$C$35,MATCH(#REF!,[12]firmas!$A$33:$A$35,0))</definedName>
    <definedName name="aprobofirmas2" localSheetId="14">INDEX(#REF!,MATCH(#REF!,#REF!,0))</definedName>
    <definedName name="aprobofirmas2" localSheetId="3">INDEX([16]firmas!$C$33:$C$35,MATCH(#REF!,[16]firmas!$A$33:$A$35,0))</definedName>
    <definedName name="aprobofirmas2" localSheetId="9">INDEX([18]firmas!$C$33:$C$35,MATCH(#REF!,[18]firmas!$A$33:$A$35,0))</definedName>
    <definedName name="aprobofirmas2" localSheetId="15">INDEX(#REF!,MATCH('[22]Gradacion '!$Y$46:$AF$46,#REF!,0))</definedName>
    <definedName name="aprobofirmas2" localSheetId="1">INDEX(#REF!,MATCH(#REF!,#REF!,0))</definedName>
    <definedName name="aprobofirmas2" localSheetId="12">INDEX([9]firmas!$C$33:$C$35,MATCH('[9]Gradacion '!$Y$46:$AF$46,[9]firmas!$A$33:$A$35,0))</definedName>
    <definedName name="aprobofirmas2" localSheetId="6">INDEX([9]firmas!$C$33:$C$35,MATCH(#REF!,[9]firmas!$A$33:$A$35,0))</definedName>
    <definedName name="aprobofirmas2">INDEX(#REF!,MATCH(#REF!,#REF!,0))</definedName>
    <definedName name="aprobofirmas3" localSheetId="0">INDEX([17]firmas!$C$33:$C$35,MATCH('[24]CLASIFICACION M1'!$N$61:$P$61,[17]firmas!$A$33:$A$35,0))</definedName>
    <definedName name="aprobofirmas3" localSheetId="10">INDEX([18]firmas!$C$33:$C$35,MATCH(#REF!,[18]firmas!$A$33:$A$35,0))</definedName>
    <definedName name="aprobofirmas3" localSheetId="4">INDEX(#REF!,MATCH(#REF!,#REF!,0))</definedName>
    <definedName name="aprobofirmas3" localSheetId="5">INDEX(#REF!,MATCH(#REF!,#REF!,0))</definedName>
    <definedName name="aprobofirmas3" localSheetId="8">INDEX([9]firmas!$C$33:$C$35,MATCH([9]Desgaste!$T$38,[9]firmas!$A$33:$A$35,0))</definedName>
    <definedName name="aprobofirmas3" localSheetId="7">INDEX([18]firmas!$C$33:$C$35,MATCH(#REF!,[18]firmas!$A$33:$A$35,0))</definedName>
    <definedName name="aprobofirmas3" localSheetId="11">INDEX([18]firmas!$C$33:$C$35,MATCH(Desgaste!#REF!,[18]firmas!$A$33:$A$35,0))</definedName>
    <definedName name="aprobofirmas3" localSheetId="13">INDEX([21]firmas!$C$33:$C$35,MATCH([21]Desgaste!$T$38,[21]firmas!$A$33:$A$35,0))</definedName>
    <definedName name="aprobofirmas3" localSheetId="14">INDEX(#REF!,MATCH(#REF!,#REF!,0))</definedName>
    <definedName name="aprobofirmas3" localSheetId="3">INDEX([16]firmas!$C$33:$C$35,MATCH([16]Desgaste!$T$38,[16]firmas!$A$33:$A$35,0))</definedName>
    <definedName name="aprobofirmas3" localSheetId="9">INDEX([18]firmas!$C$33:$C$35,MATCH(#REF!,[18]firmas!$A$33:$A$35,0))</definedName>
    <definedName name="aprobofirmas3" localSheetId="15">INDEX(#REF!,MATCH(#REF!,#REF!,0))</definedName>
    <definedName name="aprobofirmas3" localSheetId="1">INDEX(#REF!,MATCH(#REF!,#REF!,0))</definedName>
    <definedName name="aprobofirmas3" localSheetId="12">INDEX([9]firmas!$C$33:$C$35,MATCH([9]Desgaste!$T$38,[9]firmas!$A$33:$A$35,0))</definedName>
    <definedName name="aprobofirmas3" localSheetId="6">INDEX([9]firmas!$C$33:$C$35,MATCH([9]Desgaste!$T$38,[9]firmas!$A$33:$A$35,0))</definedName>
    <definedName name="aprobofirmas3">INDEX(#REF!,MATCH(#REF!,#REF!,0))</definedName>
    <definedName name="aprobofirmas3M1">INDEX([25]firmas!$C$33:$C$35,MATCH('[25]CLASIFICACION M1'!$J$48,[25]firmas!$A$33:$A$35,0))</definedName>
    <definedName name="Aprobofirmas4" localSheetId="0">INDEX([17]firmas!$C$33:$C$35,MATCH(#REF!,[17]firmas!$A$33:$A$35,0))</definedName>
    <definedName name="aprobofirmas4" localSheetId="10">INDEX([18]firmas!$C$33:$C$35,MATCH('[18]Microdeval '!$AC$44,[18]firmas!$A$33:$A$35,0))</definedName>
    <definedName name="aprobofirmas4" localSheetId="4">INDEX(#REF!,MATCH(#REF!,#REF!,0))</definedName>
    <definedName name="aprobofirmas4" localSheetId="5">INDEX(#REF!,MATCH(#REF!,#REF!,0))</definedName>
    <definedName name="aprobofirmas4" localSheetId="8">INDEX([9]firmas!$C$33:$C$35,MATCH('[9]Microdeval '!$AC$44,[9]firmas!$A$33:$A$35,0))</definedName>
    <definedName name="aprobofirmas4" localSheetId="7">INDEX([18]firmas!$C$33:$C$35,MATCH('[18]Microdeval '!$AC$44,[18]firmas!$A$33:$A$35,0))</definedName>
    <definedName name="aprobofirmas4" localSheetId="11">INDEX([18]firmas!$C$33:$C$35,MATCH('[18]Microdeval '!$AC$44,[18]firmas!$A$33:$A$35,0))</definedName>
    <definedName name="aprobofirmas4" localSheetId="13">INDEX([21]firmas!$C$33:$C$35,MATCH('[21]Microdeval '!$AC$44,[21]firmas!$A$33:$A$35,0))</definedName>
    <definedName name="aprobofirmas4" localSheetId="14">INDEX(#REF!,MATCH(#REF!,#REF!,0))</definedName>
    <definedName name="aprobofirmas4" localSheetId="3">INDEX([16]firmas!$C$33:$C$35,MATCH('[16]Microdeval '!$AC$44,[16]firmas!$A$33:$A$35,0))</definedName>
    <definedName name="aprobofirmas4" localSheetId="9">INDEX([18]firmas!$C$33:$C$35,MATCH('Microdeval '!#REF!,[18]firmas!$A$33:$A$35,0))</definedName>
    <definedName name="aprobofirmas4" localSheetId="15">INDEX(#REF!,MATCH('[22]Microdeval '!$AC$44,#REF!,0))</definedName>
    <definedName name="aprobofirmas4" localSheetId="1">INDEX(#REF!,MATCH('[23]Microdeval '!$AC$44,#REF!,0))</definedName>
    <definedName name="aprobofirmas4" localSheetId="12">INDEX([9]firmas!$C$33:$C$35,MATCH('[9]Microdeval '!$AC$44,[9]firmas!$A$33:$A$35,0))</definedName>
    <definedName name="aprobofirmas4" localSheetId="6">INDEX([9]firmas!$C$33:$C$35,MATCH('[9]Microdeval '!$AC$44,[9]firmas!$A$33:$A$35,0))</definedName>
    <definedName name="aprobofirmas4">INDEX(#REF!,MATCH(#REF!,#REF!,0))</definedName>
    <definedName name="Aprobofirmas5" localSheetId="0">INDEX('1. Encabezado'!$AF$23:$AF$31,MATCH('1. Encabezado'!$N$43,'1. Encabezado'!$AD$23:$AD$31,0))</definedName>
    <definedName name="aprobofirmas5" localSheetId="10">INDEX([18]firmas!$C$33:$C$35,MATCH('10% De Finos (2)'!#REF!,[18]firmas!$A$33:$A$35,0))</definedName>
    <definedName name="aprobofirmas5" localSheetId="4">INDEX(#REF!,MATCH(#REF!,#REF!,0))</definedName>
    <definedName name="aprobofirmas5" localSheetId="5">INDEX(#REF!,MATCH(#REF!,#REF!,0))</definedName>
    <definedName name="aprobofirmas5" localSheetId="8">INDEX([9]firmas!$C$33:$C$35,MATCH('[9]10% De Finos'!$I$23:$K$23,[9]firmas!$A$33:$A$35,0))</definedName>
    <definedName name="aprobofirmas5" localSheetId="7">INDEX([18]firmas!$C$33:$C$35,MATCH('[18]10% De Finos'!$I$23:$K$23,[18]firmas!$A$33:$A$35,0))</definedName>
    <definedName name="aprobofirmas5" localSheetId="11">INDEX([18]firmas!$C$33:$C$35,MATCH('[18]10% De Finos'!$I$23:$K$23,[18]firmas!$A$33:$A$35,0))</definedName>
    <definedName name="aprobofirmas5" localSheetId="13">INDEX([21]firmas!$C$33:$C$35,MATCH('[21]10% De Finos'!$I$23:$K$23,[21]firmas!$A$33:$A$35,0))</definedName>
    <definedName name="aprobofirmas5" localSheetId="14">INDEX(#REF!,MATCH(#REF!,#REF!,0))</definedName>
    <definedName name="aprobofirmas5" localSheetId="3">INDEX([16]firmas!$C$33:$C$35,MATCH('[16]10% De Finos'!$I$23:$K$23,[16]firmas!$A$33:$A$35,0))</definedName>
    <definedName name="aprobofirmas5" localSheetId="9">INDEX([18]firmas!$C$33:$C$35,MATCH('[18]10% De Finos'!$I$23:$K$23,[18]firmas!$A$33:$A$35,0))</definedName>
    <definedName name="aprobofirmas5" localSheetId="15">INDEX(#REF!,MATCH('[22]10% De Finos'!$I$23:$K$23,#REF!,0))</definedName>
    <definedName name="aprobofirmas5" localSheetId="1">INDEX(#REF!,MATCH('[23]10% De Finos'!$I$23:$K$23,#REF!,0))</definedName>
    <definedName name="aprobofirmas5" localSheetId="12">INDEX([9]firmas!$C$33:$C$35,MATCH('[9]10% De Finos'!$I$23:$K$23,[9]firmas!$A$33:$A$35,0))</definedName>
    <definedName name="aprobofirmas5" localSheetId="6">INDEX([9]firmas!$C$33:$C$35,MATCH('[9]10% De Finos'!$I$23:$K$23,[9]firmas!$A$33:$A$35,0))</definedName>
    <definedName name="aprobofirmas5">INDEX(#REF!,MATCH(#REF!,#REF!,0))</definedName>
    <definedName name="Aprobofirmas6" localSheetId="0">INDEX([17]firmas!$C$33:$C$35,MATCH('[17]CLASIFICACION M2'!$N$61:$P$61,[17]firmas!$A$33:$A$35,0))</definedName>
    <definedName name="aprobofirmas6" localSheetId="10">INDEX([18]firmas!$C$33:$C$35,MATCH([18]Solidez!$Y$47,[18]firmas!$A$33:$A$35,0))</definedName>
    <definedName name="aprobofirmas6" localSheetId="4">INDEX(#REF!,MATCH(#REF!,#REF!,0))</definedName>
    <definedName name="aprobofirmas6" localSheetId="5">INDEX(#REF!,MATCH(#REF!,#REF!,0))</definedName>
    <definedName name="aprobofirmas6" localSheetId="8">INDEX([9]firmas!$C$33:$C$35,MATCH([9]Solidez!$Y$47,[9]firmas!$A$33:$A$35,0))</definedName>
    <definedName name="aprobofirmas6" localSheetId="7">INDEX([18]firmas!$C$33:$C$35,MATCH([18]Solidez!$Y$47,[18]firmas!$A$33:$A$35,0))</definedName>
    <definedName name="aprobofirmas6" localSheetId="11">INDEX([18]firmas!$C$33:$C$35,MATCH([18]Solidez!$Y$47,[18]firmas!$A$33:$A$35,0))</definedName>
    <definedName name="aprobofirmas6" localSheetId="13">INDEX([21]firmas!$C$33:$C$35,MATCH(#REF!,[21]firmas!$A$33:$A$35,0))</definedName>
    <definedName name="aprobofirmas6" localSheetId="14">INDEX(#REF!,MATCH(#REF!,#REF!,0))</definedName>
    <definedName name="aprobofirmas6" localSheetId="3">INDEX([16]firmas!$C$33:$C$35,MATCH(#REF!,[16]firmas!$A$33:$A$35,0))</definedName>
    <definedName name="aprobofirmas6" localSheetId="9">INDEX([18]firmas!$C$33:$C$35,MATCH([18]Solidez!$Y$47,[18]firmas!$A$33:$A$35,0))</definedName>
    <definedName name="aprobofirmas6" localSheetId="15">INDEX(#REF!,MATCH([22]Solidez!$Y$47,#REF!,0))</definedName>
    <definedName name="aprobofirmas6" localSheetId="1">INDEX(#REF!,MATCH([23]Solidez!$Y$47,#REF!,0))</definedName>
    <definedName name="aprobofirmas6" localSheetId="12">INDEX([9]firmas!$C$33:$C$35,MATCH(Solidez!#REF!,[9]firmas!$A$33:$A$35,0))</definedName>
    <definedName name="aprobofirmas6" localSheetId="6">INDEX([9]firmas!$C$33:$C$35,MATCH([9]Solidez!$Y$47,[9]firmas!$A$33:$A$35,0))</definedName>
    <definedName name="aprobofirmas6">INDEX(#REF!,MATCH(#REF!,#REF!,0))</definedName>
    <definedName name="Aprobofirmas7" localSheetId="0">INDEX([17]firmas!$C$33:$C$35,MATCH('[17]M.O.  M2'!$I$27:$O$27,[17]firmas!$A$33:$A$35,0))</definedName>
    <definedName name="aprobofirmas7" localSheetId="10">INDEX([18]firmas!$C$33:$C$35,MATCH([18]LIMITES!$H$47,[18]firmas!$A$33:$A$35,0))</definedName>
    <definedName name="Aprobofirmas7" localSheetId="4">INDEX(#REF!,MATCH('5. Limites M1'!#REF!,#REF!,0))</definedName>
    <definedName name="aprobofirmas7" localSheetId="5">INDEX(#REF!,MATCH(#REF!,#REF!,0))</definedName>
    <definedName name="aprobofirmas7" localSheetId="8">INDEX([9]firmas!$C$33:$C$35,MATCH([9]LIMITES!$H$47,[9]firmas!$A$33:$A$35,0))</definedName>
    <definedName name="aprobofirmas7" localSheetId="7">INDEX([18]firmas!$C$33:$C$35,MATCH([18]LIMITES!$H$47,[18]firmas!$A$33:$A$35,0))</definedName>
    <definedName name="aprobofirmas7" localSheetId="11">INDEX([18]firmas!$C$33:$C$35,MATCH([18]LIMITES!$H$47,[18]firmas!$A$33:$A$35,0))</definedName>
    <definedName name="aprobofirmas7" localSheetId="13">INDEX([21]firmas!$C$33:$C$35,MATCH([21]LIMITES!$H$47,[21]firmas!$A$33:$A$35,0))</definedName>
    <definedName name="aprobofirmas7" localSheetId="14">INDEX(#REF!,MATCH(#REF!,#REF!,0))</definedName>
    <definedName name="aprobofirmas7" localSheetId="3">INDEX([16]firmas!$C$33:$C$35,MATCH(#REF!,[16]firmas!$A$33:$A$35,0))</definedName>
    <definedName name="aprobofirmas7" localSheetId="9">INDEX([18]firmas!$C$33:$C$35,MATCH([18]LIMITES!$H$47,[18]firmas!$A$33:$A$35,0))</definedName>
    <definedName name="aprobofirmas7" localSheetId="15">INDEX(#REF!,MATCH(#REF!,#REF!,0))</definedName>
    <definedName name="aprobofirmas7" localSheetId="1">INDEX(#REF!,MATCH(#REF!,#REF!,0))</definedName>
    <definedName name="aprobofirmas7" localSheetId="12">INDEX([9]firmas!$C$33:$C$35,MATCH([9]LIMITES!$H$47,[9]firmas!$A$33:$A$35,0))</definedName>
    <definedName name="aprobofirmas7" localSheetId="6">INDEX([9]firmas!$C$33:$C$35,MATCH(#REF!,[9]firmas!$A$33:$A$35,0))</definedName>
    <definedName name="aprobofirmas7">INDEX(#REF!,MATCH(#REF!,#REF!,0))</definedName>
    <definedName name="Aprobofirmas8" localSheetId="0">INDEX([17]firmas!$C$33:$C$35,MATCH('[17]CLASIFICACION M3'!$N$61:$P$61,[17]firmas!$A$33:$A$35,0))</definedName>
    <definedName name="aprobofirmas8" localSheetId="10">INDEX([18]firmas!$C$33:$C$35,MATCH([18]EQUIVALENTE!$J$29,[18]firmas!$A$33:$A$35,0))</definedName>
    <definedName name="aprobofirmas8" localSheetId="4">INDEX(#REF!,MATCH(#REF!,#REF!,0))</definedName>
    <definedName name="aprobofirmas8" localSheetId="5">INDEX([19]firmas!$C$33:$C$35,MATCH([19]EQUIVALENTE!$J$29,[19]firmas!$A$33:$A$35,0))</definedName>
    <definedName name="aprobofirmas8" localSheetId="8">INDEX([9]firmas!$C$33:$C$35,MATCH([9]EQUIVALENTE!$J$29,[9]firmas!$A$33:$A$35,0))</definedName>
    <definedName name="aprobofirmas8" localSheetId="7">INDEX([18]firmas!$C$33:$C$35,MATCH([18]EQUIVALENTE!$J$29,[18]firmas!$A$33:$A$35,0))</definedName>
    <definedName name="aprobofirmas8" localSheetId="11">INDEX([18]firmas!$C$33:$C$35,MATCH([18]EQUIVALENTE!$J$29,[18]firmas!$A$33:$A$35,0))</definedName>
    <definedName name="aprobofirmas8" localSheetId="13">INDEX([21]firmas!$C$33:$C$35,MATCH([21]EQUIVALENTE!$J$29,[21]firmas!$A$33:$A$35,0))</definedName>
    <definedName name="aprobofirmas8" localSheetId="14">INDEX(#REF!,MATCH(#REF!,#REF!,0))</definedName>
    <definedName name="aprobofirmas8" localSheetId="3">INDEX([19]firmas!$C$33:$C$35,MATCH([19]EQUIVALENTE!$J$29,[19]firmas!$A$33:$A$35,0))</definedName>
    <definedName name="aprobofirmas8" localSheetId="9">INDEX([18]firmas!$C$33:$C$35,MATCH([18]EQUIVALENTE!$J$29,[18]firmas!$A$33:$A$35,0))</definedName>
    <definedName name="aprobofirmas8" localSheetId="15">INDEX(#REF!,MATCH(#REF!,#REF!,0))</definedName>
    <definedName name="aprobofirmas8" localSheetId="1">INDEX(#REF!,MATCH(#REF!,#REF!,0))</definedName>
    <definedName name="aprobofirmas8">INDEX([19]firmas!$C$33:$C$35,MATCH([19]EQUIVALENTE!$J$29,[19]firmas!$A$33:$A$35,0))</definedName>
    <definedName name="Aprobofirmas9" localSheetId="0">INDEX([17]firmas!$C$33:$C$35,MATCH('[17]M.O.  M3'!$I$27:$O$27,[17]firmas!$A$33:$A$35,0))</definedName>
    <definedName name="aprobofirmas9" localSheetId="10">INDEX([18]firmas!$C$33:$C$35,MATCH('[18]TERRONES DE ARCILLA'!$I$27:$K$27,[18]firmas!$A$33:$A$35,0))</definedName>
    <definedName name="aprobofirmas9" localSheetId="4">INDEX(#REF!,MATCH(#REF!,#REF!,0))</definedName>
    <definedName name="aprobofirmas9" localSheetId="5">INDEX(#REF!,MATCH(#REF!,#REF!,0))</definedName>
    <definedName name="aprobofirmas9" localSheetId="8">INDEX([9]firmas!$C$33:$C$35,MATCH('[9]TERRONES DE ARCILLA'!$I$27:$K$27,[9]firmas!$A$33:$A$35,0))</definedName>
    <definedName name="aprobofirmas9" localSheetId="7">INDEX([18]firmas!$C$33:$C$35,MATCH('[18]TERRONES DE ARCILLA'!$I$27:$K$27,[18]firmas!$A$33:$A$35,0))</definedName>
    <definedName name="aprobofirmas9" localSheetId="11">INDEX([18]firmas!$C$33:$C$35,MATCH('[18]TERRONES DE ARCILLA'!$I$27:$K$27,[18]firmas!$A$33:$A$35,0))</definedName>
    <definedName name="aprobofirmas9" localSheetId="13">INDEX([21]firmas!$C$33:$C$35,MATCH('[21]TERRONES DE ARCILLA'!$I$27:$K$27,[21]firmas!$A$33:$A$35,0))</definedName>
    <definedName name="aprobofirmas9" localSheetId="14">INDEX(#REF!,MATCH(#REF!,#REF!,0))</definedName>
    <definedName name="aprobofirmas9" localSheetId="3">INDEX([16]firmas!$C$33:$C$35,MATCH(#REF!,[16]firmas!$A$33:$A$35,0))</definedName>
    <definedName name="aprobofirmas9" localSheetId="9">INDEX([18]firmas!$C$33:$C$35,MATCH('[18]TERRONES DE ARCILLA'!$I$27:$K$27,[18]firmas!$A$33:$A$35,0))</definedName>
    <definedName name="aprobofirmas9" localSheetId="15">INDEX(#REF!,MATCH(#REF!,#REF!,0))</definedName>
    <definedName name="aprobofirmas9" localSheetId="1">INDEX(#REF!,MATCH(#REF!,#REF!,0))</definedName>
    <definedName name="aprobofirmas9" localSheetId="12">INDEX([9]firmas!$C$33:$C$35,MATCH('[9]TERRONES DE ARCILLA'!$I$27:$K$27,[9]firmas!$A$33:$A$35,0))</definedName>
    <definedName name="aprobofirmas9" localSheetId="6">INDEX([9]firmas!$C$33:$C$35,MATCH('TERRONES DE ARCILLA (2)'!#REF!,[9]firmas!$A$33:$A$35,0))</definedName>
    <definedName name="aprobofirmas9">INDEX(#REF!,MATCH(#REF!,#REF!,0))</definedName>
    <definedName name="aprobofirmasD" localSheetId="0">INDEX([26]firmas!$C$33:$C$35,MATCH('[26]Desgaste '!$T$36:$Z$36,[26]firmas!$A$33:$A$35,0))</definedName>
    <definedName name="aprobofirmasD" localSheetId="4">INDEX(#REF!,MATCH(#REF!,#REF!,0))</definedName>
    <definedName name="aprobofirmasD" localSheetId="5">INDEX([27]firmas!$C$33:$C$35,MATCH('[27]Desgaste '!$T$36:$Z$36,[27]firmas!$A$33:$A$35,0))</definedName>
    <definedName name="aprobofirmasD" localSheetId="3">INDEX([27]firmas!$C$33:$C$35,MATCH('[27]Desgaste '!$T$36:$Z$36,[27]firmas!$A$33:$A$35,0))</definedName>
    <definedName name="aprobofirmasD">INDEX([27]firmas!$C$33:$C$35,MATCH('[27]Desgaste '!$T$36:$Z$36,[27]firmas!$A$33:$A$35,0))</definedName>
    <definedName name="aprobofirmasea" localSheetId="5">INDEX(#REF!,MATCH('7. E.A. M1'!#REF!,#REF!,0))</definedName>
    <definedName name="aprobofirmasI" localSheetId="14">INDEX(#REF!,MATCH('INV 223-13 '!#REF!,#REF!,0))</definedName>
    <definedName name="aprobofirmasL" localSheetId="3">INDEX([28]firmas!$C$33:$C$35,MATCH('Lavado tamiz N°200 '!#REF!,[28]firmas!$A$33:$A$35,0))</definedName>
    <definedName name="aprobofirmasMO" localSheetId="0">INDEX([9]firmas!$C$33:$C$35,MATCH([9]COLORIMETRIA!$J$31,[9]firmas!$A$33:$A$35,0))</definedName>
    <definedName name="aprobofirmasMO" localSheetId="5">INDEX(#REF!,MATCH(#REF!,#REF!,0))</definedName>
    <definedName name="aprobofirmasMO" localSheetId="13">INDEX(#REF!,MATCH(#REF!,#REF!,0))</definedName>
    <definedName name="aprobofirmasMO" localSheetId="14">INDEX([16]firmas!$C$33:$C$35,MATCH([16]COLORIMETRIA!$J$31,[16]firmas!$A$33:$A$35,0))</definedName>
    <definedName name="aprobofirmasMO" localSheetId="3">INDEX([16]firmas!$C$33:$C$35,MATCH(#REF!,[16]firmas!$A$33:$A$35,0))</definedName>
    <definedName name="aprobofirmasMO" localSheetId="1">INDEX([16]firmas!$C$33:$C$35,MATCH([16]COLORIMETRIA!$J$31,[16]firmas!$A$33:$A$35,0))</definedName>
    <definedName name="aprobofirmasMO" localSheetId="12">INDEX([9]firmas!$C$33:$C$35,MATCH([9]COLORIMETRIA!$J$31,[9]firmas!$A$33:$A$35,0))</definedName>
    <definedName name="aprobofirmasMO" localSheetId="6">INDEX([9]firmas!$C$33:$C$35,MATCH(#REF!,[9]firmas!$A$33:$A$35,0))</definedName>
    <definedName name="aprobofirmasMO">INDEX(#REF!,MATCH(#REF!,#REF!,0))</definedName>
    <definedName name="AproboMO_M2" localSheetId="0">INDEX([15]firmas!$C$31:$C$33,MATCH('[15]M.O.  M2'!$I$29:$O$29,[15]firmas!$A$31:$A$33,0))</definedName>
    <definedName name="AproboMO_M2">INDEX([29]firmas!$C$31:$C$33,MATCH('[29]M.O.  M2'!$I$29:$O$29,[29]firmas!$A$31:$A$33,0))</definedName>
    <definedName name="AproboMO_M3" localSheetId="0">INDEX([15]firmas!$C$31:$C$33,MATCH('[15]M.O.  M3'!$I$29:$O$29,[15]firmas!$A$31:$A$33,0))</definedName>
    <definedName name="AproboMO_M3">INDEX([29]firmas!$C$31:$C$33,MATCH('[29]M.O.  M3'!$I$29:$O$29,[29]firmas!$A$31:$A$33,0))</definedName>
    <definedName name="aprobonombres" localSheetId="0">[17]firmas!$A$33:$A$35</definedName>
    <definedName name="aprobonombres" localSheetId="10">[18]firmas!$A$33:$A$35</definedName>
    <definedName name="aprobonombres" localSheetId="4">#REF!</definedName>
    <definedName name="aprobonombres" localSheetId="5">#REF!</definedName>
    <definedName name="aprobonombres" localSheetId="8">[9]firmas!$A$33:$A$35</definedName>
    <definedName name="aprobonombres" localSheetId="7">[18]firmas!$A$33:$A$35</definedName>
    <definedName name="aprobonombres" localSheetId="11">[18]firmas!$A$33:$A$35</definedName>
    <definedName name="aprobonombres" localSheetId="13">[30]firmas!$A$33:$A$35</definedName>
    <definedName name="aprobonombres" localSheetId="14">[31]firmas!$A$33:$A$35</definedName>
    <definedName name="aprobonombres" localSheetId="3">[32]firmas!$A$33:$A$35</definedName>
    <definedName name="aprobonombres" localSheetId="9">[18]firmas!$A$33:$A$35</definedName>
    <definedName name="aprobonombres" localSheetId="15">#REF!</definedName>
    <definedName name="aprobonombres" localSheetId="12">[9]firmas!$A$33:$A$35</definedName>
    <definedName name="aprobonombres" localSheetId="6">[9]firmas!$A$33:$A$35</definedName>
    <definedName name="aprobonombres">#REF!</definedName>
    <definedName name="_xlnm.Print_Area" localSheetId="17">' CBR (2)'!$A$1:$H$55</definedName>
    <definedName name="_xlnm.Print_Area" localSheetId="16">' CBR 1'!$A$1:$G$52</definedName>
    <definedName name="_xlnm.Print_Area" localSheetId="0">'1. Encabezado'!$A$1:$Z$48</definedName>
    <definedName name="_xlnm.Print_Area" localSheetId="10">'10% De Finos (2)'!$A$1:$L$29</definedName>
    <definedName name="_xlnm.Print_Area" localSheetId="4">'5. Limites M1'!$A$1:$X$48</definedName>
    <definedName name="_xlnm.Print_Area" localSheetId="5">'7. E.A. M1'!$A$1:$K$36</definedName>
    <definedName name="_xlnm.Print_Area" localSheetId="8">ANGULARIDAD!$A$1:$AU$38</definedName>
    <definedName name="_xlnm.Print_Area" localSheetId="7">'CF - IF '!$A$1:$AH$49</definedName>
    <definedName name="_xlnm.Print_Area" localSheetId="11">Desgaste!$A$1:$Z$42</definedName>
    <definedName name="_xlnm.Print_Area" localSheetId="2">'Gradacion '!$A$1:$AN$50</definedName>
    <definedName name="_xlnm.Print_Area" localSheetId="13">'INV 222-13 '!$A$1:$AI$48</definedName>
    <definedName name="_xlnm.Print_Area" localSheetId="14">'INV 223-13 '!$A$1:$AG$48</definedName>
    <definedName name="_xlnm.Print_Area" localSheetId="3">'Lavado tamiz N°200 '!$A$1:$K$30</definedName>
    <definedName name="_xlnm.Print_Area" localSheetId="9">'Microdeval '!$A$1:$AJ$51</definedName>
    <definedName name="_xlnm.Print_Area" localSheetId="15">PROCTOR!$A$1:$K$45</definedName>
    <definedName name="_xlnm.Print_Area" localSheetId="1">'RESUMEN BG'!$A$1:$X$43</definedName>
    <definedName name="_xlnm.Print_Area" localSheetId="12">Solidez!$A$1:$AI$51</definedName>
    <definedName name="_xlnm.Print_Area" localSheetId="6">'TERRONES DE ARCILLA (2)'!$A$1:$M$36</definedName>
    <definedName name="ELABORA_A" localSheetId="8">INDEX([9]firmas!$C$2:$C$26,MATCH(ANGULARIDAD!#REF!,[9]firmas!$A$2:$A$26,0))</definedName>
    <definedName name="ELABORA_A" localSheetId="3">INDEX([12]firmas!$C$2:$C$26,MATCH([12]ANGULARIDAD!$L$29,[12]firmas!$A$2:$A$26,0))</definedName>
    <definedName name="ELABORA_A">INDEX([12]firmas!$C$2:$C$26,MATCH([12]ANGULARIDAD!$L$29,[12]firmas!$A$2:$A$26,0))</definedName>
    <definedName name="Elaboro_firmas" localSheetId="13">INDEX([13]firmas!$C$2:$C$32,MATCH('[13]Formato '!#REF!,[13]firmas!$A$2:$A$32,0))</definedName>
    <definedName name="Elaboro_firmas" localSheetId="14">INDEX([13]firmas!$C$2:$C$32,MATCH('[13]Formato '!#REF!,[13]firmas!$A$2:$A$32,0))</definedName>
    <definedName name="Elaboro_firmas" localSheetId="6">INDEX([13]firmas!$C$2:$C$32,MATCH('[13]Formato '!#REF!,[13]firmas!$A$2:$A$32,0))</definedName>
    <definedName name="Elaboro_firmas">INDEX([13]firmas!$C$2:$C$32,MATCH('[13]Formato '!#REF!,[13]firmas!$A$2:$A$32,0))</definedName>
    <definedName name="elaborocargo" localSheetId="0">[17]firmas!$B$11:$B$13</definedName>
    <definedName name="elaborocargo" localSheetId="10">[31]firmas!$B$11:$B$13</definedName>
    <definedName name="elaborocargo" localSheetId="5">[33]firmas!$B$11:$B$13</definedName>
    <definedName name="elaborocargo" localSheetId="8">[34]firmas!$B$11:$B$13</definedName>
    <definedName name="elaborocargo" localSheetId="7">[31]firmas!$B$11:$B$13</definedName>
    <definedName name="elaborocargo" localSheetId="11">[31]firmas!$B$11:$B$13</definedName>
    <definedName name="elaborocargo" localSheetId="13">[30]firmas!$B$11:$B$13</definedName>
    <definedName name="elaborocargo" localSheetId="14">[31]firmas!$B$11:$B$13</definedName>
    <definedName name="elaborocargo" localSheetId="3">[32]firmas!$B$11:$B$13</definedName>
    <definedName name="elaborocargo" localSheetId="9">[31]firmas!$B$11:$B$13</definedName>
    <definedName name="elaborocargo" localSheetId="1">[31]firmas!$B$11:$B$13</definedName>
    <definedName name="elaborocargo">[33]firmas!$B$11:$B$13</definedName>
    <definedName name="elaborofirmas1" localSheetId="0">INDEX([17]firmas!$C$2:$C$26,MATCH('[17]REG FOTOGRAFICO'!$F$55:$I$55,[17]firmas!$A$2:$A$26,0))</definedName>
    <definedName name="elaborofirmas1" localSheetId="10">INDEX([18]firmas!$C$2:$C$26,MATCH('[18]RESUMEN '!$G$45:$O$45,[18]firmas!$A$2:$A$26,0))</definedName>
    <definedName name="elaborofirmas1" localSheetId="4">INDEX(#REF!,MATCH(#REF!,#REF!,0))</definedName>
    <definedName name="elaborofirmas1" localSheetId="5">INDEX(#REF!,MATCH(#REF!,#REF!,0))</definedName>
    <definedName name="elaborofirmas1" localSheetId="8">INDEX([9]firmas!$C$2:$C$26,MATCH('[9]RESUMEN '!$G$46:$O$46,[9]firmas!$A$2:$A$26,0))</definedName>
    <definedName name="elaborofirmas1" localSheetId="7">INDEX([18]firmas!$C$2:$C$26,MATCH('[18]RESUMEN '!$G$45:$O$45,[18]firmas!$A$2:$A$26,0))</definedName>
    <definedName name="elaborofirmas1" localSheetId="11">INDEX([18]firmas!$C$2:$C$26,MATCH('[18]RESUMEN '!$G$45:$O$45,[18]firmas!$A$2:$A$26,0))</definedName>
    <definedName name="elaborofirmas1" localSheetId="13">INDEX([12]firmas!$C$2:$C$26,MATCH('[12]RESUMEN '!$G$46:$O$46,[12]firmas!$A$2:$A$26,0))</definedName>
    <definedName name="elaborofirmas1" localSheetId="14">INDEX(#REF!,MATCH(#REF!,#REF!,0))</definedName>
    <definedName name="elaborofirmas1" localSheetId="3">INDEX([16]firmas!$C$2:$C$26,MATCH('[16]RESUMEN '!$G$50:$O$50,[16]firmas!$A$2:$A$26,0))</definedName>
    <definedName name="elaborofirmas1" localSheetId="9">INDEX([18]firmas!$C$2:$C$26,MATCH('[18]RESUMEN '!$G$45:$O$45,[18]firmas!$A$2:$A$26,0))</definedName>
    <definedName name="elaborofirmas1" localSheetId="15">INDEX(#REF!,MATCH(#REF!,#REF!,0))</definedName>
    <definedName name="elaborofirmas1" localSheetId="1">INDEX(#REF!,MATCH('RESUMEN BG'!#REF!,#REF!,0))</definedName>
    <definedName name="elaborofirmas1" localSheetId="12">INDEX([9]firmas!$C$2:$C$26,MATCH('[9]RESUMEN '!$G$50:$O$50,[9]firmas!$A$2:$A$26,0))</definedName>
    <definedName name="elaborofirmas1" localSheetId="6">INDEX([9]firmas!$C$2:$C$26,MATCH('[9]RESUMEN '!$G$50:$O$50,[9]firmas!$A$2:$A$26,0))</definedName>
    <definedName name="elaborofirmas1">INDEX(#REF!,MATCH(#REF!,#REF!,0))</definedName>
    <definedName name="elaborofirmas10" localSheetId="0">INDEX([20]firmas!$C$2:$C$26,MATCH('[20]CF - IF '!$G$43,[20]firmas!$A$2:$A$26,0))</definedName>
    <definedName name="elaborofirmas10" localSheetId="10">INDEX([18]firmas!$C$2:$C$26,MATCH(#REF!,[18]firmas!$A$2:$A$26,0))</definedName>
    <definedName name="elaborofirmas10" localSheetId="4">INDEX(#REF!,MATCH(#REF!,#REF!,0))</definedName>
    <definedName name="elaborofirmas10" localSheetId="5">INDEX(#REF!,MATCH(#REF!,#REF!,0))</definedName>
    <definedName name="elaborofirmas10" localSheetId="8">INDEX([9]firmas!$C$2:$C$26,MATCH('[9]CF - IF '!$G$43,[9]firmas!$A$2:$A$26,0))</definedName>
    <definedName name="elaborofirmas10" localSheetId="7">INDEX([18]firmas!$C$2:$C$26,MATCH('CF - IF '!#REF!,[18]firmas!$A$2:$A$26,0))</definedName>
    <definedName name="elaborofirmas10" localSheetId="11">INDEX([18]firmas!$C$2:$C$26,MATCH(#REF!,[18]firmas!$A$2:$A$26,0))</definedName>
    <definedName name="elaborofirmas10" localSheetId="13">INDEX([21]firmas!$C$2:$C$26,MATCH('[21]CF - IF '!$G$43,[21]firmas!$A$2:$A$26,0))</definedName>
    <definedName name="elaborofirmas10" localSheetId="14">INDEX(#REF!,MATCH(#REF!,#REF!,0))</definedName>
    <definedName name="elaborofirmas10" localSheetId="3">INDEX([16]firmas!$C$2:$C$26,MATCH([16]EQUIVALENTE!$D$29,[16]firmas!$A$2:$A$26,0))</definedName>
    <definedName name="elaborofirmas10" localSheetId="9">INDEX([18]firmas!$C$2:$C$26,MATCH(#REF!,[18]firmas!$A$2:$A$26,0))</definedName>
    <definedName name="elaborofirmas10" localSheetId="15">INDEX(#REF!,MATCH('[22]CF - IF '!$G$43,#REF!,0))</definedName>
    <definedName name="elaborofirmas10" localSheetId="1">INDEX(#REF!,MATCH('[23]CF - IF '!$G$43,#REF!,0))</definedName>
    <definedName name="elaborofirmas10" localSheetId="12">INDEX([9]firmas!$C$2:$C$26,MATCH([9]EQUIVALENTE!$D$29,[9]firmas!$A$2:$A$26,0))</definedName>
    <definedName name="elaborofirmas10" localSheetId="6">INDEX([9]firmas!$C$2:$C$26,MATCH(#REF!,[9]firmas!$A$2:$A$26,0))</definedName>
    <definedName name="elaborofirmas10">INDEX(#REF!,MATCH(#REF!,#REF!,0))</definedName>
    <definedName name="elaborofirmas11" localSheetId="0">INDEX([20]firmas!$C$2:$C$26,MATCH([20]ANGULARIDAD!$L$29,[20]firmas!$A$2:$A$26,0))</definedName>
    <definedName name="elaborofirmas11" localSheetId="10">INDEX([18]firmas!$C$2:$C$26,MATCH([18]ANGULARIDAD!$L$29,[18]firmas!$A$2:$A$26,0))</definedName>
    <definedName name="elaborofirmas11" localSheetId="4">INDEX(#REF!,MATCH(#REF!,#REF!,0))</definedName>
    <definedName name="elaborofirmas11" localSheetId="5">INDEX(#REF!,MATCH(#REF!,#REF!,0))</definedName>
    <definedName name="elaborofirmas11" localSheetId="8">INDEX([9]firmas!$C$2:$C$26,MATCH([9]A!$L$29,[9]firmas!$A$2:$A$26,0))</definedName>
    <definedName name="elaborofirmas11" localSheetId="7">INDEX([18]firmas!$C$2:$C$26,MATCH([18]ANGULARIDAD!$L$29,[18]firmas!$A$2:$A$26,0))</definedName>
    <definedName name="elaborofirmas11" localSheetId="11">INDEX([18]firmas!$C$2:$C$26,MATCH([18]ANGULARIDAD!$L$29,[18]firmas!$A$2:$A$26,0))</definedName>
    <definedName name="elaborofirmas11" localSheetId="13">INDEX([21]firmas!$C$2:$C$26,MATCH([21]ANGULARIDAD!$L$29,[21]firmas!$A$2:$A$26,0))</definedName>
    <definedName name="elaborofirmas11" localSheetId="14">INDEX(#REF!,MATCH(#REF!,#REF!,0))</definedName>
    <definedName name="elaborofirmas11" localSheetId="3">INDEX([16]firmas!$C$2:$C$26,MATCH(#REF!,[16]firmas!$A$2:$A$26,0))</definedName>
    <definedName name="elaborofirmas11" localSheetId="9">INDEX([18]firmas!$C$2:$C$26,MATCH([18]ANGULARIDAD!$L$29,[18]firmas!$A$2:$A$26,0))</definedName>
    <definedName name="elaborofirmas11" localSheetId="15">INDEX(#REF!,MATCH([22]ANGULARIDAD!$L$29,#REF!,0))</definedName>
    <definedName name="elaborofirmas11" localSheetId="1">INDEX(#REF!,MATCH([23]ANGULARIDAD!$L$29,#REF!,0))</definedName>
    <definedName name="elaborofirmas11" localSheetId="12">INDEX([9]firmas!$C$2:$C$26,MATCH([9]ANGULARIDAD!$L$29,[9]firmas!$A$2:$A$26,0))</definedName>
    <definedName name="elaborofirmas11" localSheetId="6">INDEX([9]firmas!$C$2:$C$26,MATCH([9]ANGULARIDAD!$L$29,[9]firmas!$A$2:$A$26,0))</definedName>
    <definedName name="elaborofirmas11">INDEX(#REF!,MATCH(#REF!,#REF!,0))</definedName>
    <definedName name="elaborofirmas12" localSheetId="0">INDEX([20]firmas!$C$2:$C$26,MATCH([20]PROCTOR!$C$42,[20]firmas!$A$2:$A$26,0))</definedName>
    <definedName name="elaborofirmas12" localSheetId="10">INDEX([18]firmas!$C$2:$C$26,MATCH([18]PROCTOR!$C$42,[18]firmas!$A$2:$A$26,0))</definedName>
    <definedName name="elaborofirmas12" localSheetId="4">INDEX(#REF!,MATCH(#REF!,#REF!,0))</definedName>
    <definedName name="elaborofirmas12" localSheetId="5">INDEX(#REF!,MATCH(#REF!,#REF!,0))</definedName>
    <definedName name="elaborofirmas12" localSheetId="8">INDEX([9]firmas!$C$2:$C$26,MATCH([9]PROCTOR!$C$42,[9]firmas!$A$2:$A$26,0))</definedName>
    <definedName name="elaborofirmas12" localSheetId="7">INDEX([18]firmas!$C$2:$C$26,MATCH([18]PROCTOR!$C$42,[18]firmas!$A$2:$A$26,0))</definedName>
    <definedName name="elaborofirmas12" localSheetId="11">INDEX([18]firmas!$C$2:$C$26,MATCH([18]PROCTOR!$C$42,[18]firmas!$A$2:$A$26,0))</definedName>
    <definedName name="elaborofirmas12" localSheetId="13">INDEX([21]firmas!$C$2:$C$26,MATCH([21]PROCTOR!$C$42,[21]firmas!$A$2:$A$26,0))</definedName>
    <definedName name="elaborofirmas12" localSheetId="14">INDEX(#REF!,MATCH(#REF!,#REF!,0))</definedName>
    <definedName name="elaborofirmas12" localSheetId="3">INDEX([16]firmas!$C$2:$C$26,MATCH([16]PROCTOR!$C$42,[16]firmas!$A$2:$A$26,0))</definedName>
    <definedName name="elaborofirmas12" localSheetId="9">INDEX([18]firmas!$C$2:$C$26,MATCH([18]PROCTOR!$C$42,[18]firmas!$A$2:$A$26,0))</definedName>
    <definedName name="elaborofirmas12" localSheetId="15">INDEX(#REF!,MATCH(PROCTOR!#REF!,#REF!,0))</definedName>
    <definedName name="elaborofirmas12" localSheetId="1">INDEX(#REF!,MATCH([23]PROCTOR!$C$42,#REF!,0))</definedName>
    <definedName name="elaborofirmas12" localSheetId="12">INDEX([9]firmas!$C$2:$C$26,MATCH([9]PROCTOR!$C$42,[9]firmas!$A$2:$A$26,0))</definedName>
    <definedName name="elaborofirmas12" localSheetId="6">INDEX([9]firmas!$C$2:$C$26,MATCH([9]PROCTOR!$C$42,[9]firmas!$A$2:$A$26,0))</definedName>
    <definedName name="elaborofirmas12">INDEX(#REF!,MATCH(#REF!,#REF!,0))</definedName>
    <definedName name="elaborofirmas13" localSheetId="0">INDEX([20]firmas!$C$2:$C$26,MATCH('[20] CBR 1'!$AL$55:$AM$55,[20]firmas!$A$2:$A$26,0))</definedName>
    <definedName name="elaborofirmas13" localSheetId="10">INDEX([18]firmas!$C$2:$C$26,MATCH('[18] CBR 1'!$AL$55:$AM$55,[18]firmas!$A$2:$A$26,0))</definedName>
    <definedName name="elaborofirmas13" localSheetId="4">INDEX(#REF!,MATCH(#REF!,#REF!,0))</definedName>
    <definedName name="elaborofirmas13" localSheetId="5">INDEX(#REF!,MATCH(#REF!,#REF!,0))</definedName>
    <definedName name="elaborofirmas13" localSheetId="8">INDEX([9]firmas!$C$2:$C$26,MATCH('[9] CBR 1'!$AL$55:$AM$55,[9]firmas!$A$2:$A$26,0))</definedName>
    <definedName name="elaborofirmas13" localSheetId="7">INDEX([18]firmas!$C$2:$C$26,MATCH('[18] CBR 1'!$AL$55:$AM$55,[18]firmas!$A$2:$A$26,0))</definedName>
    <definedName name="elaborofirmas13" localSheetId="11">INDEX([18]firmas!$C$2:$C$26,MATCH('[18] CBR 1'!$AL$55:$AM$55,[18]firmas!$A$2:$A$26,0))</definedName>
    <definedName name="elaborofirmas13" localSheetId="13">INDEX([21]firmas!$C$2:$C$26,MATCH('[21] CBR 1'!$AL$55:$AM$55,[21]firmas!$A$2:$A$26,0))</definedName>
    <definedName name="elaborofirmas13" localSheetId="14">INDEX(#REF!,MATCH(#REF!,#REF!,0))</definedName>
    <definedName name="elaborofirmas13" localSheetId="3">INDEX([16]firmas!$C$2:$C$26,MATCH('[16] CBR 1'!$AL$55:$AM$55,[16]firmas!$A$2:$A$26,0))</definedName>
    <definedName name="elaborofirmas13" localSheetId="9">INDEX([18]firmas!$C$2:$C$26,MATCH('[18] CBR 1'!$AL$55:$AM$55,[18]firmas!$A$2:$A$26,0))</definedName>
    <definedName name="elaborofirmas13" localSheetId="15">INDEX(#REF!,MATCH('[22] CBR 1'!$AL$55:$AM$55,#REF!,0))</definedName>
    <definedName name="elaborofirmas13" localSheetId="1">INDEX(#REF!,MATCH('[23] CBR 1'!$AL$117:$AM$117,#REF!,0))</definedName>
    <definedName name="elaborofirmas13" localSheetId="12">INDEX([9]firmas!$C$2:$C$26,MATCH('[9] CBR 1'!$AL$55:$AM$55,[9]firmas!$A$2:$A$26,0))</definedName>
    <definedName name="elaborofirmas13" localSheetId="6">INDEX([9]firmas!$C$2:$C$26,MATCH('[9] CBR 1'!$AL$55:$AM$55,[9]firmas!$A$2:$A$26,0))</definedName>
    <definedName name="elaborofirmas13">INDEX(#REF!,MATCH(#REF!,#REF!,0))</definedName>
    <definedName name="elaborofirmas14" localSheetId="0">INDEX([20]firmas!$C$2:$C$26,MATCH('[20] CBR (2)'!$C$55,[20]firmas!$A$2:$A$26,0))</definedName>
    <definedName name="elaborofirmas14" localSheetId="10">INDEX([18]firmas!$C$2:$C$26,MATCH('[18] CBR (2)'!$C$55,[18]firmas!$A$2:$A$26,0))</definedName>
    <definedName name="elaborofirmas14" localSheetId="4">INDEX(#REF!,MATCH(#REF!,#REF!,0))</definedName>
    <definedName name="elaborofirmas14" localSheetId="5">INDEX(#REF!,MATCH(#REF!,#REF!,0))</definedName>
    <definedName name="elaborofirmas14" localSheetId="8">INDEX([9]firmas!$C$2:$C$26,MATCH('[9] CBR (2)'!$C$55,[9]firmas!$A$2:$A$26,0))</definedName>
    <definedName name="elaborofirmas14" localSheetId="7">INDEX([18]firmas!$C$2:$C$26,MATCH('[18] CBR (2)'!$C$55,[18]firmas!$A$2:$A$26,0))</definedName>
    <definedName name="elaborofirmas14" localSheetId="11">INDEX([18]firmas!$C$2:$C$26,MATCH('[18] CBR (2)'!$C$55,[18]firmas!$A$2:$A$26,0))</definedName>
    <definedName name="elaborofirmas14" localSheetId="13">INDEX([21]firmas!$C$2:$C$26,MATCH('[21] CBR (2)'!$C$55,[21]firmas!$A$2:$A$26,0))</definedName>
    <definedName name="elaborofirmas14" localSheetId="14">INDEX(#REF!,MATCH(#REF!,#REF!,0))</definedName>
    <definedName name="elaborofirmas14" localSheetId="3">INDEX([16]firmas!$C$2:$C$26,MATCH('[16] CBR (2)'!$C$55,[16]firmas!$A$2:$A$26,0))</definedName>
    <definedName name="elaborofirmas14" localSheetId="9">INDEX([18]firmas!$C$2:$C$26,MATCH('[18] CBR (2)'!$C$55,[18]firmas!$A$2:$A$26,0))</definedName>
    <definedName name="elaborofirmas14" localSheetId="15">INDEX(#REF!,MATCH('[22] CBR (2)'!$C$55,#REF!,0))</definedName>
    <definedName name="elaborofirmas14" localSheetId="1">INDEX(#REF!,MATCH('[23] CBR (2)'!$C$55,#REF!,0))</definedName>
    <definedName name="elaborofirmas14" localSheetId="12">INDEX([9]firmas!$C$2:$C$26,MATCH('[9] CBR (2)'!$C$55,[9]firmas!$A$2:$A$26,0))</definedName>
    <definedName name="elaborofirmas14" localSheetId="6">INDEX([9]firmas!$C$2:$C$26,MATCH('[9] CBR (2)'!$C$55,[9]firmas!$A$2:$A$26,0))</definedName>
    <definedName name="elaborofirmas14">INDEX(#REF!,MATCH(#REF!,#REF!,0))</definedName>
    <definedName name="elaborofirmas2" localSheetId="0">INDEX([17]firmas!$C$2:$C$26,MATCH('[17]CONO DINAMICO'!$C$57:$F$57,[17]firmas!$A$2:$A$26,0))</definedName>
    <definedName name="elaborofirmas2" localSheetId="10">INDEX([18]firmas!$C$2:$C$26,MATCH(#REF!,[18]firmas!$A$2:$A$26,0))</definedName>
    <definedName name="elaborofirmas2" localSheetId="4">INDEX(#REF!,MATCH(#REF!,#REF!,0))</definedName>
    <definedName name="elaborofirmas2" localSheetId="5">INDEX(#REF!,MATCH(#REF!,#REF!,0))</definedName>
    <definedName name="elaborofirmas2" localSheetId="8">INDEX([9]firmas!$C$2:$C$26,MATCH('[9]Gradacion '!$I$46,[9]firmas!$A$2:$A$26,0))</definedName>
    <definedName name="elaborofirmas2" localSheetId="7">INDEX([18]firmas!$C$2:$C$26,MATCH(#REF!,[18]firmas!$A$2:$A$26,0))</definedName>
    <definedName name="elaborofirmas2" localSheetId="11">INDEX([18]firmas!$C$2:$C$26,MATCH(#REF!,[18]firmas!$A$2:$A$26,0))</definedName>
    <definedName name="elaborofirmas2" localSheetId="2">INDEX(#REF!,MATCH('Gradacion '!#REF!,#REF!,0))</definedName>
    <definedName name="elaborofirmas2" localSheetId="13">INDEX([12]firmas!$C$2:$C$26,MATCH(#REF!,[12]firmas!$A$2:$A$26,0))</definedName>
    <definedName name="elaborofirmas2" localSheetId="14">INDEX(#REF!,MATCH(#REF!,#REF!,0))</definedName>
    <definedName name="elaborofirmas2" localSheetId="3">INDEX([16]firmas!$C$2:$C$26,MATCH(#REF!,[16]firmas!$A$2:$A$26,0))</definedName>
    <definedName name="elaborofirmas2" localSheetId="9">INDEX([18]firmas!$C$2:$C$26,MATCH(#REF!,[18]firmas!$A$2:$A$26,0))</definedName>
    <definedName name="elaborofirmas2" localSheetId="15">INDEX(#REF!,MATCH('[22]Gradacion '!$I$46:$P$46,#REF!,0))</definedName>
    <definedName name="elaborofirmas2" localSheetId="1">INDEX(#REF!,MATCH(#REF!,#REF!,0))</definedName>
    <definedName name="elaborofirmas2" localSheetId="12">INDEX([9]firmas!$C$2:$C$26,MATCH('[9]Gradacion '!$I$46:$P$46,[9]firmas!$A$2:$A$26,0))</definedName>
    <definedName name="elaborofirmas2" localSheetId="6">INDEX([9]firmas!$C$2:$C$26,MATCH(#REF!,[9]firmas!$A$2:$A$26,0))</definedName>
    <definedName name="elaborofirmas2">INDEX(#REF!,MATCH(#REF!,#REF!,0))</definedName>
    <definedName name="elaborofirmas3" localSheetId="0">INDEX([17]firmas!$C$2:$C$26,MATCH('[24]CLASIFICACION M1'!$E$61:$I$61,[17]firmas!$A$2:$A$26,0))</definedName>
    <definedName name="elaborofirmas3" localSheetId="10">INDEX([18]firmas!$C$2:$C$26,MATCH(#REF!,[18]firmas!$A$2:$A$26,0))</definedName>
    <definedName name="elaborofirmas3" localSheetId="4">INDEX(#REF!,MATCH(#REF!,#REF!,0))</definedName>
    <definedName name="elaborofirmas3" localSheetId="5">INDEX(#REF!,MATCH(#REF!,#REF!,0))</definedName>
    <definedName name="elaborofirmas3" localSheetId="8">INDEX([9]firmas!$C$2:$C$26,MATCH([9]Desgaste!$F$38,[9]firmas!$A$2:$A$26,0))</definedName>
    <definedName name="elaborofirmas3" localSheetId="7">INDEX([18]firmas!$C$2:$C$26,MATCH(#REF!,[18]firmas!$A$2:$A$26,0))</definedName>
    <definedName name="elaborofirmas3" localSheetId="11">INDEX([18]firmas!$C$2:$C$26,MATCH(Desgaste!#REF!,[18]firmas!$A$2:$A$26,0))</definedName>
    <definedName name="elaborofirmas3" localSheetId="13">INDEX([21]firmas!$C$2:$C$26,MATCH([21]Desgaste!$F$38,[21]firmas!$A$2:$A$26,0))</definedName>
    <definedName name="elaborofirmas3" localSheetId="14">INDEX(#REF!,MATCH(#REF!,#REF!,0))</definedName>
    <definedName name="elaborofirmas3" localSheetId="3">INDEX([16]firmas!$C$2:$C$26,MATCH([16]Desgaste!$F$38,[16]firmas!$A$2:$A$26,0))</definedName>
    <definedName name="elaborofirmas3" localSheetId="9">INDEX([18]firmas!$C$2:$C$26,MATCH(#REF!,[18]firmas!$A$2:$A$26,0))</definedName>
    <definedName name="elaborofirmas3" localSheetId="15">INDEX(#REF!,MATCH(#REF!,#REF!,0))</definedName>
    <definedName name="elaborofirmas3" localSheetId="1">INDEX(#REF!,MATCH(#REF!,#REF!,0))</definedName>
    <definedName name="elaborofirmas3" localSheetId="12">INDEX([9]firmas!$C$2:$C$26,MATCH([9]Desgaste!$F$38,[9]firmas!$A$2:$A$26,0))</definedName>
    <definedName name="elaborofirmas3" localSheetId="6">INDEX([9]firmas!$C$2:$C$26,MATCH([9]Desgaste!$F$38,[9]firmas!$A$2:$A$26,0))</definedName>
    <definedName name="elaborofirmas3">INDEX(#REF!,MATCH(#REF!,#REF!,0))</definedName>
    <definedName name="elaborofirmas4" localSheetId="0">INDEX([17]firmas!$C$2:$C$26,MATCH(#REF!,[17]firmas!$A$2:$A$26,0))</definedName>
    <definedName name="elaborofirmas4" localSheetId="10">INDEX([18]firmas!$C$2:$C$26,MATCH('[18]Microdeval '!$I$44,[18]firmas!$A$2:$A$26,0))</definedName>
    <definedName name="elaborofirmas4" localSheetId="4">INDEX(#REF!,MATCH(#REF!,#REF!,0))</definedName>
    <definedName name="elaborofirmas4" localSheetId="5">INDEX(#REF!,MATCH(#REF!,#REF!,0))</definedName>
    <definedName name="elaborofirmas4" localSheetId="8">INDEX([9]firmas!$C$2:$C$26,MATCH('[9]Microdeval '!$I$44,[9]firmas!$A$2:$A$26,0))</definedName>
    <definedName name="elaborofirmas4" localSheetId="7">INDEX([18]firmas!$C$2:$C$26,MATCH('[18]Microdeval '!$I$44,[18]firmas!$A$2:$A$26,0))</definedName>
    <definedName name="elaborofirmas4" localSheetId="11">INDEX([18]firmas!$C$2:$C$26,MATCH('[18]Microdeval '!$I$44,[18]firmas!$A$2:$A$26,0))</definedName>
    <definedName name="elaborofirmas4" localSheetId="13">INDEX([21]firmas!$C$2:$C$26,MATCH('[21]Microdeval '!$I$44,[21]firmas!$A$2:$A$26,0))</definedName>
    <definedName name="elaborofirmas4" localSheetId="14">INDEX(#REF!,MATCH(#REF!,#REF!,0))</definedName>
    <definedName name="elaborofirmas4" localSheetId="3">INDEX([16]firmas!$C$2:$C$26,MATCH('[16]Microdeval '!$I$44,[16]firmas!$A$2:$A$26,0))</definedName>
    <definedName name="elaborofirmas4" localSheetId="9">INDEX([18]firmas!$C$2:$C$26,MATCH('Microdeval '!#REF!,[18]firmas!$A$2:$A$26,0))</definedName>
    <definedName name="elaborofirmas4" localSheetId="15">INDEX(#REF!,MATCH('[22]Microdeval '!$I$44,#REF!,0))</definedName>
    <definedName name="elaborofirmas4" localSheetId="1">INDEX(#REF!,MATCH('[23]Microdeval '!$I$44,#REF!,0))</definedName>
    <definedName name="elaborofirmas4" localSheetId="12">INDEX([9]firmas!$C$2:$C$26,MATCH('[9]Microdeval '!$I$44,[9]firmas!$A$2:$A$26,0))</definedName>
    <definedName name="elaborofirmas4" localSheetId="6">INDEX([9]firmas!$C$2:$C$26,MATCH('[9]Microdeval '!$I$44,[9]firmas!$A$2:$A$26,0))</definedName>
    <definedName name="elaborofirmas4">INDEX(#REF!,MATCH(#REF!,#REF!,0))</definedName>
    <definedName name="elaborofirmas5" localSheetId="0">INDEX([17]firmas!$C$2:$C$26,MATCH('1. Encabezado'!#REF!,[17]firmas!$A$2:$A$26,0))</definedName>
    <definedName name="elaborofirmas5" localSheetId="10">INDEX([18]firmas!$C$2:$C$26,MATCH('10% De Finos (2)'!#REF!,[18]firmas!$A$2:$A$26,0))</definedName>
    <definedName name="elaborofirmas5" localSheetId="4">INDEX(#REF!,MATCH(#REF!,#REF!,0))</definedName>
    <definedName name="elaborofirmas5" localSheetId="5">INDEX(#REF!,MATCH(#REF!,#REF!,0))</definedName>
    <definedName name="elaborofirmas5" localSheetId="8">INDEX([9]firmas!$C$2:$C$26,MATCH('[9]10% De Finos'!$D$23:$E$23,[9]firmas!$A$2:$A$26,0))</definedName>
    <definedName name="elaborofirmas5" localSheetId="7">INDEX([18]firmas!$C$2:$C$26,MATCH('[18]10% De Finos'!$D$23:$E$23,[18]firmas!$A$2:$A$26,0))</definedName>
    <definedName name="elaborofirmas5" localSheetId="11">INDEX([18]firmas!$C$2:$C$26,MATCH('[18]10% De Finos'!$D$23:$E$23,[18]firmas!$A$2:$A$26,0))</definedName>
    <definedName name="elaborofirmas5" localSheetId="13">INDEX([21]firmas!$C$2:$C$26,MATCH('[21]10% De Finos'!$D$23:$E$23,[21]firmas!$A$2:$A$26,0))</definedName>
    <definedName name="elaborofirmas5" localSheetId="14">INDEX(#REF!,MATCH(#REF!,#REF!,0))</definedName>
    <definedName name="elaborofirmas5" localSheetId="3">INDEX([16]firmas!$C$2:$C$26,MATCH('[16]10% De Finos'!$D$23:$E$23,[16]firmas!$A$2:$A$26,0))</definedName>
    <definedName name="elaborofirmas5" localSheetId="9">INDEX([18]firmas!$C$2:$C$26,MATCH('[18]10% De Finos'!$D$23:$E$23,[18]firmas!$A$2:$A$26,0))</definedName>
    <definedName name="elaborofirmas5" localSheetId="15">INDEX(#REF!,MATCH('[22]10% De Finos'!$D$23:$E$23,#REF!,0))</definedName>
    <definedName name="elaborofirmas5" localSheetId="1">INDEX(#REF!,MATCH('[23]10% De Finos'!$D$23:$E$23,#REF!,0))</definedName>
    <definedName name="elaborofirmas5" localSheetId="12">INDEX([9]firmas!$C$2:$C$26,MATCH('[9]10% De Finos'!$D$23:$E$23,[9]firmas!$A$2:$A$26,0))</definedName>
    <definedName name="elaborofirmas5" localSheetId="6">INDEX([9]firmas!$C$2:$C$26,MATCH('[9]10% De Finos'!$D$23:$E$23,[9]firmas!$A$2:$A$26,0))</definedName>
    <definedName name="elaborofirmas5">INDEX(#REF!,MATCH(#REF!,#REF!,0))</definedName>
    <definedName name="elaborofirmas6" localSheetId="0">INDEX([17]firmas!$C$2:$C$26,MATCH('[17]CLASIFICACION M2'!$E$61:$I$61,[17]firmas!$A$2:$A$26,0))</definedName>
    <definedName name="elaborofirmas6" localSheetId="10">INDEX([18]firmas!$C$2:$C$26,MATCH([18]Solidez!$H$47,[18]firmas!$A$2:$A$26,0))</definedName>
    <definedName name="elaborofirmas6" localSheetId="4">INDEX(#REF!,MATCH(#REF!,#REF!,0))</definedName>
    <definedName name="elaborofirmas6" localSheetId="5">INDEX(#REF!,MATCH(#REF!,#REF!,0))</definedName>
    <definedName name="elaborofirmas6" localSheetId="8">INDEX([9]firmas!$C$2:$C$26,MATCH([9]Solidez!$H$47,[9]firmas!$A$2:$A$26,0))</definedName>
    <definedName name="elaborofirmas6" localSheetId="7">INDEX([18]firmas!$C$2:$C$26,MATCH([18]Solidez!$H$47,[18]firmas!$A$2:$A$26,0))</definedName>
    <definedName name="elaborofirmas6" localSheetId="11">INDEX([18]firmas!$C$2:$C$26,MATCH([18]Solidez!$H$47,[18]firmas!$A$2:$A$26,0))</definedName>
    <definedName name="elaborofirmas6" localSheetId="13">INDEX([21]firmas!$C$2:$C$26,MATCH(#REF!,[21]firmas!$A$2:$A$26,0))</definedName>
    <definedName name="elaborofirmas6" localSheetId="14">INDEX(#REF!,MATCH(#REF!,#REF!,0))</definedName>
    <definedName name="elaborofirmas6" localSheetId="3">INDEX([16]firmas!$C$2:$C$26,MATCH(#REF!,[16]firmas!$A$2:$A$26,0))</definedName>
    <definedName name="elaborofirmas6" localSheetId="9">INDEX([18]firmas!$C$2:$C$26,MATCH([18]Solidez!$H$47,[18]firmas!$A$2:$A$26,0))</definedName>
    <definedName name="elaborofirmas6" localSheetId="15">INDEX(#REF!,MATCH([22]Solidez!$H$47,#REF!,0))</definedName>
    <definedName name="elaborofirmas6" localSheetId="1">INDEX(#REF!,MATCH([23]Solidez!$H$47,#REF!,0))</definedName>
    <definedName name="elaborofirmas6" localSheetId="12">INDEX([9]firmas!$C$2:$C$26,MATCH(Solidez!#REF!,[9]firmas!$A$2:$A$26,0))</definedName>
    <definedName name="elaborofirmas6" localSheetId="6">INDEX([9]firmas!$C$2:$C$26,MATCH([9]Solidez!$H$47,[9]firmas!$A$2:$A$26,0))</definedName>
    <definedName name="elaborofirmas6">INDEX(#REF!,MATCH(#REF!,#REF!,0))</definedName>
    <definedName name="elaborofirmas7" localSheetId="0">INDEX([17]firmas!$C$2:$C$26,MATCH('[17]M.O.  M2'!$C$27:$E$27,[17]firmas!$A$2:$A$26,0))</definedName>
    <definedName name="elaborofirmas7" localSheetId="10">INDEX([18]firmas!$C$2:$C$26,MATCH([18]LIMITES!$C$47,[18]firmas!$A$2:$A$26,0))</definedName>
    <definedName name="elaborofirmas7" localSheetId="4">INDEX(#REF!,MATCH('5. Limites M1'!#REF!,#REF!,0))</definedName>
    <definedName name="elaborofirmas7" localSheetId="5">INDEX(#REF!,MATCH(#REF!,#REF!,0))</definedName>
    <definedName name="elaborofirmas7" localSheetId="8">INDEX([9]firmas!$C$2:$C$26,MATCH([9]LIMITES!$C$47,[9]firmas!$A$2:$A$26,0))</definedName>
    <definedName name="elaborofirmas7" localSheetId="7">INDEX([18]firmas!$C$2:$C$26,MATCH([18]LIMITES!$C$47,[18]firmas!$A$2:$A$26,0))</definedName>
    <definedName name="elaborofirmas7" localSheetId="11">INDEX([18]firmas!$C$2:$C$26,MATCH([18]LIMITES!$C$47,[18]firmas!$A$2:$A$26,0))</definedName>
    <definedName name="elaborofirmas7" localSheetId="13">INDEX([21]firmas!$C$2:$C$26,MATCH([21]LIMITES!$C$47,[21]firmas!$A$2:$A$26,0))</definedName>
    <definedName name="elaborofirmas7" localSheetId="14">INDEX(#REF!,MATCH(#REF!,#REF!,0))</definedName>
    <definedName name="elaborofirmas7" localSheetId="3">INDEX([16]firmas!$C$2:$C$26,MATCH(#REF!,[16]firmas!$A$2:$A$26,0))</definedName>
    <definedName name="elaborofirmas7" localSheetId="9">INDEX([18]firmas!$C$2:$C$26,MATCH([18]LIMITES!$C$47,[18]firmas!$A$2:$A$26,0))</definedName>
    <definedName name="elaborofirmas7" localSheetId="15">INDEX(#REF!,MATCH(#REF!,#REF!,0))</definedName>
    <definedName name="elaborofirmas7" localSheetId="1">INDEX(#REF!,MATCH(#REF!,#REF!,0))</definedName>
    <definedName name="elaborofirmas7" localSheetId="12">INDEX([9]firmas!$C$2:$C$26,MATCH([9]LIMITES!$C$47,[9]firmas!$A$2:$A$26,0))</definedName>
    <definedName name="elaborofirmas7" localSheetId="6">INDEX([9]firmas!$C$2:$C$26,MATCH(#REF!,[9]firmas!$A$2:$A$26,0))</definedName>
    <definedName name="elaborofirmas7">INDEX(#REF!,MATCH(#REF!,#REF!,0))</definedName>
    <definedName name="elaborofirmas8" localSheetId="0">INDEX([17]firmas!$C$2:$C$26,MATCH('[17]CLASIFICACION M3'!$E$61:$I$61,[17]firmas!$A$2:$A$26,0))</definedName>
    <definedName name="elaborofirmas8" localSheetId="10">INDEX([18]firmas!$C$2:$C$26,MATCH([18]EQUIVALENTE!$D$29,[18]firmas!$A$2:$A$26,0))</definedName>
    <definedName name="elaborofirmas8" localSheetId="4">INDEX(#REF!,MATCH(#REF!,#REF!,0))</definedName>
    <definedName name="elaborofirmas8" localSheetId="5">INDEX([19]firmas!$C$2:$C$26,MATCH([19]EQUIVALENTE!$D$29,[19]firmas!$A$2:$A$26,0))</definedName>
    <definedName name="elaborofirmas8" localSheetId="8">INDEX([9]firmas!$C$2:$C$26,MATCH([9]EQUIVALENTE!$D$29,[9]firmas!$A$2:$A$26,0))</definedName>
    <definedName name="elaborofirmas8" localSheetId="7">INDEX([18]firmas!$C$2:$C$26,MATCH([18]EQUIVALENTE!$D$29,[18]firmas!$A$2:$A$26,0))</definedName>
    <definedName name="elaborofirmas8" localSheetId="11">INDEX([18]firmas!$C$2:$C$26,MATCH([18]EQUIVALENTE!$D$29,[18]firmas!$A$2:$A$26,0))</definedName>
    <definedName name="elaborofirmas8" localSheetId="13">INDEX([21]firmas!$C$2:$C$26,MATCH([21]EQUIVALENTE!$D$29,[21]firmas!$A$2:$A$26,0))</definedName>
    <definedName name="elaborofirmas8" localSheetId="14">INDEX(#REF!,MATCH(#REF!,#REF!,0))</definedName>
    <definedName name="elaborofirmas8" localSheetId="3">INDEX([19]firmas!$C$2:$C$26,MATCH([19]EQUIVALENTE!$D$29,[19]firmas!$A$2:$A$26,0))</definedName>
    <definedName name="elaborofirmas8" localSheetId="9">INDEX([18]firmas!$C$2:$C$26,MATCH([18]EQUIVALENTE!$D$29,[18]firmas!$A$2:$A$26,0))</definedName>
    <definedName name="elaborofirmas8" localSheetId="15">INDEX(#REF!,MATCH(#REF!,#REF!,0))</definedName>
    <definedName name="elaborofirmas8" localSheetId="1">INDEX(#REF!,MATCH(#REF!,#REF!,0))</definedName>
    <definedName name="elaborofirmas8">INDEX([19]firmas!$C$2:$C$26,MATCH([19]EQUIVALENTE!$D$29,[19]firmas!$A$2:$A$26,0))</definedName>
    <definedName name="elaborofirmas9" localSheetId="0">INDEX([17]firmas!$C$2:$C$26,MATCH('[17]M.O.  M3'!$C$27:$E$27,[17]firmas!$A$2:$A$26,0))</definedName>
    <definedName name="elaborofirmas9" localSheetId="10">INDEX([18]firmas!$C$2:$C$26,MATCH('[18]TERRONES DE ARCILLA'!$C$27:$E$27,[18]firmas!$A$2:$A$26,0))</definedName>
    <definedName name="elaborofirmas9" localSheetId="4">INDEX(#REF!,MATCH(#REF!,#REF!,0))</definedName>
    <definedName name="elaborofirmas9" localSheetId="5">INDEX(#REF!,MATCH(#REF!,#REF!,0))</definedName>
    <definedName name="elaborofirmas9" localSheetId="8">INDEX([9]firmas!$C$2:$C$26,MATCH('[9]TERRONES DE ARCILLA'!$C$27:$E$27,[9]firmas!$A$2:$A$26,0))</definedName>
    <definedName name="elaborofirmas9" localSheetId="7">INDEX([18]firmas!$C$2:$C$26,MATCH('[18]TERRONES DE ARCILLA'!$C$27:$E$27,[18]firmas!$A$2:$A$26,0))</definedName>
    <definedName name="elaborofirmas9" localSheetId="11">INDEX([18]firmas!$C$2:$C$26,MATCH('[18]TERRONES DE ARCILLA'!$C$27:$E$27,[18]firmas!$A$2:$A$26,0))</definedName>
    <definedName name="elaborofirmas9" localSheetId="13">INDEX([21]firmas!$C$2:$C$26,MATCH('[21]TERRONES DE ARCILLA'!$C$27:$E$27,[21]firmas!$A$2:$A$26,0))</definedName>
    <definedName name="elaborofirmas9" localSheetId="14">INDEX(#REF!,MATCH(#REF!,#REF!,0))</definedName>
    <definedName name="elaborofirmas9" localSheetId="3">INDEX([16]firmas!$C$2:$C$26,MATCH(#REF!,[16]firmas!$A$2:$A$26,0))</definedName>
    <definedName name="elaborofirmas9" localSheetId="9">INDEX([18]firmas!$C$2:$C$26,MATCH('[18]TERRONES DE ARCILLA'!$C$27:$E$27,[18]firmas!$A$2:$A$26,0))</definedName>
    <definedName name="elaborofirmas9" localSheetId="15">INDEX(#REF!,MATCH(#REF!,#REF!,0))</definedName>
    <definedName name="elaborofirmas9" localSheetId="1">INDEX(#REF!,MATCH(#REF!,#REF!,0))</definedName>
    <definedName name="elaborofirmas9" localSheetId="12">INDEX([9]firmas!$C$2:$C$26,MATCH('[9]TERRONES DE ARCILLA'!$C$27:$E$27,[9]firmas!$A$2:$A$26,0))</definedName>
    <definedName name="elaborofirmas9" localSheetId="6">INDEX([9]firmas!$C$2:$C$26,MATCH('TERRONES DE ARCILLA (2)'!#REF!,[9]firmas!$A$2:$A$26,0))</definedName>
    <definedName name="elaborofirmas9">INDEX(#REF!,MATCH(#REF!,#REF!,0))</definedName>
    <definedName name="elaborofirmasD" localSheetId="0">INDEX([26]firmas!$C$2:$C$26,MATCH('[26]Desgaste '!$F$36:$L$36,[26]firmas!$A$2:$A$26,0))</definedName>
    <definedName name="elaborofirmasD" localSheetId="4">INDEX(#REF!,MATCH(#REF!,#REF!,0))</definedName>
    <definedName name="elaborofirmasD" localSheetId="5">INDEX([27]firmas!$C$2:$C$26,MATCH('[27]Desgaste '!$F$36:$L$36,[27]firmas!$A$2:$A$26,0))</definedName>
    <definedName name="elaborofirmasD" localSheetId="3">INDEX([27]firmas!$C$2:$C$26,MATCH('[27]Desgaste '!$F$36:$L$36,[27]firmas!$A$2:$A$26,0))</definedName>
    <definedName name="elaborofirmasD">INDEX([27]firmas!$C$2:$C$26,MATCH('[27]Desgaste '!$F$36:$L$36,[27]firmas!$A$2:$A$26,0))</definedName>
    <definedName name="elaborofirmasea" localSheetId="5">INDEX(#REF!,MATCH('7. E.A. M1'!#REF!,#REF!,0))</definedName>
    <definedName name="elaborofirmasI" localSheetId="13">INDEX(#REF!,MATCH('INV 222-13 '!#REF!,#REF!,0))</definedName>
    <definedName name="elaborofirmasI" localSheetId="14">INDEX(#REF!,MATCH('INV 223-13 '!#REF!,#REF!,0))</definedName>
    <definedName name="elaborofirmasL" localSheetId="3">INDEX([11]firmas!$C$2:$C$26,MATCH('Lavado tamiz N°200 '!#REF!,[11]firmas!$A$2:$A$26,0))</definedName>
    <definedName name="elaborofirmasMO" localSheetId="0">INDEX([9]firmas!$C$2:$C$26,MATCH([9]COLORIMETRIA!$D$31,[9]firmas!$A$2:$A$26,0))</definedName>
    <definedName name="elaborofirmasMO" localSheetId="5">INDEX(#REF!,MATCH(#REF!,#REF!,0))</definedName>
    <definedName name="elaborofirmasMO" localSheetId="13">INDEX(#REF!,MATCH(#REF!,#REF!,0))</definedName>
    <definedName name="elaborofirmasMO" localSheetId="14">INDEX([16]firmas!$C$2:$C$26,MATCH([16]COLORIMETRIA!$D$31,[16]firmas!$A$2:$A$26,0))</definedName>
    <definedName name="elaborofirmasMO" localSheetId="3">INDEX([16]firmas!$C$2:$C$26,MATCH(#REF!,[16]firmas!$A$2:$A$26,0))</definedName>
    <definedName name="elaborofirmasMO" localSheetId="1">INDEX([16]firmas!$C$2:$C$26,MATCH([16]COLORIMETRIA!$D$31,[16]firmas!$A$2:$A$26,0))</definedName>
    <definedName name="elaborofirmasMO" localSheetId="12">INDEX([9]firmas!$C$2:$C$26,MATCH([9]COLORIMETRIA!$D$31,[9]firmas!$A$2:$A$26,0))</definedName>
    <definedName name="elaborofirmasMO" localSheetId="6">INDEX([9]firmas!$C$2:$C$26,MATCH(#REF!,[9]firmas!$A$2:$A$26,0))</definedName>
    <definedName name="elaborofirmasMO">INDEX(#REF!,MATCH(#REF!,#REF!,0))</definedName>
    <definedName name="ElaboroMO_M2" localSheetId="0">INDEX([15]firmas!$C$2:$C$24,MATCH('[15]M.O.  M2'!$C$29:$E$29,[15]firmas!$A$2:$A$24,0))</definedName>
    <definedName name="ElaboroMO_M2">INDEX([29]firmas!$C$2:$C$24,MATCH('[29]M.O.  M2'!$C$29:$E$29,[29]firmas!$A$2:$A$24,0))</definedName>
    <definedName name="ElaboroMO_M3" localSheetId="0">INDEX([15]firmas!$C$2:$C$24,MATCH('[15]M.O.  M3'!$C$29:$E$29,[15]firmas!$A$2:$A$24,0))</definedName>
    <definedName name="ElaboroMO_M3">INDEX([29]firmas!$C$2:$C$24,MATCH('[29]M.O.  M3'!$C$29:$E$29,[29]firmas!$A$2:$A$24,0))</definedName>
    <definedName name="Elaboronombres" localSheetId="0">[17]firmas!$A$2:$A$26</definedName>
    <definedName name="Elaboronombres" localSheetId="10">[18]firmas!$A$2:$A$26</definedName>
    <definedName name="Elaboronombres" localSheetId="4">#REF!</definedName>
    <definedName name="Elaboronombres" localSheetId="5">#REF!</definedName>
    <definedName name="Elaboronombres" localSheetId="8">[9]firmas!$A$2:$A$26</definedName>
    <definedName name="Elaboronombres" localSheetId="7">[18]firmas!$A$2:$A$26</definedName>
    <definedName name="Elaboronombres" localSheetId="11">[18]firmas!$A$2:$A$26</definedName>
    <definedName name="Elaboronombres" localSheetId="13">[30]firmas!$A$2:$A$26</definedName>
    <definedName name="Elaboronombres" localSheetId="14">[31]firmas!$A$2:$A$26</definedName>
    <definedName name="Elaboronombres" localSheetId="3">[32]firmas!$A$2:$A$26</definedName>
    <definedName name="Elaboronombres" localSheetId="9">[18]firmas!$A$2:$A$26</definedName>
    <definedName name="Elaboronombres" localSheetId="15">#REF!</definedName>
    <definedName name="Elaboronombres" localSheetId="12">[9]firmas!$A$2:$A$26</definedName>
    <definedName name="Elaboronombres" localSheetId="6">[9]firmas!$A$2:$A$26</definedName>
    <definedName name="Elaboronombres">#REF!</definedName>
    <definedName name="HTML1_1" hidden="1">"'[06Cumplimiento1996.xls]GASTOS'!$A$3:$B$16"</definedName>
    <definedName name="HTML1_10" hidden="1">""</definedName>
    <definedName name="HTML1_11" hidden="1">1</definedName>
    <definedName name="HTML1_12" hidden="1">"c:\prueba.htm"</definedName>
    <definedName name="HTML1_2" hidden="1">1</definedName>
    <definedName name="HTML1_3" hidden="1">"06Cumplimiento1996"</definedName>
    <definedName name="HTML1_4" hidden="1">"GASTOS"</definedName>
    <definedName name="HTML1_5" hidden="1">""</definedName>
    <definedName name="HTML1_6" hidden="1">-4146</definedName>
    <definedName name="HTML1_7" hidden="1">-4146</definedName>
    <definedName name="HTML1_8" hidden="1">"16/12/1996"</definedName>
    <definedName name="HTML1_9" hidden="1">"JUAN CARLOS TORO VALDERRAMA"</definedName>
    <definedName name="HTML2_1" hidden="1">"'[INDICES.XLS]INDICES I'!$A$1:$K$36"</definedName>
    <definedName name="HTML2_10" hidden="1">""</definedName>
    <definedName name="HTML2_11" hidden="1">1</definedName>
    <definedName name="HTML2_12" hidden="1">"C:\Mis documentos\INDICESI.htm"</definedName>
    <definedName name="HTML2_2" hidden="1">1</definedName>
    <definedName name="HTML2_3" hidden="1">"INDICES"</definedName>
    <definedName name="HTML2_4" hidden="1">"INDICES I"</definedName>
    <definedName name="HTML2_5" hidden="1">""</definedName>
    <definedName name="HTML2_6" hidden="1">-4146</definedName>
    <definedName name="HTML2_7" hidden="1">-4146</definedName>
    <definedName name="HTML2_8" hidden="1">"5/02/1997"</definedName>
    <definedName name="HTML2_9" hidden="1">"JUAN CARLOS TORO VALDERRAMA"</definedName>
    <definedName name="HTML3_1" hidden="1">"'[INDICES.XLS]IPC NAL'!$A$4:$B$43"</definedName>
    <definedName name="HTML3_10" hidden="1">""</definedName>
    <definedName name="HTML3_11" hidden="1">1</definedName>
    <definedName name="HTML3_12" hidden="1">"C:\Mis documentos\IPCNAL.htm"</definedName>
    <definedName name="HTML3_2" hidden="1">1</definedName>
    <definedName name="HTML3_3" hidden="1">"INDICES"</definedName>
    <definedName name="HTML3_4" hidden="1">"IPC NAL"</definedName>
    <definedName name="HTML3_5" hidden="1">""</definedName>
    <definedName name="HTML3_6" hidden="1">-4146</definedName>
    <definedName name="HTML3_7" hidden="1">-4146</definedName>
    <definedName name="HTML3_8" hidden="1">"5/02/1997"</definedName>
    <definedName name="HTML3_9" hidden="1">"JUAN CARLOS TORO VALDERRAMA"</definedName>
    <definedName name="HTML4_1" hidden="1">"'[INDICES.XLS]IPC NAL'!$A$4:$C$43"</definedName>
    <definedName name="HTML4_10" hidden="1">""</definedName>
    <definedName name="HTML4_11" hidden="1">1</definedName>
    <definedName name="HTML4_12" hidden="1">"C:\Mis documentos\IPCNAL.htm"</definedName>
    <definedName name="HTML4_2" hidden="1">1</definedName>
    <definedName name="HTML4_3" hidden="1">"INDICES"</definedName>
    <definedName name="HTML4_4" hidden="1">"IPC NAL"</definedName>
    <definedName name="HTML4_5" hidden="1">""</definedName>
    <definedName name="HTML4_6" hidden="1">-4146</definedName>
    <definedName name="HTML4_7" hidden="1">-4146</definedName>
    <definedName name="HTML4_8" hidden="1">"5/02/1997"</definedName>
    <definedName name="HTML4_9" hidden="1">"JUAN CARLOS TORO VALDERRAMA"</definedName>
    <definedName name="HTML5_1" hidden="1">"'[INDICES.XLS]INDICES I'!$A$1:$I$36"</definedName>
    <definedName name="HTML5_10" hidden="1">""</definedName>
    <definedName name="HTML5_11" hidden="1">1</definedName>
    <definedName name="HTML5_12" hidden="1">"C:\Mis documentos\INDICESI.htm"</definedName>
    <definedName name="HTML5_2" hidden="1">1</definedName>
    <definedName name="HTML5_3" hidden="1">"INDICES"</definedName>
    <definedName name="HTML5_4" hidden="1">"INDICES I"</definedName>
    <definedName name="HTML5_5" hidden="1">""</definedName>
    <definedName name="HTML5_6" hidden="1">-4146</definedName>
    <definedName name="HTML5_7" hidden="1">-4146</definedName>
    <definedName name="HTML5_8" hidden="1">"5/02/1997"</definedName>
    <definedName name="HTML5_9" hidden="1">"JUAN CARLOS TORO VALDERRAMA"</definedName>
    <definedName name="HTML6_1" hidden="1">"'[INDICES.XLS]INDICES 1'!$A$3:$K$30"</definedName>
    <definedName name="HTML6_10" hidden="1">""</definedName>
    <definedName name="HTML6_11" hidden="1">1</definedName>
    <definedName name="HTML6_12" hidden="1">"C:\Mis documentos\INDICES1.htm"</definedName>
    <definedName name="HTML6_2" hidden="1">1</definedName>
    <definedName name="HTML6_3" hidden="1">"INDICES"</definedName>
    <definedName name="HTML6_4" hidden="1">"INDICES 1"</definedName>
    <definedName name="HTML6_5" hidden="1">""</definedName>
    <definedName name="HTML6_6" hidden="1">-4146</definedName>
    <definedName name="HTML6_7" hidden="1">-4146</definedName>
    <definedName name="HTML6_8" hidden="1">"5/02/1997"</definedName>
    <definedName name="HTML6_9" hidden="1">"JUAN CARLOS TORO VALDERRAMA"</definedName>
    <definedName name="HTMLCount" hidden="1">1</definedName>
    <definedName name="KK" localSheetId="0" hidden="1">[3]OCTUBRE!#REF!</definedName>
    <definedName name="KK" localSheetId="10" hidden="1">[3]OCTUBRE!#REF!</definedName>
    <definedName name="KK" localSheetId="4" hidden="1">[3]OCTUBRE!#REF!</definedName>
    <definedName name="KK" localSheetId="5" hidden="1">[3]OCTUBRE!#REF!</definedName>
    <definedName name="KK" localSheetId="8" hidden="1">[3]OCTUBRE!#REF!</definedName>
    <definedName name="KK" localSheetId="7" hidden="1">[3]OCTUBRE!#REF!</definedName>
    <definedName name="KK" localSheetId="11" hidden="1">[3]OCTUBRE!#REF!</definedName>
    <definedName name="KK" localSheetId="2" hidden="1">[3]OCTUBRE!#REF!</definedName>
    <definedName name="KK" localSheetId="13" hidden="1">[5]OCTUBRE!#REF!</definedName>
    <definedName name="KK" localSheetId="14" hidden="1">[6]OCTUBRE!#REF!</definedName>
    <definedName name="KK" localSheetId="3" hidden="1">[3]OCTUBRE!#REF!</definedName>
    <definedName name="KK" localSheetId="9" hidden="1">[3]OCTUBRE!#REF!</definedName>
    <definedName name="KK" localSheetId="15" hidden="1">[3]OCTUBRE!#REF!</definedName>
    <definedName name="KK" localSheetId="1" hidden="1">[3]OCTUBRE!#REF!</definedName>
    <definedName name="KK" localSheetId="12" hidden="1">[3]OCTUBRE!#REF!</definedName>
    <definedName name="KK" localSheetId="6" hidden="1">[3]OCTUBRE!#REF!</definedName>
    <definedName name="KK" hidden="1">[3]OCTUBRE!#REF!</definedName>
    <definedName name="Ojo" localSheetId="0" hidden="1">#REF!</definedName>
    <definedName name="Ojo" localSheetId="10" hidden="1">#REF!</definedName>
    <definedName name="Ojo" localSheetId="4" hidden="1">#REF!</definedName>
    <definedName name="Ojo" localSheetId="5" hidden="1">#REF!</definedName>
    <definedName name="Ojo" localSheetId="8" hidden="1">#REF!</definedName>
    <definedName name="Ojo" localSheetId="7" hidden="1">#REF!</definedName>
    <definedName name="Ojo" localSheetId="11" hidden="1">#REF!</definedName>
    <definedName name="Ojo" localSheetId="2" hidden="1">#REF!</definedName>
    <definedName name="Ojo" localSheetId="13" hidden="1">#REF!</definedName>
    <definedName name="Ojo" localSheetId="14" hidden="1">#REF!</definedName>
    <definedName name="Ojo" localSheetId="3" hidden="1">#REF!</definedName>
    <definedName name="Ojo" localSheetId="9" hidden="1">#REF!</definedName>
    <definedName name="Ojo" localSheetId="15" hidden="1">#REF!</definedName>
    <definedName name="Ojo" localSheetId="1" hidden="1">#REF!</definedName>
    <definedName name="Ojo" localSheetId="12" hidden="1">#REF!</definedName>
    <definedName name="Ojo" localSheetId="6" hidden="1">#REF!</definedName>
    <definedName name="Ojo" hidden="1">#REF!</definedName>
    <definedName name="pendiente" localSheetId="0" hidden="1">#REF!</definedName>
    <definedName name="pendiente" localSheetId="10" hidden="1">#REF!</definedName>
    <definedName name="pendiente" localSheetId="4" hidden="1">#REF!</definedName>
    <definedName name="pendiente" localSheetId="5" hidden="1">#REF!</definedName>
    <definedName name="pendiente" localSheetId="8" hidden="1">#REF!</definedName>
    <definedName name="pendiente" localSheetId="7" hidden="1">#REF!</definedName>
    <definedName name="pendiente" localSheetId="11" hidden="1">#REF!</definedName>
    <definedName name="pendiente" localSheetId="2" hidden="1">#REF!</definedName>
    <definedName name="pendiente" localSheetId="13" hidden="1">#REF!</definedName>
    <definedName name="pendiente" localSheetId="14" hidden="1">#REF!</definedName>
    <definedName name="pendiente" localSheetId="3" hidden="1">#REF!</definedName>
    <definedName name="pendiente" localSheetId="9" hidden="1">#REF!</definedName>
    <definedName name="pendiente" localSheetId="15" hidden="1">#REF!</definedName>
    <definedName name="pendiente" localSheetId="1" hidden="1">#REF!</definedName>
    <definedName name="pendiente" localSheetId="12" hidden="1">#REF!</definedName>
    <definedName name="pendiente" localSheetId="6" hidden="1">#REF!</definedName>
    <definedName name="pendiente" hidden="1">#REF!</definedName>
    <definedName name="realizocargo" localSheetId="0">[17]firmas!$B$28:$B$30</definedName>
    <definedName name="realizocargo">[29]firmas!$B$26:$B$28</definedName>
    <definedName name="REVISO_A" localSheetId="8">INDEX([9]firmas!$C$28:$C$31,MATCH(ANGULARIDAD!$V$35:$W$48,[9]firmas!$A$28:$A$31,0))</definedName>
    <definedName name="REVISO_A" localSheetId="3">INDEX([12]firmas!$C$28:$C$31,MATCH([12]ANGULARIDAD!$W$29:$X$43,[12]firmas!$A$28:$A$31,0))</definedName>
    <definedName name="REVISO_A">INDEX([12]firmas!$C$28:$C$31,MATCH([12]ANGULARIDAD!$W$29:$X$43,[12]firmas!$A$28:$A$31,0))</definedName>
    <definedName name="Reviso_firmas">INDEX([13]firmas!$C$34:$C$37,MATCH('[13]Formato '!#REF!,[13]firmas!$A$34:$A$37,0))</definedName>
    <definedName name="revisocargo" localSheetId="10">[31]firmas!$B$28:$B$30</definedName>
    <definedName name="revisocargo" localSheetId="4">[35]firmas!$B$28:$B$30</definedName>
    <definedName name="revisocargo" localSheetId="8">[34]firmas!$B$28:$B$30</definedName>
    <definedName name="revisocargo" localSheetId="7">[31]firmas!$B$28:$B$30</definedName>
    <definedName name="revisocargo" localSheetId="11">[31]firmas!$B$28:$B$30</definedName>
    <definedName name="revisocargo" localSheetId="13">[30]firmas!$B$28:$B$30</definedName>
    <definedName name="revisocargo" localSheetId="14">[31]firmas!$B$28:$B$30</definedName>
    <definedName name="Revisocargo" localSheetId="3">[32]firmas!$B$28:$B$30</definedName>
    <definedName name="revisocargo" localSheetId="9">[31]firmas!$B$28:$B$30</definedName>
    <definedName name="revisocargo" localSheetId="1">[31]firmas!$B$28:$B$30</definedName>
    <definedName name="revisocargo">[33]firmas!$B$28:$B$30</definedName>
    <definedName name="revisoea" localSheetId="0">INDEX([17]firmas!$C$28:$C$31,MATCH([17]EQUIVALENTE!$G$29,[17]firmas!$A$28:$A$31,0))</definedName>
    <definedName name="revisoea" localSheetId="5">INDEX(#REF!,MATCH('7. E.A. M1'!#REF!,#REF!,0))</definedName>
    <definedName name="revisoea" localSheetId="13">INDEX(#REF!,MATCH(#REF!,#REF!,0))</definedName>
    <definedName name="revisoea" localSheetId="14">INDEX([10]firmas!$C$28:$C$31,MATCH(#REF!,[10]firmas!$A$28:$A$31,0))</definedName>
    <definedName name="revisoea" localSheetId="3">INDEX([11]firmas!$C$28:$C$31,MATCH(#REF!,[11]firmas!$A$28:$A$31,0))</definedName>
    <definedName name="revisoea" localSheetId="1">INDEX(#REF!,MATCH(#REF!,#REF!,0))</definedName>
    <definedName name="revisoea" localSheetId="6">INDEX(#REF!,MATCH(#REF!,#REF!,0))</definedName>
    <definedName name="revisoea">INDEX(#REF!,MATCH(#REF!,#REF!,0))</definedName>
    <definedName name="revisofirmas1" localSheetId="0">INDEX([17]firmas!$C$28:$C$31,MATCH('[17]REG FOTOGRAFICO'!$J$55:$M$55,[17]firmas!$A$28:$A$31,0))</definedName>
    <definedName name="revisofirmas1" localSheetId="10">INDEX([18]firmas!$C$28:$C$31,MATCH('[18]RESUMEN '!$P$45:$U$45,[18]firmas!$A$28:$A$31,0))</definedName>
    <definedName name="revisofirmas1" localSheetId="4">INDEX(#REF!,MATCH(#REF!,#REF!,0))</definedName>
    <definedName name="revisofirmas1" localSheetId="5">INDEX(#REF!,MATCH(#REF!,#REF!,0))</definedName>
    <definedName name="revisofirmas1" localSheetId="8">INDEX([9]firmas!$C$28:$C$31,MATCH('[9]RESUMEN '!$P$46:$U$46,[9]firmas!$A$28:$A$31,0))</definedName>
    <definedName name="revisofirmas1" localSheetId="7">INDEX([18]firmas!$C$28:$C$31,MATCH('[18]RESUMEN '!$P$45:$U$45,[18]firmas!$A$28:$A$31,0))</definedName>
    <definedName name="revisofirmas1" localSheetId="11">INDEX([18]firmas!$C$28:$C$31,MATCH('[18]RESUMEN '!$P$45:$U$45,[18]firmas!$A$28:$A$31,0))</definedName>
    <definedName name="revisofirmas1" localSheetId="13">INDEX([12]firmas!$C$28:$C$31,MATCH('[12]RESUMEN '!$P$46:$U$46,[12]firmas!$A$28:$A$31,0))</definedName>
    <definedName name="revisofirmas1" localSheetId="14">INDEX(#REF!,MATCH(#REF!,#REF!,0))</definedName>
    <definedName name="revisofirmas1" localSheetId="3">INDEX([16]firmas!$C$28:$C$31,MATCH('[16]RESUMEN '!$P$50:$U$50,[16]firmas!$A$28:$A$31,0))</definedName>
    <definedName name="revisofirmas1" localSheetId="9">INDEX([18]firmas!$C$28:$C$31,MATCH('[18]RESUMEN '!$P$45:$U$45,[18]firmas!$A$28:$A$31,0))</definedName>
    <definedName name="revisofirmas1" localSheetId="15">INDEX(#REF!,MATCH(#REF!,#REF!,0))</definedName>
    <definedName name="revisofirmas1" localSheetId="1">INDEX(#REF!,MATCH('RESUMEN BG'!#REF!,#REF!,0))</definedName>
    <definedName name="revisofirmas1" localSheetId="12">INDEX([9]firmas!$C$28:$C$31,MATCH('[9]RESUMEN '!$P$50:$U$50,[9]firmas!$A$28:$A$31,0))</definedName>
    <definedName name="revisofirmas1" localSheetId="6">INDEX([9]firmas!$C$28:$C$31,MATCH('[9]RESUMEN '!$P$50:$U$50,[9]firmas!$A$28:$A$31,0))</definedName>
    <definedName name="revisofirmas1">INDEX(#REF!,MATCH(#REF!,#REF!,0))</definedName>
    <definedName name="revisofirmas10" localSheetId="0">INDEX([20]firmas!$C$28:$C$31,MATCH('[20]CF - IF '!$M$43:$X$43,[20]firmas!$A$28:$A$31,0))</definedName>
    <definedName name="revisofirmas10" localSheetId="10">INDEX([18]firmas!$C$28:$C$31,MATCH(#REF!,[18]firmas!$A$28:$A$31,0))</definedName>
    <definedName name="revisofirmas10" localSheetId="4">INDEX(#REF!,MATCH(#REF!,#REF!,0))</definedName>
    <definedName name="revisofirmas10" localSheetId="5">INDEX(#REF!,MATCH(#REF!,#REF!,0))</definedName>
    <definedName name="revisofirmas10" localSheetId="8">INDEX([9]firmas!$C$28:$C$31,MATCH('[9]CF - IF '!$M$43:$X$43,[9]firmas!$A$28:$A$31,0))</definedName>
    <definedName name="revisofirmas10" localSheetId="7">INDEX([18]firmas!$C$28:$C$31,MATCH('CF - IF '!#REF!,[18]firmas!$A$28:$A$31,0))</definedName>
    <definedName name="revisofirmas10" localSheetId="11">INDEX([18]firmas!$C$28:$C$31,MATCH(#REF!,[18]firmas!$A$28:$A$31,0))</definedName>
    <definedName name="revisofirmas10" localSheetId="13">INDEX([21]firmas!$C$28:$C$31,MATCH('[21]CF - IF '!$M$43:$X$43,[21]firmas!$A$28:$A$31,0))</definedName>
    <definedName name="revisofirmas10" localSheetId="14">INDEX(#REF!,MATCH(#REF!,#REF!,0))</definedName>
    <definedName name="revisofirmas10" localSheetId="3">INDEX([16]firmas!$C$28:$C$31,MATCH([16]EQUIVALENTE!$G$29,[16]firmas!$A$28:$A$31,0))</definedName>
    <definedName name="revisofirmas10" localSheetId="9">INDEX([18]firmas!$C$28:$C$31,MATCH(#REF!,[18]firmas!$A$28:$A$31,0))</definedName>
    <definedName name="revisofirmas10" localSheetId="15">INDEX(#REF!,MATCH('[22]CF - IF '!$M$43:$X$43,#REF!,0))</definedName>
    <definedName name="revisofirmas10" localSheetId="1">INDEX(#REF!,MATCH('[23]CF - IF '!$M$43:$X$43,#REF!,0))</definedName>
    <definedName name="revisofirmas10" localSheetId="12">INDEX([9]firmas!$C$28:$C$31,MATCH([9]EQUIVALENTE!$G$29,[9]firmas!$A$28:$A$31,0))</definedName>
    <definedName name="revisofirmas10" localSheetId="6">INDEX([9]firmas!$C$28:$C$31,MATCH(#REF!,[9]firmas!$A$28:$A$31,0))</definedName>
    <definedName name="revisofirmas10">INDEX(#REF!,MATCH(#REF!,#REF!,0))</definedName>
    <definedName name="revisofirmas11" localSheetId="0">INDEX([20]firmas!$C$28:$C$31,MATCH([20]ANGULARIDAD!$W$29:$X$43,[20]firmas!$A$28:$A$31,0))</definedName>
    <definedName name="revisofirmas11" localSheetId="10">INDEX([18]firmas!$C$28:$C$31,MATCH([18]ANGULARIDAD!$W$29:$X$43,[18]firmas!$A$28:$A$31,0))</definedName>
    <definedName name="revisofirmas11" localSheetId="4">INDEX(#REF!,MATCH(#REF!,#REF!,0))</definedName>
    <definedName name="revisofirmas11" localSheetId="5">INDEX(#REF!,MATCH(#REF!,#REF!,0))</definedName>
    <definedName name="revisofirmas11" localSheetId="8">INDEX([9]firmas!$C$28:$C$31,MATCH([9]A!$W$29:$X$43,[9]firmas!$A$28:$A$31,0))</definedName>
    <definedName name="revisofirmas11" localSheetId="7">INDEX([18]firmas!$C$28:$C$31,MATCH([18]ANGULARIDAD!$W$29:$X$43,[18]firmas!$A$28:$A$31,0))</definedName>
    <definedName name="revisofirmas11" localSheetId="11">INDEX([18]firmas!$C$28:$C$31,MATCH([18]ANGULARIDAD!$W$29:$X$43,[18]firmas!$A$28:$A$31,0))</definedName>
    <definedName name="revisofirmas11" localSheetId="13">INDEX([21]firmas!$C$28:$C$31,MATCH([21]ANGULARIDAD!$W$29:$X$43,[21]firmas!$A$28:$A$31,0))</definedName>
    <definedName name="revisofirmas11" localSheetId="14">INDEX(#REF!,MATCH(#REF!,#REF!,0))</definedName>
    <definedName name="revisofirmas11" localSheetId="3">INDEX([16]firmas!$C$28:$C$31,MATCH(#REF!,[16]firmas!$A$28:$A$31,0))</definedName>
    <definedName name="revisofirmas11" localSheetId="9">INDEX([18]firmas!$C$28:$C$31,MATCH([18]ANGULARIDAD!$W$29:$X$43,[18]firmas!$A$28:$A$31,0))</definedName>
    <definedName name="revisofirmas11" localSheetId="15">INDEX(#REF!,MATCH([22]ANGULARIDAD!$W$29:$X$43,#REF!,0))</definedName>
    <definedName name="revisofirmas11" localSheetId="1">INDEX(#REF!,MATCH([23]ANGULARIDAD!$W$29:$X$43,#REF!,0))</definedName>
    <definedName name="revisofirmas11" localSheetId="12">INDEX([9]firmas!$C$28:$C$31,MATCH([9]ANGULARIDAD!$W$29:$X$43,[9]firmas!$A$28:$A$31,0))</definedName>
    <definedName name="revisofirmas11" localSheetId="6">INDEX([9]firmas!$C$28:$C$31,MATCH([9]ANGULARIDAD!$W$29:$X$43,[9]firmas!$A$28:$A$31,0))</definedName>
    <definedName name="revisofirmas11">INDEX(#REF!,MATCH(#REF!,#REF!,0))</definedName>
    <definedName name="revisofirmas12" localSheetId="0">INDEX([20]firmas!$C$28:$C$31,MATCH([20]PROCTOR!$F$42,[20]firmas!$A$28:$A$31,0))</definedName>
    <definedName name="revisofirmas12" localSheetId="10">INDEX([18]firmas!$C$28:$C$31,MATCH([18]PROCTOR!$F$42,[18]firmas!$A$28:$A$31,0))</definedName>
    <definedName name="revisofirmas12" localSheetId="4">INDEX(#REF!,MATCH(#REF!,#REF!,0))</definedName>
    <definedName name="revisofirmas12" localSheetId="5">INDEX(#REF!,MATCH(#REF!,#REF!,0))</definedName>
    <definedName name="revisofirmas12" localSheetId="8">INDEX([9]firmas!$C$28:$C$31,MATCH([9]PROCTOR!$F$42,[9]firmas!$A$28:$A$31,0))</definedName>
    <definedName name="revisofirmas12" localSheetId="7">INDEX([18]firmas!$C$28:$C$31,MATCH([18]PROCTOR!$F$42,[18]firmas!$A$28:$A$31,0))</definedName>
    <definedName name="revisofirmas12" localSheetId="11">INDEX([18]firmas!$C$28:$C$31,MATCH([18]PROCTOR!$F$42,[18]firmas!$A$28:$A$31,0))</definedName>
    <definedName name="revisofirmas12" localSheetId="13">INDEX([21]firmas!$C$28:$C$31,MATCH([21]PROCTOR!$F$42,[21]firmas!$A$28:$A$31,0))</definedName>
    <definedName name="revisofirmas12" localSheetId="14">INDEX(#REF!,MATCH(#REF!,#REF!,0))</definedName>
    <definedName name="revisofirmas12" localSheetId="3">INDEX([16]firmas!$C$28:$C$31,MATCH([16]PROCTOR!$F$42,[16]firmas!$A$28:$A$31,0))</definedName>
    <definedName name="revisofirmas12" localSheetId="9">INDEX([18]firmas!$C$28:$C$31,MATCH([18]PROCTOR!$F$42,[18]firmas!$A$28:$A$31,0))</definedName>
    <definedName name="revisofirmas12" localSheetId="15">INDEX(#REF!,MATCH(PROCTOR!#REF!,#REF!,0))</definedName>
    <definedName name="revisofirmas12" localSheetId="1">INDEX(#REF!,MATCH([23]PROCTOR!$F$42,#REF!,0))</definedName>
    <definedName name="revisofirmas12" localSheetId="12">INDEX([9]firmas!$C$28:$C$31,MATCH([9]PROCTOR!$F$42,[9]firmas!$A$28:$A$31,0))</definedName>
    <definedName name="revisofirmas12" localSheetId="6">INDEX([9]firmas!$C$28:$C$31,MATCH([9]PROCTOR!$F$42,[9]firmas!$A$28:$A$31,0))</definedName>
    <definedName name="revisofirmas12">INDEX(#REF!,MATCH(#REF!,#REF!,0))</definedName>
    <definedName name="revisofirmas13" localSheetId="0">INDEX([20]firmas!$C$28:$C$31,MATCH('[20] CBR 1'!$AN$55:$AO$55,[20]firmas!$A$28:$A$31,0))</definedName>
    <definedName name="revisofirmas13" localSheetId="10">INDEX([18]firmas!$C$28:$C$31,MATCH('[18] CBR 1'!$AN$55:$AO$55,[18]firmas!$A$28:$A$31,0))</definedName>
    <definedName name="revisofirmas13" localSheetId="4">INDEX(#REF!,MATCH(#REF!,#REF!,0))</definedName>
    <definedName name="revisofirmas13" localSheetId="5">INDEX(#REF!,MATCH(#REF!,#REF!,0))</definedName>
    <definedName name="revisofirmas13" localSheetId="8">INDEX([9]firmas!$C$28:$C$31,MATCH('[9] CBR 1'!$AN$55:$AO$55,[9]firmas!$A$28:$A$31,0))</definedName>
    <definedName name="revisofirmas13" localSheetId="7">INDEX([18]firmas!$C$28:$C$31,MATCH('[18] CBR 1'!$AN$55:$AO$55,[18]firmas!$A$28:$A$31,0))</definedName>
    <definedName name="revisofirmas13" localSheetId="11">INDEX([18]firmas!$C$28:$C$31,MATCH('[18] CBR 1'!$AN$55:$AO$55,[18]firmas!$A$28:$A$31,0))</definedName>
    <definedName name="revisofirmas13" localSheetId="13">INDEX([21]firmas!$C$28:$C$31,MATCH('[21] CBR 1'!$AN$55:$AO$55,[21]firmas!$A$28:$A$31,0))</definedName>
    <definedName name="revisofirmas13" localSheetId="14">INDEX(#REF!,MATCH(#REF!,#REF!,0))</definedName>
    <definedName name="revisofirmas13" localSheetId="3">INDEX([16]firmas!$C$28:$C$31,MATCH('[16] CBR 1'!$AN$55:$AO$55,[16]firmas!$A$28:$A$31,0))</definedName>
    <definedName name="revisofirmas13" localSheetId="9">INDEX([18]firmas!$C$28:$C$31,MATCH('[18] CBR 1'!$AN$55:$AO$55,[18]firmas!$A$28:$A$31,0))</definedName>
    <definedName name="revisofirmas13" localSheetId="15">INDEX(#REF!,MATCH('[22] CBR 1'!$AN$55:$AO$55,#REF!,0))</definedName>
    <definedName name="revisofirmas13" localSheetId="1">INDEX(#REF!,MATCH('[23] CBR 1'!$AN$117:$AO$117,#REF!,0))</definedName>
    <definedName name="revisofirmas13" localSheetId="12">INDEX([9]firmas!$C$28:$C$31,MATCH('[9] CBR 1'!$AN$55:$AO$55,[9]firmas!$A$28:$A$31,0))</definedName>
    <definedName name="revisofirmas13" localSheetId="6">INDEX([9]firmas!$C$28:$C$31,MATCH('[9] CBR 1'!$AN$55:$AO$55,[9]firmas!$A$28:$A$31,0))</definedName>
    <definedName name="revisofirmas13">INDEX(#REF!,MATCH(#REF!,#REF!,0))</definedName>
    <definedName name="revisofirmas14" localSheetId="0">INDEX([20]firmas!$C$28:$C$31,MATCH('[20] CBR (2)'!$E$55:$F$55,[20]firmas!$A$28:$A$31,0))</definedName>
    <definedName name="revisofirmas14" localSheetId="10">INDEX([18]firmas!$C$28:$C$31,MATCH('[18] CBR (2)'!$E$55:$F$55,[18]firmas!$A$28:$A$31,0))</definedName>
    <definedName name="revisofirmas14" localSheetId="4">INDEX(#REF!,MATCH(#REF!,#REF!,0))</definedName>
    <definedName name="revisofirmas14" localSheetId="5">INDEX(#REF!,MATCH(#REF!,#REF!,0))</definedName>
    <definedName name="revisofirmas14" localSheetId="8">INDEX([9]firmas!$C$28:$C$31,MATCH('[9] CBR (2)'!$E$55:$F$55,[9]firmas!$A$28:$A$31,0))</definedName>
    <definedName name="revisofirmas14" localSheetId="7">INDEX([18]firmas!$C$28:$C$31,MATCH('[18] CBR (2)'!$E$55:$F$55,[18]firmas!$A$28:$A$31,0))</definedName>
    <definedName name="revisofirmas14" localSheetId="11">INDEX([18]firmas!$C$28:$C$31,MATCH('[18] CBR (2)'!$E$55:$F$55,[18]firmas!$A$28:$A$31,0))</definedName>
    <definedName name="revisofirmas14" localSheetId="13">INDEX([21]firmas!$C$28:$C$31,MATCH('[21] CBR (2)'!$E$55:$F$55,[21]firmas!$A$28:$A$31,0))</definedName>
    <definedName name="revisofirmas14" localSheetId="14">INDEX(#REF!,MATCH(#REF!,#REF!,0))</definedName>
    <definedName name="revisofirmas14" localSheetId="3">INDEX([16]firmas!$C$28:$C$31,MATCH('[16] CBR (2)'!$E$55:$F$55,[16]firmas!$A$28:$A$31,0))</definedName>
    <definedName name="revisofirmas14" localSheetId="9">INDEX([18]firmas!$C$28:$C$31,MATCH('[18] CBR (2)'!$E$55:$F$55,[18]firmas!$A$28:$A$31,0))</definedName>
    <definedName name="revisofirmas14" localSheetId="15">INDEX(#REF!,MATCH('[22] CBR (2)'!$E$55:$F$55,#REF!,0))</definedName>
    <definedName name="revisofirmas14" localSheetId="1">INDEX(#REF!,MATCH('[23] CBR (2)'!$E$55:$F$55,#REF!,0))</definedName>
    <definedName name="revisofirmas14" localSheetId="12">INDEX([9]firmas!$C$28:$C$31,MATCH('[9] CBR (2)'!$E$55:$F$55,[9]firmas!$A$28:$A$31,0))</definedName>
    <definedName name="revisofirmas14" localSheetId="6">INDEX([9]firmas!$C$28:$C$31,MATCH('[9] CBR (2)'!$E$55:$F$55,[9]firmas!$A$28:$A$31,0))</definedName>
    <definedName name="revisofirmas14">INDEX(#REF!,MATCH(#REF!,#REF!,0))</definedName>
    <definedName name="revisofirmas2" localSheetId="0">INDEX([17]firmas!$C$28:$C$31,MATCH('[17]CONO DINAMICO'!$G$57:$K$57,[17]firmas!$A$28:$A$31,0))</definedName>
    <definedName name="revisofirmas2" localSheetId="10">INDEX([18]firmas!$C$28:$C$31,MATCH(#REF!,[18]firmas!$A$28:$A$31,0))</definedName>
    <definedName name="revisofirmas2" localSheetId="4">INDEX(#REF!,MATCH(#REF!,#REF!,0))</definedName>
    <definedName name="revisofirmas2" localSheetId="5">INDEX(#REF!,MATCH(#REF!,#REF!,0))</definedName>
    <definedName name="revisofirmas2" localSheetId="8">INDEX([9]firmas!$C$28:$C$31,MATCH('[9]Gradacion '!$Q$46,[9]firmas!$A$28:$A$31,0))</definedName>
    <definedName name="revisofirmas2" localSheetId="7">INDEX([18]firmas!$C$28:$C$31,MATCH(#REF!,[18]firmas!$A$28:$A$31,0))</definedName>
    <definedName name="revisofirmas2" localSheetId="11">INDEX([18]firmas!$C$28:$C$31,MATCH(#REF!,[18]firmas!$A$28:$A$31,0))</definedName>
    <definedName name="Revisofirmas2" localSheetId="2">INDEX(#REF!,MATCH(+'Gradacion '!#REF!,#REF!,0))</definedName>
    <definedName name="revisofirmas2" localSheetId="13">INDEX([12]firmas!$C$28:$C$31,MATCH(#REF!,[12]firmas!$A$28:$A$31,0))</definedName>
    <definedName name="revisofirmas2" localSheetId="14">INDEX(#REF!,MATCH(#REF!,#REF!,0))</definedName>
    <definedName name="revisofirmas2" localSheetId="3">INDEX([16]firmas!$C$28:$C$31,MATCH(#REF!,[16]firmas!$A$28:$A$31,0))</definedName>
    <definedName name="revisofirmas2" localSheetId="9">INDEX([18]firmas!$C$28:$C$31,MATCH(#REF!,[18]firmas!$A$28:$A$31,0))</definedName>
    <definedName name="revisofirmas2" localSheetId="15">INDEX(#REF!,MATCH('[22]Gradacion '!$Q$46:$X$46,#REF!,0))</definedName>
    <definedName name="revisofirmas2" localSheetId="1">INDEX(#REF!,MATCH(#REF!,#REF!,0))</definedName>
    <definedName name="revisofirmas2" localSheetId="12">INDEX([9]firmas!$C$28:$C$31,MATCH('[9]Gradacion '!$Q$46:$X$46,[9]firmas!$A$28:$A$31,0))</definedName>
    <definedName name="revisofirmas2" localSheetId="6">INDEX([9]firmas!$C$28:$C$31,MATCH(#REF!,[9]firmas!$A$28:$A$31,0))</definedName>
    <definedName name="revisofirmas2">INDEX(#REF!,MATCH(#REF!,#REF!,0))</definedName>
    <definedName name="revisofirmas3" localSheetId="0">INDEX([17]firmas!$C$28:$C$31,MATCH('[24]CLASIFICACION M1'!$J$61:$M$61,[17]firmas!$A$28:$A$31,0))</definedName>
    <definedName name="revisofirmas3" localSheetId="10">INDEX([18]firmas!$C$28:$C$31,MATCH(#REF!,[18]firmas!$A$28:$A$31,0))</definedName>
    <definedName name="revisofirmas3" localSheetId="4">INDEX(#REF!,MATCH(#REF!,#REF!,0))</definedName>
    <definedName name="revisofirmas3" localSheetId="5">INDEX(#REF!,MATCH(#REF!,#REF!,0))</definedName>
    <definedName name="revisofirmas3" localSheetId="8">INDEX([9]firmas!$C$28:$C$31,MATCH([9]Desgaste!$L$38,[9]firmas!$A$28:$A$31,0))</definedName>
    <definedName name="revisofirmas3" localSheetId="7">INDEX([18]firmas!$C$28:$C$31,MATCH(#REF!,[18]firmas!$A$28:$A$31,0))</definedName>
    <definedName name="revisofirmas3" localSheetId="11">INDEX([18]firmas!$C$28:$C$31,MATCH(Desgaste!#REF!,[18]firmas!$A$28:$A$31,0))</definedName>
    <definedName name="revisofirmas3" localSheetId="13">INDEX([21]firmas!$C$28:$C$31,MATCH([21]Desgaste!$L$38,[21]firmas!$A$28:$A$31,0))</definedName>
    <definedName name="revisofirmas3" localSheetId="14">INDEX(#REF!,MATCH(#REF!,#REF!,0))</definedName>
    <definedName name="revisofirmas3" localSheetId="3">INDEX([16]firmas!$C$28:$C$31,MATCH([16]Desgaste!$L$38,[16]firmas!$A$28:$A$31,0))</definedName>
    <definedName name="revisofirmas3" localSheetId="9">INDEX([18]firmas!$C$28:$C$31,MATCH(#REF!,[18]firmas!$A$28:$A$31,0))</definedName>
    <definedName name="revisofirmas3" localSheetId="15">INDEX(#REF!,MATCH(#REF!,#REF!,0))</definedName>
    <definedName name="revisofirmas3" localSheetId="1">INDEX(#REF!,MATCH(#REF!,#REF!,0))</definedName>
    <definedName name="revisofirmas3" localSheetId="12">INDEX([9]firmas!$C$28:$C$31,MATCH([9]Desgaste!$L$38,[9]firmas!$A$28:$A$31,0))</definedName>
    <definedName name="revisofirmas3" localSheetId="6">INDEX([9]firmas!$C$28:$C$31,MATCH([9]Desgaste!$L$38,[9]firmas!$A$28:$A$31,0))</definedName>
    <definedName name="revisofirmas3">INDEX(#REF!,MATCH(#REF!,#REF!,0))</definedName>
    <definedName name="revisofirmas4" localSheetId="0">INDEX([17]firmas!$C$28:$C$31,MATCH(#REF!,[17]firmas!$A$28:$A$31,0))</definedName>
    <definedName name="revisofirmas4" localSheetId="10">INDEX([18]firmas!$C$28:$C$31,MATCH('[18]Microdeval '!$R$44,[18]firmas!$A$28:$A$31,0))</definedName>
    <definedName name="revisofirmas4" localSheetId="4">INDEX(#REF!,MATCH(#REF!,#REF!,0))</definedName>
    <definedName name="revisofirmas4" localSheetId="5">INDEX(#REF!,MATCH(#REF!,#REF!,0))</definedName>
    <definedName name="revisofirmas4" localSheetId="8">INDEX([9]firmas!$C$28:$C$31,MATCH('[9]Microdeval '!$R$44,[9]firmas!$A$28:$A$31,0))</definedName>
    <definedName name="revisofirmas4" localSheetId="7">INDEX([18]firmas!$C$28:$C$31,MATCH('[18]Microdeval '!$R$44,[18]firmas!$A$28:$A$31,0))</definedName>
    <definedName name="revisofirmas4" localSheetId="11">INDEX([18]firmas!$C$28:$C$31,MATCH('[18]Microdeval '!$R$44,[18]firmas!$A$28:$A$31,0))</definedName>
    <definedName name="revisofirmas4" localSheetId="13">INDEX([21]firmas!$C$28:$C$31,MATCH('[21]Microdeval '!$R$44,[21]firmas!$A$28:$A$31,0))</definedName>
    <definedName name="revisofirmas4" localSheetId="14">INDEX(#REF!,MATCH(#REF!,#REF!,0))</definedName>
    <definedName name="revisofirmas4" localSheetId="3">INDEX([16]firmas!$C$28:$C$31,MATCH('[16]Microdeval '!$R$44,[16]firmas!$A$28:$A$31,0))</definedName>
    <definedName name="revisofirmas4" localSheetId="9">INDEX([18]firmas!$C$28:$C$31,MATCH('Microdeval '!#REF!,[18]firmas!$A$28:$A$31,0))</definedName>
    <definedName name="revisofirmas4" localSheetId="15">INDEX(#REF!,MATCH('[22]Microdeval '!$R$44,#REF!,0))</definedName>
    <definedName name="revisofirmas4" localSheetId="1">INDEX(#REF!,MATCH('[23]Microdeval '!$R$44,#REF!,0))</definedName>
    <definedName name="revisofirmas4" localSheetId="12">INDEX([9]firmas!$C$28:$C$31,MATCH('[9]Microdeval '!$R$44,[9]firmas!$A$28:$A$31,0))</definedName>
    <definedName name="revisofirmas4" localSheetId="6">INDEX([9]firmas!$C$28:$C$31,MATCH('[9]Microdeval '!$R$44,[9]firmas!$A$28:$A$31,0))</definedName>
    <definedName name="revisofirmas4">INDEX(#REF!,MATCH(#REF!,#REF!,0))</definedName>
    <definedName name="revisofirmas5" localSheetId="0">INDEX('1. Encabezado'!$AF$8:$AF$19,MATCH('1. Encabezado'!$A$43,'1. Encabezado'!$AD$8:$AD$17,0))</definedName>
    <definedName name="revisofirmas5" localSheetId="10">INDEX([18]firmas!$C$28:$C$31,MATCH('10% De Finos (2)'!#REF!,[18]firmas!$A$28:$A$31,0))</definedName>
    <definedName name="revisofirmas5" localSheetId="4">INDEX(#REF!,MATCH(#REF!,#REF!,0))</definedName>
    <definedName name="revisofirmas5" localSheetId="5">INDEX(#REF!,MATCH(#REF!,#REF!,0))</definedName>
    <definedName name="revisofirmas5" localSheetId="8">INDEX([9]firmas!$C$28:$C$31,MATCH('[9]10% De Finos'!$F$23,[9]firmas!$A$28:$A$31,0))</definedName>
    <definedName name="revisofirmas5" localSheetId="7">INDEX([18]firmas!$C$28:$C$31,MATCH('[18]10% De Finos'!$F$23,[18]firmas!$A$28:$A$31,0))</definedName>
    <definedName name="revisofirmas5" localSheetId="11">INDEX([18]firmas!$C$28:$C$31,MATCH('[18]10% De Finos'!$F$23,[18]firmas!$A$28:$A$31,0))</definedName>
    <definedName name="revisofirmas5" localSheetId="13">INDEX([21]firmas!$C$28:$C$31,MATCH('[21]10% De Finos'!$F$23,[21]firmas!$A$28:$A$31,0))</definedName>
    <definedName name="revisofirmas5" localSheetId="14">INDEX(#REF!,MATCH(#REF!,#REF!,0))</definedName>
    <definedName name="revisofirmas5" localSheetId="3">INDEX([16]firmas!$C$28:$C$31,MATCH('[16]10% De Finos'!$F$23,[16]firmas!$A$28:$A$31,0))</definedName>
    <definedName name="revisofirmas5" localSheetId="9">INDEX([18]firmas!$C$28:$C$31,MATCH('[18]10% De Finos'!$F$23,[18]firmas!$A$28:$A$31,0))</definedName>
    <definedName name="revisofirmas5" localSheetId="15">INDEX(#REF!,MATCH('[22]10% De Finos'!$F$23,#REF!,0))</definedName>
    <definedName name="revisofirmas5" localSheetId="1">INDEX(#REF!,MATCH('[23]10% De Finos'!$F$23,#REF!,0))</definedName>
    <definedName name="revisofirmas5" localSheetId="12">INDEX([9]firmas!$C$28:$C$31,MATCH('[9]10% De Finos'!$F$23,[9]firmas!$A$28:$A$31,0))</definedName>
    <definedName name="revisofirmas5" localSheetId="6">INDEX([9]firmas!$C$28:$C$31,MATCH('[9]10% De Finos'!$F$23,[9]firmas!$A$28:$A$31,0))</definedName>
    <definedName name="revisofirmas5">INDEX(#REF!,MATCH(#REF!,#REF!,0))</definedName>
    <definedName name="revisofirmas6" localSheetId="0">INDEX([17]firmas!$C$28:$C$31,MATCH('[17]CLASIFICACION M2'!$J$61:$M$61,[17]firmas!$A$28:$A$31,0))</definedName>
    <definedName name="revisofirmas6" localSheetId="10">INDEX([18]firmas!$C$28:$C$31,MATCH([18]Solidez!$Q$47,[18]firmas!$A$28:$A$31,0))</definedName>
    <definedName name="revisofirmas6" localSheetId="4">INDEX(#REF!,MATCH(#REF!,#REF!,0))</definedName>
    <definedName name="revisofirmas6" localSheetId="5">INDEX(#REF!,MATCH(#REF!,#REF!,0))</definedName>
    <definedName name="revisofirmas6" localSheetId="8">INDEX([9]firmas!$C$28:$C$31,MATCH([9]Solidez!$Q$47,[9]firmas!$A$28:$A$31,0))</definedName>
    <definedName name="revisofirmas6" localSheetId="7">INDEX([18]firmas!$C$28:$C$31,MATCH([18]Solidez!$Q$47,[18]firmas!$A$28:$A$31,0))</definedName>
    <definedName name="revisofirmas6" localSheetId="11">INDEX([18]firmas!$C$28:$C$31,MATCH([18]Solidez!$Q$47,[18]firmas!$A$28:$A$31,0))</definedName>
    <definedName name="revisofirmas6" localSheetId="13">INDEX([21]firmas!$C$28:$C$31,MATCH(#REF!,[21]firmas!$A$28:$A$31,0))</definedName>
    <definedName name="revisofirmas6" localSheetId="14">INDEX(#REF!,MATCH(#REF!,#REF!,0))</definedName>
    <definedName name="revisofirmas6" localSheetId="3">INDEX([16]firmas!$C$28:$C$31,MATCH(#REF!,[16]firmas!$A$28:$A$31,0))</definedName>
    <definedName name="revisofirmas6" localSheetId="9">INDEX([18]firmas!$C$28:$C$31,MATCH([18]Solidez!$Q$47,[18]firmas!$A$28:$A$31,0))</definedName>
    <definedName name="revisofirmas6" localSheetId="15">INDEX(#REF!,MATCH([22]Solidez!$Q$47,#REF!,0))</definedName>
    <definedName name="revisofirmas6" localSheetId="1">INDEX(#REF!,MATCH([23]Solidez!$Q$47,#REF!,0))</definedName>
    <definedName name="revisofirmas6" localSheetId="12">INDEX([9]firmas!$C$28:$C$31,MATCH(Solidez!#REF!,[9]firmas!$A$28:$A$31,0))</definedName>
    <definedName name="revisofirmas6" localSheetId="6">INDEX([9]firmas!$C$28:$C$31,MATCH([9]Solidez!$Q$47,[9]firmas!$A$28:$A$31,0))</definedName>
    <definedName name="revisofirmas6">INDEX(#REF!,MATCH(#REF!,#REF!,0))</definedName>
    <definedName name="revisofirmas7" localSheetId="0">INDEX([17]firmas!$C$28:$C$31,MATCH('[17]M.O.  M2'!$F$27:$H$27,[17]firmas!$A$28:$A$31,0))</definedName>
    <definedName name="revisofirmas7" localSheetId="10">INDEX([18]firmas!$C$28:$C$31,MATCH([18]LIMITES!$F$47,[18]firmas!$A$28:$A$31,0))</definedName>
    <definedName name="revisofirmas7" localSheetId="4">INDEX(#REF!,MATCH('5. Limites M1'!#REF!,#REF!,0))</definedName>
    <definedName name="revisofirmas7" localSheetId="5">INDEX(#REF!,MATCH(#REF!,#REF!,0))</definedName>
    <definedName name="revisofirmas7" localSheetId="8">INDEX([9]firmas!$C$28:$C$31,MATCH([9]LIMITES!$F$47,[9]firmas!$A$28:$A$31,0))</definedName>
    <definedName name="revisofirmas7" localSheetId="7">INDEX([18]firmas!$C$28:$C$31,MATCH([18]LIMITES!$F$47,[18]firmas!$A$28:$A$31,0))</definedName>
    <definedName name="revisofirmas7" localSheetId="11">INDEX([18]firmas!$C$28:$C$31,MATCH([18]LIMITES!$F$47,[18]firmas!$A$28:$A$31,0))</definedName>
    <definedName name="revisofirmas7" localSheetId="13">INDEX([21]firmas!$C$28:$C$31,MATCH([21]LIMITES!$F$47,[21]firmas!$A$28:$A$31,0))</definedName>
    <definedName name="revisofirmas7" localSheetId="14">INDEX(#REF!,MATCH(#REF!,#REF!,0))</definedName>
    <definedName name="revisofirmas7" localSheetId="3">INDEX([16]firmas!$C$28:$C$31,MATCH(#REF!,[16]firmas!$A$28:$A$31,0))</definedName>
    <definedName name="revisofirmas7" localSheetId="9">INDEX([18]firmas!$C$28:$C$31,MATCH([18]LIMITES!$F$47,[18]firmas!$A$28:$A$31,0))</definedName>
    <definedName name="revisofirmas7" localSheetId="15">INDEX(#REF!,MATCH(#REF!,#REF!,0))</definedName>
    <definedName name="revisofirmas7" localSheetId="1">INDEX(#REF!,MATCH(#REF!,#REF!,0))</definedName>
    <definedName name="revisofirmas7" localSheetId="12">INDEX([9]firmas!$C$28:$C$31,MATCH([9]LIMITES!$F$47,[9]firmas!$A$28:$A$31,0))</definedName>
    <definedName name="revisofirmas7" localSheetId="6">INDEX([9]firmas!$C$28:$C$31,MATCH(#REF!,[9]firmas!$A$28:$A$31,0))</definedName>
    <definedName name="revisofirmas7">INDEX(#REF!,MATCH(#REF!,#REF!,0))</definedName>
    <definedName name="revisofirmas8" localSheetId="0">INDEX([17]firmas!$C$28:$C$31,MATCH('[17]CLASIFICACION M3'!$J$61:$M$61,[17]firmas!$A$28:$A$31,0))</definedName>
    <definedName name="revisofirmas8" localSheetId="10">INDEX([18]firmas!$C$28:$C$31,MATCH([18]EQUIVALENTE!$G$29,[18]firmas!$A$28:$A$31,0))</definedName>
    <definedName name="revisofirmas8" localSheetId="4">INDEX(#REF!,MATCH(#REF!,#REF!,0))</definedName>
    <definedName name="revisofirmas8" localSheetId="5">INDEX([19]firmas!$C$28:$C$31,MATCH([19]EQUIVALENTE!$G$29,[19]firmas!$A$28:$A$31,0))</definedName>
    <definedName name="revisofirmas8" localSheetId="8">INDEX([9]firmas!$C$28:$C$31,MATCH([9]EQUIVALENTE!$G$29,[9]firmas!$A$28:$A$31,0))</definedName>
    <definedName name="revisofirmas8" localSheetId="7">INDEX([18]firmas!$C$28:$C$31,MATCH([18]EQUIVALENTE!$G$29,[18]firmas!$A$28:$A$31,0))</definedName>
    <definedName name="revisofirmas8" localSheetId="11">INDEX([18]firmas!$C$28:$C$31,MATCH([18]EQUIVALENTE!$G$29,[18]firmas!$A$28:$A$31,0))</definedName>
    <definedName name="revisofirmas8" localSheetId="13">INDEX([21]firmas!$C$28:$C$31,MATCH([21]EQUIVALENTE!$G$29,[21]firmas!$A$28:$A$31,0))</definedName>
    <definedName name="revisofirmas8" localSheetId="14">INDEX(#REF!,MATCH(#REF!,#REF!,0))</definedName>
    <definedName name="revisofirmas8" localSheetId="3">INDEX([19]firmas!$C$28:$C$31,MATCH([19]EQUIVALENTE!$G$29,[19]firmas!$A$28:$A$31,0))</definedName>
    <definedName name="revisofirmas8" localSheetId="9">INDEX([18]firmas!$C$28:$C$31,MATCH([18]EQUIVALENTE!$G$29,[18]firmas!$A$28:$A$31,0))</definedName>
    <definedName name="revisofirmas8" localSheetId="15">INDEX(#REF!,MATCH(#REF!,#REF!,0))</definedName>
    <definedName name="revisofirmas8" localSheetId="1">INDEX(#REF!,MATCH(#REF!,#REF!,0))</definedName>
    <definedName name="revisofirmas8">INDEX([19]firmas!$C$28:$C$31,MATCH([19]EQUIVALENTE!$G$29,[19]firmas!$A$28:$A$31,0))</definedName>
    <definedName name="revisofirmas9" localSheetId="0">INDEX([17]firmas!$C$28:$C$31,MATCH('[17]M.O.  M3'!$F$27:$H$27,[17]firmas!$A$28:$A$31,0))</definedName>
    <definedName name="revisofirmas9" localSheetId="10">INDEX([18]firmas!$C$28:$C$31,MATCH('[18]TERRONES DE ARCILLA'!$F$27,[18]firmas!$A$28:$A$31,0))</definedName>
    <definedName name="revisofirmas9" localSheetId="4">INDEX(#REF!,MATCH(#REF!,#REF!,0))</definedName>
    <definedName name="revisofirmas9" localSheetId="5">INDEX(#REF!,MATCH(#REF!,#REF!,0))</definedName>
    <definedName name="revisofirmas9" localSheetId="8">INDEX([9]firmas!$C$28:$C$31,MATCH('[9]TERRONES DE ARCILLA'!$F$27,[9]firmas!$A$28:$A$31,0))</definedName>
    <definedName name="revisofirmas9" localSheetId="7">INDEX([18]firmas!$C$28:$C$31,MATCH('[18]TERRONES DE ARCILLA'!$F$27,[18]firmas!$A$28:$A$31,0))</definedName>
    <definedName name="revisofirmas9" localSheetId="11">INDEX([18]firmas!$C$28:$C$31,MATCH('[18]TERRONES DE ARCILLA'!$F$27,[18]firmas!$A$28:$A$31,0))</definedName>
    <definedName name="revisofirmas9" localSheetId="13">INDEX([21]firmas!$C$28:$C$31,MATCH('[21]TERRONES DE ARCILLA'!$F$27,[21]firmas!$A$28:$A$31,0))</definedName>
    <definedName name="revisofirmas9" localSheetId="14">INDEX(#REF!,MATCH(#REF!,#REF!,0))</definedName>
    <definedName name="revisofirmas9" localSheetId="3">INDEX([16]firmas!$C$28:$C$31,MATCH(#REF!,[16]firmas!$A$28:$A$31,0))</definedName>
    <definedName name="revisofirmas9" localSheetId="9">INDEX([18]firmas!$C$28:$C$31,MATCH('[18]TERRONES DE ARCILLA'!$F$27,[18]firmas!$A$28:$A$31,0))</definedName>
    <definedName name="revisofirmas9" localSheetId="15">INDEX(#REF!,MATCH(#REF!,#REF!,0))</definedName>
    <definedName name="revisofirmas9" localSheetId="1">INDEX(#REF!,MATCH(#REF!,#REF!,0))</definedName>
    <definedName name="revisofirmas9" localSheetId="12">INDEX([9]firmas!$C$28:$C$31,MATCH('[9]TERRONES DE ARCILLA'!$F$27,[9]firmas!$A$28:$A$31,0))</definedName>
    <definedName name="revisofirmas9" localSheetId="6">INDEX([9]firmas!$C$28:$C$31,MATCH('TERRONES DE ARCILLA (2)'!#REF!,[9]firmas!$A$28:$A$31,0))</definedName>
    <definedName name="revisofirmas9">INDEX(#REF!,MATCH(#REF!,#REF!,0))</definedName>
    <definedName name="revisofirmasD" localSheetId="0">INDEX([26]firmas!$C$28:$C$31,MATCH('[26]Desgaste '!$M$36:$S$36,[26]firmas!$A$28:$A$31,0))</definedName>
    <definedName name="revisofirmasD" localSheetId="4">INDEX(#REF!,MATCH(#REF!,#REF!,0))</definedName>
    <definedName name="revisofirmasD" localSheetId="5">INDEX([27]firmas!$C$28:$C$31,MATCH('[27]Desgaste '!$M$36:$S$36,[27]firmas!$A$28:$A$31,0))</definedName>
    <definedName name="revisofirmasD" localSheetId="3">INDEX([27]firmas!$C$28:$C$31,MATCH('[27]Desgaste '!$M$36:$S$36,[27]firmas!$A$28:$A$31,0))</definedName>
    <definedName name="revisofirmasD">INDEX([27]firmas!$C$28:$C$31,MATCH('[27]Desgaste '!$M$36:$S$36,[27]firmas!$A$28:$A$31,0))</definedName>
    <definedName name="revisofirmasH" localSheetId="0">INDEX([36]firmas!$C$28:$C$31,MATCH(#REF!,[36]firmas!$A$28:$A$31,0))</definedName>
    <definedName name="revisofirmasH" localSheetId="13">INDEX([36]firmas!$C$28:$C$31,MATCH(#REF!,[36]firmas!$A$28:$A$31,0))</definedName>
    <definedName name="revisofirmasH" localSheetId="14">INDEX([36]firmas!$C$28:$C$31,MATCH(#REF!,[36]firmas!$A$28:$A$31,0))</definedName>
    <definedName name="revisofirmasH" localSheetId="3">INDEX([36]firmas!$C$28:$C$31,MATCH(#REF!,[36]firmas!$A$28:$A$31,0))</definedName>
    <definedName name="revisofirmasH" localSheetId="6">INDEX([36]firmas!$C$28:$C$31,MATCH(#REF!,[36]firmas!$A$28:$A$31,0))</definedName>
    <definedName name="revisofirmasH">INDEX([36]firmas!$C$28:$C$31,MATCH(#REF!,[36]firmas!$A$28:$A$31,0))</definedName>
    <definedName name="revisofirmasI" localSheetId="13">INDEX(#REF!,MATCH('INV 222-13 '!#REF!,#REF!,0))</definedName>
    <definedName name="revisofirmasI" localSheetId="14">INDEX(#REF!,MATCH('INV 223-13 '!#REF!,#REF!,0))</definedName>
    <definedName name="revisofirmasL" localSheetId="3">INDEX([28]firmas!$C$28:$C$31,MATCH('Lavado tamiz N°200 '!#REF!,[28]firmas!$A$28:$A$31,0))</definedName>
    <definedName name="revisofirmasMO" localSheetId="0">INDEX([9]firmas!$C$28:$C$31,MATCH([9]COLORIMETRIA!$G$31,[9]firmas!$A$28:$A$31,0))</definedName>
    <definedName name="revisofirmasMO" localSheetId="5">INDEX(#REF!,MATCH(#REF!,#REF!,0))</definedName>
    <definedName name="revisofirmasMO" localSheetId="13">INDEX(#REF!,MATCH(#REF!,#REF!,0))</definedName>
    <definedName name="revisofirmasMO" localSheetId="14">INDEX([16]firmas!$C$28:$C$31,MATCH([16]COLORIMETRIA!$G$31,[16]firmas!$A$28:$A$31,0))</definedName>
    <definedName name="revisofirmasMO" localSheetId="3">INDEX([16]firmas!$C$28:$C$31,MATCH(#REF!,[16]firmas!$A$28:$A$31,0))</definedName>
    <definedName name="revisofirmasMO" localSheetId="1">INDEX([16]firmas!$C$28:$C$31,MATCH([16]COLORIMETRIA!$G$31,[16]firmas!$A$28:$A$31,0))</definedName>
    <definedName name="revisofirmasMO" localSheetId="12">INDEX([9]firmas!$C$28:$C$31,MATCH([9]COLORIMETRIA!$G$31,[9]firmas!$A$28:$A$31,0))</definedName>
    <definedName name="revisofirmasMO" localSheetId="6">INDEX([9]firmas!$C$28:$C$31,MATCH(#REF!,[9]firmas!$A$28:$A$31,0))</definedName>
    <definedName name="revisofirmasMO">INDEX(#REF!,MATCH(#REF!,#REF!,0))</definedName>
    <definedName name="RevisoMO_M2" localSheetId="0">INDEX([15]firmas!$C$26:$C$29,MATCH('[15]M.O.  M2'!$F$29:$H$29,[15]firmas!$A$26:$A$29,0))</definedName>
    <definedName name="RevisoMO_M2">INDEX([29]firmas!$C$26:$C$29,MATCH('[29]M.O.  M2'!$F$29:$H$29,[29]firmas!$A$26:$A$29,0))</definedName>
    <definedName name="RevisoMO_M3" localSheetId="0">INDEX([15]firmas!$C$26:$C$29,MATCH('[15]M.O.  M3'!$F$29:$H$29,[15]firmas!$A$26:$A$29,0))</definedName>
    <definedName name="RevisoMO_M3">INDEX([29]firmas!$C$26:$C$29,MATCH('[29]M.O.  M3'!$F$29:$H$29,[29]firmas!$A$26:$A$29,0))</definedName>
    <definedName name="revisonombres" localSheetId="0">[17]firmas!$A$28:$A$31</definedName>
    <definedName name="revisonombres" localSheetId="10">[18]firmas!$A$28:$A$31</definedName>
    <definedName name="revisonombres" localSheetId="4">#REF!</definedName>
    <definedName name="revisonombres" localSheetId="5">#REF!</definedName>
    <definedName name="revisonombres" localSheetId="8">[9]firmas!$A$28:$A$31</definedName>
    <definedName name="revisonombres" localSheetId="7">[18]firmas!$A$28:$A$31</definedName>
    <definedName name="revisonombres" localSheetId="11">[18]firmas!$A$28:$A$31</definedName>
    <definedName name="revisonombres" localSheetId="13">[30]firmas!$A$28:$A$31</definedName>
    <definedName name="revisonombres" localSheetId="14">[31]firmas!$A$28:$A$31</definedName>
    <definedName name="revisonombres" localSheetId="3">[32]firmas!$A$28:$A$31</definedName>
    <definedName name="revisonombres" localSheetId="9">[18]firmas!$A$28:$A$31</definedName>
    <definedName name="revisonombres" localSheetId="15">#REF!</definedName>
    <definedName name="revisonombres" localSheetId="12">[9]firmas!$A$28:$A$31</definedName>
    <definedName name="revisonombres" localSheetId="6">[9]firmas!$A$28:$A$31</definedName>
    <definedName name="revisonombres">#REF!</definedName>
    <definedName name="VARGAS_PABLO" localSheetId="13">'[13]Formato '!#REF!</definedName>
    <definedName name="VARGAS_PABLO" localSheetId="14">'[13]Formato '!#REF!</definedName>
    <definedName name="VARGAS_PABLO" localSheetId="6">'[13]Formato '!#REF!</definedName>
    <definedName name="VARGAS_PABLO">'[13]Formato '!#REF!</definedName>
  </definedNames>
  <calcPr calcId="162913"/>
  <customWorkbookViews>
    <customWorkbookView name="Bernardo Valderrama - Vista personalizada" guid="{F1901233-A0CA-4ED4-999B-866A13B1821D}" mergeInterval="0" personalView="1" maximized="1" windowWidth="1356" windowHeight="542" tabRatio="796" activeSheetId="2"/>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1" i="59" l="1"/>
  <c r="BT28" i="58" l="1"/>
  <c r="BT22" i="58"/>
  <c r="BT16" i="58"/>
  <c r="CD28" i="58"/>
  <c r="CD22" i="58"/>
  <c r="CK32" i="58"/>
  <c r="CK26" i="58"/>
  <c r="CK20" i="58"/>
  <c r="BZ32" i="58"/>
  <c r="BK28" i="58"/>
  <c r="BK22" i="58"/>
  <c r="BP32" i="58"/>
  <c r="BK16" i="58"/>
  <c r="BU2" i="58" l="1"/>
  <c r="CD16" i="58" s="1"/>
  <c r="BC28" i="58"/>
  <c r="BC22" i="58"/>
  <c r="BC16" i="58"/>
  <c r="BK4" i="58"/>
  <c r="BK5" i="58"/>
  <c r="BK6" i="58"/>
  <c r="BK7" i="58"/>
  <c r="BK8" i="58"/>
  <c r="BK9" i="58"/>
  <c r="BK10" i="58"/>
  <c r="BK11" i="58"/>
  <c r="BK12" i="58"/>
  <c r="BK13" i="58"/>
  <c r="BK14" i="58"/>
  <c r="BK3" i="58"/>
  <c r="BJ4" i="58"/>
  <c r="BJ5" i="58"/>
  <c r="BJ6" i="58"/>
  <c r="BJ7" i="58"/>
  <c r="BJ8" i="58"/>
  <c r="BJ9" i="58"/>
  <c r="BJ10" i="58"/>
  <c r="BJ11" i="58"/>
  <c r="BJ12" i="58"/>
  <c r="BJ13" i="58"/>
  <c r="BJ14" i="58"/>
  <c r="BJ3" i="58"/>
  <c r="BI4" i="58"/>
  <c r="BI5" i="58"/>
  <c r="BI6" i="58"/>
  <c r="BI7" i="58"/>
  <c r="BI8" i="58"/>
  <c r="BI9" i="58"/>
  <c r="BI10" i="58"/>
  <c r="BI11" i="58"/>
  <c r="BI12" i="58"/>
  <c r="BI13" i="58"/>
  <c r="BI14" i="58"/>
  <c r="BI3" i="58"/>
  <c r="BB14" i="58"/>
  <c r="BC14" i="58" s="1"/>
  <c r="BB13" i="58"/>
  <c r="BC13" i="58" s="1"/>
  <c r="BB12" i="58"/>
  <c r="BC12" i="58" s="1"/>
  <c r="BB11" i="58"/>
  <c r="BD11" i="58" s="1"/>
  <c r="BB10" i="58"/>
  <c r="BC10" i="58" s="1"/>
  <c r="BB9" i="58"/>
  <c r="BC9" i="58" s="1"/>
  <c r="BB8" i="58"/>
  <c r="BC8" i="58" s="1"/>
  <c r="BB7" i="58"/>
  <c r="BD7" i="58" s="1"/>
  <c r="BB6" i="58"/>
  <c r="BC6" i="58" s="1"/>
  <c r="BB5" i="58"/>
  <c r="BC5" i="58" s="1"/>
  <c r="BB4" i="58"/>
  <c r="BB3" i="58"/>
  <c r="BC4" i="58" l="1"/>
  <c r="BC3" i="58"/>
  <c r="BT18" i="58" s="1" a="1"/>
  <c r="BE4" i="58"/>
  <c r="BF14" i="58"/>
  <c r="BE13" i="58"/>
  <c r="BF4" i="58"/>
  <c r="BF10" i="58"/>
  <c r="BG4" i="58"/>
  <c r="BE9" i="58"/>
  <c r="BE14" i="58"/>
  <c r="BG12" i="58"/>
  <c r="BF11" i="58"/>
  <c r="BE10" i="58"/>
  <c r="BG8" i="58"/>
  <c r="BF7" i="58"/>
  <c r="BE5" i="58"/>
  <c r="BF5" i="58"/>
  <c r="BG5" i="58"/>
  <c r="BG11" i="58"/>
  <c r="BG7" i="58"/>
  <c r="BG13" i="58"/>
  <c r="BF12" i="58"/>
  <c r="BE11" i="58"/>
  <c r="BG9" i="58"/>
  <c r="BF8" i="58"/>
  <c r="BE7" i="58"/>
  <c r="BE6" i="58"/>
  <c r="BF6" i="58"/>
  <c r="BG6" i="58"/>
  <c r="BG14" i="58"/>
  <c r="BF13" i="58"/>
  <c r="BE12" i="58"/>
  <c r="BG10" i="58"/>
  <c r="BF9" i="58"/>
  <c r="BE8" i="58"/>
  <c r="BE3" i="58"/>
  <c r="BF3" i="58"/>
  <c r="BG3" i="58"/>
  <c r="BD13" i="58"/>
  <c r="BD9" i="58"/>
  <c r="BD5" i="58"/>
  <c r="BD3" i="58"/>
  <c r="BC11" i="58"/>
  <c r="BC7" i="58"/>
  <c r="BK30" i="58" s="1" a="1"/>
  <c r="BD14" i="58"/>
  <c r="BD12" i="58"/>
  <c r="BD10" i="58"/>
  <c r="BD8" i="58"/>
  <c r="BD6" i="58"/>
  <c r="BD4" i="58"/>
  <c r="H30" i="59"/>
  <c r="H22" i="59"/>
  <c r="H21" i="59"/>
  <c r="H20" i="59"/>
  <c r="H19" i="59"/>
  <c r="H10" i="59"/>
  <c r="BU18" i="58" l="1"/>
  <c r="BT19" i="58"/>
  <c r="BV19" i="58"/>
  <c r="BY19" i="58"/>
  <c r="BU20" i="58"/>
  <c r="BT20" i="58"/>
  <c r="BV18" i="58"/>
  <c r="BX18" i="58"/>
  <c r="BU19" i="58"/>
  <c r="BW19" i="58"/>
  <c r="BX19" i="58"/>
  <c r="BY20" i="58"/>
  <c r="BV20" i="58"/>
  <c r="BX20" i="58"/>
  <c r="BT18" i="58"/>
  <c r="BW18" i="58"/>
  <c r="BY18" i="58"/>
  <c r="BW20" i="58"/>
  <c r="BT30" i="58" a="1"/>
  <c r="CD24" i="58" a="1"/>
  <c r="CD18" i="58" a="1"/>
  <c r="CD30" i="58" a="1"/>
  <c r="BT24" i="58" a="1"/>
  <c r="BK30" i="58"/>
  <c r="BL32" i="58"/>
  <c r="BK32" i="58"/>
  <c r="BO31" i="58"/>
  <c r="BN31" i="58"/>
  <c r="BN32" i="58"/>
  <c r="BM31" i="58"/>
  <c r="BL31" i="58"/>
  <c r="BK31" i="58"/>
  <c r="BO30" i="58"/>
  <c r="BO32" i="58"/>
  <c r="BN30" i="58"/>
  <c r="BM30" i="58"/>
  <c r="BL30" i="58"/>
  <c r="BM32" i="58"/>
  <c r="BK18" i="58" a="1"/>
  <c r="BK24" i="58" a="1"/>
  <c r="CD18" i="58"/>
  <c r="CD19" i="58"/>
  <c r="CG19" i="58"/>
  <c r="CJ19" i="58"/>
  <c r="CJ20" i="58"/>
  <c r="CI20" i="58"/>
  <c r="CG18" i="58"/>
  <c r="CJ18" i="58"/>
  <c r="CF19" i="58"/>
  <c r="CF20" i="58"/>
  <c r="CD20" i="58"/>
  <c r="CE18" i="58"/>
  <c r="CE20" i="58"/>
  <c r="CH20" i="58"/>
  <c r="CF18" i="58"/>
  <c r="CI18" i="58"/>
  <c r="CI19" i="58"/>
  <c r="CH19" i="58"/>
  <c r="CG20" i="58"/>
  <c r="CE19" i="58"/>
  <c r="CH18" i="58"/>
  <c r="BC18" i="58" a="1"/>
  <c r="BF18" i="58" s="1"/>
  <c r="BC24" i="58" a="1"/>
  <c r="BC24" i="58" s="1"/>
  <c r="BC30" i="58" a="1"/>
  <c r="G21" i="59"/>
  <c r="G20" i="59"/>
  <c r="G19" i="59"/>
  <c r="G10" i="59"/>
  <c r="F21" i="59"/>
  <c r="F20" i="59"/>
  <c r="F19" i="59"/>
  <c r="F10" i="59"/>
  <c r="G11" i="58"/>
  <c r="F13" i="58"/>
  <c r="D13" i="58"/>
  <c r="B13" i="58"/>
  <c r="BE36" i="58" l="1"/>
  <c r="CD24" i="58"/>
  <c r="CE26" i="58"/>
  <c r="CH26" i="58"/>
  <c r="CF24" i="58"/>
  <c r="CI24" i="58"/>
  <c r="CI25" i="58"/>
  <c r="CF25" i="58"/>
  <c r="CH25" i="58"/>
  <c r="CD26" i="58"/>
  <c r="CG26" i="58"/>
  <c r="CE24" i="58"/>
  <c r="CE25" i="58"/>
  <c r="CI26" i="58"/>
  <c r="CJ24" i="58"/>
  <c r="CD25" i="58"/>
  <c r="CG25" i="58"/>
  <c r="CJ25" i="58"/>
  <c r="CJ26" i="58"/>
  <c r="CH24" i="58"/>
  <c r="CG24" i="58"/>
  <c r="CF26" i="58"/>
  <c r="BT24" i="58"/>
  <c r="BW24" i="58"/>
  <c r="BV24" i="58"/>
  <c r="BY24" i="58"/>
  <c r="BV25" i="58"/>
  <c r="BU25" i="58"/>
  <c r="BW25" i="58"/>
  <c r="BW26" i="58"/>
  <c r="BV26" i="58"/>
  <c r="BY26" i="58"/>
  <c r="BU24" i="58"/>
  <c r="BX24" i="58"/>
  <c r="BT25" i="58"/>
  <c r="BY25" i="58"/>
  <c r="BX25" i="58"/>
  <c r="BU26" i="58"/>
  <c r="BX26" i="58"/>
  <c r="BT26" i="58"/>
  <c r="BE37" i="58" s="1"/>
  <c r="BT30" i="58"/>
  <c r="BW32" i="58"/>
  <c r="BV32" i="58"/>
  <c r="BY32" i="58"/>
  <c r="BU30" i="58"/>
  <c r="BX30" i="58"/>
  <c r="BV30" i="58"/>
  <c r="BY31" i="58"/>
  <c r="BX31" i="58"/>
  <c r="BU32" i="58"/>
  <c r="BX32" i="58"/>
  <c r="BY30" i="58"/>
  <c r="BU31" i="58"/>
  <c r="BT31" i="58"/>
  <c r="BW31" i="58"/>
  <c r="BT32" i="58"/>
  <c r="BD38" i="58" s="1"/>
  <c r="BD42" i="58" s="1"/>
  <c r="BW30" i="58"/>
  <c r="BV31" i="58"/>
  <c r="BR4" i="58"/>
  <c r="BR8" i="58"/>
  <c r="BR12" i="58"/>
  <c r="BR5" i="58"/>
  <c r="BR9" i="58"/>
  <c r="BR13" i="58"/>
  <c r="BR6" i="58"/>
  <c r="BR10" i="58"/>
  <c r="BR14" i="58"/>
  <c r="BR7" i="58"/>
  <c r="BR11" i="58"/>
  <c r="BR3" i="58"/>
  <c r="CD30" i="58"/>
  <c r="CE32" i="58"/>
  <c r="CH32" i="58"/>
  <c r="CF30" i="58"/>
  <c r="CI30" i="58"/>
  <c r="CI31" i="58"/>
  <c r="CI32" i="58"/>
  <c r="CF32" i="58"/>
  <c r="CH31" i="58"/>
  <c r="CD32" i="58"/>
  <c r="CG32" i="58"/>
  <c r="CE30" i="58"/>
  <c r="CE31" i="58"/>
  <c r="CJ30" i="58"/>
  <c r="CD31" i="58"/>
  <c r="CG31" i="58"/>
  <c r="CJ31" i="58"/>
  <c r="CJ32" i="58"/>
  <c r="CH30" i="58"/>
  <c r="CG30" i="58"/>
  <c r="CF31" i="58"/>
  <c r="BQ4" i="58"/>
  <c r="BQ8" i="58"/>
  <c r="BQ12" i="58"/>
  <c r="BQ5" i="58"/>
  <c r="BQ9" i="58"/>
  <c r="BQ13" i="58"/>
  <c r="BQ6" i="58"/>
  <c r="BQ10" i="58"/>
  <c r="BQ14" i="58"/>
  <c r="BQ7" i="58"/>
  <c r="BQ11" i="58"/>
  <c r="BQ3" i="58"/>
  <c r="BU5" i="58"/>
  <c r="BU3" i="58"/>
  <c r="BN18" i="58"/>
  <c r="BO20" i="58"/>
  <c r="BN20" i="58"/>
  <c r="BM20" i="58"/>
  <c r="BL20" i="58"/>
  <c r="BM18" i="58"/>
  <c r="BK18" i="58"/>
  <c r="BK20" i="58"/>
  <c r="BD36" i="58" s="1"/>
  <c r="BO19" i="58"/>
  <c r="BN19" i="58"/>
  <c r="BM19" i="58"/>
  <c r="BL18" i="58"/>
  <c r="BL19" i="58"/>
  <c r="BK19" i="58"/>
  <c r="BO18" i="58"/>
  <c r="BK24" i="58"/>
  <c r="BN24" i="58"/>
  <c r="BM24" i="58"/>
  <c r="BL24" i="58"/>
  <c r="BL25" i="58"/>
  <c r="BK25" i="58"/>
  <c r="BO26" i="58"/>
  <c r="BN26" i="58"/>
  <c r="BM26" i="58"/>
  <c r="BM25" i="58"/>
  <c r="BO24" i="58"/>
  <c r="BL26" i="58"/>
  <c r="BK26" i="58"/>
  <c r="BD37" i="58" s="1"/>
  <c r="BO25" i="58"/>
  <c r="BN25" i="58"/>
  <c r="BU7" i="58"/>
  <c r="BU11" i="58"/>
  <c r="BU14" i="58"/>
  <c r="BU4" i="58"/>
  <c r="BU8" i="58"/>
  <c r="BU12" i="58"/>
  <c r="BU9" i="58"/>
  <c r="BU13" i="58"/>
  <c r="BU6" i="58"/>
  <c r="BU10" i="58"/>
  <c r="BF25" i="58"/>
  <c r="BE24" i="58"/>
  <c r="BD20" i="58"/>
  <c r="BD19" i="58"/>
  <c r="BC26" i="58"/>
  <c r="BD25" i="58"/>
  <c r="BF19" i="58"/>
  <c r="BF20" i="58"/>
  <c r="BE26" i="58"/>
  <c r="BD24" i="58"/>
  <c r="BM7" i="58" s="1"/>
  <c r="BF26" i="58"/>
  <c r="BE18" i="58"/>
  <c r="BD18" i="58"/>
  <c r="BC25" i="58"/>
  <c r="BF24" i="58"/>
  <c r="BC19" i="58"/>
  <c r="BC18" i="58"/>
  <c r="BL3" i="58" s="1"/>
  <c r="BE19" i="58"/>
  <c r="BE25" i="58"/>
  <c r="BD26" i="58"/>
  <c r="BC20" i="58"/>
  <c r="BC36" i="58" s="1"/>
  <c r="BE20" i="58"/>
  <c r="BL11" i="58"/>
  <c r="BL4" i="58"/>
  <c r="BL12" i="58"/>
  <c r="BL10" i="58"/>
  <c r="BL5" i="58"/>
  <c r="BL13" i="58"/>
  <c r="BL6" i="58"/>
  <c r="BL14" i="58"/>
  <c r="BD30" i="58"/>
  <c r="BC30" i="58"/>
  <c r="BC32" i="58"/>
  <c r="BC38" i="58" s="1"/>
  <c r="BF30" i="58"/>
  <c r="BF32" i="58"/>
  <c r="BC31" i="58"/>
  <c r="BF31" i="58"/>
  <c r="BE31" i="58"/>
  <c r="BE32" i="58"/>
  <c r="BD31" i="58"/>
  <c r="BE30" i="58"/>
  <c r="BD32" i="58"/>
  <c r="AT25" i="58"/>
  <c r="AR25" i="58"/>
  <c r="BC40" i="58" l="1"/>
  <c r="BC37" i="58"/>
  <c r="BD41" i="58"/>
  <c r="BM12" i="58"/>
  <c r="BM3" i="58"/>
  <c r="BE38" i="58"/>
  <c r="BF37" i="58"/>
  <c r="BF41" i="58" s="1"/>
  <c r="BF36" i="58"/>
  <c r="BF40" i="58" s="1"/>
  <c r="BE40" i="58"/>
  <c r="BT4" i="58"/>
  <c r="BT8" i="58"/>
  <c r="BT12" i="58"/>
  <c r="BT5" i="58"/>
  <c r="BT9" i="58"/>
  <c r="BT13" i="58"/>
  <c r="BT6" i="58"/>
  <c r="BT10" i="58"/>
  <c r="BT14" i="58"/>
  <c r="BT7" i="58"/>
  <c r="BT11" i="58"/>
  <c r="BT3" i="58"/>
  <c r="BO4" i="58"/>
  <c r="BD40" i="58" s="1"/>
  <c r="BO8" i="58"/>
  <c r="BO12" i="58"/>
  <c r="BO5" i="58"/>
  <c r="BO9" i="58"/>
  <c r="BO13" i="58"/>
  <c r="BO6" i="58"/>
  <c r="BO10" i="58"/>
  <c r="BO14" i="58"/>
  <c r="BO7" i="58"/>
  <c r="BO11" i="58"/>
  <c r="BO3" i="58"/>
  <c r="BW7" i="58"/>
  <c r="BW11" i="58"/>
  <c r="BW3" i="58"/>
  <c r="BW4" i="58"/>
  <c r="BZ20" i="58" s="1"/>
  <c r="BW8" i="58"/>
  <c r="BW12" i="58"/>
  <c r="BW5" i="58"/>
  <c r="BW9" i="58"/>
  <c r="BW13" i="58"/>
  <c r="BW6" i="58"/>
  <c r="BW10" i="58"/>
  <c r="BZ26" i="58" s="1"/>
  <c r="BW14" i="58"/>
  <c r="BS4" i="58"/>
  <c r="BE41" i="58" s="1"/>
  <c r="BS8" i="58"/>
  <c r="BS12" i="58"/>
  <c r="BS5" i="58"/>
  <c r="BS9" i="58"/>
  <c r="BS13" i="58"/>
  <c r="BS6" i="58"/>
  <c r="BS10" i="58"/>
  <c r="BS14" i="58"/>
  <c r="BS7" i="58"/>
  <c r="BS11" i="58"/>
  <c r="BS3" i="58"/>
  <c r="BP4" i="58"/>
  <c r="BP8" i="58"/>
  <c r="BP12" i="58"/>
  <c r="BP5" i="58"/>
  <c r="BP9" i="58"/>
  <c r="BP13" i="58"/>
  <c r="BP6" i="58"/>
  <c r="BP10" i="58"/>
  <c r="BP14" i="58"/>
  <c r="BP7" i="58"/>
  <c r="BP11" i="58"/>
  <c r="BP3" i="58"/>
  <c r="BG18" i="58"/>
  <c r="BG20" i="58" s="1"/>
  <c r="BV7" i="58"/>
  <c r="BV11" i="58"/>
  <c r="BV3" i="58"/>
  <c r="BV4" i="58"/>
  <c r="BV8" i="58"/>
  <c r="BV12" i="58"/>
  <c r="BV5" i="58"/>
  <c r="BV9" i="58"/>
  <c r="BV13" i="58"/>
  <c r="BV6" i="58"/>
  <c r="BV10" i="58"/>
  <c r="BV14" i="58"/>
  <c r="BM13" i="58"/>
  <c r="BM8" i="58"/>
  <c r="BM11" i="58"/>
  <c r="BM9" i="58"/>
  <c r="BM4" i="58"/>
  <c r="BP20" i="58" s="1"/>
  <c r="BM10" i="58"/>
  <c r="BP26" i="58" s="1"/>
  <c r="BL7" i="58"/>
  <c r="BM5" i="58"/>
  <c r="BL9" i="58"/>
  <c r="BL8" i="58"/>
  <c r="BG24" i="58"/>
  <c r="BG32" i="58" s="1"/>
  <c r="BM14" i="58"/>
  <c r="BH18" i="58"/>
  <c r="BM6" i="58"/>
  <c r="BN6" i="58"/>
  <c r="BN10" i="58"/>
  <c r="BN14" i="58"/>
  <c r="BN7" i="58"/>
  <c r="BN11" i="58"/>
  <c r="BN3" i="58"/>
  <c r="BN9" i="58"/>
  <c r="BN4" i="58"/>
  <c r="BC42" i="58" s="1"/>
  <c r="BN8" i="58"/>
  <c r="BN12" i="58"/>
  <c r="BN5" i="58"/>
  <c r="BN13" i="58"/>
  <c r="BG30" i="58"/>
  <c r="BH30" i="58" s="1"/>
  <c r="AV30" i="58"/>
  <c r="F6" i="59"/>
  <c r="AR2" i="58"/>
  <c r="BF38" i="58" l="1"/>
  <c r="BF42" i="58" s="1"/>
  <c r="BE42" i="58"/>
  <c r="BC41" i="58"/>
  <c r="BG26" i="58"/>
  <c r="BH24" i="58"/>
  <c r="AS12" i="58"/>
  <c r="AS10" i="58"/>
  <c r="AS9" i="58"/>
  <c r="AS2" i="58"/>
  <c r="AR12" i="58"/>
  <c r="AR10" i="58"/>
  <c r="AR9" i="58"/>
  <c r="AZ22" i="58"/>
  <c r="AZ20" i="58"/>
  <c r="AG8" i="58"/>
  <c r="AB8" i="58"/>
  <c r="W8" i="58"/>
  <c r="AG4" i="58"/>
  <c r="AB4" i="58"/>
  <c r="W4" i="58"/>
  <c r="F14" i="58" l="1"/>
  <c r="D14" i="58"/>
  <c r="B14" i="58"/>
  <c r="AR11" i="58"/>
  <c r="AS11" i="58"/>
  <c r="AR13" i="58"/>
  <c r="AS13" i="58"/>
  <c r="AZ11" i="58"/>
  <c r="AZ12" i="58"/>
  <c r="AZ13" i="58"/>
  <c r="AZ14" i="58"/>
  <c r="AZ15" i="58"/>
  <c r="AZ4" i="58"/>
  <c r="AZ5" i="58"/>
  <c r="AZ6" i="58"/>
  <c r="AZ7" i="58"/>
  <c r="AZ8" i="58"/>
  <c r="AZ9" i="58"/>
  <c r="AZ10" i="58"/>
  <c r="AZ3" i="58"/>
  <c r="W3" i="58"/>
  <c r="AR3" i="58" s="1"/>
  <c r="AR4" i="58" s="1"/>
  <c r="AS14" i="58" l="1"/>
  <c r="G17" i="59" s="1"/>
  <c r="AR14" i="58"/>
  <c r="F17" i="59" s="1"/>
  <c r="D23" i="58"/>
  <c r="E23" i="58" s="1"/>
  <c r="D22" i="58"/>
  <c r="E22" i="58" s="1"/>
  <c r="D21" i="58"/>
  <c r="E21" i="58" s="1"/>
  <c r="D29" i="58" s="1"/>
  <c r="AS20" i="58" s="1"/>
  <c r="D20" i="58"/>
  <c r="E20" i="58" s="1"/>
  <c r="D19" i="58"/>
  <c r="E19" i="58" s="1"/>
  <c r="D18" i="58"/>
  <c r="E18" i="58" s="1"/>
  <c r="D17" i="58"/>
  <c r="E17" i="58" s="1"/>
  <c r="B18" i="58"/>
  <c r="C18" i="58" s="1"/>
  <c r="B17" i="58"/>
  <c r="C17" i="58" s="1"/>
  <c r="F19" i="58"/>
  <c r="G19" i="58" s="1"/>
  <c r="F20" i="58"/>
  <c r="G20" i="58" s="1"/>
  <c r="F21" i="58"/>
  <c r="G21" i="58" s="1"/>
  <c r="F29" i="58" s="1"/>
  <c r="F22" i="58"/>
  <c r="G22" i="58" s="1"/>
  <c r="F23" i="58"/>
  <c r="G23" i="58" s="1"/>
  <c r="F24" i="58"/>
  <c r="G24" i="58" s="1"/>
  <c r="F25" i="58"/>
  <c r="G25" i="58" s="1"/>
  <c r="F30" i="58" s="1"/>
  <c r="F26" i="58"/>
  <c r="G26" i="58" s="1"/>
  <c r="F27" i="58"/>
  <c r="G27" i="58" s="1"/>
  <c r="F28" i="58"/>
  <c r="G28" i="58" s="1"/>
  <c r="F18" i="58"/>
  <c r="G18" i="58" s="1"/>
  <c r="F17" i="58"/>
  <c r="G17" i="58" s="1"/>
  <c r="D24" i="58"/>
  <c r="E24" i="58" s="1"/>
  <c r="D25" i="58"/>
  <c r="E25" i="58" s="1"/>
  <c r="D30" i="58" s="1"/>
  <c r="AS21" i="58" s="1"/>
  <c r="D26" i="58"/>
  <c r="E26" i="58" s="1"/>
  <c r="D27" i="58"/>
  <c r="E27" i="58" s="1"/>
  <c r="D28" i="58"/>
  <c r="E28" i="58" s="1"/>
  <c r="B28" i="58"/>
  <c r="C28" i="58" s="1"/>
  <c r="B27" i="58"/>
  <c r="C27" i="58" s="1"/>
  <c r="B26" i="58"/>
  <c r="C26" i="58" s="1"/>
  <c r="B25" i="58"/>
  <c r="C25" i="58" s="1"/>
  <c r="B24" i="58"/>
  <c r="C24" i="58" s="1"/>
  <c r="B23" i="58"/>
  <c r="C23" i="58" s="1"/>
  <c r="B22" i="58"/>
  <c r="C22" i="58" s="1"/>
  <c r="B21" i="58"/>
  <c r="C21" i="58" s="1"/>
  <c r="B20" i="58"/>
  <c r="C20" i="58" s="1"/>
  <c r="B19" i="58"/>
  <c r="C19" i="58" s="1"/>
  <c r="B29" i="58" l="1"/>
  <c r="AR20" i="58" s="1"/>
  <c r="B30" i="58"/>
  <c r="AR21" i="58" s="1"/>
  <c r="AR6" i="58"/>
  <c r="AS22" i="58"/>
  <c r="E28" i="59"/>
  <c r="E27" i="59"/>
  <c r="A27" i="59"/>
  <c r="A23" i="59"/>
  <c r="AR22" i="58" l="1"/>
  <c r="AM34" i="58"/>
  <c r="AT29" i="58"/>
  <c r="H10" i="58"/>
  <c r="G22" i="59"/>
  <c r="F22" i="59"/>
  <c r="AT1" i="58"/>
  <c r="AS1" i="58"/>
  <c r="AR1" i="58"/>
  <c r="F16" i="59"/>
  <c r="F15" i="59"/>
  <c r="F14" i="59"/>
  <c r="F24" i="59"/>
  <c r="AG3" i="58"/>
  <c r="AB3" i="58"/>
  <c r="AS3" i="58" s="1"/>
  <c r="AS4" i="58" s="1"/>
  <c r="W5" i="58"/>
  <c r="AM33" i="58" l="1"/>
  <c r="AT28" i="58"/>
  <c r="F12" i="59"/>
  <c r="F11" i="59"/>
  <c r="AX25" i="58" l="1"/>
  <c r="AB9" i="58"/>
  <c r="AB5" i="58"/>
  <c r="AG5" i="58"/>
  <c r="H12" i="59" s="1"/>
  <c r="AZ16" i="58"/>
  <c r="AZ17" i="58"/>
  <c r="G12" i="59" l="1"/>
  <c r="AS5" i="58"/>
  <c r="AS7" i="58" s="1"/>
  <c r="AG9" i="58"/>
  <c r="AT5" i="58" s="1"/>
  <c r="W9" i="58"/>
  <c r="AR5" i="58" s="1"/>
  <c r="G30" i="59"/>
  <c r="F30" i="59"/>
  <c r="AT2" i="58"/>
  <c r="H24" i="59" s="1"/>
  <c r="G24" i="59"/>
  <c r="AR7" i="58" l="1"/>
  <c r="AR16" i="58"/>
  <c r="F29" i="59"/>
  <c r="AR17" i="58" l="1"/>
  <c r="F26" i="59"/>
  <c r="AR18" i="58"/>
  <c r="AR28" i="58" l="1"/>
  <c r="AS28" i="58" s="1"/>
  <c r="F27" i="59"/>
  <c r="AN33" i="58"/>
  <c r="AE36" i="49"/>
  <c r="AD36" i="49"/>
  <c r="I35" i="52" l="1"/>
  <c r="I7" i="66" l="1"/>
  <c r="F25" i="66"/>
  <c r="K21" i="66"/>
  <c r="Q21" i="66" s="1"/>
  <c r="K19" i="66"/>
  <c r="K18" i="66"/>
  <c r="K17" i="66"/>
  <c r="K16" i="66"/>
  <c r="N10" i="66"/>
  <c r="N8" i="66" l="1"/>
  <c r="I8" i="66"/>
  <c r="X24" i="50" l="1"/>
  <c r="I30" i="57" l="1"/>
  <c r="I29" i="57"/>
  <c r="G30" i="63" l="1"/>
  <c r="AE24" i="63"/>
  <c r="G36" i="63" l="1"/>
  <c r="G35" i="63"/>
  <c r="G34" i="63"/>
  <c r="G33" i="63"/>
  <c r="G32" i="63"/>
  <c r="G31" i="63"/>
  <c r="E49" i="59" l="1"/>
  <c r="R27" i="61" l="1"/>
  <c r="S27" i="61"/>
  <c r="T27" i="61"/>
  <c r="U27" i="61"/>
  <c r="Q27" i="61"/>
  <c r="Q8" i="61"/>
  <c r="Q9" i="61"/>
  <c r="G20" i="54"/>
  <c r="D35" i="50"/>
  <c r="X35" i="50"/>
  <c r="X7" i="65" l="1"/>
  <c r="N39" i="65"/>
  <c r="U36" i="65"/>
  <c r="U31" i="65"/>
  <c r="AC28" i="65"/>
  <c r="N28" i="65"/>
  <c r="U22" i="65"/>
  <c r="AC19" i="65"/>
  <c r="N19" i="65"/>
  <c r="R43" i="61" s="1"/>
  <c r="AH10" i="65" l="1"/>
  <c r="Z8" i="65" l="1"/>
  <c r="AB7" i="64"/>
  <c r="O40" i="64"/>
  <c r="U37" i="64"/>
  <c r="U32" i="64"/>
  <c r="AC29" i="64"/>
  <c r="N29" i="64"/>
  <c r="U24" i="64"/>
  <c r="AC21" i="64"/>
  <c r="N21" i="64"/>
  <c r="R44" i="61" s="1"/>
  <c r="AJ10" i="64" l="1"/>
  <c r="AB8" i="64"/>
  <c r="Q29" i="61" l="1"/>
  <c r="R25" i="61"/>
  <c r="S25" i="61"/>
  <c r="T25" i="61"/>
  <c r="U25" i="61"/>
  <c r="Q25" i="61"/>
  <c r="Q28" i="61" s="1"/>
  <c r="Q30" i="61" s="1"/>
  <c r="Q10" i="61"/>
  <c r="U14" i="61"/>
  <c r="Q16" i="61" s="1"/>
  <c r="U9" i="61"/>
  <c r="Q11" i="61" s="1"/>
  <c r="Q12" i="61" l="1"/>
  <c r="Q13" i="61" s="1"/>
  <c r="Q17" i="61"/>
  <c r="N43" i="57" l="1"/>
  <c r="R18" i="63"/>
  <c r="I18" i="63"/>
  <c r="Q14" i="61" l="1"/>
  <c r="E33" i="61"/>
  <c r="E35" i="61" s="1"/>
  <c r="X25" i="50"/>
  <c r="X23" i="50"/>
  <c r="X26" i="50"/>
  <c r="X22" i="50"/>
  <c r="I52" i="47" l="1"/>
  <c r="AJ31" i="63"/>
  <c r="AJ32" i="63"/>
  <c r="AJ33" i="63"/>
  <c r="AJ34" i="63"/>
  <c r="AJ35" i="63"/>
  <c r="AJ36" i="63"/>
  <c r="AJ30" i="63"/>
  <c r="I14" i="63" l="1"/>
  <c r="W29" i="57" l="1"/>
  <c r="O41" i="53" l="1"/>
  <c r="F21" i="48"/>
  <c r="A46" i="47"/>
  <c r="F46" i="47" s="1"/>
  <c r="I9" i="59" l="1"/>
  <c r="L10" i="61"/>
  <c r="AV10" i="62"/>
  <c r="AI10" i="63"/>
  <c r="L10" i="56"/>
  <c r="Y10" i="55"/>
  <c r="AJ10" i="57"/>
  <c r="M8" i="54"/>
  <c r="AK10" i="53"/>
  <c r="AA9" i="52"/>
  <c r="L11" i="48"/>
  <c r="AO10" i="47"/>
  <c r="Y9" i="50"/>
  <c r="E7" i="58"/>
  <c r="H7" i="61"/>
  <c r="AJ7" i="62"/>
  <c r="AV8" i="62" s="1"/>
  <c r="W7" i="63"/>
  <c r="H7" i="56"/>
  <c r="L8" i="56" s="1"/>
  <c r="S7" i="55"/>
  <c r="Y8" i="55" s="1"/>
  <c r="X7" i="57"/>
  <c r="I6" i="54"/>
  <c r="AA7" i="53"/>
  <c r="S6" i="52"/>
  <c r="T6" i="50"/>
  <c r="I12" i="49"/>
  <c r="AB8" i="49"/>
  <c r="W37" i="63"/>
  <c r="J37" i="63"/>
  <c r="AC36" i="63"/>
  <c r="P35" i="63"/>
  <c r="AC34" i="63"/>
  <c r="AC33" i="63"/>
  <c r="P33" i="63"/>
  <c r="AC32" i="63"/>
  <c r="P32" i="63"/>
  <c r="AC31" i="63"/>
  <c r="P31" i="63"/>
  <c r="AC30" i="63"/>
  <c r="P30" i="63"/>
  <c r="I20" i="63"/>
  <c r="T28" i="50" s="1"/>
  <c r="R14" i="63"/>
  <c r="AI8" i="63" l="1"/>
  <c r="P34" i="63"/>
  <c r="AC35" i="63"/>
  <c r="Q25" i="62"/>
  <c r="P36" i="63"/>
  <c r="Y7" i="50"/>
  <c r="R20" i="63"/>
  <c r="T29" i="50" s="1"/>
  <c r="Z8" i="63"/>
  <c r="E37" i="63"/>
  <c r="AE38" i="63" l="1"/>
  <c r="T31" i="50" s="1"/>
  <c r="J38" i="63"/>
  <c r="T30" i="50" s="1"/>
  <c r="AI38" i="63"/>
  <c r="AC18" i="62" l="1"/>
  <c r="AH8" i="62"/>
  <c r="G31" i="61"/>
  <c r="U21" i="61"/>
  <c r="T21" i="61"/>
  <c r="S21" i="61"/>
  <c r="R21" i="61"/>
  <c r="U20" i="61"/>
  <c r="T20" i="61"/>
  <c r="S20" i="61"/>
  <c r="R20" i="61"/>
  <c r="I8" i="61"/>
  <c r="F7" i="59"/>
  <c r="J35" i="58"/>
  <c r="A28" i="58" s="1"/>
  <c r="J34" i="58"/>
  <c r="A27" i="58" s="1"/>
  <c r="J33" i="58"/>
  <c r="A26" i="58" s="1"/>
  <c r="J32" i="58"/>
  <c r="A25" i="58" s="1"/>
  <c r="J31" i="58"/>
  <c r="A24" i="58" s="1"/>
  <c r="J30" i="58"/>
  <c r="A23" i="58" s="1"/>
  <c r="J29" i="58"/>
  <c r="A22" i="58" s="1"/>
  <c r="J28" i="58"/>
  <c r="A21" i="58" s="1"/>
  <c r="J27" i="58"/>
  <c r="A20" i="58" s="1"/>
  <c r="J26" i="58"/>
  <c r="A19" i="58" s="1"/>
  <c r="J25" i="58"/>
  <c r="A18" i="58" s="1"/>
  <c r="J24" i="58"/>
  <c r="A17" i="58" s="1"/>
  <c r="AT12" i="58"/>
  <c r="H16" i="59" s="1"/>
  <c r="G16" i="59"/>
  <c r="F12" i="58"/>
  <c r="H9" i="59" s="1"/>
  <c r="D12" i="58"/>
  <c r="G9" i="59" s="1"/>
  <c r="B12" i="58"/>
  <c r="F9" i="59" s="1"/>
  <c r="AT10" i="58"/>
  <c r="H15" i="59" s="1"/>
  <c r="G15" i="59"/>
  <c r="AT9" i="58"/>
  <c r="H14" i="59" s="1"/>
  <c r="G14" i="59"/>
  <c r="E8" i="58"/>
  <c r="AT3" i="58"/>
  <c r="H11" i="59" s="1"/>
  <c r="G11" i="59"/>
  <c r="R28" i="61" l="1"/>
  <c r="R30" i="61" s="1"/>
  <c r="AT4" i="58"/>
  <c r="AT7" i="58" s="1"/>
  <c r="H25" i="59" s="1"/>
  <c r="U28" i="61"/>
  <c r="U30" i="61" s="1"/>
  <c r="U17" i="61" s="1"/>
  <c r="S28" i="61"/>
  <c r="S30" i="61" s="1"/>
  <c r="T28" i="61"/>
  <c r="T30" i="61" s="1"/>
  <c r="T17" i="61" s="1"/>
  <c r="T32" i="50"/>
  <c r="Q26" i="62"/>
  <c r="AT11" i="58"/>
  <c r="AT13" i="58"/>
  <c r="AT20" i="58" l="1"/>
  <c r="AT21" i="58"/>
  <c r="G25" i="59"/>
  <c r="R29" i="61"/>
  <c r="T29" i="61"/>
  <c r="J33" i="61"/>
  <c r="R17" i="61"/>
  <c r="U29" i="61"/>
  <c r="S17" i="61"/>
  <c r="S29" i="61"/>
  <c r="AT14" i="58"/>
  <c r="H17" i="59" s="1"/>
  <c r="AS6" i="58" l="1"/>
  <c r="AS16" i="58" s="1"/>
  <c r="G29" i="59"/>
  <c r="AT22" i="58"/>
  <c r="T34" i="50"/>
  <c r="J35" i="61"/>
  <c r="AX32" i="58" s="1"/>
  <c r="AT6" i="58"/>
  <c r="F25" i="59"/>
  <c r="AN27" i="58" l="1"/>
  <c r="AN30" i="58"/>
  <c r="AO30" i="58" s="1"/>
  <c r="AN29" i="58"/>
  <c r="AN28" i="58"/>
  <c r="AM35" i="58"/>
  <c r="H29" i="59"/>
  <c r="AT30" i="58"/>
  <c r="AS18" i="58"/>
  <c r="G28" i="59" s="1"/>
  <c r="AS17" i="58"/>
  <c r="AT16" i="58"/>
  <c r="H26" i="59" s="1"/>
  <c r="J31" i="61"/>
  <c r="AX30" i="58" s="1"/>
  <c r="F28" i="59"/>
  <c r="AY34" i="58" l="1"/>
  <c r="AX34" i="58"/>
  <c r="I14" i="59" s="1"/>
  <c r="H31" i="59"/>
  <c r="AO29" i="58"/>
  <c r="AO28" i="58"/>
  <c r="G31" i="59"/>
  <c r="AO27" i="58"/>
  <c r="AR29" i="58"/>
  <c r="AS29" i="58" s="1"/>
  <c r="G27" i="59"/>
  <c r="AN34" i="58"/>
  <c r="AT18" i="58"/>
  <c r="H28" i="59" s="1"/>
  <c r="AT17" i="58"/>
  <c r="G26" i="59"/>
  <c r="AN35" i="58" l="1"/>
  <c r="H27" i="59"/>
  <c r="AR30" i="58"/>
  <c r="AG41" i="57"/>
  <c r="Y41" i="57"/>
  <c r="AA41" i="57" s="1"/>
  <c r="S41" i="57"/>
  <c r="O41" i="57"/>
  <c r="AC35" i="57"/>
  <c r="W33" i="57"/>
  <c r="W31" i="57"/>
  <c r="E23" i="57"/>
  <c r="Z8" i="57"/>
  <c r="N21" i="56"/>
  <c r="M21" i="56"/>
  <c r="I21" i="56"/>
  <c r="G21" i="56"/>
  <c r="L20" i="56"/>
  <c r="I20" i="56"/>
  <c r="G20" i="56"/>
  <c r="L19" i="56"/>
  <c r="L18" i="56"/>
  <c r="I18" i="56"/>
  <c r="G18" i="56"/>
  <c r="I17" i="56"/>
  <c r="N18" i="56" s="1"/>
  <c r="G17" i="56"/>
  <c r="M18" i="56" s="1"/>
  <c r="C9" i="56"/>
  <c r="J40" i="55"/>
  <c r="V15" i="55"/>
  <c r="T15" i="55"/>
  <c r="R15" i="55"/>
  <c r="P15" i="55"/>
  <c r="N15" i="55"/>
  <c r="AC13" i="55"/>
  <c r="V13" i="55"/>
  <c r="V19" i="55" s="1"/>
  <c r="T13" i="55"/>
  <c r="T19" i="55" s="1"/>
  <c r="R13" i="55"/>
  <c r="R19" i="55" s="1"/>
  <c r="P13" i="55"/>
  <c r="P19" i="55" s="1"/>
  <c r="AI8" i="55" s="1"/>
  <c r="N13" i="55"/>
  <c r="N19" i="55" s="1"/>
  <c r="AI10" i="55" s="1"/>
  <c r="Y29" i="55" s="1"/>
  <c r="E9" i="55"/>
  <c r="U8" i="55"/>
  <c r="AJ7" i="55"/>
  <c r="AI7" i="55"/>
  <c r="AH7" i="55"/>
  <c r="AS30" i="58" l="1"/>
  <c r="AR33" i="58" s="1" a="1"/>
  <c r="I22" i="56"/>
  <c r="V11" i="56"/>
  <c r="G22" i="56"/>
  <c r="AI11" i="55"/>
  <c r="Y31" i="55" s="1"/>
  <c r="AC12" i="55"/>
  <c r="I8" i="56"/>
  <c r="N22" i="55"/>
  <c r="Z10" i="55" s="1"/>
  <c r="T22" i="55" s="1"/>
  <c r="AF11" i="55"/>
  <c r="AG11" i="55"/>
  <c r="AE12" i="55" s="1"/>
  <c r="AF12" i="55" s="1"/>
  <c r="AE11" i="55"/>
  <c r="AD13" i="55"/>
  <c r="AH8" i="55"/>
  <c r="AJ8" i="55"/>
  <c r="AR33" i="58" l="1"/>
  <c r="AT35" i="58"/>
  <c r="AR35" i="58"/>
  <c r="I30" i="59" s="1"/>
  <c r="AS34" i="58"/>
  <c r="AR34" i="58"/>
  <c r="AS33" i="58"/>
  <c r="AS35" i="58"/>
  <c r="AT34" i="58"/>
  <c r="AT33" i="58"/>
  <c r="H23" i="56"/>
  <c r="P7" i="56"/>
  <c r="Q22" i="55"/>
  <c r="N21" i="55"/>
  <c r="T22" i="50" s="1"/>
  <c r="AD12" i="55"/>
  <c r="AE7" i="55"/>
  <c r="AG7" i="55"/>
  <c r="AE8" i="55" s="1"/>
  <c r="AF8" i="55" s="1"/>
  <c r="AF7" i="55"/>
  <c r="I15" i="54"/>
  <c r="I14" i="54"/>
  <c r="K13" i="54"/>
  <c r="K16" i="54" s="1"/>
  <c r="K17" i="54" s="1"/>
  <c r="I12" i="54"/>
  <c r="I11" i="54"/>
  <c r="J7" i="54"/>
  <c r="AL30" i="53"/>
  <c r="AP26" i="53"/>
  <c r="AO23" i="53"/>
  <c r="AO22" i="53"/>
  <c r="AO21" i="53"/>
  <c r="AO20" i="53"/>
  <c r="AO19" i="53"/>
  <c r="AO18" i="53"/>
  <c r="AO17" i="53"/>
  <c r="AO16" i="53"/>
  <c r="Y16" i="53"/>
  <c r="T16" i="50" s="1"/>
  <c r="AO15" i="53"/>
  <c r="AO14" i="53"/>
  <c r="AO13" i="53"/>
  <c r="AO12" i="53"/>
  <c r="AO11" i="53"/>
  <c r="AO10" i="53"/>
  <c r="AO9" i="53"/>
  <c r="AO8" i="53"/>
  <c r="AA8" i="53"/>
  <c r="AO7" i="53"/>
  <c r="AO6" i="53"/>
  <c r="AP27" i="58" l="1"/>
  <c r="AP30" i="58"/>
  <c r="AP28" i="58"/>
  <c r="AP29" i="58"/>
  <c r="H32" i="59" s="1"/>
  <c r="V8" i="56"/>
  <c r="V12" i="56" s="1"/>
  <c r="J23" i="56" s="1"/>
  <c r="T24" i="50"/>
  <c r="Z7" i="55"/>
  <c r="T21" i="55" s="1"/>
  <c r="Q21" i="55"/>
  <c r="N23" i="55"/>
  <c r="I13" i="54"/>
  <c r="I16" i="54" s="1"/>
  <c r="I17" i="54" s="1"/>
  <c r="I18" i="54" l="1"/>
  <c r="T18" i="50" s="1"/>
  <c r="T17" i="50"/>
  <c r="Q23" i="55"/>
  <c r="T23" i="50"/>
  <c r="U18" i="52"/>
  <c r="O19" i="52" s="1"/>
  <c r="O18" i="52"/>
  <c r="T15" i="50" s="1"/>
  <c r="O17" i="52"/>
  <c r="O12" i="52"/>
  <c r="S7" i="52"/>
  <c r="AD40" i="50" l="1"/>
  <c r="AF40" i="50"/>
  <c r="AG40" i="50"/>
  <c r="AE40" i="50"/>
  <c r="O20" i="52"/>
  <c r="X34" i="50"/>
  <c r="X32" i="50"/>
  <c r="X31" i="50"/>
  <c r="X30" i="50"/>
  <c r="X29" i="50"/>
  <c r="X28" i="50"/>
  <c r="X20" i="50"/>
  <c r="X18" i="50"/>
  <c r="X17" i="50"/>
  <c r="X16" i="50"/>
  <c r="X15" i="50"/>
  <c r="T13" i="50"/>
  <c r="T7" i="50"/>
  <c r="H8" i="48" l="1"/>
  <c r="AF7" i="47"/>
  <c r="AS49" i="49"/>
  <c r="AY49" i="49" s="1"/>
  <c r="AS48" i="49"/>
  <c r="AY48" i="49" s="1"/>
  <c r="AS47" i="49"/>
  <c r="AY47" i="49" s="1"/>
  <c r="AS46" i="49"/>
  <c r="AY46" i="49" s="1"/>
  <c r="AS45" i="49"/>
  <c r="AY45" i="49" s="1"/>
  <c r="AS44" i="49"/>
  <c r="AY44" i="49" s="1"/>
  <c r="A44" i="49"/>
  <c r="AE41" i="49"/>
  <c r="AE40" i="49"/>
  <c r="AD40" i="49"/>
  <c r="N44" i="49" s="1"/>
  <c r="AS34" i="49"/>
  <c r="AY34" i="49" s="1"/>
  <c r="AS33" i="49"/>
  <c r="AY33" i="49" s="1"/>
  <c r="AS32" i="49"/>
  <c r="AY32" i="49" s="1"/>
  <c r="AS31" i="49"/>
  <c r="AY31" i="49" s="1"/>
  <c r="AS30" i="49"/>
  <c r="AY30" i="49" s="1"/>
  <c r="AS29" i="49"/>
  <c r="AY29" i="49" s="1"/>
  <c r="AS28" i="49"/>
  <c r="AY28" i="49" s="1"/>
  <c r="AS27" i="49"/>
  <c r="AY27" i="49" s="1"/>
  <c r="AS26" i="49"/>
  <c r="AY26" i="49" s="1"/>
  <c r="AS25" i="49"/>
  <c r="AY25" i="49" s="1"/>
  <c r="AS24" i="49"/>
  <c r="AY24" i="49" s="1"/>
  <c r="B24" i="49"/>
  <c r="AS23" i="49"/>
  <c r="AY23" i="49" s="1"/>
  <c r="B23" i="49"/>
  <c r="AS22" i="49"/>
  <c r="AY22" i="49" s="1"/>
  <c r="P22" i="49"/>
  <c r="K22" i="49"/>
  <c r="B22" i="49"/>
  <c r="AT21" i="49"/>
  <c r="AS21" i="49"/>
  <c r="AY21" i="49" s="1"/>
  <c r="B21" i="49"/>
  <c r="AT20" i="49"/>
  <c r="AS20" i="49"/>
  <c r="AY20" i="49" s="1"/>
  <c r="B20" i="49"/>
  <c r="AT19" i="49"/>
  <c r="AS19" i="49"/>
  <c r="AY19" i="49" s="1"/>
  <c r="B19" i="49"/>
  <c r="AU18" i="49"/>
  <c r="AT18" i="49"/>
  <c r="AS18" i="49"/>
  <c r="AY18" i="49" s="1"/>
  <c r="AD21" i="49"/>
  <c r="AD39" i="49" s="1"/>
  <c r="B18" i="49"/>
  <c r="AZ17" i="49"/>
  <c r="AU17" i="49"/>
  <c r="AT17" i="49"/>
  <c r="AS17" i="49"/>
  <c r="AY17" i="49" s="1"/>
  <c r="B17" i="49"/>
  <c r="BK16" i="49"/>
  <c r="BJ16" i="49"/>
  <c r="BI16" i="49"/>
  <c r="BH16" i="49"/>
  <c r="BG16" i="49"/>
  <c r="BE16" i="49"/>
  <c r="BD16" i="49"/>
  <c r="BC16" i="49"/>
  <c r="AZ16" i="49"/>
  <c r="AT16" i="49"/>
  <c r="AS16" i="49"/>
  <c r="AY16" i="49" s="1"/>
  <c r="AL16" i="49"/>
  <c r="AS43" i="49" s="1"/>
  <c r="AY43" i="49" s="1"/>
  <c r="B16" i="49"/>
  <c r="BJ15" i="49"/>
  <c r="BI15" i="49"/>
  <c r="BH15" i="49"/>
  <c r="BG15" i="49"/>
  <c r="BE15" i="49"/>
  <c r="BD15" i="49"/>
  <c r="BC15" i="49"/>
  <c r="AZ15" i="49"/>
  <c r="AT15" i="49"/>
  <c r="AS15" i="49"/>
  <c r="AY15" i="49" s="1"/>
  <c r="AL15" i="49"/>
  <c r="AS42" i="49" s="1"/>
  <c r="AY42" i="49" s="1"/>
  <c r="BJ14" i="49"/>
  <c r="BI14" i="49"/>
  <c r="BH14" i="49"/>
  <c r="BG14" i="49"/>
  <c r="BE14" i="49"/>
  <c r="BC14" i="49"/>
  <c r="AZ14" i="49"/>
  <c r="AU14" i="49"/>
  <c r="AT14" i="49"/>
  <c r="AS14" i="49"/>
  <c r="AY14" i="49" s="1"/>
  <c r="AL14" i="49"/>
  <c r="AS41" i="49" s="1"/>
  <c r="AY41" i="49" s="1"/>
  <c r="BJ13" i="49"/>
  <c r="BI13" i="49"/>
  <c r="BH13" i="49"/>
  <c r="BG13" i="49"/>
  <c r="BD13" i="49"/>
  <c r="BC13" i="49"/>
  <c r="AZ13" i="49"/>
  <c r="AT13" i="49"/>
  <c r="AS13" i="49"/>
  <c r="AY13" i="49" s="1"/>
  <c r="AL13" i="49"/>
  <c r="AS40" i="49" s="1"/>
  <c r="AY40" i="49" s="1"/>
  <c r="BL12" i="49"/>
  <c r="BK12" i="49"/>
  <c r="BJ12" i="49"/>
  <c r="BI12" i="49"/>
  <c r="BH12" i="49"/>
  <c r="BG12" i="49"/>
  <c r="BE12" i="49"/>
  <c r="AZ12" i="49"/>
  <c r="AT12" i="49"/>
  <c r="AS12" i="49"/>
  <c r="AY12" i="49" s="1"/>
  <c r="AL12" i="49"/>
  <c r="AU12" i="49" s="1"/>
  <c r="BK11" i="49"/>
  <c r="BE11" i="49"/>
  <c r="BC11" i="49"/>
  <c r="AZ11" i="49"/>
  <c r="AT11" i="49"/>
  <c r="AS11" i="49"/>
  <c r="AY11" i="49" s="1"/>
  <c r="AL11" i="49"/>
  <c r="AU11" i="49" s="1"/>
  <c r="BJ10" i="49"/>
  <c r="BI10" i="49"/>
  <c r="AZ10" i="49"/>
  <c r="AX10" i="49"/>
  <c r="AW10" i="49"/>
  <c r="AT10" i="49"/>
  <c r="AS10" i="49"/>
  <c r="AY10" i="49" s="1"/>
  <c r="AL10" i="49"/>
  <c r="AU10" i="49" s="1"/>
  <c r="I29" i="49"/>
  <c r="AZ9" i="49"/>
  <c r="AX9" i="49"/>
  <c r="AW9" i="49"/>
  <c r="AT9" i="49"/>
  <c r="AS9" i="49"/>
  <c r="AY9" i="49" s="1"/>
  <c r="AL9" i="49"/>
  <c r="AS36" i="49" s="1"/>
  <c r="AY36" i="49" s="1"/>
  <c r="AZ8" i="49"/>
  <c r="AY8" i="49"/>
  <c r="AX8" i="49"/>
  <c r="AW8" i="49"/>
  <c r="AV8" i="49"/>
  <c r="AT8" i="49"/>
  <c r="AS8" i="49"/>
  <c r="AL8" i="49"/>
  <c r="AU8" i="49" s="1"/>
  <c r="V8" i="49"/>
  <c r="BM7" i="49"/>
  <c r="BL7" i="49"/>
  <c r="BK7" i="49"/>
  <c r="BJ7" i="49"/>
  <c r="BI7" i="49"/>
  <c r="BH7" i="49"/>
  <c r="BG7" i="49"/>
  <c r="BF7" i="49"/>
  <c r="BE7" i="49"/>
  <c r="BD7" i="49"/>
  <c r="BC7" i="49"/>
  <c r="AS7" i="49"/>
  <c r="AY3" i="49" s="1"/>
  <c r="AR7" i="49"/>
  <c r="AQ7" i="49"/>
  <c r="AP7" i="49"/>
  <c r="AO7" i="49"/>
  <c r="AN7" i="49"/>
  <c r="AM7" i="49"/>
  <c r="AW3" i="49" s="1"/>
  <c r="AL7" i="49"/>
  <c r="AK7" i="49"/>
  <c r="AJ7" i="49"/>
  <c r="AV3" i="49" s="1"/>
  <c r="AI7" i="49"/>
  <c r="BB6" i="49"/>
  <c r="AI6" i="49"/>
  <c r="AD6" i="49"/>
  <c r="AD33" i="49" s="1"/>
  <c r="AC6" i="49"/>
  <c r="AA6" i="49"/>
  <c r="AZ3" i="49"/>
  <c r="AX3" i="49"/>
  <c r="AT2" i="49"/>
  <c r="AU9" i="49" l="1"/>
  <c r="AU16" i="49"/>
  <c r="AT3" i="49"/>
  <c r="AU13" i="49"/>
  <c r="AU3" i="49"/>
  <c r="AU15" i="49"/>
  <c r="I14" i="48"/>
  <c r="L9" i="48"/>
  <c r="AO8" i="47"/>
  <c r="AF8" i="47" s="1"/>
  <c r="AS37" i="49"/>
  <c r="AY37" i="49" s="1"/>
  <c r="AS39" i="49"/>
  <c r="AY39" i="49" s="1"/>
  <c r="AS35" i="49"/>
  <c r="AY35" i="49" s="1"/>
  <c r="AS38" i="49"/>
  <c r="AY38" i="49" s="1"/>
  <c r="I15" i="48" l="1"/>
  <c r="H9" i="48"/>
  <c r="A25" i="47" l="1"/>
  <c r="E25" i="47" s="1"/>
  <c r="DT13" i="47" l="1"/>
  <c r="DS13" i="47"/>
  <c r="CS13" i="47"/>
  <c r="CR13" i="47"/>
  <c r="BQ13" i="47"/>
  <c r="BP13" i="47"/>
  <c r="AG52" i="47" l="1"/>
  <c r="I12" i="47" l="1"/>
  <c r="I16" i="48"/>
  <c r="AG12" i="47"/>
  <c r="I17" i="48"/>
  <c r="AG68" i="47"/>
  <c r="AI29" i="63" l="1"/>
  <c r="AJ16" i="57"/>
  <c r="L14" i="48"/>
  <c r="I18" i="48" s="1"/>
  <c r="T25" i="50" s="1"/>
  <c r="AG76" i="47"/>
  <c r="Y76" i="47"/>
  <c r="A76" i="47"/>
  <c r="AG75" i="47"/>
  <c r="Y75" i="47"/>
  <c r="AG74" i="47"/>
  <c r="Y74" i="47"/>
  <c r="AG73" i="47"/>
  <c r="Y73" i="47"/>
  <c r="AG72" i="47"/>
  <c r="Y72" i="47"/>
  <c r="AG71" i="47"/>
  <c r="Y71" i="47"/>
  <c r="AG70" i="47"/>
  <c r="Y70" i="47"/>
  <c r="AG69" i="47"/>
  <c r="Y69" i="47"/>
  <c r="Y68" i="47"/>
  <c r="AG67" i="47"/>
  <c r="Y67" i="47"/>
  <c r="AP69" i="47"/>
  <c r="AE25" i="63" s="1"/>
  <c r="AE26" i="63" s="1"/>
  <c r="Y66" i="47"/>
  <c r="Y65" i="47"/>
  <c r="AL36" i="63" s="1"/>
  <c r="H36" i="63" s="1"/>
  <c r="Y64" i="47"/>
  <c r="AL35" i="63" s="1"/>
  <c r="H35" i="63" s="1"/>
  <c r="Y63" i="47"/>
  <c r="AL34" i="63" s="1"/>
  <c r="H34" i="63" s="1"/>
  <c r="A63" i="47"/>
  <c r="AG62" i="47"/>
  <c r="Y62" i="47"/>
  <c r="AG61" i="47"/>
  <c r="Y61" i="47"/>
  <c r="AL32" i="63" s="1"/>
  <c r="H32" i="63" s="1"/>
  <c r="AG60" i="47"/>
  <c r="Y60" i="47"/>
  <c r="AL31" i="63" s="1"/>
  <c r="AG59" i="47"/>
  <c r="Y59" i="47"/>
  <c r="AL30" i="63" s="1"/>
  <c r="H30" i="63" s="1"/>
  <c r="AG58" i="47"/>
  <c r="Y58" i="47"/>
  <c r="AG57" i="47"/>
  <c r="Y57" i="47"/>
  <c r="AG56" i="47"/>
  <c r="Y56" i="47"/>
  <c r="AG55" i="47"/>
  <c r="Y55" i="47"/>
  <c r="AC55" i="47" s="1"/>
  <c r="AQ47" i="47"/>
  <c r="A65" i="47" s="1"/>
  <c r="E65" i="47" s="1"/>
  <c r="AG27" i="47"/>
  <c r="DR13" i="47"/>
  <c r="DQ13" i="47"/>
  <c r="DP13" i="47"/>
  <c r="DO13" i="47"/>
  <c r="DN13" i="47"/>
  <c r="DM13" i="47"/>
  <c r="DL13" i="47"/>
  <c r="DK13" i="47"/>
  <c r="DJ13" i="47"/>
  <c r="DI13" i="47"/>
  <c r="DH13" i="47"/>
  <c r="DG13" i="47"/>
  <c r="DF13" i="47"/>
  <c r="DE13" i="47"/>
  <c r="DD13" i="47"/>
  <c r="DC13" i="47"/>
  <c r="DB13" i="47"/>
  <c r="DA13" i="47"/>
  <c r="CZ13" i="47"/>
  <c r="CY13" i="47"/>
  <c r="CX13" i="47"/>
  <c r="CW13" i="47"/>
  <c r="CV13" i="47"/>
  <c r="CU13" i="47"/>
  <c r="CT13" i="47"/>
  <c r="CQ13" i="47"/>
  <c r="CP13" i="47"/>
  <c r="CO13" i="47"/>
  <c r="CN13" i="47"/>
  <c r="CM13" i="47"/>
  <c r="CL13" i="47"/>
  <c r="CK13" i="47"/>
  <c r="CJ13" i="47"/>
  <c r="CI13" i="47"/>
  <c r="CH13" i="47"/>
  <c r="CG13" i="47"/>
  <c r="CF13" i="47"/>
  <c r="CE13" i="47"/>
  <c r="CD13" i="47"/>
  <c r="CC13" i="47"/>
  <c r="CB13" i="47"/>
  <c r="CA13" i="47"/>
  <c r="BZ13" i="47"/>
  <c r="BY13" i="47"/>
  <c r="BX13" i="47"/>
  <c r="BW13" i="47"/>
  <c r="BV13" i="47"/>
  <c r="BU13" i="47"/>
  <c r="BT13" i="47"/>
  <c r="BS13" i="47"/>
  <c r="BR13" i="47"/>
  <c r="BO13" i="47"/>
  <c r="BN13" i="47"/>
  <c r="BM13" i="47"/>
  <c r="BL13" i="47"/>
  <c r="BK13" i="47"/>
  <c r="BJ13" i="47"/>
  <c r="BI13" i="47"/>
  <c r="BH13" i="47"/>
  <c r="BG13" i="47"/>
  <c r="BF13" i="47"/>
  <c r="BE13" i="47"/>
  <c r="BD13" i="47"/>
  <c r="BC13" i="47"/>
  <c r="BB13" i="47"/>
  <c r="BA13" i="47"/>
  <c r="AZ13" i="47"/>
  <c r="AY13" i="47"/>
  <c r="AX13" i="47"/>
  <c r="AW13" i="47"/>
  <c r="AV13" i="47"/>
  <c r="AU13" i="47"/>
  <c r="AT13" i="47"/>
  <c r="AS13" i="47"/>
  <c r="AR13" i="47"/>
  <c r="AQ13" i="47"/>
  <c r="G11" i="47"/>
  <c r="X13" i="50" s="1"/>
  <c r="I31" i="57" l="1"/>
  <c r="I35" i="57"/>
  <c r="I21" i="57"/>
  <c r="I32" i="57"/>
  <c r="I23" i="57"/>
  <c r="I33" i="57"/>
  <c r="I19" i="57"/>
  <c r="I25" i="57"/>
  <c r="I17" i="57"/>
  <c r="I34" i="57"/>
  <c r="AL33" i="63"/>
  <c r="H33" i="63" s="1"/>
  <c r="H37" i="63" s="1"/>
  <c r="J25" i="63" s="1"/>
  <c r="AG21" i="58"/>
  <c r="D11" i="58" s="1"/>
  <c r="M17" i="57"/>
  <c r="AK21" i="47"/>
  <c r="AW41" i="47" s="1"/>
  <c r="A15" i="47"/>
  <c r="AS35" i="47" s="1"/>
  <c r="AG24" i="47"/>
  <c r="AV46" i="47" s="1"/>
  <c r="AK24" i="47"/>
  <c r="AG15" i="47"/>
  <c r="AV35" i="47" s="1"/>
  <c r="AG19" i="47"/>
  <c r="AV39" i="47" s="1"/>
  <c r="AG23" i="47"/>
  <c r="AV45" i="47" s="1"/>
  <c r="AK15" i="47"/>
  <c r="AW35" i="47" s="1"/>
  <c r="A17" i="47"/>
  <c r="AS37" i="47" s="1"/>
  <c r="AG18" i="47"/>
  <c r="AV38" i="47" s="1"/>
  <c r="AK19" i="47"/>
  <c r="AW39" i="47" s="1"/>
  <c r="A21" i="47"/>
  <c r="AG22" i="47"/>
  <c r="AV44" i="47" s="1"/>
  <c r="AK23" i="47"/>
  <c r="AG25" i="47"/>
  <c r="AK16" i="47"/>
  <c r="AW36" i="47" s="1"/>
  <c r="AK20" i="47"/>
  <c r="AW40" i="47" s="1"/>
  <c r="A16" i="47"/>
  <c r="AG17" i="47"/>
  <c r="AV37" i="47" s="1"/>
  <c r="AK18" i="47"/>
  <c r="AW38" i="47" s="1"/>
  <c r="A20" i="47"/>
  <c r="AS40" i="47" s="1"/>
  <c r="AG21" i="47"/>
  <c r="AV41" i="47" s="1"/>
  <c r="AK22" i="47"/>
  <c r="AW44" i="47" s="1"/>
  <c r="A24" i="47"/>
  <c r="I24" i="47" s="1"/>
  <c r="Q24" i="47" s="1"/>
  <c r="U24" i="47" s="1"/>
  <c r="AK25" i="47"/>
  <c r="AC17" i="57"/>
  <c r="A18" i="47"/>
  <c r="A22" i="47"/>
  <c r="AS44" i="47" s="1"/>
  <c r="AG16" i="47"/>
  <c r="AV36" i="47" s="1"/>
  <c r="AK17" i="47"/>
  <c r="AW37" i="47" s="1"/>
  <c r="A19" i="47"/>
  <c r="AG20" i="47"/>
  <c r="AV40" i="47" s="1"/>
  <c r="A23" i="47"/>
  <c r="I23" i="47" s="1"/>
  <c r="Q23" i="47" s="1"/>
  <c r="U23" i="47" s="1"/>
  <c r="AS36" i="47"/>
  <c r="AS38" i="47"/>
  <c r="E63" i="47"/>
  <c r="AC56" i="47"/>
  <c r="AC57" i="47" s="1"/>
  <c r="AC58" i="47" s="1"/>
  <c r="AC59" i="47" s="1"/>
  <c r="AC60" i="47" s="1"/>
  <c r="AU35" i="47" s="1"/>
  <c r="AG17" i="57" l="1"/>
  <c r="G37" i="63"/>
  <c r="AJ61" i="47"/>
  <c r="A61" i="47" s="1"/>
  <c r="E61" i="47" s="1"/>
  <c r="AJ60" i="47"/>
  <c r="A60" i="47" s="1"/>
  <c r="E60" i="47" s="1"/>
  <c r="AJ56" i="47"/>
  <c r="A56" i="47" s="1"/>
  <c r="E56" i="47" s="1"/>
  <c r="AJ66" i="47"/>
  <c r="A66" i="47" s="1"/>
  <c r="E66" i="47" s="1"/>
  <c r="AS39" i="47"/>
  <c r="AJ59" i="47"/>
  <c r="A59" i="47" s="1"/>
  <c r="E59" i="47" s="1"/>
  <c r="AJ57" i="47"/>
  <c r="A57" i="47" s="1"/>
  <c r="E57" i="47" s="1"/>
  <c r="AC61" i="47"/>
  <c r="E24" i="47"/>
  <c r="AS41" i="47"/>
  <c r="AS46" i="47"/>
  <c r="AJ65" i="47"/>
  <c r="AS45" i="47"/>
  <c r="AJ55" i="47"/>
  <c r="A55" i="47" s="1"/>
  <c r="E23" i="47"/>
  <c r="AJ68" i="47"/>
  <c r="A68" i="47" s="1"/>
  <c r="E68" i="47" s="1"/>
  <c r="AJ58" i="47"/>
  <c r="A58" i="47" s="1"/>
  <c r="E58" i="47" s="1"/>
  <c r="AJ67" i="47"/>
  <c r="A67" i="47" s="1"/>
  <c r="E67" i="47" s="1"/>
  <c r="AJ70" i="47"/>
  <c r="A70" i="47" s="1"/>
  <c r="E70" i="47" s="1"/>
  <c r="AJ72" i="47"/>
  <c r="A72" i="47" s="1"/>
  <c r="E72" i="47" s="1"/>
  <c r="AJ69" i="47"/>
  <c r="A69" i="47" s="1"/>
  <c r="E69" i="47" s="1"/>
  <c r="AJ71" i="47"/>
  <c r="A71" i="47" s="1"/>
  <c r="E71" i="47" s="1"/>
  <c r="AJ73" i="47"/>
  <c r="A73" i="47" s="1"/>
  <c r="E73" i="47" s="1"/>
  <c r="AJ74" i="47"/>
  <c r="A74" i="47" s="1"/>
  <c r="E74" i="47" s="1"/>
  <c r="AJ62" i="47"/>
  <c r="A62" i="47" s="1"/>
  <c r="E62" i="47" s="1"/>
  <c r="AJ64" i="47"/>
  <c r="A64" i="47" s="1"/>
  <c r="E64" i="47" s="1"/>
  <c r="AJ75" i="47"/>
  <c r="A75" i="47" s="1"/>
  <c r="E75" i="47" s="1"/>
  <c r="AJ63" i="47"/>
  <c r="EO23" i="47"/>
  <c r="EC23" i="47"/>
  <c r="EN23" i="47"/>
  <c r="EB23" i="47"/>
  <c r="EQ23" i="47"/>
  <c r="EP23" i="47"/>
  <c r="ED23" i="47"/>
  <c r="EH22" i="47"/>
  <c r="EG22" i="47"/>
  <c r="DY22" i="47"/>
  <c r="EJ22" i="47"/>
  <c r="DX22" i="47"/>
  <c r="AC23" i="47"/>
  <c r="Y23" i="47"/>
  <c r="DW22" i="47"/>
  <c r="EI22" i="47"/>
  <c r="EP22" i="47"/>
  <c r="ED22" i="47"/>
  <c r="EO22" i="47"/>
  <c r="EC22" i="47"/>
  <c r="EN22" i="47"/>
  <c r="EB22" i="47"/>
  <c r="EQ22" i="47"/>
  <c r="EG23" i="47"/>
  <c r="DY23" i="47"/>
  <c r="EJ23" i="47"/>
  <c r="DX23" i="47"/>
  <c r="AC24" i="47"/>
  <c r="EI23" i="47"/>
  <c r="DW23" i="47"/>
  <c r="Y24" i="47"/>
  <c r="EH23" i="47"/>
  <c r="E16" i="47" l="1"/>
  <c r="E15" i="47"/>
  <c r="E55" i="47"/>
  <c r="BA46" i="47" s="1"/>
  <c r="BB46" i="47" s="1"/>
  <c r="E17" i="47"/>
  <c r="E19" i="47"/>
  <c r="I20" i="47"/>
  <c r="Q20" i="47" s="1"/>
  <c r="EG19" i="47" s="1"/>
  <c r="E18" i="47"/>
  <c r="E20" i="47"/>
  <c r="AC62" i="47"/>
  <c r="AU36" i="47"/>
  <c r="AT36" i="47" s="1"/>
  <c r="E21" i="47"/>
  <c r="I21" i="47"/>
  <c r="E22" i="47"/>
  <c r="I22" i="47"/>
  <c r="Q22" i="47" s="1"/>
  <c r="DW21" i="47" s="1"/>
  <c r="I25" i="47"/>
  <c r="Q25" i="47" s="1"/>
  <c r="EG24" i="47" s="1"/>
  <c r="ES23" i="47"/>
  <c r="ET23" i="47" s="1"/>
  <c r="ES22" i="47"/>
  <c r="ET22" i="47" s="1"/>
  <c r="DZ22" i="47"/>
  <c r="EA22" i="47" s="1"/>
  <c r="BA50" i="47"/>
  <c r="BB50" i="47" s="1"/>
  <c r="BA38" i="47"/>
  <c r="BB38" i="47" s="1"/>
  <c r="BA47" i="47"/>
  <c r="BB47" i="47" s="1"/>
  <c r="BA41" i="47"/>
  <c r="BB41" i="47" s="1"/>
  <c r="BA37" i="47"/>
  <c r="BB37" i="47" s="1"/>
  <c r="BA44" i="47"/>
  <c r="BB44" i="47" s="1"/>
  <c r="BA40" i="47"/>
  <c r="BB40" i="47" s="1"/>
  <c r="BD46" i="47" s="1"/>
  <c r="AP67" i="47"/>
  <c r="AG65" i="47" s="1"/>
  <c r="AG66" i="47" s="1"/>
  <c r="AP66" i="47"/>
  <c r="AG63" i="47" s="1"/>
  <c r="AG64" i="47" s="1"/>
  <c r="I17" i="47" s="1"/>
  <c r="EL23" i="47"/>
  <c r="EM23" i="47" s="1"/>
  <c r="ER22" i="47"/>
  <c r="EK22" i="47"/>
  <c r="EE22" i="47"/>
  <c r="EF22" i="47" s="1"/>
  <c r="ER23" i="47"/>
  <c r="EK23" i="47"/>
  <c r="EL22" i="47"/>
  <c r="EM22" i="47" s="1"/>
  <c r="EE23" i="47"/>
  <c r="EF23" i="47" s="1"/>
  <c r="DZ23" i="47"/>
  <c r="EA23" i="47" s="1"/>
  <c r="BA43" i="47" l="1"/>
  <c r="BB43" i="47" s="1"/>
  <c r="BD37" i="47" s="1"/>
  <c r="M35" i="57" s="1"/>
  <c r="AG35" i="57" s="1"/>
  <c r="BA42" i="47"/>
  <c r="BB42" i="47" s="1"/>
  <c r="BD48" i="47" s="1"/>
  <c r="BA35" i="47"/>
  <c r="BB35" i="47" s="1"/>
  <c r="BA48" i="47"/>
  <c r="BB48" i="47" s="1"/>
  <c r="BD41" i="47" s="1"/>
  <c r="BA45" i="47"/>
  <c r="BB45" i="47" s="1"/>
  <c r="BD38" i="47" s="1"/>
  <c r="BA36" i="47"/>
  <c r="BB36" i="47" s="1"/>
  <c r="BD43" i="47" s="1"/>
  <c r="BA39" i="47"/>
  <c r="BB39" i="47" s="1"/>
  <c r="BD35" i="47" s="1"/>
  <c r="BA49" i="47"/>
  <c r="BB49" i="47" s="1"/>
  <c r="BD42" i="47" s="1"/>
  <c r="J19" i="66"/>
  <c r="BD44" i="47"/>
  <c r="J16" i="66"/>
  <c r="DY24" i="47"/>
  <c r="DW24" i="47"/>
  <c r="DY19" i="47"/>
  <c r="EH21" i="47"/>
  <c r="DW19" i="47"/>
  <c r="EI19" i="47"/>
  <c r="DX19" i="47"/>
  <c r="EJ19" i="47"/>
  <c r="EH19" i="47"/>
  <c r="EK19" i="47" s="1"/>
  <c r="EI21" i="47"/>
  <c r="M23" i="57"/>
  <c r="AC23" i="57"/>
  <c r="EJ24" i="47"/>
  <c r="EH24" i="47"/>
  <c r="EK24" i="47" s="1"/>
  <c r="EJ21" i="47"/>
  <c r="AC63" i="47"/>
  <c r="AU37" i="47"/>
  <c r="AT37" i="47" s="1"/>
  <c r="EI24" i="47"/>
  <c r="DX24" i="47"/>
  <c r="DY21" i="47"/>
  <c r="DX21" i="47"/>
  <c r="DZ21" i="47" s="1"/>
  <c r="Q17" i="47"/>
  <c r="DY16" i="47" s="1"/>
  <c r="EG21" i="47"/>
  <c r="Q21" i="47"/>
  <c r="DY20" i="47" s="1"/>
  <c r="I16" i="47"/>
  <c r="I19" i="47"/>
  <c r="Q19" i="47" s="1"/>
  <c r="I18" i="47"/>
  <c r="I15" i="47"/>
  <c r="Q15" i="47" s="1"/>
  <c r="BD40" i="47"/>
  <c r="BD47" i="47"/>
  <c r="M33" i="57" s="1"/>
  <c r="AC33" i="57" s="1"/>
  <c r="AG33" i="57" s="1"/>
  <c r="BD36" i="47"/>
  <c r="BD45" i="47" l="1"/>
  <c r="M31" i="57" s="1"/>
  <c r="AC31" i="57" s="1"/>
  <c r="AG31" i="57" s="1"/>
  <c r="U36" i="57" s="1"/>
  <c r="BD39" i="47"/>
  <c r="J18" i="66"/>
  <c r="J21" i="66"/>
  <c r="J17" i="66"/>
  <c r="Y20" i="47"/>
  <c r="EK21" i="47"/>
  <c r="EL21" i="47"/>
  <c r="EM21" i="47" s="1"/>
  <c r="DZ19" i="47"/>
  <c r="EA19" i="47" s="1"/>
  <c r="DZ24" i="47"/>
  <c r="EA24" i="47" s="1"/>
  <c r="Y25" i="47"/>
  <c r="EH16" i="47"/>
  <c r="EG16" i="47"/>
  <c r="EL24" i="47"/>
  <c r="EM24" i="47" s="1"/>
  <c r="DX16" i="47"/>
  <c r="AC25" i="57"/>
  <c r="M25" i="57"/>
  <c r="EL19" i="47"/>
  <c r="EM19" i="47" s="1"/>
  <c r="AC28" i="57"/>
  <c r="M29" i="57"/>
  <c r="AJ36" i="57"/>
  <c r="AG23" i="57"/>
  <c r="EJ16" i="47"/>
  <c r="EI16" i="47"/>
  <c r="M19" i="57"/>
  <c r="AC19" i="57"/>
  <c r="AJ27" i="57"/>
  <c r="AC16" i="57"/>
  <c r="M21" i="57"/>
  <c r="AC21" i="57"/>
  <c r="Y22" i="47"/>
  <c r="AC64" i="47"/>
  <c r="AU38" i="47"/>
  <c r="AT38" i="47" s="1"/>
  <c r="U15" i="47"/>
  <c r="EA21" i="47"/>
  <c r="Q16" i="47"/>
  <c r="Q18" i="47"/>
  <c r="DY17" i="47" s="1"/>
  <c r="EJ20" i="47"/>
  <c r="DX20" i="47"/>
  <c r="DW20" i="47"/>
  <c r="EG20" i="47"/>
  <c r="EH20" i="47"/>
  <c r="EI20" i="47"/>
  <c r="DW16" i="47"/>
  <c r="AU49" i="47"/>
  <c r="AP9" i="47"/>
  <c r="AQ9" i="47" s="1"/>
  <c r="AP13" i="47"/>
  <c r="AP12" i="47" s="1"/>
  <c r="DX18" i="47"/>
  <c r="DY18" i="47"/>
  <c r="DW18" i="47"/>
  <c r="DX14" i="47"/>
  <c r="DY14" i="47"/>
  <c r="DW14" i="47"/>
  <c r="Q19" i="66" l="1"/>
  <c r="Q17" i="66"/>
  <c r="P20" i="66"/>
  <c r="Q18" i="66"/>
  <c r="Q16" i="66"/>
  <c r="P19" i="66"/>
  <c r="P21" i="66"/>
  <c r="P17" i="66"/>
  <c r="P18" i="66"/>
  <c r="P16" i="66"/>
  <c r="EL16" i="47"/>
  <c r="EM16" i="47" s="1"/>
  <c r="EK16" i="47"/>
  <c r="Y17" i="47" s="1"/>
  <c r="Y19" i="47"/>
  <c r="DZ16" i="47"/>
  <c r="EA16" i="47" s="1"/>
  <c r="U16" i="47"/>
  <c r="U17" i="47" s="1"/>
  <c r="EO16" i="47" s="1"/>
  <c r="AG25" i="57"/>
  <c r="AG21" i="57"/>
  <c r="AG19" i="57"/>
  <c r="DX17" i="47"/>
  <c r="DW17" i="47"/>
  <c r="DY15" i="47"/>
  <c r="AU50" i="47"/>
  <c r="AU51" i="47" s="1"/>
  <c r="AU52" i="47" s="1"/>
  <c r="AU53" i="47" s="1"/>
  <c r="AU54" i="47" s="1"/>
  <c r="AU55" i="47" s="1"/>
  <c r="DX15" i="47"/>
  <c r="DW15" i="47"/>
  <c r="AC65" i="47"/>
  <c r="AU39" i="47"/>
  <c r="AT39" i="47" s="1"/>
  <c r="EK20" i="47"/>
  <c r="Y21" i="47" s="1"/>
  <c r="S44" i="61" s="1"/>
  <c r="DZ20" i="47"/>
  <c r="EA20" i="47" s="1"/>
  <c r="EL20" i="47"/>
  <c r="EM20" i="47" s="1"/>
  <c r="DZ14" i="47"/>
  <c r="EA14" i="47" s="1"/>
  <c r="Y15" i="47" s="1"/>
  <c r="DZ18" i="47"/>
  <c r="EA18" i="47" s="1"/>
  <c r="ED14" i="47"/>
  <c r="EC14" i="47"/>
  <c r="EB14" i="47"/>
  <c r="U27" i="57" l="1"/>
  <c r="T20" i="50" s="1"/>
  <c r="J22" i="66"/>
  <c r="K22" i="66" s="1"/>
  <c r="ED15" i="47"/>
  <c r="EB15" i="47"/>
  <c r="AC16" i="47" s="1"/>
  <c r="EC16" i="47"/>
  <c r="AU56" i="47"/>
  <c r="AC15" i="47"/>
  <c r="U18" i="47"/>
  <c r="U19" i="47" s="1"/>
  <c r="U20" i="47" s="1"/>
  <c r="U21" i="47" s="1"/>
  <c r="U22" i="47" s="1"/>
  <c r="U25" i="47" s="1"/>
  <c r="EP24" i="47" s="1"/>
  <c r="EN16" i="47"/>
  <c r="ER16" i="47" s="1"/>
  <c r="EP16" i="47"/>
  <c r="ED16" i="47"/>
  <c r="EB16" i="47"/>
  <c r="EC15" i="47"/>
  <c r="EQ16" i="47"/>
  <c r="ES16" i="47" s="1"/>
  <c r="DZ17" i="47"/>
  <c r="EA17" i="47" s="1"/>
  <c r="Y18" i="47" s="1"/>
  <c r="S43" i="61" s="1"/>
  <c r="DZ15" i="47"/>
  <c r="EA15" i="47" s="1"/>
  <c r="Y16" i="47" s="1"/>
  <c r="AC66" i="47"/>
  <c r="AU40" i="47" s="1"/>
  <c r="AT40" i="47" s="1"/>
  <c r="EE14" i="47"/>
  <c r="EF14" i="47" s="1"/>
  <c r="T26" i="50" l="1"/>
  <c r="S45" i="61"/>
  <c r="E31" i="61" s="1"/>
  <c r="ED17" i="47"/>
  <c r="EN19" i="47"/>
  <c r="EE15" i="47"/>
  <c r="EF15" i="47" s="1"/>
  <c r="ED19" i="47"/>
  <c r="EB21" i="47"/>
  <c r="EO20" i="47"/>
  <c r="EP19" i="47"/>
  <c r="EC17" i="47"/>
  <c r="EB19" i="47"/>
  <c r="EB18" i="47"/>
  <c r="EQ19" i="47"/>
  <c r="EP20" i="47"/>
  <c r="EN20" i="47"/>
  <c r="ED21" i="47"/>
  <c r="EO19" i="47"/>
  <c r="EC18" i="47"/>
  <c r="EN21" i="47"/>
  <c r="EB17" i="47"/>
  <c r="ED20" i="47"/>
  <c r="EP21" i="47"/>
  <c r="EC24" i="47"/>
  <c r="ED24" i="47"/>
  <c r="EQ24" i="47"/>
  <c r="EN24" i="47"/>
  <c r="EO24" i="47"/>
  <c r="EB20" i="47"/>
  <c r="EC21" i="47"/>
  <c r="ET16" i="47"/>
  <c r="AC17" i="47"/>
  <c r="EE16" i="47"/>
  <c r="EF16" i="47" s="1"/>
  <c r="EB24" i="47"/>
  <c r="EQ21" i="47"/>
  <c r="EC19" i="47"/>
  <c r="EE19" i="47" s="1"/>
  <c r="ED18" i="47"/>
  <c r="EQ20" i="47"/>
  <c r="EO21" i="47"/>
  <c r="EC20" i="47"/>
  <c r="AC67" i="47"/>
  <c r="ES20" i="47" l="1"/>
  <c r="ET20" i="47" s="1"/>
  <c r="R35" i="61"/>
  <c r="Q35" i="61"/>
  <c r="U35" i="61"/>
  <c r="T35" i="61"/>
  <c r="S35" i="61"/>
  <c r="ER19" i="47"/>
  <c r="ER20" i="47"/>
  <c r="AC21" i="47" s="1"/>
  <c r="ES19" i="47"/>
  <c r="ET19" i="47" s="1"/>
  <c r="EF19" i="47"/>
  <c r="EE21" i="47"/>
  <c r="EF21" i="47" s="1"/>
  <c r="EE17" i="47"/>
  <c r="EF17" i="47" s="1"/>
  <c r="AC18" i="47" s="1"/>
  <c r="EE18" i="47"/>
  <c r="EF18" i="47" s="1"/>
  <c r="AC19" i="47" s="1"/>
  <c r="ER24" i="47"/>
  <c r="AC25" i="47" s="1"/>
  <c r="EE20" i="47"/>
  <c r="EF20" i="47" s="1"/>
  <c r="ER21" i="47"/>
  <c r="AC22" i="47" s="1"/>
  <c r="EE24" i="47"/>
  <c r="EF24" i="47" s="1"/>
  <c r="AC20" i="47"/>
  <c r="ES24" i="47"/>
  <c r="ET24" i="47" s="1"/>
  <c r="ES21" i="47"/>
  <c r="ET21" i="47" s="1"/>
  <c r="AC68" i="47"/>
  <c r="AU42" i="47"/>
  <c r="AC69" i="47" l="1"/>
  <c r="AU43" i="47"/>
  <c r="AC70" i="47" l="1"/>
  <c r="AU44" i="47"/>
  <c r="AT44" i="47" s="1"/>
  <c r="AC71" i="47" l="1"/>
  <c r="AU45" i="47"/>
  <c r="AT45" i="47" s="1"/>
  <c r="AU41" i="47" l="1"/>
  <c r="AT41" i="47" s="1"/>
  <c r="AU46" i="47"/>
  <c r="AT46" i="47" s="1"/>
  <c r="AC72" i="47"/>
  <c r="AC73" i="47" s="1"/>
  <c r="AC74" i="47" s="1"/>
  <c r="AC75" i="47" s="1"/>
  <c r="AC76" i="47" s="1"/>
  <c r="AT35" i="47" l="1"/>
  <c r="G32" i="59" l="1"/>
  <c r="T35" i="50" s="1"/>
  <c r="F32" i="59"/>
  <c r="AC40" i="50" l="1"/>
  <c r="AB40" i="50"/>
  <c r="AA40" i="50"/>
</calcChain>
</file>

<file path=xl/comments1.xml><?xml version="1.0" encoding="utf-8"?>
<comments xmlns="http://schemas.openxmlformats.org/spreadsheetml/2006/main">
  <authors>
    <author>Mercy Alejandra Rivera Fonseca</author>
  </authors>
  <commentList>
    <comment ref="AA7" authorId="0" shapeId="0">
      <text>
        <r>
          <rPr>
            <b/>
            <sz val="9"/>
            <color indexed="81"/>
            <rFont val="Tahoma"/>
            <family val="2"/>
          </rPr>
          <t>Mercy Alejandra Rivera Fonseca:</t>
        </r>
        <r>
          <rPr>
            <sz val="9"/>
            <color indexed="81"/>
            <rFont val="Tahoma"/>
            <family val="2"/>
          </rPr>
          <t xml:space="preserve">
Diligenciar</t>
        </r>
      </text>
    </comment>
  </commentList>
</comments>
</file>

<file path=xl/comments2.xml><?xml version="1.0" encoding="utf-8"?>
<comments xmlns="http://schemas.openxmlformats.org/spreadsheetml/2006/main">
  <authors>
    <author>Karen Daniela Flórez Barón</author>
  </authors>
  <commentList>
    <comment ref="Y11" authorId="0" shapeId="0">
      <text>
        <r>
          <rPr>
            <b/>
            <sz val="9"/>
            <color indexed="81"/>
            <rFont val="Tahoma"/>
            <family val="2"/>
          </rPr>
          <t>Karen Daniela Flórez Barón:</t>
        </r>
        <r>
          <rPr>
            <sz val="9"/>
            <color indexed="81"/>
            <rFont val="Tahoma"/>
            <family val="2"/>
          </rPr>
          <t xml:space="preserve">
Diligenciar</t>
        </r>
      </text>
    </comment>
  </commentList>
</comments>
</file>

<file path=xl/comments3.xml><?xml version="1.0" encoding="utf-8"?>
<comments xmlns="http://schemas.openxmlformats.org/spreadsheetml/2006/main">
  <authors>
    <author>Mercy Alejandra Rivera Fonseca</author>
  </authors>
  <commentList>
    <comment ref="M19" authorId="0" shapeId="0">
      <text>
        <r>
          <rPr>
            <b/>
            <sz val="9"/>
            <color indexed="81"/>
            <rFont val="Tahoma"/>
            <family val="2"/>
          </rPr>
          <t>Mercy Alejandra Rivera Fonseca:</t>
        </r>
        <r>
          <rPr>
            <sz val="9"/>
            <color indexed="81"/>
            <rFont val="Tahoma"/>
            <family val="2"/>
          </rPr>
          <t xml:space="preserve">
Diligenciar</t>
        </r>
      </text>
    </comment>
    <comment ref="N19" authorId="0" shapeId="0">
      <text>
        <r>
          <rPr>
            <b/>
            <sz val="9"/>
            <color indexed="81"/>
            <rFont val="Tahoma"/>
            <family val="2"/>
          </rPr>
          <t>Mercy Alejandra Rivera Fonseca:</t>
        </r>
        <r>
          <rPr>
            <sz val="9"/>
            <color indexed="81"/>
            <rFont val="Tahoma"/>
            <family val="2"/>
          </rPr>
          <t xml:space="preserve">
Diligenciar</t>
        </r>
      </text>
    </comment>
    <comment ref="M20" authorId="0" shapeId="0">
      <text>
        <r>
          <rPr>
            <b/>
            <sz val="9"/>
            <color indexed="81"/>
            <rFont val="Tahoma"/>
            <family val="2"/>
          </rPr>
          <t>Mercy Alejandra Rivera Fonseca:</t>
        </r>
        <r>
          <rPr>
            <sz val="9"/>
            <color indexed="81"/>
            <rFont val="Tahoma"/>
            <family val="2"/>
          </rPr>
          <t xml:space="preserve">
Diligenciar</t>
        </r>
      </text>
    </comment>
    <comment ref="N20" authorId="0" shapeId="0">
      <text>
        <r>
          <rPr>
            <b/>
            <sz val="9"/>
            <color indexed="81"/>
            <rFont val="Tahoma"/>
            <family val="2"/>
          </rPr>
          <t>Mercy Alejandra Rivera Fonseca:</t>
        </r>
        <r>
          <rPr>
            <sz val="9"/>
            <color indexed="81"/>
            <rFont val="Tahoma"/>
            <family val="2"/>
          </rPr>
          <t xml:space="preserve">
Diligenciar</t>
        </r>
      </text>
    </comment>
  </commentList>
</comments>
</file>

<file path=xl/comments4.xml><?xml version="1.0" encoding="utf-8"?>
<comments xmlns="http://schemas.openxmlformats.org/spreadsheetml/2006/main">
  <authors>
    <author>Mercy Alejandra Rivera Fonseca</author>
  </authors>
  <commentList>
    <comment ref="AB20" authorId="0" shapeId="0">
      <text>
        <r>
          <rPr>
            <b/>
            <sz val="9"/>
            <color indexed="81"/>
            <rFont val="Tahoma"/>
            <family val="2"/>
          </rPr>
          <t>Mercy Alejandra Rivera Fonseca:</t>
        </r>
        <r>
          <rPr>
            <sz val="9"/>
            <color indexed="81"/>
            <rFont val="Tahoma"/>
            <family val="2"/>
          </rPr>
          <t xml:space="preserve">
digitar</t>
        </r>
      </text>
    </comment>
  </commentList>
</comments>
</file>

<file path=xl/comments5.xml><?xml version="1.0" encoding="utf-8"?>
<comments xmlns="http://schemas.openxmlformats.org/spreadsheetml/2006/main">
  <authors>
    <author>Mercy Alejandra Rivera Fonseca</author>
  </authors>
  <commentList>
    <comment ref="AJ17" authorId="0" shapeId="0">
      <text>
        <r>
          <rPr>
            <b/>
            <sz val="9"/>
            <color indexed="81"/>
            <rFont val="Tahoma"/>
            <family val="2"/>
          </rPr>
          <t>Mercy Alejandra Rivera Fonseca:</t>
        </r>
        <r>
          <rPr>
            <sz val="9"/>
            <color indexed="81"/>
            <rFont val="Tahoma"/>
            <family val="2"/>
          </rPr>
          <t xml:space="preserve">
digitar masa retenida gradacion sumar tamiz 1/4 + 4 </t>
        </r>
      </text>
    </comment>
    <comment ref="AJ19" authorId="0" shapeId="0">
      <text>
        <r>
          <rPr>
            <b/>
            <sz val="9"/>
            <color indexed="81"/>
            <rFont val="Tahoma"/>
            <family val="2"/>
          </rPr>
          <t>Mercy Alejandra Rivera Fonseca:</t>
        </r>
        <r>
          <rPr>
            <sz val="9"/>
            <color indexed="81"/>
            <rFont val="Tahoma"/>
            <family val="2"/>
          </rPr>
          <t xml:space="preserve">
digitar masa retenida gradacion</t>
        </r>
      </text>
    </comment>
    <comment ref="AJ21" authorId="0" shapeId="0">
      <text>
        <r>
          <rPr>
            <b/>
            <sz val="9"/>
            <color indexed="81"/>
            <rFont val="Tahoma"/>
            <family val="2"/>
          </rPr>
          <t>Mercy Alejandra Rivera Fonseca:</t>
        </r>
        <r>
          <rPr>
            <sz val="9"/>
            <color indexed="81"/>
            <rFont val="Tahoma"/>
            <family val="2"/>
          </rPr>
          <t xml:space="preserve">
digitar masa retenida gradacion sumar tamiz 10+16</t>
        </r>
      </text>
    </comment>
    <comment ref="AJ23" authorId="0" shapeId="0">
      <text>
        <r>
          <rPr>
            <b/>
            <sz val="9"/>
            <color indexed="81"/>
            <rFont val="Tahoma"/>
            <family val="2"/>
          </rPr>
          <t>Mercy Alejandra Rivera Fonseca:</t>
        </r>
        <r>
          <rPr>
            <sz val="9"/>
            <color indexed="81"/>
            <rFont val="Tahoma"/>
            <family val="2"/>
          </rPr>
          <t xml:space="preserve">
digitar masa retenida gradacion</t>
        </r>
      </text>
    </comment>
    <comment ref="AJ25" authorId="0" shapeId="0">
      <text>
        <r>
          <rPr>
            <b/>
            <sz val="9"/>
            <color indexed="81"/>
            <rFont val="Tahoma"/>
            <family val="2"/>
          </rPr>
          <t>Mercy Alejandra Rivera Fonseca:</t>
        </r>
        <r>
          <rPr>
            <sz val="9"/>
            <color indexed="81"/>
            <rFont val="Tahoma"/>
            <family val="2"/>
          </rPr>
          <t xml:space="preserve">
digitar masa retenida gradacion sumar tamiz 40+50</t>
        </r>
      </text>
    </comment>
    <comment ref="AJ29" authorId="0" shapeId="0">
      <text>
        <r>
          <rPr>
            <b/>
            <sz val="9"/>
            <color indexed="81"/>
            <rFont val="Tahoma"/>
            <family val="2"/>
          </rPr>
          <t>Mercy Alejandra Rivera Fonseca:</t>
        </r>
        <r>
          <rPr>
            <sz val="9"/>
            <color indexed="81"/>
            <rFont val="Tahoma"/>
            <family val="2"/>
          </rPr>
          <t xml:space="preserve">
digitar masa retenida gradacion</t>
        </r>
      </text>
    </comment>
    <comment ref="AJ31" authorId="0" shapeId="0">
      <text>
        <r>
          <rPr>
            <b/>
            <sz val="9"/>
            <color indexed="81"/>
            <rFont val="Tahoma"/>
            <family val="2"/>
          </rPr>
          <t>Mercy Alejandra Rivera Fonseca:</t>
        </r>
        <r>
          <rPr>
            <sz val="9"/>
            <color indexed="81"/>
            <rFont val="Tahoma"/>
            <family val="2"/>
          </rPr>
          <t xml:space="preserve">
digitar masa retenida gradacion</t>
        </r>
      </text>
    </comment>
    <comment ref="AJ33" authorId="0" shapeId="0">
      <text>
        <r>
          <rPr>
            <b/>
            <sz val="9"/>
            <color indexed="81"/>
            <rFont val="Tahoma"/>
            <family val="2"/>
          </rPr>
          <t>Mercy Alejandra Rivera Fonseca:</t>
        </r>
        <r>
          <rPr>
            <sz val="9"/>
            <color indexed="81"/>
            <rFont val="Tahoma"/>
            <family val="2"/>
          </rPr>
          <t xml:space="preserve">
digitar masa retenida gradacion</t>
        </r>
      </text>
    </comment>
    <comment ref="AJ35" authorId="0" shapeId="0">
      <text>
        <r>
          <rPr>
            <b/>
            <sz val="9"/>
            <color indexed="81"/>
            <rFont val="Tahoma"/>
            <family val="2"/>
          </rPr>
          <t>Mercy Alejandra Rivera Fonseca:</t>
        </r>
        <r>
          <rPr>
            <sz val="9"/>
            <color indexed="81"/>
            <rFont val="Tahoma"/>
            <family val="2"/>
          </rPr>
          <t xml:space="preserve">
digitar sumar tamiz 1/4 + 4 </t>
        </r>
      </text>
    </comment>
  </commentList>
</comments>
</file>

<file path=xl/comments6.xml><?xml version="1.0" encoding="utf-8"?>
<comments xmlns="http://schemas.openxmlformats.org/spreadsheetml/2006/main">
  <authors>
    <author>Karen Daniela Flórez Barón</author>
  </authors>
  <commentList>
    <comment ref="Q6" authorId="0" shapeId="0">
      <text>
        <r>
          <rPr>
            <b/>
            <sz val="9"/>
            <color indexed="81"/>
            <rFont val="Tahoma"/>
            <family val="2"/>
          </rPr>
          <t>Karen Daniela Flórez Barón:</t>
        </r>
        <r>
          <rPr>
            <sz val="9"/>
            <color indexed="81"/>
            <rFont val="Tahoma"/>
            <family val="2"/>
          </rPr>
          <t xml:space="preserve">
digitar</t>
        </r>
      </text>
    </comment>
    <comment ref="U6" authorId="0" shapeId="0">
      <text>
        <r>
          <rPr>
            <b/>
            <sz val="9"/>
            <color indexed="81"/>
            <rFont val="Tahoma"/>
            <family val="2"/>
          </rPr>
          <t>Karen Daniela Flórez Barón:</t>
        </r>
        <r>
          <rPr>
            <sz val="9"/>
            <color indexed="81"/>
            <rFont val="Tahoma"/>
            <family val="2"/>
          </rPr>
          <t xml:space="preserve">
digitar</t>
        </r>
      </text>
    </comment>
    <comment ref="Q7" authorId="0" shapeId="0">
      <text>
        <r>
          <rPr>
            <b/>
            <sz val="9"/>
            <color indexed="81"/>
            <rFont val="Tahoma"/>
            <family val="2"/>
          </rPr>
          <t>Karen Daniela Flórez Barón:</t>
        </r>
        <r>
          <rPr>
            <sz val="9"/>
            <color indexed="81"/>
            <rFont val="Tahoma"/>
            <family val="2"/>
          </rPr>
          <t xml:space="preserve">
digitar</t>
        </r>
      </text>
    </comment>
    <comment ref="U7" authorId="0" shapeId="0">
      <text>
        <r>
          <rPr>
            <b/>
            <sz val="9"/>
            <color indexed="81"/>
            <rFont val="Tahoma"/>
            <family val="2"/>
          </rPr>
          <t>Karen Daniela Flórez Barón:</t>
        </r>
        <r>
          <rPr>
            <sz val="9"/>
            <color indexed="81"/>
            <rFont val="Tahoma"/>
            <family val="2"/>
          </rPr>
          <t xml:space="preserve">
digitar</t>
        </r>
      </text>
    </comment>
    <comment ref="U11" authorId="0" shapeId="0">
      <text>
        <r>
          <rPr>
            <b/>
            <sz val="9"/>
            <color indexed="81"/>
            <rFont val="Tahoma"/>
            <family val="2"/>
          </rPr>
          <t>Karen Daniela Flórez Barón:</t>
        </r>
        <r>
          <rPr>
            <sz val="9"/>
            <color indexed="81"/>
            <rFont val="Tahoma"/>
            <family val="2"/>
          </rPr>
          <t xml:space="preserve">
digitar </t>
        </r>
      </text>
    </comment>
    <comment ref="U12" authorId="0" shapeId="0">
      <text>
        <r>
          <rPr>
            <b/>
            <sz val="9"/>
            <color indexed="81"/>
            <rFont val="Tahoma"/>
            <family val="2"/>
          </rPr>
          <t>Karen Daniela Flórez Barón:</t>
        </r>
        <r>
          <rPr>
            <sz val="9"/>
            <color indexed="81"/>
            <rFont val="Tahoma"/>
            <family val="2"/>
          </rPr>
          <t xml:space="preserve">
digitar</t>
        </r>
      </text>
    </comment>
  </commentList>
</comments>
</file>

<file path=xl/comments7.xml><?xml version="1.0" encoding="utf-8"?>
<comments xmlns="http://schemas.openxmlformats.org/spreadsheetml/2006/main">
  <authors>
    <author>Karen Daniela Flórez Barón</author>
  </authors>
  <commentList>
    <comment ref="P21" authorId="0" shapeId="0">
      <text>
        <r>
          <rPr>
            <b/>
            <sz val="9"/>
            <color indexed="81"/>
            <rFont val="Tahoma"/>
            <family val="2"/>
          </rPr>
          <t>Karen Daniela Flórez Barón:</t>
        </r>
        <r>
          <rPr>
            <sz val="9"/>
            <color indexed="81"/>
            <rFont val="Tahoma"/>
            <family val="2"/>
          </rPr>
          <t xml:space="preserve">
Digitar</t>
        </r>
      </text>
    </comment>
  </commentList>
</comments>
</file>

<file path=xl/sharedStrings.xml><?xml version="1.0" encoding="utf-8"?>
<sst xmlns="http://schemas.openxmlformats.org/spreadsheetml/2006/main" count="1665" uniqueCount="863">
  <si>
    <t xml:space="preserve"> </t>
  </si>
  <si>
    <t>Superior</t>
  </si>
  <si>
    <t>Inferior</t>
  </si>
  <si>
    <t xml:space="preserve">Tamiz </t>
  </si>
  <si>
    <t>Cliente:</t>
  </si>
  <si>
    <t>Descripción:</t>
  </si>
  <si>
    <t>FIN DEL INFORME DE ENSAYO</t>
  </si>
  <si>
    <t>INFORME DE ENSAYO</t>
  </si>
  <si>
    <t>Procedencia:</t>
  </si>
  <si>
    <t>Código:</t>
  </si>
  <si>
    <t>Observaciones:</t>
  </si>
  <si>
    <t>Revisó</t>
  </si>
  <si>
    <t>Aprobó</t>
  </si>
  <si>
    <t>FIN DEL INFORME DE  ENSAYO</t>
  </si>
  <si>
    <t>BG_C</t>
  </si>
  <si>
    <t>BG_B</t>
  </si>
  <si>
    <t>Fecha de recepción:</t>
  </si>
  <si>
    <t>Gradación empleada</t>
  </si>
  <si>
    <t>SECA</t>
  </si>
  <si>
    <t>HUMEDA</t>
  </si>
  <si>
    <t>Coeficiente de Uniformidad</t>
  </si>
  <si>
    <t>GRADACIONES DE MUESTRAS DE ENSAYO</t>
  </si>
  <si>
    <t>Agregados gruesos de tamaños menores de 37.5 mm (1 1/2")</t>
  </si>
  <si>
    <t>Masa de las fracciones indicadas (g)</t>
  </si>
  <si>
    <t>Pasa</t>
  </si>
  <si>
    <t>Retiene</t>
  </si>
  <si>
    <t>A</t>
  </si>
  <si>
    <t>B</t>
  </si>
  <si>
    <t>C</t>
  </si>
  <si>
    <t>D</t>
  </si>
  <si>
    <t>1 1/2"</t>
  </si>
  <si>
    <t>1"</t>
  </si>
  <si>
    <t>1250 ± 25</t>
  </si>
  <si>
    <t>3/4"</t>
  </si>
  <si>
    <t>1/2"</t>
  </si>
  <si>
    <t>1250 ± 10</t>
  </si>
  <si>
    <t>2500 ± 10</t>
  </si>
  <si>
    <t>3/8"</t>
  </si>
  <si>
    <t>No. 3</t>
  </si>
  <si>
    <t>No. 4</t>
  </si>
  <si>
    <t>No. 8</t>
  </si>
  <si>
    <t>5000 ± 10</t>
  </si>
  <si>
    <t>Carga Abrasiva</t>
  </si>
  <si>
    <t>CARTA DE CALIBRACIÓN EQUIPO MICRODEVAL</t>
  </si>
  <si>
    <t>El Agregado de calibración debe presentar una pérdida entre 15% y 25%.</t>
  </si>
  <si>
    <t>Promedio</t>
  </si>
  <si>
    <t>LES</t>
  </si>
  <si>
    <t>LEI</t>
  </si>
  <si>
    <t>Gradación utilizada (numeral 7.2, 7.3 ó 7.4)</t>
  </si>
  <si>
    <t>Objetivo</t>
  </si>
  <si>
    <t>Para que haya aceptación continua de los datos, los datos individuales del material de calibración se deberán encontrar  entre 17.5% y 20.7% el 95% de las veces</t>
  </si>
  <si>
    <t>numeral 7,2</t>
  </si>
  <si>
    <t xml:space="preserve">3/4", 1/2", 3/8" </t>
  </si>
  <si>
    <t>numeral 7,3</t>
  </si>
  <si>
    <t xml:space="preserve"> 1/2", 3/8", N°4 </t>
  </si>
  <si>
    <t>numeral 7,4</t>
  </si>
  <si>
    <t xml:space="preserve"> 3/8", N°4 </t>
  </si>
  <si>
    <t>SECO</t>
  </si>
  <si>
    <t>g</t>
  </si>
  <si>
    <t>Penetración</t>
  </si>
  <si>
    <t>mm</t>
  </si>
  <si>
    <t>kN</t>
  </si>
  <si>
    <t>%</t>
  </si>
  <si>
    <t>Relación húmedo/seco</t>
  </si>
  <si>
    <t>X</t>
  </si>
  <si>
    <t>Retenido</t>
  </si>
  <si>
    <t>TOTALES</t>
  </si>
  <si>
    <t>no</t>
  </si>
  <si>
    <t xml:space="preserve"> INFORME DE ENSAYO                                                              </t>
  </si>
  <si>
    <t>Ensayo</t>
  </si>
  <si>
    <t>N°</t>
  </si>
  <si>
    <t>°C</t>
  </si>
  <si>
    <t>FRACCIÓN RETENIDA EN EL TAMIZ DE 9,5 mm (3/8")</t>
  </si>
  <si>
    <t>APLANAMIENTO</t>
  </si>
  <si>
    <t>ALARGAMIENTO</t>
  </si>
  <si>
    <t>50/63</t>
  </si>
  <si>
    <t>35/50</t>
  </si>
  <si>
    <t>25/38</t>
  </si>
  <si>
    <t>19/25</t>
  </si>
  <si>
    <t>12,5/19</t>
  </si>
  <si>
    <t>9,5/12,5</t>
  </si>
  <si>
    <t>6,3/9,5</t>
  </si>
  <si>
    <t>CRITERIO</t>
  </si>
  <si>
    <t>Masa</t>
  </si>
  <si>
    <t>Conteo</t>
  </si>
  <si>
    <t>Una cara</t>
  </si>
  <si>
    <t>Dos caras</t>
  </si>
  <si>
    <t>Masa retenida por el tamiz de  75 mm (3")</t>
  </si>
  <si>
    <t xml:space="preserve">Suma de las masas rechazadas </t>
  </si>
  <si>
    <t>observaciones:</t>
  </si>
  <si>
    <t xml:space="preserve">Si un % retenido es inferior al 5%,  la masa retenida en ese tamiz, se debe descontar de la Masa Inicial de Ensayo:  ejemplo  M° 2102-73 = 2029.  Se recalcula con esta nueva Masa Inicial, </t>
  </si>
  <si>
    <t>Masa en el aire de la muestra secada al horno</t>
  </si>
  <si>
    <t xml:space="preserve"> =</t>
  </si>
  <si>
    <t>Masa en el aire de la muestra en condición  SSS</t>
  </si>
  <si>
    <t>S</t>
  </si>
  <si>
    <t>Masa del frasco lleno de agua hasta la marca de calibración</t>
  </si>
  <si>
    <t>Masa del frasco + agua + material (hasta la marca de calibración)</t>
  </si>
  <si>
    <t>Método</t>
  </si>
  <si>
    <t>Gravedad específica Bulk</t>
  </si>
  <si>
    <t>Días de curado</t>
  </si>
  <si>
    <t>MOLDE No.</t>
  </si>
  <si>
    <t>Masa del Molde</t>
  </si>
  <si>
    <t>Masa material húmedo</t>
  </si>
  <si>
    <t>Volumen del molde</t>
  </si>
  <si>
    <t>cm³</t>
  </si>
  <si>
    <t>Masa material seco</t>
  </si>
  <si>
    <t>kg/m³</t>
  </si>
  <si>
    <t>HUMEDAD DE COMPACTACION</t>
  </si>
  <si>
    <t xml:space="preserve">N° capas </t>
  </si>
  <si>
    <t>masa del agua</t>
  </si>
  <si>
    <t>PROBETAS PARA ENSAYO</t>
  </si>
  <si>
    <t>masa material seco</t>
  </si>
  <si>
    <t>Masa del molde</t>
  </si>
  <si>
    <t>Volumen</t>
  </si>
  <si>
    <t>Determinación de la Masa Unitaria</t>
  </si>
  <si>
    <t>Masa suelo húmedo compacto + molde</t>
  </si>
  <si>
    <t>Humedad de Compactación</t>
  </si>
  <si>
    <t>Inmersión en agua</t>
  </si>
  <si>
    <t>Lectura inicial</t>
  </si>
  <si>
    <t>Lectura final</t>
  </si>
  <si>
    <t>% mat ret T 3/4"</t>
  </si>
  <si>
    <t>Carga (kN)</t>
  </si>
  <si>
    <t>Densidad seca</t>
  </si>
  <si>
    <t>CBR</t>
  </si>
  <si>
    <t>Humedad de Penetración</t>
  </si>
  <si>
    <t>Densidad Máxima</t>
  </si>
  <si>
    <t>MUESTRA N°</t>
  </si>
  <si>
    <t>Proporción de Fracciones</t>
  </si>
  <si>
    <t>Masa (g)</t>
  </si>
  <si>
    <t>Humedad Fracción Gruesa (%)</t>
  </si>
  <si>
    <t>Humedad Fracción Ensayo (%)</t>
  </si>
  <si>
    <t>DETERMINACIÓN (%)</t>
  </si>
  <si>
    <t>Masa Recipiente (g)</t>
  </si>
  <si>
    <t>Masa Recipiente + Material Húmedo (g)</t>
  </si>
  <si>
    <t>Masa Recipiente + Material Seco (g)</t>
  </si>
  <si>
    <t>w: Humedad Fracción Ensayo (%)</t>
  </si>
  <si>
    <t>CURVAS DE COMPACTACIÓN</t>
  </si>
  <si>
    <t>Preparación de la muestra:</t>
  </si>
  <si>
    <t>CURVA DE SATURACIÓN</t>
  </si>
  <si>
    <r>
      <t>G</t>
    </r>
    <r>
      <rPr>
        <vertAlign val="subscript"/>
        <sz val="10"/>
        <rFont val="Tahoma"/>
        <family val="2"/>
      </rPr>
      <t>M</t>
    </r>
    <r>
      <rPr>
        <sz val="10"/>
        <rFont val="Tahoma"/>
        <family val="2"/>
      </rPr>
      <t>: Gravedad Especifica Fracción Gruesa</t>
    </r>
  </si>
  <si>
    <t>RELACIONES DE HUMEDAD PESO UNITARIO SECO EN LOS SUELOS (PROCTOR)</t>
  </si>
  <si>
    <t>Auxiliar Técnico</t>
  </si>
  <si>
    <t>Si los  % retenidos son superiores al 5%, la columna de Granulometría corregida, se deja en blanco</t>
  </si>
  <si>
    <t>¿Se incluyeron los sobre tamaños en la muestra de ensayo?</t>
  </si>
  <si>
    <t>Masa total seca (g)</t>
  </si>
  <si>
    <t>3"</t>
  </si>
  <si>
    <t>2½"</t>
  </si>
  <si>
    <t>2"</t>
  </si>
  <si>
    <t>1½"</t>
  </si>
  <si>
    <t>Desgaste  a 100 revoluciones</t>
  </si>
  <si>
    <t>Desgaste  a 500 revoluciones</t>
  </si>
  <si>
    <t>Relación Húmedo/Seco, 500 revoluciones</t>
  </si>
  <si>
    <r>
      <t>INDICE DE ALARGAMIENTO DE LA FRACCIÓN  I</t>
    </r>
    <r>
      <rPr>
        <vertAlign val="subscript"/>
        <sz val="8"/>
        <rFont val="Arial"/>
        <family val="2"/>
      </rPr>
      <t>Li</t>
    </r>
  </si>
  <si>
    <r>
      <t>INDICE DE APLANAMIENTO GLOBAL  I</t>
    </r>
    <r>
      <rPr>
        <vertAlign val="subscript"/>
        <sz val="8"/>
        <rFont val="Arial"/>
        <family val="2"/>
      </rPr>
      <t>A</t>
    </r>
  </si>
  <si>
    <t>Porcentaje (%)</t>
  </si>
  <si>
    <t>Pérdida por abrasión Micro-Deval</t>
  </si>
  <si>
    <r>
      <t>M</t>
    </r>
    <r>
      <rPr>
        <sz val="7"/>
        <rFont val="Arial"/>
        <family val="2"/>
      </rPr>
      <t xml:space="preserve">1 </t>
    </r>
    <r>
      <rPr>
        <sz val="9"/>
        <rFont val="Arial"/>
        <family val="2"/>
      </rPr>
      <t>= Masa de la muestra antes del ensayo</t>
    </r>
  </si>
  <si>
    <t>N° 4</t>
  </si>
  <si>
    <t>N° 8</t>
  </si>
  <si>
    <t>N° 16</t>
  </si>
  <si>
    <t>N° 30</t>
  </si>
  <si>
    <t>N° 40</t>
  </si>
  <si>
    <t>N° 50</t>
  </si>
  <si>
    <t>N° 100</t>
  </si>
  <si>
    <t>N° 200</t>
  </si>
  <si>
    <t>N° 10</t>
  </si>
  <si>
    <t>Granulometría corregida  (Si hay alguna fracción con menos del 5%)    (g)</t>
  </si>
  <si>
    <r>
      <t>Masa de las partículas que pasan por el calibrador  m</t>
    </r>
    <r>
      <rPr>
        <vertAlign val="subscript"/>
        <sz val="8"/>
        <rFont val="Arial"/>
        <family val="2"/>
      </rPr>
      <t>i</t>
    </r>
    <r>
      <rPr>
        <sz val="8"/>
        <rFont val="Arial"/>
        <family val="2"/>
      </rPr>
      <t xml:space="preserve"> (g)</t>
    </r>
  </si>
  <si>
    <t>Recipiente</t>
  </si>
  <si>
    <t>Fecha de ejecución:</t>
  </si>
  <si>
    <t>Fracción granulométrica di/Di</t>
  </si>
  <si>
    <t>Fracción</t>
  </si>
  <si>
    <t>% retenido</t>
  </si>
  <si>
    <t>Ri= Masa (g)</t>
  </si>
  <si>
    <t>No fracturadas</t>
  </si>
  <si>
    <t>PORCENTAJE*</t>
  </si>
  <si>
    <t>Porcentaje de la muestra total:</t>
  </si>
  <si>
    <r>
      <t>G</t>
    </r>
    <r>
      <rPr>
        <i/>
        <vertAlign val="subscript"/>
        <sz val="9"/>
        <rFont val="Arial"/>
        <family val="2"/>
      </rPr>
      <t xml:space="preserve">sb 23/23ºC </t>
    </r>
    <r>
      <rPr>
        <i/>
        <sz val="9"/>
        <rFont val="Arial"/>
        <family val="2"/>
      </rPr>
      <t>=</t>
    </r>
  </si>
  <si>
    <t>ml</t>
  </si>
  <si>
    <t>N°8 a N°16</t>
  </si>
  <si>
    <t>N°16 a Nº30</t>
  </si>
  <si>
    <t>N°30 a N°50</t>
  </si>
  <si>
    <t>Masa de las partículas (g)</t>
  </si>
  <si>
    <t>1 ó más caras fracturadas</t>
  </si>
  <si>
    <t xml:space="preserve"> 2 ó más caras fracturadas</t>
  </si>
  <si>
    <t>N° de golpes</t>
  </si>
  <si>
    <t>Densidad humeda</t>
  </si>
  <si>
    <t>BG_A</t>
  </si>
  <si>
    <t>SBG_A</t>
  </si>
  <si>
    <t>SBG_B</t>
  </si>
  <si>
    <t>SBG_C</t>
  </si>
  <si>
    <t>CIV:</t>
  </si>
  <si>
    <t xml:space="preserve">Porcentaje de partículas fracturadas, calculado por </t>
  </si>
  <si>
    <t>Criterio de Evaluación</t>
  </si>
  <si>
    <t>Porcentaje de partículas fracturadas, calculado por:</t>
  </si>
  <si>
    <t xml:space="preserve">Masa que pasa por el tamiz de  4,75 mm (N°.4) </t>
  </si>
  <si>
    <t>FRACCIÓN QUE PASA EL TAMIZ DE 9,5 mm (3/8") Y SE RETIENE EN EL DE 4,75 mm (N° 4)</t>
  </si>
  <si>
    <t xml:space="preserve">                  </t>
  </si>
  <si>
    <r>
      <t>m= Porcentaje de material que pasa tamiz 2,36 mm
m= (m</t>
    </r>
    <r>
      <rPr>
        <sz val="7"/>
        <rFont val="Arial"/>
        <family val="2"/>
      </rPr>
      <t xml:space="preserve">3 </t>
    </r>
    <r>
      <rPr>
        <sz val="9"/>
        <rFont val="Arial"/>
        <family val="2"/>
      </rPr>
      <t>/ m</t>
    </r>
    <r>
      <rPr>
        <sz val="7"/>
        <rFont val="Arial"/>
        <family val="2"/>
      </rPr>
      <t>1</t>
    </r>
    <r>
      <rPr>
        <sz val="9"/>
        <rFont val="Arial"/>
        <family val="2"/>
      </rPr>
      <t>) * 100</t>
    </r>
  </si>
  <si>
    <t>f= Máxima fuerza</t>
  </si>
  <si>
    <t>F= Fuerza necesaria para producir un 10% de finos    
F= (14*f) / (m+4)</t>
  </si>
  <si>
    <t>SATURADA</t>
  </si>
  <si>
    <t>A= Masa muestra seca antes del ensayo</t>
  </si>
  <si>
    <t>B= Masa muestra seca después del ensayo</t>
  </si>
  <si>
    <r>
      <t>Masa de las partículas que se retienen en el calibrador  n</t>
    </r>
    <r>
      <rPr>
        <vertAlign val="subscript"/>
        <sz val="8"/>
        <rFont val="Arial"/>
        <family val="2"/>
      </rPr>
      <t>i</t>
    </r>
    <r>
      <rPr>
        <sz val="8"/>
        <rFont val="Arial"/>
        <family val="2"/>
      </rPr>
      <t xml:space="preserve"> (g)</t>
    </r>
  </si>
  <si>
    <t>1/4"</t>
  </si>
  <si>
    <t>F= 1 ó más caras fracturadas</t>
  </si>
  <si>
    <t xml:space="preserve"> N= 2 ó más caras fracturadas</t>
  </si>
  <si>
    <t>N= 2 ó más caras fracturadas</t>
  </si>
  <si>
    <r>
      <t>M</t>
    </r>
    <r>
      <rPr>
        <vertAlign val="subscript"/>
        <sz val="8"/>
        <color theme="1"/>
        <rFont val="Tahoma"/>
        <family val="2"/>
      </rPr>
      <t>HFG</t>
    </r>
    <r>
      <rPr>
        <sz val="8"/>
        <color theme="1"/>
        <rFont val="Tahoma"/>
        <family val="2"/>
      </rPr>
      <t>: Masa Húmeda Fracción Gruesa</t>
    </r>
  </si>
  <si>
    <r>
      <t>M</t>
    </r>
    <r>
      <rPr>
        <vertAlign val="subscript"/>
        <sz val="8"/>
        <color theme="1"/>
        <rFont val="Tahoma"/>
        <family val="2"/>
      </rPr>
      <t>HFE</t>
    </r>
    <r>
      <rPr>
        <sz val="8"/>
        <color theme="1"/>
        <rFont val="Tahoma"/>
        <family val="2"/>
      </rPr>
      <t>: Masa Humedad Fracción Ensayo</t>
    </r>
  </si>
  <si>
    <r>
      <t>M</t>
    </r>
    <r>
      <rPr>
        <vertAlign val="subscript"/>
        <sz val="8"/>
        <color theme="1"/>
        <rFont val="Tahoma"/>
        <family val="2"/>
      </rPr>
      <t>SFC</t>
    </r>
    <r>
      <rPr>
        <sz val="8"/>
        <color theme="1"/>
        <rFont val="Tahoma"/>
        <family val="2"/>
      </rPr>
      <t>: Masa Seca Fracción Gruesa</t>
    </r>
  </si>
  <si>
    <r>
      <t>M</t>
    </r>
    <r>
      <rPr>
        <vertAlign val="subscript"/>
        <sz val="8"/>
        <color theme="1"/>
        <rFont val="Tahoma"/>
        <family val="2"/>
      </rPr>
      <t>SFE</t>
    </r>
    <r>
      <rPr>
        <sz val="8"/>
        <color theme="1"/>
        <rFont val="Tahoma"/>
        <family val="2"/>
      </rPr>
      <t>: Masa Seca Fracción Ensayo</t>
    </r>
  </si>
  <si>
    <r>
      <t>γ</t>
    </r>
    <r>
      <rPr>
        <vertAlign val="subscript"/>
        <sz val="8"/>
        <color theme="1"/>
        <rFont val="Tahoma"/>
        <family val="2"/>
      </rPr>
      <t>d</t>
    </r>
    <r>
      <rPr>
        <sz val="8"/>
        <color theme="1"/>
        <rFont val="Tahoma"/>
        <family val="2"/>
      </rPr>
      <t>: Peso Unitario Seco (kN/m</t>
    </r>
    <r>
      <rPr>
        <vertAlign val="superscript"/>
        <sz val="8"/>
        <color theme="1"/>
        <rFont val="Tahoma"/>
        <family val="2"/>
      </rPr>
      <t>3</t>
    </r>
    <r>
      <rPr>
        <sz val="8"/>
        <color theme="1"/>
        <rFont val="Tahoma"/>
        <family val="2"/>
      </rPr>
      <t>)</t>
    </r>
  </si>
  <si>
    <r>
      <t>M</t>
    </r>
    <r>
      <rPr>
        <vertAlign val="subscript"/>
        <sz val="8"/>
        <color theme="1"/>
        <rFont val="Tahoma"/>
        <family val="2"/>
      </rPr>
      <t>T</t>
    </r>
    <r>
      <rPr>
        <sz val="8"/>
        <color theme="1"/>
        <rFont val="Tahoma"/>
        <family val="2"/>
      </rPr>
      <t>: Masa Molde + Material Húmedo (g)</t>
    </r>
  </si>
  <si>
    <r>
      <t>V: Volumen del molde (cm</t>
    </r>
    <r>
      <rPr>
        <vertAlign val="superscript"/>
        <sz val="8"/>
        <color theme="1"/>
        <rFont val="Tahoma"/>
        <family val="2"/>
      </rPr>
      <t>3</t>
    </r>
    <r>
      <rPr>
        <sz val="8"/>
        <color theme="1"/>
        <rFont val="Tahoma"/>
        <family val="2"/>
      </rPr>
      <t>)</t>
    </r>
  </si>
  <si>
    <r>
      <t>M</t>
    </r>
    <r>
      <rPr>
        <vertAlign val="subscript"/>
        <sz val="8"/>
        <color theme="1"/>
        <rFont val="Tahoma"/>
        <family val="2"/>
      </rPr>
      <t>MD</t>
    </r>
    <r>
      <rPr>
        <sz val="8"/>
        <color theme="1"/>
        <rFont val="Tahoma"/>
        <family val="2"/>
      </rPr>
      <t>: Masa del molde (g)</t>
    </r>
  </si>
  <si>
    <r>
      <t>ρ</t>
    </r>
    <r>
      <rPr>
        <vertAlign val="subscript"/>
        <sz val="8"/>
        <color theme="1"/>
        <rFont val="Tahoma"/>
        <family val="2"/>
      </rPr>
      <t>H</t>
    </r>
    <r>
      <rPr>
        <sz val="8"/>
        <color theme="1"/>
        <rFont val="Tahoma"/>
        <family val="2"/>
      </rPr>
      <t>: Densidad Humedad (g/cm</t>
    </r>
    <r>
      <rPr>
        <vertAlign val="superscript"/>
        <sz val="8"/>
        <color theme="1"/>
        <rFont val="Tahoma"/>
        <family val="2"/>
      </rPr>
      <t>3</t>
    </r>
    <r>
      <rPr>
        <sz val="8"/>
        <color theme="1"/>
        <rFont val="Tahoma"/>
        <family val="2"/>
      </rPr>
      <t>)</t>
    </r>
  </si>
  <si>
    <r>
      <t>ρ</t>
    </r>
    <r>
      <rPr>
        <vertAlign val="subscript"/>
        <sz val="8"/>
        <color theme="1"/>
        <rFont val="Tahoma"/>
        <family val="2"/>
      </rPr>
      <t>d</t>
    </r>
    <r>
      <rPr>
        <sz val="8"/>
        <color theme="1"/>
        <rFont val="Tahoma"/>
        <family val="2"/>
      </rPr>
      <t>: Densidad Seca (g/cm</t>
    </r>
    <r>
      <rPr>
        <vertAlign val="superscript"/>
        <sz val="8"/>
        <color theme="1"/>
        <rFont val="Tahoma"/>
        <family val="2"/>
      </rPr>
      <t>3</t>
    </r>
    <r>
      <rPr>
        <sz val="8"/>
        <color theme="1"/>
        <rFont val="Tahoma"/>
        <family val="2"/>
      </rPr>
      <t>)</t>
    </r>
  </si>
  <si>
    <r>
      <t>γ</t>
    </r>
    <r>
      <rPr>
        <vertAlign val="subscript"/>
        <sz val="8"/>
        <color theme="1"/>
        <rFont val="Tahoma"/>
        <family val="2"/>
      </rPr>
      <t>H</t>
    </r>
    <r>
      <rPr>
        <sz val="8"/>
        <color theme="1"/>
        <rFont val="Tahoma"/>
        <family val="2"/>
      </rPr>
      <t>: Peso Unitario Húmedo (kN/m</t>
    </r>
    <r>
      <rPr>
        <vertAlign val="superscript"/>
        <sz val="8"/>
        <color theme="1"/>
        <rFont val="Tahoma"/>
        <family val="2"/>
      </rPr>
      <t>3</t>
    </r>
    <r>
      <rPr>
        <sz val="8"/>
        <color theme="1"/>
        <rFont val="Tahoma"/>
        <family val="2"/>
      </rPr>
      <t>)</t>
    </r>
  </si>
  <si>
    <r>
      <t>W</t>
    </r>
    <r>
      <rPr>
        <vertAlign val="subscript"/>
        <sz val="8"/>
        <color theme="1"/>
        <rFont val="Tahoma"/>
        <family val="2"/>
      </rPr>
      <t>sat</t>
    </r>
    <r>
      <rPr>
        <sz val="8"/>
        <color theme="1"/>
        <rFont val="Tahoma"/>
        <family val="2"/>
      </rPr>
      <t>: Humedad Fracción Ensayo (%)</t>
    </r>
  </si>
  <si>
    <r>
      <t>U</t>
    </r>
    <r>
      <rPr>
        <b/>
        <sz val="7"/>
        <rFont val="Arial"/>
        <family val="2"/>
      </rPr>
      <t>s</t>
    </r>
    <r>
      <rPr>
        <sz val="9"/>
        <rFont val="Arial"/>
        <family val="2"/>
      </rPr>
      <t>: Porcentaje de vacíos en el agregado fino sin compactar</t>
    </r>
  </si>
  <si>
    <r>
      <t>M</t>
    </r>
    <r>
      <rPr>
        <sz val="7"/>
        <rFont val="Arial"/>
        <family val="2"/>
      </rPr>
      <t>2</t>
    </r>
    <r>
      <rPr>
        <sz val="9"/>
        <rFont val="Arial"/>
        <family val="2"/>
      </rPr>
      <t>= Masa de la muestra después del ensayo y retenida sobre el tamiz N° 8</t>
    </r>
  </si>
  <si>
    <r>
      <t>Masa de la muestra que pasa el tamiz N° 8      
M</t>
    </r>
    <r>
      <rPr>
        <sz val="6"/>
        <rFont val="Arial"/>
        <family val="2"/>
      </rPr>
      <t>3</t>
    </r>
    <r>
      <rPr>
        <sz val="9"/>
        <rFont val="Arial"/>
        <family val="2"/>
      </rPr>
      <t xml:space="preserve"> = M</t>
    </r>
    <r>
      <rPr>
        <sz val="7"/>
        <rFont val="Arial"/>
        <family val="2"/>
      </rPr>
      <t>1</t>
    </r>
    <r>
      <rPr>
        <sz val="9"/>
        <rFont val="Arial"/>
        <family val="2"/>
      </rPr>
      <t xml:space="preserve"> - M</t>
    </r>
    <r>
      <rPr>
        <sz val="7"/>
        <rFont val="Arial"/>
        <family val="2"/>
      </rPr>
      <t>2</t>
    </r>
  </si>
  <si>
    <t>Alterno</t>
  </si>
  <si>
    <t>Milímetros
(mm)</t>
  </si>
  <si>
    <t>Masa de la muestra inicial Mo</t>
  </si>
  <si>
    <t>Masa de la muestra inicial Mo - Corregida</t>
  </si>
  <si>
    <t>Tipo de material</t>
  </si>
  <si>
    <t>PEA</t>
  </si>
  <si>
    <t>BG_Gr2</t>
  </si>
  <si>
    <t>SG_Gr1</t>
  </si>
  <si>
    <t>SG_Gr2</t>
  </si>
  <si>
    <t>SBG_Pea</t>
  </si>
  <si>
    <t>Tipo de gradación</t>
  </si>
  <si>
    <t>--</t>
  </si>
  <si>
    <t>N° 80</t>
  </si>
  <si>
    <t xml:space="preserve">ARENA DE PEÑA </t>
  </si>
  <si>
    <t>MD 20</t>
  </si>
  <si>
    <t>MD12</t>
  </si>
  <si>
    <t>MD10</t>
  </si>
  <si>
    <t>ARENA TRITURADA DE RIO</t>
  </si>
  <si>
    <t>ARENA TRITURADA DE CANTERA</t>
  </si>
  <si>
    <t>GRAVA 1/2"</t>
  </si>
  <si>
    <t>GRAVA 3/4"</t>
  </si>
  <si>
    <t>GRAVA 1"</t>
  </si>
  <si>
    <t xml:space="preserve">MINIMOS </t>
  </si>
  <si>
    <t>0</t>
  </si>
  <si>
    <t>VERSIÓN: 1</t>
  </si>
  <si>
    <t>P1: Masa muestra seca antes del ensayo</t>
  </si>
  <si>
    <t>PORCENTAJE DE CARAS FRACTURADAS EN UN AGREGADO GRUESO INV E 227-13</t>
  </si>
  <si>
    <t>INDICE DE APLANAMIENTO Y ALARGAMIENTO  DE LOS AGREGADOS PARA CARRETERAS INV E 230-13</t>
  </si>
  <si>
    <t>Placa:</t>
  </si>
  <si>
    <t>N°200</t>
  </si>
  <si>
    <t>Diferencia permitida 0,3%</t>
  </si>
  <si>
    <t xml:space="preserve"> BG_Gr1</t>
  </si>
  <si>
    <t>RAP ESTABILIZADO</t>
  </si>
  <si>
    <t>Tamices</t>
  </si>
  <si>
    <t>MAXIMOS</t>
  </si>
  <si>
    <r>
      <t>2</t>
    </r>
    <r>
      <rPr>
        <sz val="8"/>
        <rFont val="Calibri"/>
        <family val="2"/>
      </rPr>
      <t>¼</t>
    </r>
    <r>
      <rPr>
        <sz val="8"/>
        <rFont val="Arial"/>
        <family val="2"/>
      </rPr>
      <t>"</t>
    </r>
  </si>
  <si>
    <t>MGCR TIPO 3</t>
  </si>
  <si>
    <t>MGCR TIPO 2</t>
  </si>
  <si>
    <t>MGCR TIPO 1</t>
  </si>
  <si>
    <t>11,81"</t>
  </si>
  <si>
    <t>% PASA</t>
  </si>
  <si>
    <t>1½" - 3/4"</t>
  </si>
  <si>
    <t>3/4" -  3/8"</t>
  </si>
  <si>
    <t xml:space="preserve">3/8" - N° 4 </t>
  </si>
  <si>
    <t>N° 4 -  N° 16</t>
  </si>
  <si>
    <t>N° 4 - °N8</t>
  </si>
  <si>
    <t>N° 8 - N°16</t>
  </si>
  <si>
    <t>N°16 - °N30</t>
  </si>
  <si>
    <t>No. 30 - N° 50</t>
  </si>
  <si>
    <t>2½" - 2</t>
  </si>
  <si>
    <t>2- 1½"</t>
  </si>
  <si>
    <t>1/2"-3/8"</t>
  </si>
  <si>
    <t>3/4- 1/2</t>
  </si>
  <si>
    <t>1½"- 1"</t>
  </si>
  <si>
    <t>1"-3/4"</t>
  </si>
  <si>
    <t>Masa seca lavada pasa tamiz No. 200 (g)</t>
  </si>
  <si>
    <t>Limite inferior</t>
  </si>
  <si>
    <t>Limite superior</t>
  </si>
  <si>
    <t>Tamiz</t>
  </si>
  <si>
    <t>Especificación</t>
  </si>
  <si>
    <t>Especificación Técnica IDU Sección 400-11, Tabla 400.4</t>
  </si>
  <si>
    <t xml:space="preserve">3/4" </t>
  </si>
  <si>
    <t xml:space="preserve"> AG 1</t>
  </si>
  <si>
    <t>Especificación Técnica IDU Sección 600-11, Tabla 600.2</t>
  </si>
  <si>
    <t>AG 2</t>
  </si>
  <si>
    <t>GRAVA 1" CONCRETO</t>
  </si>
  <si>
    <t>AG 3</t>
  </si>
  <si>
    <t>AG 4</t>
  </si>
  <si>
    <t>ARENA PARA CONCRETO</t>
  </si>
  <si>
    <t>ARENA CONCRETO FINA</t>
  </si>
  <si>
    <t>Especificación Técnica IDU Sección 600-11, Tabla 600.4</t>
  </si>
  <si>
    <t>ARENA CONCRETO GRUESA</t>
  </si>
  <si>
    <t xml:space="preserve">Masa Retenida (g) </t>
  </si>
  <si>
    <t>Especificación Técnica IDU Sección 510-11, Tabla 510.4</t>
  </si>
  <si>
    <t>Especificación Técnica IDU Sección 560-11, Tabla 560.1</t>
  </si>
  <si>
    <t>RAJÓN</t>
  </si>
  <si>
    <t>Especificación Técnica IDU Sección 321-11, Numeral 321.3</t>
  </si>
  <si>
    <t>Especificación Técnica IDU Sección 340-11, Numeral 340.2.2.1</t>
  </si>
  <si>
    <t>Especificación Técnica IDU Sección 450-11, Tabla 450.1</t>
  </si>
  <si>
    <t>Modulo de finura</t>
  </si>
  <si>
    <t>masa que pasa N° 4</t>
  </si>
  <si>
    <t>CODIGO: GLAB-FM-013</t>
  </si>
  <si>
    <t>Laboratorio de suelos, asfaltos y pavimentos de la UAERMV 
Sede de Producción Parque Minero Industrial El Mochuelo Kilometro 3 vía Pasquilla localidad Ciudad Bolívar, Bogotá D.C. - Colombia
Tel: 3779555 Ext. 1145   E- mail: p.laboratorio@umv.gov.co</t>
  </si>
  <si>
    <t xml:space="preserve">Masa retenida (g)                        </t>
  </si>
  <si>
    <t>Límites especificación
 (% pasa)</t>
  </si>
  <si>
    <t>retenido</t>
  </si>
  <si>
    <t>pasa</t>
  </si>
  <si>
    <t xml:space="preserve">Platon </t>
  </si>
  <si>
    <t>VERSION : 5</t>
  </si>
  <si>
    <t>FECHA DE APLICACIÓN: AGOSTO 2021</t>
  </si>
  <si>
    <t>Paginas</t>
  </si>
  <si>
    <t>Pagina</t>
  </si>
  <si>
    <t>de</t>
  </si>
  <si>
    <t>Pagina xx de xx</t>
  </si>
  <si>
    <t>VERIFICACIÓN DE LA MASA</t>
  </si>
  <si>
    <t>MATERIAL FILTRANTE 1"</t>
  </si>
  <si>
    <t>MATERIAL FILTRANTE 3"</t>
  </si>
  <si>
    <t>Ficha técnica contrato N° 448 UAERMV</t>
  </si>
  <si>
    <t>INFORME DE ENSAYO
 ANÁLISIS GRANULOMÉTRICO DE AGREGADOS GRUESO Y FINO INV E 213-13</t>
  </si>
  <si>
    <t xml:space="preserve"> INFORME DE ENSAYO
DETERMINACIÓN DE LA CANTIDAD DE MATERIAL QUE PASA EL TAMIZ  DE 75 µm (N°200) EN LOS AGREGADOS PETREOS MEDIANTE LAVADO 
INV E 214-13      </t>
  </si>
  <si>
    <t>CÓDIGO: GLAB-FM-014</t>
  </si>
  <si>
    <t>VERSIÓN: 5</t>
  </si>
  <si>
    <t>% PASA TAMIZ N° 200</t>
  </si>
  <si>
    <t xml:space="preserve">Ensayo </t>
  </si>
  <si>
    <t xml:space="preserve">Procedimiento utilizado </t>
  </si>
  <si>
    <t>Procedimiento Usada:</t>
  </si>
  <si>
    <t>B: Masa original de la muestra seca.</t>
  </si>
  <si>
    <t>x</t>
  </si>
  <si>
    <t>A: Lavado con Agua Natural</t>
  </si>
  <si>
    <t>C: Masa de la muestra seca después de lavada,</t>
  </si>
  <si>
    <t>B: Lavado con Agua y Agente Humectante</t>
  </si>
  <si>
    <r>
      <t xml:space="preserve">A: Material fino que pasa el tamiz de 75 </t>
    </r>
    <r>
      <rPr>
        <sz val="9"/>
        <rFont val="Calibri"/>
        <family val="2"/>
      </rPr>
      <t>µ</t>
    </r>
    <r>
      <rPr>
        <sz val="9"/>
        <rFont val="Tahoma"/>
        <family val="2"/>
      </rPr>
      <t>m (N° 200) obtenido por lavado</t>
    </r>
  </si>
  <si>
    <t>CÓDIGO: GLAB-FM-176</t>
  </si>
  <si>
    <r>
      <t>m</t>
    </r>
    <r>
      <rPr>
        <sz val="10"/>
        <color theme="0"/>
        <rFont val="Calibri"/>
        <family val="2"/>
      </rPr>
      <t>³</t>
    </r>
  </si>
  <si>
    <t>Servicios</t>
  </si>
  <si>
    <t>Subdirección Técnica de Mejoramiento de la Malla Vial</t>
  </si>
  <si>
    <t>Nombre y apellido</t>
  </si>
  <si>
    <t>Rol</t>
  </si>
  <si>
    <t>Firma</t>
  </si>
  <si>
    <t>Densidades</t>
  </si>
  <si>
    <t>Gerencia de Producción</t>
  </si>
  <si>
    <t>Jennifer Arias Neira</t>
  </si>
  <si>
    <t>Apiques</t>
  </si>
  <si>
    <t>Base granular tipo A</t>
  </si>
  <si>
    <t>Ver perfil estratigráfico del suelo INV E-101 y 102-13</t>
  </si>
  <si>
    <t>MD-10</t>
  </si>
  <si>
    <t>Cemento asfaltico CA-14</t>
  </si>
  <si>
    <t>Emulsión asfaltica CRL-1 (60-100)</t>
  </si>
  <si>
    <t>Grava 1"</t>
  </si>
  <si>
    <t>Base granular Tipo A</t>
  </si>
  <si>
    <t>MR-43</t>
  </si>
  <si>
    <t>Localidad:</t>
  </si>
  <si>
    <t>Barrio:</t>
  </si>
  <si>
    <t>Identificación:</t>
  </si>
  <si>
    <t>Gerencia de Intervención</t>
  </si>
  <si>
    <t>Núcleos</t>
  </si>
  <si>
    <t>Base granular tipo B</t>
  </si>
  <si>
    <t>MD-12</t>
  </si>
  <si>
    <t>Cemento asfaltico modificado con GCR</t>
  </si>
  <si>
    <t>Emulsión asfaltica CRL-1 (100-250)</t>
  </si>
  <si>
    <r>
      <t xml:space="preserve">Grava </t>
    </r>
    <r>
      <rPr>
        <sz val="10"/>
        <color theme="1"/>
        <rFont val="Calibri"/>
        <family val="2"/>
      </rPr>
      <t>¾</t>
    </r>
    <r>
      <rPr>
        <sz val="10"/>
        <color theme="1"/>
        <rFont val="Arial"/>
        <family val="2"/>
      </rPr>
      <t>"</t>
    </r>
  </si>
  <si>
    <t>Base granular Tipo B</t>
  </si>
  <si>
    <t>3000 psi</t>
  </si>
  <si>
    <t>Dirección:</t>
  </si>
  <si>
    <t>Lote:</t>
  </si>
  <si>
    <t>Vehículo:</t>
  </si>
  <si>
    <t>Planta:</t>
  </si>
  <si>
    <t>Subdirección Técnica de Producción e intervención</t>
  </si>
  <si>
    <t>Diseños</t>
  </si>
  <si>
    <t>Base granular tipo C</t>
  </si>
  <si>
    <t>MGCR-Tipo 1</t>
  </si>
  <si>
    <t>Asfalto modificado para sello de fisuras</t>
  </si>
  <si>
    <t>Emulsión asfaltica CRR-1</t>
  </si>
  <si>
    <r>
      <t xml:space="preserve">Grava </t>
    </r>
    <r>
      <rPr>
        <sz val="10"/>
        <color theme="1"/>
        <rFont val="Calibri"/>
        <family val="2"/>
      </rPr>
      <t>½</t>
    </r>
    <r>
      <rPr>
        <sz val="10"/>
        <color theme="1"/>
        <rFont val="Arial"/>
        <family val="2"/>
      </rPr>
      <t>"</t>
    </r>
  </si>
  <si>
    <t>Base granular Tipo C</t>
  </si>
  <si>
    <t>MGCR Tipo 1</t>
  </si>
  <si>
    <t>2500 psi</t>
  </si>
  <si>
    <t>Remisión / Despacho:</t>
  </si>
  <si>
    <t>Jornada:</t>
  </si>
  <si>
    <t>Material ensayado:</t>
  </si>
  <si>
    <t>Saturnino Rincón Beltrán</t>
  </si>
  <si>
    <t>Técnico Operativo</t>
  </si>
  <si>
    <t>Cemento asfaltico</t>
  </si>
  <si>
    <t>Sub-base granular  tipo A</t>
  </si>
  <si>
    <t>Capa 1 MD-12 y Capa 2 MGCR-Tipo 1</t>
  </si>
  <si>
    <t>Arena triturada de rio</t>
  </si>
  <si>
    <t xml:space="preserve">Sub-base granular Tipo A </t>
  </si>
  <si>
    <t>Pavimento asfaltico reciclado MBR</t>
  </si>
  <si>
    <t>Frecuencia:</t>
  </si>
  <si>
    <t>Muestra tomada en:</t>
  </si>
  <si>
    <t>Emulsión asfaltica</t>
  </si>
  <si>
    <t>Sub-base granular  tipo B</t>
  </si>
  <si>
    <t>Capa 1 MGCR Tipo 1 y capa 2 MD-12</t>
  </si>
  <si>
    <t>Arena triturada de cantera</t>
  </si>
  <si>
    <t>Sub-base granular Tipo B</t>
  </si>
  <si>
    <t>Fresado</t>
  </si>
  <si>
    <t>CIVs:</t>
  </si>
  <si>
    <t>PK:</t>
  </si>
  <si>
    <t>Materiales pétreos</t>
  </si>
  <si>
    <t>Sub-base granular  tipo C</t>
  </si>
  <si>
    <t>Arena natural</t>
  </si>
  <si>
    <t>Sub-base granular Tipo C</t>
  </si>
  <si>
    <t>Fresado estabilizado con emulsión y cemento</t>
  </si>
  <si>
    <t>Fecha de instalación:</t>
  </si>
  <si>
    <t>Fecha de producción:</t>
  </si>
  <si>
    <t>Fuente:</t>
  </si>
  <si>
    <t>Materiales granulares</t>
  </si>
  <si>
    <t>Remanente</t>
  </si>
  <si>
    <t>Arena de peña</t>
  </si>
  <si>
    <t>Piedra rajón</t>
  </si>
  <si>
    <t>Apique:</t>
  </si>
  <si>
    <t>Volumen del lote:</t>
  </si>
  <si>
    <t>Mezcla asfaltica</t>
  </si>
  <si>
    <t>Agregados combinados MD-10</t>
  </si>
  <si>
    <t>Recebo común</t>
  </si>
  <si>
    <t>Concreto hidráulico</t>
  </si>
  <si>
    <t>Base estabilizada con emulsión y cemento</t>
  </si>
  <si>
    <t>Agregados combinados MD-12</t>
  </si>
  <si>
    <t>Material filtrante de 3"</t>
  </si>
  <si>
    <t>Otros</t>
  </si>
  <si>
    <t xml:space="preserve">70%SBG-A + 30% Fresado </t>
  </si>
  <si>
    <t>Agregados combinados MGCR Tipo 1</t>
  </si>
  <si>
    <t>Material filtrante de 1"</t>
  </si>
  <si>
    <t>Cindy Nathaly Sastoque G</t>
  </si>
  <si>
    <t>Coordinador Técnico</t>
  </si>
  <si>
    <t>Wilintong Contreras Camacho</t>
  </si>
  <si>
    <t>Líder Operativo</t>
  </si>
  <si>
    <t>Fecha de emisión:</t>
  </si>
  <si>
    <t>Número de páginas:</t>
  </si>
  <si>
    <t>Descargos:</t>
  </si>
  <si>
    <t>1. Los resultados emitidos corresponden únicamente a la muestra recibida y ensayada.
2. El laboratorio de suelos, asfaltos y pavimentos de la UAERMV no se hace responsable por la validez de la información suministrada por el cliente, la cual corresponde a la identificación y fuente de la muestra sometida a ensayo. Esta información se encuentra en cursiva y subrayada.
3. Este informe no puede ser reproducido en su totalidad, ni parcialmente, sin la autorización escrita del laboratorio de suelos, asfaltos y pavimentos de la UAERMV. Los informes de ensayo sin firma no son validos.</t>
  </si>
  <si>
    <t>Laboratorio de suelos, asfaltos y pavimentos de la UAERMV
Sede de Producción Parque Minero Industrial El Mochuelo Kilometro 3 vía Pasquilla localidad Ciudad Bolívar, Bogotá D.C. - Colombia
Tel: 3779555 Ext 1145   E- mail: p.laboratorio@umv.gov.co</t>
  </si>
  <si>
    <t xml:space="preserve"> INFORMES DE ENSAYO 
CARACTERIZACIÓN DE MATERIALES GRANULARES</t>
  </si>
  <si>
    <t xml:space="preserve">MENSUAL </t>
  </si>
  <si>
    <t>CÓDIGO: GLAB-FM-046</t>
  </si>
  <si>
    <t xml:space="preserve">QUINCENAL </t>
  </si>
  <si>
    <t>FECHA DE APLICACIÓN: SEPTIEMBRE 2021</t>
  </si>
  <si>
    <t>SEMANAL</t>
  </si>
  <si>
    <t xml:space="preserve">REQUISITOS DE LOS  AGREGADO PARA BASES Y SUBBASES GRANULARES </t>
  </si>
  <si>
    <t>ENSAYO</t>
  </si>
  <si>
    <t>NORMA
INV-E-2013</t>
  </si>
  <si>
    <t>RESULTADO DE ENSAYO</t>
  </si>
  <si>
    <t xml:space="preserve">REQUISITOS
Tabla 400.2 </t>
  </si>
  <si>
    <t>ESPECIFICACIÓN TÉCNICA IDU SECCIÓN 400-11</t>
  </si>
  <si>
    <t>COMPOSICIÓN</t>
  </si>
  <si>
    <t>Granulometría</t>
  </si>
  <si>
    <t>DUREZA</t>
  </si>
  <si>
    <t xml:space="preserve">Desgaste Los Ángeles, en seco, 500 revoluciones </t>
  </si>
  <si>
    <t>% Máximo</t>
  </si>
  <si>
    <t xml:space="preserve">Micro Deval </t>
  </si>
  <si>
    <t xml:space="preserve">10% Finos  </t>
  </si>
  <si>
    <t xml:space="preserve">Valor en seco </t>
  </si>
  <si>
    <t>kN Mínimo</t>
  </si>
  <si>
    <t xml:space="preserve">Relación Húmedo/seco </t>
  </si>
  <si>
    <t>% Mínimo</t>
  </si>
  <si>
    <t>N/A</t>
  </si>
  <si>
    <t>DURABILIDAD</t>
  </si>
  <si>
    <t>Pérdida de ensayo de solidez  en sulfato de magnesio</t>
  </si>
  <si>
    <t xml:space="preserve"> % Máximo</t>
  </si>
  <si>
    <t>LIMPIEZA</t>
  </si>
  <si>
    <t>Límite líquido</t>
  </si>
  <si>
    <t>Índice de plasticidad</t>
  </si>
  <si>
    <t>Material que pasa por el tamiz N° 200</t>
  </si>
  <si>
    <t>Terrones de arcilla y partículas  deleznables</t>
  </si>
  <si>
    <t>No Plástico</t>
  </si>
  <si>
    <t>GEOMETRIA DE LAS PARTICULAS</t>
  </si>
  <si>
    <t xml:space="preserve">Reportar </t>
  </si>
  <si>
    <t>Partículas fracturadas mecánicamente</t>
  </si>
  <si>
    <t>1 Cara</t>
  </si>
  <si>
    <t>2 Caras</t>
  </si>
  <si>
    <t>Índice de  aplanamiento</t>
  </si>
  <si>
    <t>Índice de  alargamiento</t>
  </si>
  <si>
    <t>Angularidad del agregado fino</t>
  </si>
  <si>
    <t>CAPACIDAD DE SOPORTE</t>
  </si>
  <si>
    <t>Proctor (densidad máxima seca)</t>
  </si>
  <si>
    <t>KN/m³</t>
  </si>
  <si>
    <t>Reportar</t>
  </si>
  <si>
    <t xml:space="preserve"> (referido al 100% Proctor)</t>
  </si>
  <si>
    <t xml:space="preserve"> (referido al 95% Proctor)</t>
  </si>
  <si>
    <t>(referido al 95% Proctor)</t>
  </si>
  <si>
    <t xml:space="preserve">INFORME DE ENSAYO 
 RESISTENCIA A LA DEGRADACIÓN DE LOS AGREGADOS DE TAMAÑOS MENORES DE 37,5 mm (1 1/2") POR MEDIO DE LA MÁQUINA DE LOS ANGELES  INV E 218-13 </t>
  </si>
  <si>
    <t>CODIGO: GLAB-FM-016</t>
  </si>
  <si>
    <t>VERSIÓN : 9</t>
  </si>
  <si>
    <t xml:space="preserve">METODO </t>
  </si>
  <si>
    <t>NUMERO DE ESFERAS</t>
  </si>
  <si>
    <t>Tamaño máximo nominal</t>
  </si>
  <si>
    <t>Nº de esferas</t>
  </si>
  <si>
    <t xml:space="preserve">Estado de la muestra </t>
  </si>
  <si>
    <r>
      <t>P2(100rev)</t>
    </r>
    <r>
      <rPr>
        <sz val="6"/>
        <rFont val="Arial"/>
        <family val="2"/>
      </rPr>
      <t>:</t>
    </r>
    <r>
      <rPr>
        <sz val="8"/>
        <rFont val="Arial"/>
        <family val="2"/>
      </rPr>
      <t xml:space="preserve"> Masa de la muestra seca y después del ensayo, previo lavado sobre  tamiz Nº 12 después de 100 revoluciones</t>
    </r>
  </si>
  <si>
    <t>P2(500rev) : Masa de la muestra seca y después del ensayo, previo lavado sobre  tamiz Nº 12 después  500 revoluciones</t>
  </si>
  <si>
    <t>Tamaño de los tamices (in)</t>
  </si>
  <si>
    <t>* HÚMEDA: Después de 48 HORAS de inmersión</t>
  </si>
  <si>
    <t>INFORME DE ENSAYO
DETERMINACIÓN DE LA RESISTENCIA DEL AGREGADO GRUESO A LA DEGRADACIÓN POR ABRASIÓN  UTILIZANDO EL EQUIPO MICRO-DEVAL INV E 238-13</t>
  </si>
  <si>
    <t>CÓDIGO: GLAB-FM-023</t>
  </si>
  <si>
    <t>VERSIÓN: 9</t>
  </si>
  <si>
    <t>FECHA DE APLICACIÓN:  AGOSTO 2021</t>
  </si>
  <si>
    <t>Tamaño máximo del agregado</t>
  </si>
  <si>
    <t xml:space="preserve">GRÁFICO DE TENDENCIA DEL AGREGADO DE CALIBRACIÓN </t>
  </si>
  <si>
    <t>G</t>
  </si>
  <si>
    <t>INFORME DE ENSAYO 
DETERMINACIÓN DEL VALOR DE 10% DE FINOS INV E 224-13</t>
  </si>
  <si>
    <t>CÓDIGO: GLAB-FM-021</t>
  </si>
  <si>
    <t>CONDICIÓN DEL AGREGADO</t>
  </si>
  <si>
    <t>Seco</t>
  </si>
  <si>
    <t xml:space="preserve">  INFORME DE ENSAYO
DETERMINACIÓN DEL LÍMITE LÍQUIDO INV E-125-13 Y PLÁSTICO E ÍNDICE DE PLASTICIDAD DE LOS SUELOS INV E-126-13</t>
  </si>
  <si>
    <t>CÓDIGO: GLAB-FM-005</t>
  </si>
  <si>
    <t>VERSIÓN: 11</t>
  </si>
  <si>
    <t>VERIFICACIÓN DEL ALCANCE LIMITE LIQUIDO</t>
  </si>
  <si>
    <t>Método LL</t>
  </si>
  <si>
    <t>REDONDEO E-125</t>
  </si>
  <si>
    <t>Grafica</t>
  </si>
  <si>
    <t>A. multipunto</t>
  </si>
  <si>
    <t>N.L.</t>
  </si>
  <si>
    <t>% MIN</t>
  </si>
  <si>
    <t>%MAX</t>
  </si>
  <si>
    <t>B. un punto</t>
  </si>
  <si>
    <t xml:space="preserve">Muestra: </t>
  </si>
  <si>
    <t>VERIFICACIÓN DEL ALCANCE LIMITE PLASTICO</t>
  </si>
  <si>
    <t>Método LP</t>
  </si>
  <si>
    <t>Línea de 25 golpes</t>
  </si>
  <si>
    <t>Manual</t>
  </si>
  <si>
    <t>REDONDEO E-126</t>
  </si>
  <si>
    <t>LÍMITE LÍQUIDO</t>
  </si>
  <si>
    <t>LÍMITE PLÁSTICO</t>
  </si>
  <si>
    <t>N.P.</t>
  </si>
  <si>
    <t>Mecánico</t>
  </si>
  <si>
    <t>Límite líquido - verificación</t>
  </si>
  <si>
    <t>Ítem</t>
  </si>
  <si>
    <t>Límite plástico - verificación</t>
  </si>
  <si>
    <t>Golpes</t>
  </si>
  <si>
    <r>
      <t>P</t>
    </r>
    <r>
      <rPr>
        <vertAlign val="subscript"/>
        <sz val="9"/>
        <rFont val="Arial"/>
        <family val="2"/>
      </rPr>
      <t xml:space="preserve">1    </t>
    </r>
  </si>
  <si>
    <t>Masa del recipiente + muestra húmeda</t>
  </si>
  <si>
    <r>
      <t>P</t>
    </r>
    <r>
      <rPr>
        <vertAlign val="subscript"/>
        <sz val="9"/>
        <rFont val="Arial"/>
        <family val="2"/>
      </rPr>
      <t xml:space="preserve">2      </t>
    </r>
  </si>
  <si>
    <t>Masa del recipiente + muestra seca</t>
  </si>
  <si>
    <r>
      <t>P</t>
    </r>
    <r>
      <rPr>
        <vertAlign val="subscript"/>
        <sz val="9"/>
        <rFont val="Arial"/>
        <family val="2"/>
      </rPr>
      <t xml:space="preserve">3     </t>
    </r>
  </si>
  <si>
    <t>Masa del recipiente</t>
  </si>
  <si>
    <t>w</t>
  </si>
  <si>
    <t>Contenido de humedad de la muestra</t>
  </si>
  <si>
    <t>Límite plástico</t>
  </si>
  <si>
    <t xml:space="preserve">     </t>
  </si>
  <si>
    <t>Eje Vertical</t>
  </si>
  <si>
    <t>Min</t>
  </si>
  <si>
    <t>Max</t>
  </si>
  <si>
    <t>Observaciones</t>
  </si>
  <si>
    <t xml:space="preserve"> INFORME DE ENSAYO
 EQUIVALENTE DE ARENA DE SUELOS Y AGREGADOS FINOS (SUELOS), INV E 133-13                                                               </t>
  </si>
  <si>
    <t>CÓDIGO:  GLAB-FM-006</t>
  </si>
  <si>
    <t>VERSIÓN: 10</t>
  </si>
  <si>
    <t>Procedimiento para preparar el material</t>
  </si>
  <si>
    <t>Solución Stock</t>
  </si>
  <si>
    <t>VERIFICACIÓN DEL ALCANCE</t>
  </si>
  <si>
    <t>VERIFICACIÓN DE PRECISIÓN
para un operador</t>
  </si>
  <si>
    <t xml:space="preserve">Mecánico     </t>
  </si>
  <si>
    <t>Formaldehido</t>
  </si>
  <si>
    <t xml:space="preserve">Manual </t>
  </si>
  <si>
    <t>Glutaraldehído</t>
  </si>
  <si>
    <t>Equivalente</t>
  </si>
  <si>
    <t>A. Seco</t>
  </si>
  <si>
    <t>Kathon CG/ICP</t>
  </si>
  <si>
    <t>≤</t>
  </si>
  <si>
    <t>B. Húmedo</t>
  </si>
  <si>
    <t>Cloruro de calcio</t>
  </si>
  <si>
    <t>&gt;</t>
  </si>
  <si>
    <t>Diferencia</t>
  </si>
  <si>
    <t xml:space="preserve">Procedimiento utilizado para preparar el material: </t>
  </si>
  <si>
    <t>Validación</t>
  </si>
  <si>
    <t xml:space="preserve">Método de agitación empleado:        </t>
  </si>
  <si>
    <t>Solución Stock con:</t>
  </si>
  <si>
    <t>EQUIVALENTE DE ARENA</t>
  </si>
  <si>
    <t>Pulgadas (in)</t>
  </si>
  <si>
    <t xml:space="preserve">Temperatura del ensayo   </t>
  </si>
  <si>
    <t>Lectura de arcilla</t>
  </si>
  <si>
    <t xml:space="preserve"> mm</t>
  </si>
  <si>
    <t xml:space="preserve">Lectura de arena </t>
  </si>
  <si>
    <t>E.A</t>
  </si>
  <si>
    <t>Equivalente de arena</t>
  </si>
  <si>
    <t>Promedio del equivalente de arena</t>
  </si>
  <si>
    <t xml:space="preserve">FIN DEL INFORME DE ENSAYO </t>
  </si>
  <si>
    <t>Laboratorio de suelos, asfaltos y pavimentos de la UAERMV 
Sede de Producción Parque Minero Industrial El Mochuelo Kilometro 3 vía Pasquilla localidad Ciudad Bolívar, Bogotá D.C. - Colombia
Tel: 3779555 Ext 1145   E- mail: p.laboratorio@umv.gov.co</t>
  </si>
  <si>
    <t>INFORME DE ENSAYO 
SOLIDEZ DE LOS AGREGADOS  FRENTE A LA ACCIÓN DE SULFATO DE SODIO O DE MAGNESIO INV E 220-13</t>
  </si>
  <si>
    <t>Tipo de solución</t>
  </si>
  <si>
    <t>Mg</t>
  </si>
  <si>
    <t>Preparación de la solución</t>
  </si>
  <si>
    <t>Reciente</t>
  </si>
  <si>
    <t>Preparación de partículas mayores a 
2 1/2"</t>
  </si>
  <si>
    <t xml:space="preserve">Trituración </t>
  </si>
  <si>
    <t>Na</t>
  </si>
  <si>
    <t>Con anterioridad</t>
  </si>
  <si>
    <t>Cortado</t>
  </si>
  <si>
    <t>CÓDIGO:  GLAB-FM-018</t>
  </si>
  <si>
    <t>BG_Gr1</t>
  </si>
  <si>
    <t>Tamiz mm</t>
  </si>
  <si>
    <t>Tamiz alterno</t>
  </si>
  <si>
    <t>% ret. c/tamaño</t>
  </si>
  <si>
    <t>% ret  c/fracción</t>
  </si>
  <si>
    <t>Tamiz empleado para determinar la pérdida</t>
  </si>
  <si>
    <t>Masa fracción antes del ensayo (g)</t>
  </si>
  <si>
    <t>Masa retenida tamiz designado (g)</t>
  </si>
  <si>
    <t>% Pasa</t>
  </si>
  <si>
    <t>% de</t>
  </si>
  <si>
    <t>Tam desig</t>
  </si>
  <si>
    <t>Perdida</t>
  </si>
  <si>
    <t>FRACCIÓN FINA</t>
  </si>
  <si>
    <t>Porcentaje menor a 4,75 mm (No. 4)</t>
  </si>
  <si>
    <t>4,75 mm</t>
  </si>
  <si>
    <t>(N° 4)</t>
  </si>
  <si>
    <t>2,36 mm</t>
  </si>
  <si>
    <t>(N° 8)</t>
  </si>
  <si>
    <t>1,18 mm</t>
  </si>
  <si>
    <t>(N° 16)</t>
  </si>
  <si>
    <t>N°30</t>
  </si>
  <si>
    <t>600 mm</t>
  </si>
  <si>
    <t>(N° 30)</t>
  </si>
  <si>
    <t>300 mm</t>
  </si>
  <si>
    <t>(N° 50)</t>
  </si>
  <si>
    <t>FRACCIÓN GRUESA</t>
  </si>
  <si>
    <t>Porcentaje mayor a 9,5 mm (3/8")</t>
  </si>
  <si>
    <t>31,5 mm</t>
  </si>
  <si>
    <t>(11/4")</t>
  </si>
  <si>
    <t>16 mm</t>
  </si>
  <si>
    <t>(5/8")</t>
  </si>
  <si>
    <t>8,0 mm</t>
  </si>
  <si>
    <t>(5/16")</t>
  </si>
  <si>
    <t>4 mm
 (N° 5)</t>
  </si>
  <si>
    <t>EXÁMEN CUALITATIVO</t>
  </si>
  <si>
    <t>N° inicial partículas</t>
  </si>
  <si>
    <t>Partículas con cambios físicos</t>
  </si>
  <si>
    <t>N° 
Rotura</t>
  </si>
  <si>
    <t>N° Desintegración</t>
  </si>
  <si>
    <t>N° Agrietamiento</t>
  </si>
  <si>
    <t>Exfoliación</t>
  </si>
  <si>
    <t xml:space="preserve">Fecha de ejecución: </t>
  </si>
  <si>
    <t>MOLDES PARA CBR</t>
  </si>
  <si>
    <t>Nº</t>
  </si>
  <si>
    <t>Peso (g)</t>
  </si>
  <si>
    <t>Diametro (cm)</t>
  </si>
  <si>
    <t>Altura (cm)</t>
  </si>
  <si>
    <t>Volumen (cm³)</t>
  </si>
  <si>
    <t>CÓDIGO: GLAB-FM-008</t>
  </si>
  <si>
    <t>FALSO FONDO  CBR</t>
  </si>
  <si>
    <t>INFORME DE ENSAYO
CBR COMPACTADO EN LOS SUELOS Y SOBRE MUESTRA INALTERADA INV E 148-13</t>
  </si>
  <si>
    <t>HUMEDAD DE COMPACTACIÓN</t>
  </si>
  <si>
    <t>lb/ft³</t>
  </si>
  <si>
    <t>INFORME DE ENSAYO
DETERMINACIÓN TERRONES DE ARCILLA Y PARTÍCULAS DELEZNABLES EN LOS AGREGADOS INV E 211-13</t>
  </si>
  <si>
    <t>CÓDIGO: GLAB-FM-012</t>
  </si>
  <si>
    <t>VERSIÓN: 4</t>
  </si>
  <si>
    <t>FECHA DE APLICACIÓN : AGOSTO 2021</t>
  </si>
  <si>
    <t>AGREGADO GRUESO</t>
  </si>
  <si>
    <t>Tamaño de partículas por tamiz</t>
  </si>
  <si>
    <t>Masa de la  muestra de ensayo (g)</t>
  </si>
  <si>
    <t>Tamiz retenido</t>
  </si>
  <si>
    <t>Masa de las partículas retenidas (g)</t>
  </si>
  <si>
    <t>gradación retenida original</t>
  </si>
  <si>
    <t>% de terrones de arcilla y partículas deleznables</t>
  </si>
  <si>
    <t>M</t>
  </si>
  <si>
    <t>R</t>
  </si>
  <si>
    <t>P</t>
  </si>
  <si>
    <t xml:space="preserve"> N° 4</t>
  </si>
  <si>
    <t>AGREGADO FINO</t>
  </si>
  <si>
    <t xml:space="preserve">  Nº 16</t>
  </si>
  <si>
    <t>Nº 20</t>
  </si>
  <si>
    <t>PROMEDIO PONDERADO</t>
  </si>
  <si>
    <t xml:space="preserve">INV E 142                                                       </t>
  </si>
  <si>
    <t>CÓDIGO:  GLAB-FM-007</t>
  </si>
  <si>
    <t>VERSIÓN: 6</t>
  </si>
  <si>
    <t>Método de compactación:</t>
  </si>
  <si>
    <t>Martillo de compactación:</t>
  </si>
  <si>
    <r>
      <t>G</t>
    </r>
    <r>
      <rPr>
        <vertAlign val="subscript"/>
        <sz val="9"/>
        <rFont val="Arial"/>
        <family val="2"/>
      </rPr>
      <t>S</t>
    </r>
    <r>
      <rPr>
        <sz val="9"/>
        <rFont val="Arial"/>
        <family val="2"/>
      </rPr>
      <t>: Gravedad específica:</t>
    </r>
  </si>
  <si>
    <r>
      <t>P</t>
    </r>
    <r>
      <rPr>
        <vertAlign val="subscript"/>
        <sz val="9"/>
        <rFont val="Arial"/>
        <family val="2"/>
      </rPr>
      <t>FG</t>
    </r>
    <r>
      <rPr>
        <sz val="9"/>
        <rFont val="Arial"/>
        <family val="2"/>
      </rPr>
      <t>: Porcentaje fracción gruesa (%)</t>
    </r>
  </si>
  <si>
    <r>
      <t>Peso unitario seco máximo  (kN/m</t>
    </r>
    <r>
      <rPr>
        <sz val="10"/>
        <rFont val="Calibri"/>
        <family val="2"/>
      </rPr>
      <t>³</t>
    </r>
    <r>
      <rPr>
        <sz val="9"/>
        <rFont val="Arial"/>
        <family val="2"/>
      </rPr>
      <t>)</t>
    </r>
  </si>
  <si>
    <t>Curva de compactación seco</t>
  </si>
  <si>
    <r>
      <t>P</t>
    </r>
    <r>
      <rPr>
        <vertAlign val="subscript"/>
        <sz val="9"/>
        <rFont val="Arial"/>
        <family val="2"/>
      </rPr>
      <t>FE</t>
    </r>
    <r>
      <rPr>
        <sz val="9"/>
        <rFont val="Arial"/>
        <family val="2"/>
      </rPr>
      <t>: Porcentaje fracción fina (%)</t>
    </r>
  </si>
  <si>
    <r>
      <t>Peso unitario seco máximo (kgf/m</t>
    </r>
    <r>
      <rPr>
        <vertAlign val="superscript"/>
        <sz val="9"/>
        <rFont val="Arial"/>
        <family val="2"/>
      </rPr>
      <t>3</t>
    </r>
    <r>
      <rPr>
        <sz val="9"/>
        <rFont val="Arial"/>
        <family val="2"/>
      </rPr>
      <t>):</t>
    </r>
  </si>
  <si>
    <t>Curva de compactación húmedo</t>
  </si>
  <si>
    <t>Curva de saturación</t>
  </si>
  <si>
    <t>INFORME DE ENSAYO 
DETERMINACIÓN DEL CONTENIDO DE VACÍOS EN AGREGADOS FINOS NO COMPACTADOS (ANGULARIDAD) INV E 239-13</t>
  </si>
  <si>
    <t>CÓDIGO: GLAB-FM-024</t>
  </si>
  <si>
    <t>Densidad, densidad relativa, gravedad específica y absorción del agregados finos INV E-222-13</t>
  </si>
  <si>
    <r>
      <t>V</t>
    </r>
    <r>
      <rPr>
        <sz val="9"/>
        <rFont val="Arial"/>
        <family val="2"/>
      </rPr>
      <t>: Volumen del medidor cilíndrico</t>
    </r>
  </si>
  <si>
    <r>
      <t>F</t>
    </r>
    <r>
      <rPr>
        <sz val="9"/>
        <rFont val="Arial"/>
        <family val="2"/>
      </rPr>
      <t>: Masa neta del agregado fino en el medidor</t>
    </r>
  </si>
  <si>
    <t xml:space="preserve">INFORME DE ENSAYOS
PORCENTAJE DE PARTÍCULAS FRACTURADAS EN AGREGADO GRUESO,  ÍNDICE DE APLANAMIENTO Y ALARGAMIENTO DE  AGREGADOS INV E-227 INV E-230-13 </t>
  </si>
  <si>
    <t>CÓDIGO: GLAB-FM-022</t>
  </si>
  <si>
    <t>Para ensayo</t>
  </si>
  <si>
    <t>Criterio de evaluación:</t>
  </si>
  <si>
    <r>
      <t>ÍNDICE DE APLANAMIENTO DE LA FRACCIÓN  I</t>
    </r>
    <r>
      <rPr>
        <vertAlign val="subscript"/>
        <sz val="8"/>
        <rFont val="Arial"/>
        <family val="2"/>
      </rPr>
      <t>Ai</t>
    </r>
  </si>
  <si>
    <t xml:space="preserve">Masa </t>
  </si>
  <si>
    <t xml:space="preserve">Retenido </t>
  </si>
  <si>
    <r>
      <t>ÍNDICE DE ALARGAMIENTO GLOBAL  I</t>
    </r>
    <r>
      <rPr>
        <vertAlign val="subscript"/>
        <sz val="8"/>
        <rFont val="Arial"/>
        <family val="2"/>
      </rPr>
      <t>L</t>
    </r>
  </si>
  <si>
    <t>Complemento</t>
  </si>
  <si>
    <t xml:space="preserve">Frecuencia </t>
  </si>
  <si>
    <t xml:space="preserve">Mensual </t>
  </si>
  <si>
    <t>Quincenal</t>
  </si>
  <si>
    <t>Semanal</t>
  </si>
  <si>
    <t xml:space="preserve">Masa de agregado fino + recipiente </t>
  </si>
  <si>
    <t xml:space="preserve">Masa del recipiente </t>
  </si>
  <si>
    <t xml:space="preserve">Equivalente de arena </t>
  </si>
  <si>
    <r>
      <t>M</t>
    </r>
    <r>
      <rPr>
        <vertAlign val="subscript"/>
        <sz val="8"/>
        <color theme="1"/>
        <rFont val="Tahoma"/>
        <family val="2"/>
      </rPr>
      <t>HFG</t>
    </r>
    <r>
      <rPr>
        <sz val="8"/>
        <color theme="1"/>
        <rFont val="Tahoma"/>
        <family val="2"/>
      </rPr>
      <t>: Masa Húmeda Fracción Total</t>
    </r>
  </si>
  <si>
    <t xml:space="preserve">Humedad Fracción Ensayo Gruesa </t>
  </si>
  <si>
    <t xml:space="preserve">Masa Humeda + recipiente </t>
  </si>
  <si>
    <t xml:space="preserve">Masa Seca + recipiente </t>
  </si>
  <si>
    <r>
      <t>M</t>
    </r>
    <r>
      <rPr>
        <vertAlign val="subscript"/>
        <sz val="8"/>
        <color theme="1"/>
        <rFont val="Tahoma"/>
        <family val="2"/>
      </rPr>
      <t>HFG</t>
    </r>
    <r>
      <rPr>
        <sz val="8"/>
        <color theme="1"/>
        <rFont val="Tahoma"/>
        <family val="2"/>
      </rPr>
      <t>: Masa Húmeda Ret fracción Gruesa</t>
    </r>
  </si>
  <si>
    <t>Humedad Fracción Ensayo Fina</t>
  </si>
  <si>
    <t>Humedad Fracción Fino (%)</t>
  </si>
  <si>
    <t xml:space="preserve">% Fracción Gruesa del ensayo </t>
  </si>
  <si>
    <t>INFORME DE ENSAYO 
DENSIDAD, DENSIDAD RELATIVA (GRAVEDAD ESPECÍFICA) Y ABSORCIÓN DEL AGREGADO FINO INV E 222-13</t>
  </si>
  <si>
    <t>CÓDIGO: GLAB-FM-019</t>
  </si>
  <si>
    <t>Datos iniciales</t>
  </si>
  <si>
    <t>A: Masa al aire de la muestra seca al horno</t>
  </si>
  <si>
    <t>S: Masa al aire de la muestra en condición  SSS</t>
  </si>
  <si>
    <t>Si</t>
  </si>
  <si>
    <t>C:Masa total del picnómetro aforado  con la muestra y  lleno de agua</t>
  </si>
  <si>
    <t>No</t>
  </si>
  <si>
    <t>B: Masa del picnómetro aforado lleno de agua</t>
  </si>
  <si>
    <t xml:space="preserve">Secado previo antes del periodo de inmersion </t>
  </si>
  <si>
    <t>Determinación de la gravedad específica Bulk de agregados finos</t>
  </si>
  <si>
    <t>Gravedad específica  (seca al horno) Gs SH =</t>
  </si>
  <si>
    <r>
      <t xml:space="preserve">Gravedad específica 
</t>
    </r>
    <r>
      <rPr>
        <sz val="9"/>
        <rFont val="Times New Roman"/>
        <family val="1"/>
      </rPr>
      <t>Gs SSS=</t>
    </r>
  </si>
  <si>
    <t xml:space="preserve"> Gravedad especifica  
Aparente=
</t>
  </si>
  <si>
    <t xml:space="preserve">Determinación de la densidad en agregados finos </t>
  </si>
  <si>
    <r>
      <t xml:space="preserve">Densidad (seca al horno) </t>
    </r>
    <r>
      <rPr>
        <sz val="9"/>
        <rFont val="Times New Roman"/>
        <family val="1"/>
      </rPr>
      <t xml:space="preserve"> </t>
    </r>
    <r>
      <rPr>
        <sz val="9"/>
        <rFont val="Arial"/>
        <family val="2"/>
      </rPr>
      <t>SH (kg/m</t>
    </r>
    <r>
      <rPr>
        <vertAlign val="superscript"/>
        <sz val="9"/>
        <rFont val="Arial"/>
        <family val="2"/>
      </rPr>
      <t>3</t>
    </r>
    <r>
      <rPr>
        <sz val="9"/>
        <rFont val="Arial"/>
        <family val="2"/>
      </rPr>
      <t xml:space="preserve">) </t>
    </r>
    <r>
      <rPr>
        <sz val="9"/>
        <rFont val="Times New Roman"/>
        <family val="1"/>
      </rPr>
      <t>=</t>
    </r>
  </si>
  <si>
    <r>
      <t>Densidad  SSS (kg/m</t>
    </r>
    <r>
      <rPr>
        <vertAlign val="superscript"/>
        <sz val="9"/>
        <rFont val="Arial"/>
        <family val="2"/>
      </rPr>
      <t>3</t>
    </r>
    <r>
      <rPr>
        <sz val="9"/>
        <rFont val="Arial"/>
        <family val="2"/>
      </rPr>
      <t>) =</t>
    </r>
  </si>
  <si>
    <r>
      <t>Densidad aparente (kg/m</t>
    </r>
    <r>
      <rPr>
        <vertAlign val="superscript"/>
        <sz val="9"/>
        <rFont val="Arial"/>
        <family val="2"/>
      </rPr>
      <t>3</t>
    </r>
    <r>
      <rPr>
        <sz val="9"/>
        <rFont val="Arial"/>
        <family val="2"/>
      </rPr>
      <t>) =</t>
    </r>
  </si>
  <si>
    <t xml:space="preserve">Absorción en agregados finos </t>
  </si>
  <si>
    <t>Absorción % =</t>
  </si>
  <si>
    <t xml:space="preserve">INFORME DE ENSAYO 
DENSIDAD, DENSIDAD RELATIVA (GRAVEDAD ESPECÍFICA) Y ABSORCIÓN DEL AGREGADO GRUESO INV E 223-13 </t>
  </si>
  <si>
    <t>CÓDIGO: GLAB-FM-020</t>
  </si>
  <si>
    <t xml:space="preserve">Datos iniciales </t>
  </si>
  <si>
    <t xml:space="preserve">B: Masa al aire de la muestra saturada y superficialmente seca </t>
  </si>
  <si>
    <t xml:space="preserve">C: Masa aparente de la muestra saturada en agua </t>
  </si>
  <si>
    <t>Determinación de la gravedad específica Bulk de agregados gruesos</t>
  </si>
  <si>
    <t xml:space="preserve"> Gravedad específica  (seca al horno) Gs SH =</t>
  </si>
  <si>
    <t>Gravedad específica  Gs SSS=</t>
  </si>
  <si>
    <t>Gravedad específica
 Aparente=</t>
  </si>
  <si>
    <t>Determinación de la densidad en agregados gruesos</t>
  </si>
  <si>
    <r>
      <t>Densidad (seca al horno) SH (kg/m</t>
    </r>
    <r>
      <rPr>
        <vertAlign val="superscript"/>
        <sz val="9"/>
        <rFont val="Arial"/>
        <family val="2"/>
      </rPr>
      <t>3</t>
    </r>
    <r>
      <rPr>
        <sz val="9"/>
        <rFont val="Arial"/>
        <family val="2"/>
      </rPr>
      <t>) =</t>
    </r>
  </si>
  <si>
    <r>
      <t>Densidad
SSS (kg/m</t>
    </r>
    <r>
      <rPr>
        <vertAlign val="superscript"/>
        <sz val="9"/>
        <rFont val="Arial"/>
        <family val="2"/>
      </rPr>
      <t>3</t>
    </r>
    <r>
      <rPr>
        <sz val="9"/>
        <rFont val="Arial"/>
        <family val="2"/>
      </rPr>
      <t>) =</t>
    </r>
  </si>
  <si>
    <r>
      <t>Densidad aparente(kg/m</t>
    </r>
    <r>
      <rPr>
        <vertAlign val="superscript"/>
        <sz val="9"/>
        <rFont val="Arial"/>
        <family val="2"/>
      </rPr>
      <t>3</t>
    </r>
    <r>
      <rPr>
        <sz val="9"/>
        <rFont val="Arial"/>
        <family val="2"/>
      </rPr>
      <t>) =</t>
    </r>
  </si>
  <si>
    <t>Absorción en agregados gruesos</t>
  </si>
  <si>
    <r>
      <t>G</t>
    </r>
    <r>
      <rPr>
        <vertAlign val="subscript"/>
        <sz val="10"/>
        <rFont val="Tahoma"/>
        <family val="2"/>
      </rPr>
      <t>S</t>
    </r>
    <r>
      <rPr>
        <sz val="10"/>
        <rFont val="Tahoma"/>
        <family val="2"/>
      </rPr>
      <t xml:space="preserve">: Gravedad Especifica Fracción Fina </t>
    </r>
  </si>
  <si>
    <r>
      <t>G</t>
    </r>
    <r>
      <rPr>
        <vertAlign val="subscript"/>
        <sz val="10"/>
        <rFont val="Tahoma"/>
        <family val="2"/>
      </rPr>
      <t>S</t>
    </r>
    <r>
      <rPr>
        <sz val="10"/>
        <rFont val="Tahoma"/>
        <family val="2"/>
      </rPr>
      <t>: Gravedad Especifica Fracción de ensayo</t>
    </r>
  </si>
  <si>
    <t xml:space="preserve">% Fracción del ensayo </t>
  </si>
  <si>
    <t>Metodo</t>
  </si>
  <si>
    <t>Martillo</t>
  </si>
  <si>
    <t>Mécanico</t>
  </si>
  <si>
    <t xml:space="preserve">Preparación </t>
  </si>
  <si>
    <t xml:space="preserve">Humeda </t>
  </si>
  <si>
    <t>Seca</t>
  </si>
  <si>
    <t>Gradación</t>
  </si>
  <si>
    <t>% mínimo de fracción ensayada</t>
  </si>
  <si>
    <t>Gradación ponderada</t>
  </si>
  <si>
    <t>Suma</t>
  </si>
  <si>
    <t>Karen Flórez Barón</t>
  </si>
  <si>
    <t>Auxiliar de Acreditación</t>
  </si>
  <si>
    <t>,color amarillo</t>
  </si>
  <si>
    <r>
      <t>cm</t>
    </r>
    <r>
      <rPr>
        <vertAlign val="superscript"/>
        <sz val="8"/>
        <rFont val="Arial"/>
        <family val="2"/>
      </rPr>
      <t>3</t>
    </r>
  </si>
  <si>
    <r>
      <t>Masa recipiente + suelo húmedo (P</t>
    </r>
    <r>
      <rPr>
        <vertAlign val="subscript"/>
        <sz val="8"/>
        <rFont val="Arial"/>
        <family val="2"/>
      </rPr>
      <t>1</t>
    </r>
    <r>
      <rPr>
        <sz val="8"/>
        <rFont val="Arial"/>
        <family val="2"/>
      </rPr>
      <t>)</t>
    </r>
  </si>
  <si>
    <r>
      <t>Masa recipiente + suelo seco (P</t>
    </r>
    <r>
      <rPr>
        <vertAlign val="subscript"/>
        <sz val="8"/>
        <rFont val="Arial"/>
        <family val="2"/>
      </rPr>
      <t>2</t>
    </r>
    <r>
      <rPr>
        <sz val="8"/>
        <rFont val="Arial"/>
        <family val="2"/>
      </rPr>
      <t>)</t>
    </r>
  </si>
  <si>
    <r>
      <t>Masa recipiente (P</t>
    </r>
    <r>
      <rPr>
        <vertAlign val="subscript"/>
        <sz val="8"/>
        <rFont val="Arial"/>
        <family val="2"/>
      </rPr>
      <t>3</t>
    </r>
    <r>
      <rPr>
        <sz val="8"/>
        <rFont val="Arial"/>
        <family val="2"/>
      </rPr>
      <t>)</t>
    </r>
  </si>
  <si>
    <r>
      <t>Volumen (cm</t>
    </r>
    <r>
      <rPr>
        <sz val="8"/>
        <color theme="1"/>
        <rFont val="Calibri"/>
        <family val="2"/>
      </rPr>
      <t>³)</t>
    </r>
  </si>
  <si>
    <t>Cm</t>
  </si>
  <si>
    <t>Kg</t>
  </si>
  <si>
    <t>Densidad Seca (kg/m3)</t>
  </si>
  <si>
    <t>milímetros (mm)</t>
  </si>
  <si>
    <t>kg/m3</t>
  </si>
  <si>
    <t xml:space="preserve">Masa del martillo </t>
  </si>
  <si>
    <t>Altura de caída</t>
  </si>
  <si>
    <t>CBR CORREGIDO A  0,100 in</t>
  </si>
  <si>
    <t>CBR CORREGIDO A  0,200 in</t>
  </si>
  <si>
    <t>Sobrecarga</t>
  </si>
  <si>
    <t>N° de golpes por capa</t>
  </si>
  <si>
    <t>Sobrecarga de penetración</t>
  </si>
  <si>
    <t>Expansión</t>
  </si>
  <si>
    <t>dmm</t>
  </si>
  <si>
    <t>masa del recipiente</t>
  </si>
  <si>
    <t>Humedad de compactacion</t>
  </si>
  <si>
    <t>Material húmedo + recipiente</t>
  </si>
  <si>
    <t>Material seco + recipiente</t>
  </si>
  <si>
    <t>Molde</t>
  </si>
  <si>
    <t>Material humedo + recipiente</t>
  </si>
  <si>
    <t>Humedad</t>
  </si>
  <si>
    <t>HUMEDAD DE PENETRACIÓN</t>
  </si>
  <si>
    <t>NUMERO DE GOLPES POR CAPA</t>
  </si>
  <si>
    <t>Porcentaje de material retenido tamiz 3/4" y sustituido</t>
  </si>
  <si>
    <t>Metodo usado para la preparación y compactación de las muestras</t>
  </si>
  <si>
    <t>Proctor INV E 141-13</t>
  </si>
  <si>
    <t>Material húmedo + molde</t>
  </si>
  <si>
    <t>Densidad humeda antes de la inmersión</t>
  </si>
  <si>
    <t>Densidad seca antes de la inmersión</t>
  </si>
  <si>
    <t>Características del falso fondo</t>
  </si>
  <si>
    <t>Características del Molde</t>
  </si>
  <si>
    <t>N° del molde</t>
  </si>
  <si>
    <t>N° del falso fondo</t>
  </si>
  <si>
    <t>Volumen de la material</t>
  </si>
  <si>
    <t>Material húmeda + molde</t>
  </si>
  <si>
    <t>Peso unitario seco</t>
  </si>
  <si>
    <t>kN/m³</t>
  </si>
  <si>
    <t>DENSIDADES Y PESOS UNITARIOS</t>
  </si>
  <si>
    <t>Proctor modificado INV E 142-13 metodo C</t>
  </si>
  <si>
    <t>Metodo de preparacion y compactación de la muestra</t>
  </si>
  <si>
    <t>Penetración 
mm</t>
  </si>
  <si>
    <t>Carga 
kN</t>
  </si>
  <si>
    <t>Esfuerzo 
Mpa</t>
  </si>
  <si>
    <t>CBR corregido a 2,54mm        %</t>
  </si>
  <si>
    <t>CBR corregido a 5,08mm        %</t>
  </si>
  <si>
    <t>Compactación (%)</t>
  </si>
  <si>
    <t>kg</t>
  </si>
  <si>
    <t>Altura</t>
  </si>
  <si>
    <t>CBR Corregido</t>
  </si>
  <si>
    <t>Coeficientes</t>
  </si>
  <si>
    <t>Errores</t>
  </si>
  <si>
    <t>R²</t>
  </si>
  <si>
    <t>RESULTADOS DE PROCTOR</t>
  </si>
  <si>
    <t>Peso Unitario (kN/m³)</t>
  </si>
  <si>
    <t>y</t>
  </si>
  <si>
    <t>Regresión lineal</t>
  </si>
  <si>
    <r>
      <t>x</t>
    </r>
    <r>
      <rPr>
        <sz val="8"/>
        <rFont val="Calibri"/>
        <family val="2"/>
      </rPr>
      <t>²</t>
    </r>
  </si>
  <si>
    <t>Grado</t>
  </si>
  <si>
    <t>CBR
 (%)</t>
  </si>
  <si>
    <t>Pto de inflexión</t>
  </si>
  <si>
    <t>PORCENTAJE DE COMPACTACIÓN</t>
  </si>
  <si>
    <t>x1</t>
  </si>
  <si>
    <t>x2</t>
  </si>
  <si>
    <t>x3</t>
  </si>
  <si>
    <r>
      <t>ax</t>
    </r>
    <r>
      <rPr>
        <b/>
        <sz val="8"/>
        <rFont val="Calibri"/>
        <family val="2"/>
      </rPr>
      <t>³</t>
    </r>
  </si>
  <si>
    <r>
      <t>bx</t>
    </r>
    <r>
      <rPr>
        <b/>
        <sz val="8"/>
        <rFont val="Calibri"/>
        <family val="2"/>
      </rPr>
      <t>²</t>
    </r>
  </si>
  <si>
    <t>cx</t>
  </si>
  <si>
    <t>d</t>
  </si>
  <si>
    <r>
      <t>ax</t>
    </r>
    <r>
      <rPr>
        <b/>
        <sz val="8"/>
        <rFont val="Calibri"/>
        <family val="2"/>
      </rPr>
      <t>²</t>
    </r>
  </si>
  <si>
    <t>bx</t>
  </si>
  <si>
    <t>c</t>
  </si>
  <si>
    <t>Concavidad</t>
  </si>
  <si>
    <t>Rango de temp de compactación</t>
  </si>
  <si>
    <t>x4</t>
  </si>
  <si>
    <t>x5</t>
  </si>
  <si>
    <t>x6</t>
  </si>
  <si>
    <r>
      <t>ax</t>
    </r>
    <r>
      <rPr>
        <b/>
        <sz val="8"/>
        <rFont val="Calibri"/>
        <family val="2"/>
      </rPr>
      <t>⁶</t>
    </r>
  </si>
  <si>
    <r>
      <t>bx</t>
    </r>
    <r>
      <rPr>
        <b/>
        <sz val="8"/>
        <rFont val="Calibri"/>
        <family val="2"/>
      </rPr>
      <t>⁵</t>
    </r>
  </si>
  <si>
    <r>
      <t>cx</t>
    </r>
    <r>
      <rPr>
        <b/>
        <sz val="8"/>
        <rFont val="Calibri"/>
        <family val="2"/>
      </rPr>
      <t>⁴</t>
    </r>
  </si>
  <si>
    <r>
      <t>dx</t>
    </r>
    <r>
      <rPr>
        <b/>
        <sz val="8"/>
        <rFont val="Calibri"/>
        <family val="2"/>
      </rPr>
      <t>³</t>
    </r>
  </si>
  <si>
    <r>
      <t>ex</t>
    </r>
    <r>
      <rPr>
        <b/>
        <sz val="8"/>
        <rFont val="Calibri"/>
        <family val="2"/>
      </rPr>
      <t>²</t>
    </r>
  </si>
  <si>
    <t>fx</t>
  </si>
  <si>
    <t>Verificación de concavidad poli Grado 3</t>
  </si>
  <si>
    <t>Verificación de concavidad poli Grado 6</t>
  </si>
  <si>
    <t>Verificación de concavidad poli Grado 4</t>
  </si>
  <si>
    <t>Verificación de concavidad poli Grado 5</t>
  </si>
  <si>
    <r>
      <t>ax</t>
    </r>
    <r>
      <rPr>
        <b/>
        <sz val="8"/>
        <rFont val="Calibri"/>
        <family val="2"/>
      </rPr>
      <t>⁴</t>
    </r>
  </si>
  <si>
    <r>
      <t>bx</t>
    </r>
    <r>
      <rPr>
        <b/>
        <sz val="8"/>
        <rFont val="Calibri"/>
        <family val="2"/>
      </rPr>
      <t>³</t>
    </r>
  </si>
  <si>
    <r>
      <t>cx</t>
    </r>
    <r>
      <rPr>
        <b/>
        <sz val="8"/>
        <rFont val="Calibri"/>
        <family val="2"/>
      </rPr>
      <t>²</t>
    </r>
  </si>
  <si>
    <t>dx</t>
  </si>
  <si>
    <t>e</t>
  </si>
  <si>
    <r>
      <t>ax</t>
    </r>
    <r>
      <rPr>
        <b/>
        <sz val="8"/>
        <rFont val="Calibri"/>
        <family val="2"/>
      </rPr>
      <t>⁵</t>
    </r>
  </si>
  <si>
    <r>
      <t>bx</t>
    </r>
    <r>
      <rPr>
        <b/>
        <sz val="8"/>
        <rFont val="Calibri"/>
        <family val="2"/>
      </rPr>
      <t>⁴</t>
    </r>
  </si>
  <si>
    <r>
      <t>cx</t>
    </r>
    <r>
      <rPr>
        <b/>
        <sz val="8"/>
        <rFont val="Calibri"/>
        <family val="2"/>
      </rPr>
      <t>³</t>
    </r>
  </si>
  <si>
    <r>
      <t>dx</t>
    </r>
    <r>
      <rPr>
        <b/>
        <sz val="8"/>
        <rFont val="Calibri"/>
        <family val="2"/>
      </rPr>
      <t>²</t>
    </r>
  </si>
  <si>
    <t>ex</t>
  </si>
  <si>
    <t>f</t>
  </si>
  <si>
    <t>Grado del polinomio</t>
  </si>
  <si>
    <t>Verificación de concavidad</t>
  </si>
  <si>
    <t>INFORME DE ENSAYO
CBR DE SUELOS COMPACTADOS EN EL LABORATORIO Y SOBRE MUESTRA INALTERADA INV E 148-13</t>
  </si>
  <si>
    <r>
      <t>kN/m</t>
    </r>
    <r>
      <rPr>
        <vertAlign val="superscript"/>
        <sz val="8"/>
        <color indexed="8"/>
        <rFont val="Arial"/>
        <family val="2"/>
      </rPr>
      <t>3</t>
    </r>
  </si>
  <si>
    <t>FECHA DE APLICACIÓN: AGOSTO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</si>
</sst>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41" formatCode="_-* #,##0_-;\-* #,##0_-;_-* &quot;-&quot;_-;_-@_-"/>
    <numFmt numFmtId="43" formatCode="_-* #,##0.00_-;\-* #,##0.00_-;_-* &quot;-&quot;??_-;_-@_-"/>
    <numFmt numFmtId="164" formatCode="&quot;$&quot;\ #,##0.00_);\(&quot;$&quot;\ #,##0.00\)"/>
    <numFmt numFmtId="165" formatCode="_(* #,##0_);_(* \(#,##0\);_(* &quot;-&quot;_);_(@_)"/>
    <numFmt numFmtId="166" formatCode="_(* #,##0.00_);_(* \(#,##0.00\);_(* &quot;-&quot;??_);_(@_)"/>
    <numFmt numFmtId="167" formatCode="0.0"/>
    <numFmt numFmtId="168" formatCode="yyyy\-mm\-dd;@"/>
    <numFmt numFmtId="169" formatCode="_ * #,##0.00_ ;_ * \-#,##0.00_ ;_ * &quot;-&quot;??_ ;_ @_ "/>
    <numFmt numFmtId="170" formatCode="#,"/>
    <numFmt numFmtId="171" formatCode="_ [$€-2]\ * #,##0.00_ ;_ [$€-2]\ * \-#,##0.00_ ;_ [$€-2]\ * &quot;-&quot;??_ "/>
    <numFmt numFmtId="172" formatCode="#\ ?/2"/>
    <numFmt numFmtId="173" formatCode="0.000"/>
    <numFmt numFmtId="174" formatCode="#,##0\ &quot;$&quot;;\-#,##0\ &quot;$&quot;"/>
    <numFmt numFmtId="175" formatCode="0.0000"/>
    <numFmt numFmtId="176" formatCode="_(* #,##0.00000_);_(* \(#,##0.00000\);_(* &quot;-&quot;??_);_(@_)"/>
    <numFmt numFmtId="177" formatCode="_(&quot;€&quot;* #,##0.00_);_(&quot;€&quot;* \(#,##0.00\);_(&quot;€&quot;* &quot;-&quot;??_);_(@_)"/>
    <numFmt numFmtId="178" formatCode="#,##0\ &quot;$&quot;;[Red]\-#,##0\ &quot;$&quot;"/>
    <numFmt numFmtId="179" formatCode="_-* #,##0\ _P_t_s_-;\-* #,##0\ _P_t_s_-;_-* &quot;-&quot;??\ _P_t_s_-;_-@_-"/>
    <numFmt numFmtId="180" formatCode="_(* #,##0.000_);_(* \(#,##0.000\);_(* &quot;-&quot;??_);_(@_)"/>
    <numFmt numFmtId="181" formatCode="_-* #,##0.0\ _P_t_s_-;\-* #,##0.0\ _P_t_s_-;_-* &quot;-&quot;??\ _P_t_s_-;_-@_-"/>
    <numFmt numFmtId="182" formatCode="_ * #,##0_ ;_ * \-#,##0_ ;_ * &quot;-&quot;_ ;_ @_ "/>
    <numFmt numFmtId="183" formatCode="&quot;$&quot;#,##0\ ;\(&quot;$&quot;#,##0\)"/>
    <numFmt numFmtId="184" formatCode="General_)"/>
    <numFmt numFmtId="185" formatCode="#,##0.00\ &quot;$&quot;;\-#,##0.00\ &quot;$&quot;"/>
    <numFmt numFmtId="186" formatCode="d\ &quot;de&quot;\ mmmm\ &quot;de&quot;\ yyyy"/>
    <numFmt numFmtId="187" formatCode="_(&quot;$&quot;* #,##0_);_(&quot;$&quot;* \(#,##0\);_(&quot;$&quot;* &quot;-&quot;_);_(@_)"/>
    <numFmt numFmtId="188" formatCode="0.000\ &quot;g/cm³&quot;"/>
    <numFmt numFmtId="189" formatCode="&quot;M&quot;0"/>
    <numFmt numFmtId="190" formatCode="0.0%"/>
    <numFmt numFmtId="191" formatCode="h:mm:ss;@"/>
    <numFmt numFmtId="192" formatCode="0.00000"/>
  </numFmts>
  <fonts count="191">
    <font>
      <sz val="11"/>
      <color theme="1"/>
      <name val="Calibri"/>
      <family val="2"/>
      <scheme val="minor"/>
    </font>
    <font>
      <sz val="10"/>
      <name val="Arial"/>
      <family val="2"/>
    </font>
    <font>
      <sz val="8"/>
      <name val="Arial"/>
      <family val="2"/>
    </font>
    <font>
      <b/>
      <sz val="10"/>
      <name val="Arial"/>
      <family val="2"/>
    </font>
    <font>
      <sz val="9"/>
      <name val="Arial"/>
      <family val="2"/>
    </font>
    <font>
      <b/>
      <sz val="9"/>
      <name val="Arial"/>
      <family val="2"/>
    </font>
    <font>
      <b/>
      <sz val="7"/>
      <name val="Arial"/>
      <family val="2"/>
    </font>
    <font>
      <b/>
      <sz val="8"/>
      <color indexed="15"/>
      <name val="Arial"/>
      <family val="2"/>
    </font>
    <font>
      <b/>
      <i/>
      <sz val="10"/>
      <name val="Arial"/>
      <family val="2"/>
    </font>
    <font>
      <b/>
      <i/>
      <sz val="9"/>
      <color rgb="FFFF0000"/>
      <name val="Arial"/>
      <family val="2"/>
    </font>
    <font>
      <sz val="10"/>
      <color rgb="FFFF0000"/>
      <name val="Arial"/>
      <family val="2"/>
    </font>
    <font>
      <i/>
      <sz val="10"/>
      <color rgb="FFFF0000"/>
      <name val="Arial"/>
      <family val="2"/>
    </font>
    <font>
      <sz val="8"/>
      <color rgb="FFFF0000"/>
      <name val="Arial"/>
      <family val="2"/>
    </font>
    <font>
      <b/>
      <sz val="7"/>
      <color rgb="FFFF0000"/>
      <name val="Arial"/>
      <family val="2"/>
    </font>
    <font>
      <b/>
      <sz val="9"/>
      <color rgb="FFFF0000"/>
      <name val="Arial"/>
      <family val="2"/>
    </font>
    <font>
      <sz val="9"/>
      <color rgb="FFFF0000"/>
      <name val="Arial"/>
      <family val="2"/>
    </font>
    <font>
      <sz val="7"/>
      <name val="Arial"/>
      <family val="2"/>
    </font>
    <font>
      <sz val="1"/>
      <color indexed="16"/>
      <name val="Courier"/>
      <family val="3"/>
    </font>
    <font>
      <i/>
      <sz val="1"/>
      <color indexed="16"/>
      <name val="Courier"/>
      <family val="3"/>
    </font>
    <font>
      <b/>
      <sz val="1"/>
      <color indexed="16"/>
      <name val="Courier"/>
      <family val="3"/>
    </font>
    <font>
      <sz val="5"/>
      <name val="Arial"/>
      <family val="2"/>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0"/>
      <color theme="0"/>
      <name val="Arial"/>
      <family val="2"/>
    </font>
    <font>
      <sz val="11"/>
      <color rgb="FFFF0000"/>
      <name val="Times New Roman"/>
      <family val="1"/>
    </font>
    <font>
      <sz val="9"/>
      <color theme="0"/>
      <name val="Arial"/>
      <family val="2"/>
    </font>
    <font>
      <b/>
      <sz val="8"/>
      <name val="Arial"/>
      <family val="2"/>
    </font>
    <font>
      <i/>
      <sz val="8"/>
      <name val="Arial"/>
      <family val="2"/>
    </font>
    <font>
      <b/>
      <i/>
      <sz val="8"/>
      <name val="Arial"/>
      <family val="2"/>
    </font>
    <font>
      <sz val="12"/>
      <name val="Arial"/>
      <family val="2"/>
    </font>
    <font>
      <sz val="7"/>
      <color theme="0" tint="-0.499984740745262"/>
      <name val="Arial"/>
      <family val="2"/>
    </font>
    <font>
      <sz val="10"/>
      <name val="Times New Roman"/>
      <family val="1"/>
    </font>
    <font>
      <sz val="11"/>
      <color theme="1"/>
      <name val="Arial"/>
      <family val="2"/>
    </font>
    <font>
      <sz val="10"/>
      <name val="Arial"/>
      <family val="2"/>
    </font>
    <font>
      <b/>
      <sz val="12"/>
      <name val="Arial"/>
      <family val="2"/>
    </font>
    <font>
      <sz val="9"/>
      <color indexed="81"/>
      <name val="Tahoma"/>
      <family val="2"/>
    </font>
    <font>
      <sz val="11"/>
      <color theme="1"/>
      <name val="Calibri"/>
      <family val="2"/>
      <scheme val="minor"/>
    </font>
    <font>
      <b/>
      <i/>
      <sz val="12"/>
      <name val="Arial"/>
      <family val="2"/>
    </font>
    <font>
      <i/>
      <sz val="10"/>
      <name val="Arial"/>
      <family val="2"/>
    </font>
    <font>
      <b/>
      <sz val="16"/>
      <color indexed="10"/>
      <name val="Arial"/>
      <family val="2"/>
    </font>
    <font>
      <b/>
      <sz val="16"/>
      <color indexed="12"/>
      <name val="Arial"/>
      <family val="2"/>
    </font>
    <font>
      <sz val="10"/>
      <color indexed="10"/>
      <name val="Arial"/>
      <family val="2"/>
    </font>
    <font>
      <u/>
      <sz val="11"/>
      <color theme="10"/>
      <name val="Arial"/>
      <family val="2"/>
    </font>
    <font>
      <u/>
      <sz val="8.5"/>
      <color indexed="12"/>
      <name val="Times New Roman"/>
      <family val="1"/>
    </font>
    <font>
      <u/>
      <sz val="11"/>
      <color theme="10"/>
      <name val="Calibri"/>
      <family val="2"/>
    </font>
    <font>
      <u/>
      <sz val="10"/>
      <color indexed="12"/>
      <name val="Arial"/>
      <family val="2"/>
    </font>
    <font>
      <sz val="10"/>
      <name val="Arial Rounded MT Bold"/>
      <family val="2"/>
    </font>
    <font>
      <sz val="10"/>
      <color indexed="9"/>
      <name val="Arial"/>
      <family val="2"/>
    </font>
    <font>
      <sz val="10"/>
      <name val="MS Sans Serif"/>
      <family val="2"/>
    </font>
    <font>
      <b/>
      <sz val="8.5"/>
      <name val="Arial"/>
      <family val="2"/>
    </font>
    <font>
      <vertAlign val="subscript"/>
      <sz val="8"/>
      <name val="Arial"/>
      <family val="2"/>
    </font>
    <font>
      <i/>
      <sz val="9"/>
      <name val="Arial"/>
      <family val="2"/>
    </font>
    <font>
      <sz val="10"/>
      <color indexed="24"/>
      <name val="Modern"/>
      <family val="3"/>
      <charset val="255"/>
    </font>
    <font>
      <sz val="10"/>
      <name val="Helv"/>
    </font>
    <font>
      <b/>
      <sz val="10"/>
      <color indexed="24"/>
      <name val="Modern"/>
      <family val="3"/>
      <charset val="255"/>
    </font>
    <font>
      <sz val="8"/>
      <color indexed="24"/>
      <name val="Arial"/>
      <family val="2"/>
    </font>
    <font>
      <sz val="10"/>
      <color indexed="24"/>
      <name val="Arial"/>
      <family val="2"/>
    </font>
    <font>
      <sz val="8"/>
      <name val="Courier"/>
      <family val="3"/>
    </font>
    <font>
      <sz val="12"/>
      <name val="Times New Roman"/>
      <family val="1"/>
    </font>
    <font>
      <sz val="11"/>
      <name val="Arial"/>
      <family val="2"/>
    </font>
    <font>
      <b/>
      <sz val="14"/>
      <color indexed="9"/>
      <name val="Tahoma"/>
      <family val="2"/>
    </font>
    <font>
      <vertAlign val="subscript"/>
      <sz val="9"/>
      <name val="Arial"/>
      <family val="2"/>
    </font>
    <font>
      <b/>
      <sz val="8"/>
      <color indexed="8"/>
      <name val="Arial"/>
      <family val="2"/>
    </font>
    <font>
      <sz val="10"/>
      <name val="Tahoma"/>
      <family val="2"/>
    </font>
    <font>
      <sz val="10"/>
      <color indexed="8"/>
      <name val="Arial"/>
      <family val="2"/>
    </font>
    <font>
      <sz val="8"/>
      <color indexed="8"/>
      <name val="Arial"/>
      <family val="2"/>
    </font>
    <font>
      <sz val="10"/>
      <color indexed="63"/>
      <name val="Arial"/>
      <family val="2"/>
    </font>
    <font>
      <vertAlign val="subscript"/>
      <sz val="11"/>
      <color theme="1"/>
      <name val="Calibri"/>
      <family val="2"/>
      <scheme val="minor"/>
    </font>
    <font>
      <vertAlign val="subscript"/>
      <sz val="11"/>
      <color indexed="8"/>
      <name val="Calibri"/>
      <family val="2"/>
    </font>
    <font>
      <vertAlign val="subscript"/>
      <sz val="10"/>
      <name val="Tahoma"/>
      <family val="2"/>
    </font>
    <font>
      <b/>
      <sz val="18"/>
      <color indexed="22"/>
      <name val="Arial"/>
      <family val="2"/>
    </font>
    <font>
      <b/>
      <sz val="12"/>
      <color indexed="22"/>
      <name val="Arial"/>
      <family val="2"/>
    </font>
    <font>
      <sz val="16"/>
      <name val="ALLWORK"/>
    </font>
    <font>
      <sz val="8"/>
      <name val="Tahoma"/>
      <family val="2"/>
    </font>
    <font>
      <sz val="16"/>
      <name val="Tahoma"/>
      <family val="2"/>
    </font>
    <font>
      <sz val="9"/>
      <name val="Tahoma"/>
      <family val="2"/>
    </font>
    <font>
      <sz val="8"/>
      <color theme="1" tint="0.499984740745262"/>
      <name val="Arial"/>
      <family val="2"/>
    </font>
    <font>
      <sz val="9"/>
      <color indexed="10"/>
      <name val="Arial"/>
      <family val="2"/>
    </font>
    <font>
      <sz val="9"/>
      <color theme="1"/>
      <name val="Arial"/>
      <family val="2"/>
    </font>
    <font>
      <sz val="9"/>
      <color theme="1" tint="0.499984740745262"/>
      <name val="Arial"/>
      <family val="2"/>
    </font>
    <font>
      <b/>
      <sz val="8"/>
      <color theme="1" tint="0.499984740745262"/>
      <name val="Arial"/>
      <family val="2"/>
    </font>
    <font>
      <b/>
      <sz val="8"/>
      <color indexed="10"/>
      <name val="Arial"/>
      <family val="2"/>
    </font>
    <font>
      <sz val="6"/>
      <name val="Arial"/>
      <family val="2"/>
    </font>
    <font>
      <sz val="7"/>
      <color theme="1" tint="0.499984740745262"/>
      <name val="Arial"/>
      <family val="2"/>
    </font>
    <font>
      <i/>
      <vertAlign val="subscript"/>
      <sz val="9"/>
      <name val="Arial"/>
      <family val="2"/>
    </font>
    <font>
      <vertAlign val="superscript"/>
      <sz val="9"/>
      <name val="Arial"/>
      <family val="2"/>
    </font>
    <font>
      <vertAlign val="superscript"/>
      <sz val="8"/>
      <name val="Arial"/>
      <family val="2"/>
    </font>
    <font>
      <sz val="8"/>
      <color theme="1"/>
      <name val="Tahoma"/>
      <family val="2"/>
    </font>
    <font>
      <vertAlign val="subscript"/>
      <sz val="8"/>
      <color theme="1"/>
      <name val="Tahoma"/>
      <family val="2"/>
    </font>
    <font>
      <sz val="10"/>
      <color theme="1"/>
      <name val="Tahoma"/>
      <family val="2"/>
    </font>
    <font>
      <vertAlign val="superscript"/>
      <sz val="8"/>
      <color theme="1"/>
      <name val="Tahoma"/>
      <family val="2"/>
    </font>
    <font>
      <b/>
      <sz val="9"/>
      <color theme="1"/>
      <name val="Tahoma"/>
      <family val="2"/>
    </font>
    <font>
      <b/>
      <sz val="8"/>
      <color theme="1"/>
      <name val="Tahoma"/>
      <family val="2"/>
    </font>
    <font>
      <sz val="8"/>
      <color theme="1"/>
      <name val="Arial"/>
      <family val="2"/>
    </font>
    <font>
      <sz val="10"/>
      <color theme="1"/>
      <name val="Arial"/>
      <family val="2"/>
    </font>
    <font>
      <b/>
      <sz val="11"/>
      <color theme="1"/>
      <name val="Arial"/>
      <family val="2"/>
    </font>
    <font>
      <sz val="8"/>
      <color rgb="FFFF0000"/>
      <name val="Tahoma"/>
      <family val="2"/>
    </font>
    <font>
      <sz val="9"/>
      <color rgb="FFFF0000"/>
      <name val="Tahoma"/>
      <family val="2"/>
    </font>
    <font>
      <sz val="10"/>
      <color rgb="FFFF0000"/>
      <name val="Tahoma"/>
      <family val="2"/>
    </font>
    <font>
      <b/>
      <sz val="10"/>
      <color rgb="FFFF0000"/>
      <name val="Arial"/>
      <family val="2"/>
    </font>
    <font>
      <b/>
      <sz val="10"/>
      <color rgb="FFFFFF00"/>
      <name val="Arial"/>
      <family val="2"/>
    </font>
    <font>
      <sz val="10"/>
      <color rgb="FFFFFF00"/>
      <name val="Arial"/>
      <family val="2"/>
    </font>
    <font>
      <sz val="8"/>
      <color rgb="FFFFFF00"/>
      <name val="Arial"/>
      <family val="2"/>
    </font>
    <font>
      <sz val="10"/>
      <name val="Calibri"/>
      <family val="2"/>
    </font>
    <font>
      <sz val="8"/>
      <color theme="0"/>
      <name val="Arial"/>
      <family val="2"/>
    </font>
    <font>
      <b/>
      <sz val="8"/>
      <color theme="1"/>
      <name val="Arial"/>
      <family val="2"/>
    </font>
    <font>
      <sz val="8"/>
      <color theme="0"/>
      <name val="Calibri"/>
      <family val="2"/>
      <scheme val="minor"/>
    </font>
    <font>
      <b/>
      <sz val="8"/>
      <color rgb="FFFFFF00"/>
      <name val="Arial"/>
      <family val="2"/>
    </font>
    <font>
      <sz val="8"/>
      <color theme="0" tint="-0.499984740745262"/>
      <name val="Arial"/>
      <family val="2"/>
    </font>
    <font>
      <sz val="8"/>
      <name val="Calibri"/>
      <family val="2"/>
    </font>
    <font>
      <sz val="7"/>
      <color theme="1"/>
      <name val="Arial"/>
      <family val="2"/>
    </font>
    <font>
      <sz val="9"/>
      <name val="Calibri"/>
      <family val="2"/>
    </font>
    <font>
      <sz val="7"/>
      <color rgb="FFFF0000"/>
      <name val="Arial"/>
      <family val="2"/>
    </font>
    <font>
      <sz val="8"/>
      <color theme="0" tint="-0.34998626667073579"/>
      <name val="Arial"/>
      <family val="2"/>
    </font>
    <font>
      <sz val="10"/>
      <color theme="0" tint="-0.34998626667073579"/>
      <name val="Arial"/>
      <family val="2"/>
    </font>
    <font>
      <sz val="10"/>
      <color theme="1" tint="0.499984740745262"/>
      <name val="Arial"/>
      <family val="2"/>
    </font>
    <font>
      <b/>
      <i/>
      <sz val="9"/>
      <color theme="1"/>
      <name val="Arial"/>
      <family val="2"/>
    </font>
    <font>
      <b/>
      <sz val="9"/>
      <name val="Tahoma"/>
      <family val="2"/>
    </font>
    <font>
      <b/>
      <i/>
      <sz val="9"/>
      <name val="Arial"/>
      <family val="2"/>
    </font>
    <font>
      <sz val="10"/>
      <color theme="0" tint="-0.499984740745262"/>
      <name val="Arial"/>
      <family val="2"/>
    </font>
    <font>
      <sz val="10"/>
      <color theme="0"/>
      <name val="Calibri"/>
      <family val="2"/>
    </font>
    <font>
      <b/>
      <sz val="10"/>
      <color theme="0" tint="-0.499984740745262"/>
      <name val="Arial"/>
      <family val="2"/>
    </font>
    <font>
      <sz val="10"/>
      <color theme="1"/>
      <name val="Calibri"/>
      <family val="2"/>
    </font>
    <font>
      <i/>
      <u/>
      <sz val="10"/>
      <name val="Arial"/>
      <family val="2"/>
    </font>
    <font>
      <sz val="10"/>
      <color theme="0" tint="-0.249977111117893"/>
      <name val="Arial"/>
      <family val="2"/>
    </font>
    <font>
      <b/>
      <sz val="9"/>
      <color indexed="81"/>
      <name val="Tahoma"/>
      <family val="2"/>
    </font>
    <font>
      <b/>
      <sz val="9"/>
      <color theme="1"/>
      <name val="Arial"/>
      <family val="2"/>
    </font>
    <font>
      <sz val="9"/>
      <color theme="0" tint="-0.499984740745262"/>
      <name val="Arial"/>
      <family val="2"/>
    </font>
    <font>
      <i/>
      <sz val="10"/>
      <name val="MS Sans Serif"/>
      <family val="2"/>
    </font>
    <font>
      <b/>
      <sz val="10"/>
      <name val="MS Sans Serif"/>
      <family val="2"/>
    </font>
    <font>
      <b/>
      <sz val="16"/>
      <name val="MS Sans Serif"/>
      <family val="2"/>
    </font>
    <font>
      <b/>
      <sz val="10"/>
      <name val="MS Sans Serif"/>
    </font>
    <font>
      <b/>
      <sz val="10"/>
      <color theme="1"/>
      <name val="MS Sans Serif"/>
      <family val="2"/>
    </font>
    <font>
      <sz val="6"/>
      <name val="MS Sans Serif"/>
      <family val="2"/>
    </font>
    <font>
      <sz val="8"/>
      <color theme="1" tint="0.249977111117893"/>
      <name val="Arial"/>
      <family val="2"/>
    </font>
    <font>
      <sz val="7"/>
      <name val="MS Sans Serif"/>
      <family val="2"/>
    </font>
    <font>
      <sz val="8.5"/>
      <name val="MS Sans Serif"/>
      <family val="2"/>
    </font>
    <font>
      <b/>
      <sz val="13.5"/>
      <name val="Symbol"/>
      <family val="1"/>
      <charset val="2"/>
    </font>
    <font>
      <b/>
      <sz val="7"/>
      <name val="MS Sans Serif"/>
      <family val="2"/>
    </font>
    <font>
      <sz val="9"/>
      <name val="MS Sans Serif"/>
      <family val="2"/>
    </font>
    <font>
      <b/>
      <sz val="11"/>
      <name val="Arial"/>
      <family val="2"/>
    </font>
    <font>
      <sz val="7"/>
      <name val="SYMBOL"/>
      <family val="1"/>
      <charset val="2"/>
    </font>
    <font>
      <b/>
      <sz val="6"/>
      <color rgb="FFFF0000"/>
      <name val="MS Sans Serif"/>
    </font>
    <font>
      <b/>
      <sz val="9"/>
      <color rgb="FF7030A0"/>
      <name val="Arial"/>
      <family val="2"/>
    </font>
    <font>
      <b/>
      <sz val="10"/>
      <color rgb="FF7030A0"/>
      <name val="Arial"/>
      <family val="2"/>
    </font>
    <font>
      <b/>
      <sz val="11"/>
      <color rgb="FF7030A0"/>
      <name val="Arial"/>
      <family val="2"/>
    </font>
    <font>
      <sz val="10"/>
      <color indexed="10"/>
      <name val="MS Sans Serif"/>
      <family val="2"/>
    </font>
    <font>
      <b/>
      <sz val="10"/>
      <color indexed="10"/>
      <name val="Arial"/>
      <family val="2"/>
    </font>
    <font>
      <b/>
      <sz val="9"/>
      <name val="MS Sans Serif"/>
      <family val="2"/>
    </font>
    <font>
      <b/>
      <sz val="12"/>
      <color rgb="FFFF0000"/>
      <name val="MS Sans Serif"/>
      <family val="2"/>
    </font>
    <font>
      <sz val="9"/>
      <color indexed="9"/>
      <name val="MS Sans Serif"/>
      <family val="2"/>
    </font>
    <font>
      <sz val="9"/>
      <color indexed="10"/>
      <name val="MS Sans Serif"/>
      <family val="2"/>
    </font>
    <font>
      <sz val="10"/>
      <name val="Symbol"/>
      <family val="1"/>
      <charset val="2"/>
    </font>
    <font>
      <sz val="10"/>
      <color indexed="14"/>
      <name val="MS Sans Serif"/>
      <family val="2"/>
    </font>
    <font>
      <b/>
      <sz val="10"/>
      <color theme="3" tint="-0.249977111117893"/>
      <name val="Arial"/>
      <family val="2"/>
    </font>
    <font>
      <sz val="10"/>
      <color theme="3" tint="-0.249977111117893"/>
      <name val="Arial"/>
      <family val="2"/>
    </font>
    <font>
      <sz val="10"/>
      <name val="MS Sans Serif"/>
    </font>
    <font>
      <b/>
      <sz val="8.5"/>
      <name val="MS Sans Serif"/>
      <family val="2"/>
    </font>
    <font>
      <b/>
      <sz val="5"/>
      <color rgb="FFFF0000"/>
      <name val="Arial"/>
      <family val="2"/>
    </font>
    <font>
      <sz val="6.5"/>
      <name val="Arial"/>
      <family val="2"/>
    </font>
    <font>
      <sz val="10"/>
      <color theme="1" tint="0.499984740745262"/>
      <name val="Calibri"/>
      <family val="2"/>
      <scheme val="minor"/>
    </font>
    <font>
      <sz val="8"/>
      <color theme="6" tint="0.39997558519241921"/>
      <name val="Tahoma"/>
      <family val="2"/>
    </font>
    <font>
      <i/>
      <sz val="10"/>
      <name val="Times New Roman"/>
      <family val="1"/>
    </font>
    <font>
      <sz val="9"/>
      <name val="Times New Roman"/>
      <family val="1"/>
    </font>
    <font>
      <i/>
      <sz val="9"/>
      <name val="Times New Roman"/>
      <family val="1"/>
    </font>
    <font>
      <b/>
      <sz val="8"/>
      <color theme="0"/>
      <name val="Arial"/>
      <family val="2"/>
    </font>
    <font>
      <b/>
      <sz val="8"/>
      <color theme="1"/>
      <name val="Calibri"/>
      <family val="2"/>
      <scheme val="minor"/>
    </font>
    <font>
      <sz val="8"/>
      <color theme="1"/>
      <name val="Calibri"/>
      <family val="2"/>
      <scheme val="minor"/>
    </font>
    <font>
      <sz val="8"/>
      <color theme="1"/>
      <name val="Calibri"/>
      <family val="2"/>
    </font>
    <font>
      <sz val="8"/>
      <color indexed="63"/>
      <name val="Arial"/>
      <family val="2"/>
    </font>
    <font>
      <sz val="8"/>
      <color rgb="FFC00000"/>
      <name val="Arial"/>
      <family val="2"/>
    </font>
    <font>
      <b/>
      <sz val="8"/>
      <color rgb="FFFF0000"/>
      <name val="Arial"/>
      <family val="2"/>
    </font>
    <font>
      <vertAlign val="superscript"/>
      <sz val="8"/>
      <color indexed="8"/>
      <name val="Arial"/>
      <family val="2"/>
    </font>
    <font>
      <b/>
      <sz val="8"/>
      <color indexed="63"/>
      <name val="Arial"/>
      <family val="2"/>
    </font>
    <font>
      <b/>
      <sz val="8"/>
      <name val="Calibri"/>
      <family val="2"/>
    </font>
  </fonts>
  <fills count="4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15"/>
        <bgColor indexed="64"/>
      </patternFill>
    </fill>
    <fill>
      <patternFill patternType="solid">
        <fgColor indexed="13"/>
        <bgColor indexed="64"/>
      </patternFill>
    </fill>
    <fill>
      <patternFill patternType="solid">
        <fgColor indexed="52"/>
        <bgColor indexed="64"/>
      </patternFill>
    </fill>
    <fill>
      <patternFill patternType="solid">
        <fgColor indexed="43"/>
        <bgColor indexed="64"/>
      </patternFill>
    </fill>
    <fill>
      <patternFill patternType="solid">
        <fgColor indexed="65"/>
        <bgColor indexed="64"/>
      </patternFill>
    </fill>
    <fill>
      <patternFill patternType="solid">
        <fgColor indexed="10"/>
        <bgColor indexed="64"/>
      </patternFill>
    </fill>
    <fill>
      <patternFill patternType="gray0625">
        <bgColor theme="0"/>
      </patternFill>
    </fill>
    <fill>
      <patternFill patternType="gray0625">
        <fgColor theme="1" tint="0.499984740745262"/>
        <bgColor indexed="65"/>
      </patternFill>
    </fill>
    <fill>
      <patternFill patternType="gray0625">
        <fgColor theme="0" tint="-0.499984740745262"/>
        <bgColor theme="0"/>
      </patternFill>
    </fill>
    <fill>
      <patternFill patternType="gray0625">
        <fgColor theme="0" tint="-0.24994659260841701"/>
        <bgColor indexed="65"/>
      </patternFill>
    </fill>
    <fill>
      <patternFill patternType="solid">
        <fgColor rgb="FFFF0000"/>
        <bgColor indexed="64"/>
      </patternFill>
    </fill>
    <fill>
      <patternFill patternType="solid">
        <fgColor rgb="FF00B050"/>
        <bgColor indexed="64"/>
      </patternFill>
    </fill>
    <fill>
      <patternFill patternType="solid">
        <fgColor theme="7" tint="0.39997558519241921"/>
        <bgColor indexed="64"/>
      </patternFill>
    </fill>
    <fill>
      <patternFill patternType="gray0625">
        <bgColor theme="9" tint="0.39994506668294322"/>
      </patternFill>
    </fill>
    <fill>
      <patternFill patternType="solid">
        <fgColor theme="2"/>
        <bgColor indexed="64"/>
      </patternFill>
    </fill>
    <fill>
      <patternFill patternType="solid">
        <fgColor theme="9" tint="0.79998168889431442"/>
        <bgColor indexed="64"/>
      </patternFill>
    </fill>
    <fill>
      <patternFill patternType="solid">
        <fgColor indexed="22"/>
        <bgColor indexed="64"/>
      </patternFill>
    </fill>
  </fills>
  <borders count="354">
    <border>
      <left/>
      <right/>
      <top/>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double">
        <color theme="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thin">
        <color theme="1"/>
      </top>
      <bottom/>
      <diagonal/>
    </border>
    <border>
      <left/>
      <right style="thin">
        <color theme="1"/>
      </right>
      <top/>
      <bottom style="thin">
        <color indexed="64"/>
      </bottom>
      <diagonal/>
    </border>
    <border>
      <left/>
      <right style="thin">
        <color theme="1"/>
      </right>
      <top style="thin">
        <color indexed="64"/>
      </top>
      <bottom/>
      <diagonal/>
    </border>
    <border>
      <left style="thin">
        <color theme="1"/>
      </left>
      <right/>
      <top style="thin">
        <color indexed="64"/>
      </top>
      <bottom/>
      <diagonal/>
    </border>
    <border>
      <left/>
      <right style="thin">
        <color indexed="64"/>
      </right>
      <top style="thin">
        <color theme="1"/>
      </top>
      <bottom/>
      <diagonal/>
    </border>
    <border>
      <left/>
      <right/>
      <top style="dotted">
        <color theme="1" tint="0.499984740745262"/>
      </top>
      <bottom style="dotted">
        <color theme="1" tint="0.499984740745262"/>
      </bottom>
      <diagonal/>
    </border>
    <border>
      <left style="thin">
        <color indexed="64"/>
      </left>
      <right/>
      <top/>
      <bottom style="dotted">
        <color theme="1" tint="0.499984740745262"/>
      </bottom>
      <diagonal/>
    </border>
    <border>
      <left/>
      <right/>
      <top/>
      <bottom style="dotted">
        <color theme="1" tint="0.499984740745262"/>
      </bottom>
      <diagonal/>
    </border>
    <border>
      <left/>
      <right style="thin">
        <color indexed="64"/>
      </right>
      <top/>
      <bottom style="dotted">
        <color theme="1" tint="0.499984740745262"/>
      </bottom>
      <diagonal/>
    </border>
    <border>
      <left/>
      <right/>
      <top style="thin">
        <color theme="1"/>
      </top>
      <bottom style="thin">
        <color indexed="64"/>
      </bottom>
      <diagonal/>
    </border>
    <border>
      <left style="thin">
        <color indexed="64"/>
      </left>
      <right/>
      <top style="thin">
        <color theme="1"/>
      </top>
      <bottom style="thin">
        <color indexed="64"/>
      </bottom>
      <diagonal/>
    </border>
    <border>
      <left/>
      <right style="thin">
        <color theme="1"/>
      </right>
      <top style="thin">
        <color theme="1"/>
      </top>
      <bottom style="thin">
        <color indexed="64"/>
      </bottom>
      <diagonal/>
    </border>
    <border>
      <left/>
      <right style="thin">
        <color theme="1"/>
      </right>
      <top/>
      <bottom style="dotted">
        <color theme="1" tint="0.499984740745262"/>
      </bottom>
      <diagonal/>
    </border>
    <border>
      <left/>
      <right/>
      <top style="thin">
        <color indexed="64"/>
      </top>
      <bottom style="thin">
        <color theme="1"/>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style="thin">
        <color indexed="64"/>
      </left>
      <right/>
      <top style="double">
        <color theme="1"/>
      </top>
      <bottom style="double">
        <color indexed="64"/>
      </bottom>
      <diagonal/>
    </border>
    <border>
      <left/>
      <right/>
      <top style="double">
        <color theme="1"/>
      </top>
      <bottom style="double">
        <color indexed="64"/>
      </bottom>
      <diagonal/>
    </border>
    <border>
      <left style="thin">
        <color indexed="64"/>
      </left>
      <right/>
      <top style="dashed">
        <color theme="1" tint="0.499984740745262"/>
      </top>
      <bottom style="thin">
        <color indexed="64"/>
      </bottom>
      <diagonal/>
    </border>
    <border>
      <left/>
      <right/>
      <top style="dashed">
        <color theme="1" tint="0.499984740745262"/>
      </top>
      <bottom style="thin">
        <color indexed="64"/>
      </bottom>
      <diagonal/>
    </border>
    <border>
      <left style="dashed">
        <color theme="1" tint="0.499984740745262"/>
      </left>
      <right/>
      <top style="dashed">
        <color theme="1" tint="0.499984740745262"/>
      </top>
      <bottom style="thin">
        <color indexed="64"/>
      </bottom>
      <diagonal/>
    </border>
    <border>
      <left/>
      <right style="thin">
        <color indexed="64"/>
      </right>
      <top style="dashed">
        <color theme="1" tint="0.499984740745262"/>
      </top>
      <bottom style="thin">
        <color indexed="64"/>
      </bottom>
      <diagonal/>
    </border>
    <border>
      <left style="thin">
        <color indexed="64"/>
      </left>
      <right style="thin">
        <color indexed="64"/>
      </right>
      <top style="thin">
        <color theme="1"/>
      </top>
      <bottom style="dashed">
        <color theme="1" tint="0.499984740745262"/>
      </bottom>
      <diagonal/>
    </border>
    <border>
      <left style="thin">
        <color indexed="64"/>
      </left>
      <right/>
      <top style="thin">
        <color theme="1"/>
      </top>
      <bottom style="dashed">
        <color theme="1" tint="0.499984740745262"/>
      </bottom>
      <diagonal/>
    </border>
    <border>
      <left/>
      <right/>
      <top style="thin">
        <color theme="1"/>
      </top>
      <bottom style="dashed">
        <color theme="1" tint="0.499984740745262"/>
      </bottom>
      <diagonal/>
    </border>
    <border>
      <left/>
      <right style="thin">
        <color indexed="64"/>
      </right>
      <top style="thin">
        <color theme="1"/>
      </top>
      <bottom style="dashed">
        <color theme="1" tint="0.499984740745262"/>
      </bottom>
      <diagonal/>
    </border>
    <border>
      <left style="thin">
        <color indexed="64"/>
      </left>
      <right style="thin">
        <color indexed="64"/>
      </right>
      <top/>
      <bottom style="dashed">
        <color theme="1" tint="0.499984740745262"/>
      </bottom>
      <diagonal/>
    </border>
    <border>
      <left style="thin">
        <color indexed="64"/>
      </left>
      <right/>
      <top/>
      <bottom style="dashed">
        <color theme="1" tint="0.499984740745262"/>
      </bottom>
      <diagonal/>
    </border>
    <border>
      <left/>
      <right/>
      <top/>
      <bottom style="dashed">
        <color theme="1" tint="0.499984740745262"/>
      </bottom>
      <diagonal/>
    </border>
    <border>
      <left style="thin">
        <color indexed="64"/>
      </left>
      <right style="thin">
        <color indexed="64"/>
      </right>
      <top style="dashed">
        <color theme="1" tint="0.499984740745262"/>
      </top>
      <bottom style="dashed">
        <color theme="1" tint="0.499984740745262"/>
      </bottom>
      <diagonal/>
    </border>
    <border>
      <left style="thin">
        <color indexed="64"/>
      </left>
      <right/>
      <top style="dashed">
        <color theme="1" tint="0.499984740745262"/>
      </top>
      <bottom style="dashed">
        <color theme="1" tint="0.499984740745262"/>
      </bottom>
      <diagonal/>
    </border>
    <border>
      <left/>
      <right/>
      <top style="dashed">
        <color theme="1" tint="0.499984740745262"/>
      </top>
      <bottom style="dashed">
        <color theme="1" tint="0.499984740745262"/>
      </bottom>
      <diagonal/>
    </border>
    <border>
      <left/>
      <right style="thin">
        <color indexed="64"/>
      </right>
      <top style="dashed">
        <color theme="1" tint="0.499984740745262"/>
      </top>
      <bottom style="dashed">
        <color theme="1" tint="0.499984740745262"/>
      </bottom>
      <diagonal/>
    </border>
    <border>
      <left style="dashed">
        <color theme="1" tint="0.499984740745262"/>
      </left>
      <right style="thin">
        <color indexed="64"/>
      </right>
      <top style="dashed">
        <color theme="1" tint="0.499984740745262"/>
      </top>
      <bottom style="dashed">
        <color theme="1" tint="0.499984740745262"/>
      </bottom>
      <diagonal/>
    </border>
    <border>
      <left style="thin">
        <color indexed="64"/>
      </left>
      <right style="dashed">
        <color theme="1" tint="0.499984740745262"/>
      </right>
      <top style="dashed">
        <color theme="1" tint="0.499984740745262"/>
      </top>
      <bottom style="dashed">
        <color theme="1" tint="0.499984740745262"/>
      </bottom>
      <diagonal/>
    </border>
    <border>
      <left style="dashed">
        <color theme="1" tint="0.499984740745262"/>
      </left>
      <right/>
      <top style="dashed">
        <color theme="1" tint="0.499984740745262"/>
      </top>
      <bottom style="dashed">
        <color theme="1" tint="0.499984740745262"/>
      </bottom>
      <diagonal/>
    </border>
    <border>
      <left style="thin">
        <color indexed="64"/>
      </left>
      <right style="dashed">
        <color theme="1" tint="0.499984740745262"/>
      </right>
      <top/>
      <bottom/>
      <diagonal/>
    </border>
    <border>
      <left style="thin">
        <color indexed="64"/>
      </left>
      <right/>
      <top style="thin">
        <color indexed="64"/>
      </top>
      <bottom style="dashed">
        <color theme="1" tint="0.499984740745262"/>
      </bottom>
      <diagonal/>
    </border>
    <border>
      <left/>
      <right/>
      <top style="thin">
        <color indexed="64"/>
      </top>
      <bottom style="dashed">
        <color theme="1" tint="0.499984740745262"/>
      </bottom>
      <diagonal/>
    </border>
    <border>
      <left/>
      <right style="thin">
        <color indexed="64"/>
      </right>
      <top style="thin">
        <color indexed="64"/>
      </top>
      <bottom style="dashed">
        <color theme="1" tint="0.499984740745262"/>
      </bottom>
      <diagonal/>
    </border>
    <border>
      <left/>
      <right style="dashed">
        <color theme="1" tint="0.499984740745262"/>
      </right>
      <top style="thin">
        <color indexed="64"/>
      </top>
      <bottom style="dashed">
        <color theme="1" tint="0.499984740745262"/>
      </bottom>
      <diagonal/>
    </border>
    <border>
      <left/>
      <right style="dashed">
        <color theme="1" tint="0.499984740745262"/>
      </right>
      <top style="dashed">
        <color theme="1" tint="0.499984740745262"/>
      </top>
      <bottom style="dashed">
        <color theme="1" tint="0.499984740745262"/>
      </bottom>
      <diagonal/>
    </border>
    <border>
      <left style="dashed">
        <color theme="1" tint="0.499984740745262"/>
      </left>
      <right/>
      <top/>
      <bottom/>
      <diagonal/>
    </border>
    <border>
      <left/>
      <right style="dashed">
        <color theme="1" tint="0.499984740745262"/>
      </right>
      <top style="thin">
        <color theme="1"/>
      </top>
      <bottom/>
      <diagonal/>
    </border>
    <border>
      <left/>
      <right style="dashed">
        <color theme="1" tint="0.499984740745262"/>
      </right>
      <top/>
      <bottom/>
      <diagonal/>
    </border>
    <border>
      <left/>
      <right style="dashed">
        <color theme="1" tint="0.499984740745262"/>
      </right>
      <top/>
      <bottom style="thin">
        <color indexed="64"/>
      </bottom>
      <diagonal/>
    </border>
    <border>
      <left/>
      <right/>
      <top style="dashed">
        <color theme="1" tint="0.499984740745262"/>
      </top>
      <bottom/>
      <diagonal/>
    </border>
    <border>
      <left/>
      <right style="dashed">
        <color theme="1" tint="0.499984740745262"/>
      </right>
      <top style="dashed">
        <color theme="1" tint="0.499984740745262"/>
      </top>
      <bottom/>
      <diagonal/>
    </border>
    <border>
      <left style="dashed">
        <color theme="1" tint="0.499984740745262"/>
      </left>
      <right/>
      <top/>
      <bottom style="dashed">
        <color theme="1" tint="0.499984740745262"/>
      </bottom>
      <diagonal/>
    </border>
    <border>
      <left/>
      <right style="dashed">
        <color theme="1" tint="0.499984740745262"/>
      </right>
      <top/>
      <bottom style="dashed">
        <color theme="1" tint="0.499984740745262"/>
      </bottom>
      <diagonal/>
    </border>
    <border>
      <left style="dashed">
        <color theme="1" tint="0.499984740745262"/>
      </left>
      <right/>
      <top style="thin">
        <color theme="1"/>
      </top>
      <bottom/>
      <diagonal/>
    </border>
    <border>
      <left/>
      <right style="dashed">
        <color theme="1" tint="0.499984740745262"/>
      </right>
      <top/>
      <bottom style="thin">
        <color theme="1"/>
      </bottom>
      <diagonal/>
    </border>
    <border>
      <left/>
      <right style="thin">
        <color indexed="64"/>
      </right>
      <top/>
      <bottom style="dashed">
        <color theme="1" tint="0.499984740745262"/>
      </bottom>
      <diagonal/>
    </border>
    <border>
      <left style="thin">
        <color indexed="64"/>
      </left>
      <right/>
      <top style="dashed">
        <color theme="1" tint="0.499984740745262"/>
      </top>
      <bottom/>
      <diagonal/>
    </border>
    <border>
      <left/>
      <right style="thin">
        <color theme="1"/>
      </right>
      <top style="thin">
        <color theme="1"/>
      </top>
      <bottom style="dashed">
        <color theme="1" tint="0.499984740745262"/>
      </bottom>
      <diagonal/>
    </border>
    <border>
      <left/>
      <right style="dashed">
        <color theme="1" tint="0.499984740745262"/>
      </right>
      <top style="thin">
        <color theme="1"/>
      </top>
      <bottom style="dashed">
        <color theme="1" tint="0.499984740745262"/>
      </bottom>
      <diagonal/>
    </border>
    <border>
      <left/>
      <right style="thin">
        <color theme="1"/>
      </right>
      <top style="dashed">
        <color theme="1" tint="0.499984740745262"/>
      </top>
      <bottom style="dashed">
        <color theme="1" tint="0.499984740745262"/>
      </bottom>
      <diagonal/>
    </border>
    <border>
      <left style="thin">
        <color indexed="64"/>
      </left>
      <right style="thin">
        <color indexed="64"/>
      </right>
      <top/>
      <bottom style="thin">
        <color theme="1"/>
      </bottom>
      <diagonal/>
    </border>
    <border>
      <left style="thin">
        <color indexed="64"/>
      </left>
      <right/>
      <top style="thin">
        <color theme="1"/>
      </top>
      <bottom style="thin">
        <color theme="1"/>
      </bottom>
      <diagonal/>
    </border>
    <border>
      <left style="thin">
        <color theme="1"/>
      </left>
      <right/>
      <top style="dashed">
        <color theme="1" tint="0.499984740745262"/>
      </top>
      <bottom style="dashed">
        <color theme="1" tint="0.499984740745262"/>
      </bottom>
      <diagonal/>
    </border>
    <border>
      <left/>
      <right/>
      <top style="double">
        <color indexed="64"/>
      </top>
      <bottom style="double">
        <color indexed="64"/>
      </bottom>
      <diagonal/>
    </border>
    <border>
      <left/>
      <right style="thin">
        <color indexed="64"/>
      </right>
      <top style="thin">
        <color theme="1"/>
      </top>
      <bottom style="thin">
        <color theme="1"/>
      </bottom>
      <diagonal/>
    </border>
    <border>
      <left/>
      <right style="thin">
        <color indexed="64"/>
      </right>
      <top style="thin">
        <color theme="1"/>
      </top>
      <bottom style="thin">
        <color indexed="64"/>
      </bottom>
      <diagonal/>
    </border>
    <border>
      <left style="thin">
        <color indexed="64"/>
      </left>
      <right style="thin">
        <color indexed="64"/>
      </right>
      <top style="dashed">
        <color theme="1" tint="0.249977111117893"/>
      </top>
      <bottom style="dashed">
        <color theme="1" tint="0.249977111117893"/>
      </bottom>
      <diagonal/>
    </border>
    <border>
      <left style="thin">
        <color indexed="64"/>
      </left>
      <right/>
      <top style="dashed">
        <color theme="1" tint="0.249977111117893"/>
      </top>
      <bottom style="dashed">
        <color theme="1" tint="0.249977111117893"/>
      </bottom>
      <diagonal/>
    </border>
    <border>
      <left/>
      <right style="thin">
        <color indexed="64"/>
      </right>
      <top style="dashed">
        <color theme="1" tint="0.249977111117893"/>
      </top>
      <bottom style="dashed">
        <color theme="1" tint="0.249977111117893"/>
      </bottom>
      <diagonal/>
    </border>
    <border>
      <left style="thin">
        <color theme="1"/>
      </left>
      <right style="thin">
        <color indexed="64"/>
      </right>
      <top style="dashed">
        <color theme="1" tint="0.249977111117893"/>
      </top>
      <bottom style="dashed">
        <color theme="1" tint="0.249977111117893"/>
      </bottom>
      <diagonal/>
    </border>
    <border>
      <left/>
      <right/>
      <top style="dashed">
        <color theme="1" tint="0.249977111117893"/>
      </top>
      <bottom style="dashed">
        <color theme="1" tint="0.249977111117893"/>
      </bottom>
      <diagonal/>
    </border>
    <border>
      <left/>
      <right style="thin">
        <color indexed="64"/>
      </right>
      <top/>
      <bottom style="dashed">
        <color theme="1" tint="0.249977111117893"/>
      </bottom>
      <diagonal/>
    </border>
    <border>
      <left/>
      <right/>
      <top style="thin">
        <color theme="1"/>
      </top>
      <bottom style="dashed">
        <color theme="1" tint="0.249977111117893"/>
      </bottom>
      <diagonal/>
    </border>
    <border>
      <left/>
      <right style="thin">
        <color indexed="64"/>
      </right>
      <top style="thin">
        <color theme="1"/>
      </top>
      <bottom style="dashed">
        <color theme="1" tint="0.249977111117893"/>
      </bottom>
      <diagonal/>
    </border>
    <border>
      <left style="thin">
        <color indexed="64"/>
      </left>
      <right style="thin">
        <color indexed="64"/>
      </right>
      <top style="thin">
        <color theme="1"/>
      </top>
      <bottom style="dashed">
        <color theme="1" tint="0.249977111117893"/>
      </bottom>
      <diagonal/>
    </border>
    <border>
      <left/>
      <right style="thin">
        <color theme="1"/>
      </right>
      <top style="thin">
        <color theme="1"/>
      </top>
      <bottom style="dashed">
        <color theme="1" tint="0.249977111117893"/>
      </bottom>
      <diagonal/>
    </border>
    <border>
      <left/>
      <right style="thin">
        <color theme="1"/>
      </right>
      <top style="dashed">
        <color theme="1" tint="0.249977111117893"/>
      </top>
      <bottom style="dashed">
        <color theme="1" tint="0.249977111117893"/>
      </bottom>
      <diagonal/>
    </border>
    <border>
      <left style="thin">
        <color indexed="64"/>
      </left>
      <right/>
      <top style="thin">
        <color theme="1"/>
      </top>
      <bottom style="dashed">
        <color theme="1" tint="0.249977111117893"/>
      </bottom>
      <diagonal/>
    </border>
    <border>
      <left style="thin">
        <color indexed="64"/>
      </left>
      <right/>
      <top style="dashed">
        <color theme="1" tint="0.249977111117893"/>
      </top>
      <bottom style="thin">
        <color indexed="64"/>
      </bottom>
      <diagonal/>
    </border>
    <border>
      <left/>
      <right style="dashed">
        <color theme="0" tint="-0.499984740745262"/>
      </right>
      <top style="dashed">
        <color theme="1" tint="0.499984740745262"/>
      </top>
      <bottom style="thin">
        <color theme="1"/>
      </bottom>
      <diagonal/>
    </border>
    <border>
      <left/>
      <right/>
      <top style="dashed">
        <color theme="1" tint="0.499984740745262"/>
      </top>
      <bottom style="thin">
        <color theme="1"/>
      </bottom>
      <diagonal/>
    </border>
    <border>
      <left style="dashed">
        <color theme="0" tint="-0.499984740745262"/>
      </left>
      <right style="dashed">
        <color theme="0" tint="-0.499984740745262"/>
      </right>
      <top style="dashed">
        <color theme="1" tint="0.499984740745262"/>
      </top>
      <bottom style="thin">
        <color theme="1"/>
      </bottom>
      <diagonal/>
    </border>
    <border>
      <left style="thin">
        <color indexed="64"/>
      </left>
      <right/>
      <top style="dashed">
        <color theme="1" tint="0.499984740745262"/>
      </top>
      <bottom style="thin">
        <color theme="1"/>
      </bottom>
      <diagonal/>
    </border>
    <border>
      <left/>
      <right/>
      <top style="double">
        <color theme="1"/>
      </top>
      <bottom style="double">
        <color theme="1"/>
      </bottom>
      <diagonal/>
    </border>
    <border>
      <left style="thin">
        <color theme="1"/>
      </left>
      <right style="thin">
        <color indexed="64"/>
      </right>
      <top style="thin">
        <color theme="1"/>
      </top>
      <bottom/>
      <diagonal/>
    </border>
    <border>
      <left/>
      <right/>
      <top style="thin">
        <color theme="1"/>
      </top>
      <bottom style="hair">
        <color indexed="64"/>
      </bottom>
      <diagonal/>
    </border>
    <border>
      <left/>
      <right style="thin">
        <color indexed="64"/>
      </right>
      <top style="thin">
        <color theme="1"/>
      </top>
      <bottom style="hair">
        <color indexed="64"/>
      </bottom>
      <diagonal/>
    </border>
    <border>
      <left style="thin">
        <color indexed="64"/>
      </left>
      <right style="thin">
        <color indexed="64"/>
      </right>
      <top style="dotted">
        <color theme="1" tint="0.499984740745262"/>
      </top>
      <bottom style="dotted">
        <color theme="1" tint="0.499984740745262"/>
      </bottom>
      <diagonal/>
    </border>
    <border>
      <left style="thin">
        <color indexed="64"/>
      </left>
      <right/>
      <top style="dotted">
        <color theme="1" tint="0.499984740745262"/>
      </top>
      <bottom style="dotted">
        <color theme="1" tint="0.499984740745262"/>
      </bottom>
      <diagonal/>
    </border>
    <border>
      <left/>
      <right style="thin">
        <color indexed="64"/>
      </right>
      <top style="dotted">
        <color theme="1" tint="0.499984740745262"/>
      </top>
      <bottom style="dotted">
        <color theme="1" tint="0.499984740745262"/>
      </bottom>
      <diagonal/>
    </border>
    <border>
      <left style="thin">
        <color indexed="64"/>
      </left>
      <right style="thin">
        <color indexed="64"/>
      </right>
      <top style="thin">
        <color theme="1"/>
      </top>
      <bottom/>
      <diagonal/>
    </border>
    <border>
      <left style="thin">
        <color theme="1"/>
      </left>
      <right style="thin">
        <color indexed="64"/>
      </right>
      <top style="dotted">
        <color theme="1" tint="0.499984740745262"/>
      </top>
      <bottom style="dotted">
        <color theme="1" tint="0.499984740745262"/>
      </bottom>
      <diagonal/>
    </border>
    <border>
      <left style="thin">
        <color indexed="64"/>
      </left>
      <right/>
      <top/>
      <bottom style="dashed">
        <color theme="1" tint="0.249977111117893"/>
      </bottom>
      <diagonal/>
    </border>
    <border>
      <left/>
      <right style="thin">
        <color theme="1"/>
      </right>
      <top style="dotted">
        <color theme="1" tint="0.499984740745262"/>
      </top>
      <bottom style="dotted">
        <color theme="1" tint="0.499984740745262"/>
      </bottom>
      <diagonal/>
    </border>
    <border>
      <left style="thin">
        <color indexed="64"/>
      </left>
      <right style="thin">
        <color indexed="64"/>
      </right>
      <top style="dotted">
        <color theme="1" tint="0.499984740745262"/>
      </top>
      <bottom style="dashed">
        <color theme="1" tint="0.499984740745262"/>
      </bottom>
      <diagonal/>
    </border>
    <border>
      <left style="thin">
        <color indexed="64"/>
      </left>
      <right/>
      <top style="dotted">
        <color theme="1" tint="0.499984740745262"/>
      </top>
      <bottom style="dashed">
        <color theme="1" tint="0.499984740745262"/>
      </bottom>
      <diagonal/>
    </border>
    <border>
      <left/>
      <right/>
      <top style="dotted">
        <color theme="1" tint="0.499984740745262"/>
      </top>
      <bottom style="dashed">
        <color theme="1" tint="0.499984740745262"/>
      </bottom>
      <diagonal/>
    </border>
    <border>
      <left/>
      <right style="thin">
        <color theme="1"/>
      </right>
      <top style="dotted">
        <color theme="1" tint="0.499984740745262"/>
      </top>
      <bottom style="dashed">
        <color theme="1" tint="0.499984740745262"/>
      </bottom>
      <diagonal/>
    </border>
    <border>
      <left/>
      <right style="thin">
        <color indexed="64"/>
      </right>
      <top style="dotted">
        <color theme="1" tint="0.499984740745262"/>
      </top>
      <bottom style="dashed">
        <color theme="1" tint="0.499984740745262"/>
      </bottom>
      <diagonal/>
    </border>
    <border>
      <left/>
      <right/>
      <top/>
      <bottom style="thin">
        <color auto="1"/>
      </bottom>
      <diagonal/>
    </border>
    <border>
      <left style="dashed">
        <color theme="1" tint="0.499984740745262"/>
      </left>
      <right style="dashed">
        <color theme="1" tint="0.499984740745262"/>
      </right>
      <top style="dashed">
        <color theme="1" tint="0.499984740745262"/>
      </top>
      <bottom style="dashed">
        <color theme="1" tint="0.499984740745262"/>
      </bottom>
      <diagonal/>
    </border>
    <border>
      <left/>
      <right/>
      <top style="thin">
        <color auto="1"/>
      </top>
      <bottom/>
      <diagonal/>
    </border>
    <border>
      <left/>
      <right style="thin">
        <color indexed="64"/>
      </right>
      <top style="thin">
        <color auto="1"/>
      </top>
      <bottom/>
      <diagonal/>
    </border>
    <border>
      <left style="thin">
        <color indexed="64"/>
      </left>
      <right/>
      <top style="thin">
        <color auto="1"/>
      </top>
      <bottom/>
      <diagonal/>
    </border>
    <border>
      <left/>
      <right/>
      <top style="double">
        <color theme="1"/>
      </top>
      <bottom/>
      <diagonal/>
    </border>
    <border>
      <left style="thin">
        <color indexed="64"/>
      </left>
      <right style="thin">
        <color theme="1"/>
      </right>
      <top/>
      <bottom/>
      <diagonal/>
    </border>
    <border>
      <left/>
      <right/>
      <top style="double">
        <color indexed="64"/>
      </top>
      <bottom/>
      <diagonal/>
    </border>
    <border>
      <left style="thin">
        <color theme="1"/>
      </left>
      <right/>
      <top style="thin">
        <color indexed="64"/>
      </top>
      <bottom style="thin">
        <color indexed="64"/>
      </bottom>
      <diagonal/>
    </border>
    <border>
      <left style="thin">
        <color theme="1"/>
      </left>
      <right/>
      <top/>
      <bottom style="thin">
        <color indexed="64"/>
      </bottom>
      <diagonal/>
    </border>
    <border>
      <left style="dotted">
        <color theme="0" tint="-0.34998626667073579"/>
      </left>
      <right/>
      <top style="thin">
        <color indexed="64"/>
      </top>
      <bottom style="thin">
        <color indexed="64"/>
      </bottom>
      <diagonal/>
    </border>
    <border>
      <left/>
      <right style="dotted">
        <color theme="0" tint="-0.34998626667073579"/>
      </right>
      <top style="thin">
        <color indexed="64"/>
      </top>
      <bottom style="thin">
        <color indexed="64"/>
      </bottom>
      <diagonal/>
    </border>
    <border>
      <left/>
      <right style="thin">
        <color theme="1"/>
      </right>
      <top style="thin">
        <color indexed="64"/>
      </top>
      <bottom style="thin">
        <color indexed="64"/>
      </bottom>
      <diagonal/>
    </border>
    <border>
      <left style="dashed">
        <color theme="1" tint="0.499984740745262"/>
      </left>
      <right style="thin">
        <color indexed="64"/>
      </right>
      <top style="dashed">
        <color theme="1" tint="0.499984740745262"/>
      </top>
      <bottom style="thin">
        <color indexed="64"/>
      </bottom>
      <diagonal/>
    </border>
    <border>
      <left/>
      <right style="dashed">
        <color theme="1" tint="0.499984740745262"/>
      </right>
      <top style="dashed">
        <color theme="1" tint="0.499984740745262"/>
      </top>
      <bottom style="thin">
        <color indexed="64"/>
      </bottom>
      <diagonal/>
    </border>
    <border>
      <left style="thin">
        <color theme="1"/>
      </left>
      <right/>
      <top style="thin">
        <color indexed="64"/>
      </top>
      <bottom style="dotted">
        <color theme="0" tint="-0.34998626667073579"/>
      </bottom>
      <diagonal/>
    </border>
    <border>
      <left/>
      <right/>
      <top style="thin">
        <color indexed="64"/>
      </top>
      <bottom style="dotted">
        <color theme="0" tint="-0.34998626667073579"/>
      </bottom>
      <diagonal/>
    </border>
    <border>
      <left/>
      <right style="dotted">
        <color theme="0" tint="-0.34998626667073579"/>
      </right>
      <top style="thin">
        <color indexed="64"/>
      </top>
      <bottom style="dotted">
        <color theme="0" tint="-0.34998626667073579"/>
      </bottom>
      <diagonal/>
    </border>
    <border>
      <left/>
      <right style="thin">
        <color indexed="64"/>
      </right>
      <top style="thin">
        <color indexed="64"/>
      </top>
      <bottom style="dotted">
        <color theme="0" tint="-0.34998626667073579"/>
      </bottom>
      <diagonal/>
    </border>
    <border>
      <left style="thin">
        <color indexed="64"/>
      </left>
      <right/>
      <top style="thin">
        <color indexed="64"/>
      </top>
      <bottom style="dotted">
        <color theme="0" tint="-0.34998626667073579"/>
      </bottom>
      <diagonal/>
    </border>
    <border>
      <left/>
      <right style="thin">
        <color theme="1"/>
      </right>
      <top style="thin">
        <color indexed="64"/>
      </top>
      <bottom style="dotted">
        <color theme="0" tint="-0.34998626667073579"/>
      </bottom>
      <diagonal/>
    </border>
    <border>
      <left style="dashed">
        <color theme="1" tint="0.499984740745262"/>
      </left>
      <right style="thin">
        <color indexed="64"/>
      </right>
      <top style="thin">
        <color indexed="64"/>
      </top>
      <bottom style="thin">
        <color indexed="64"/>
      </bottom>
      <diagonal/>
    </border>
    <border>
      <left style="thin">
        <color indexed="64"/>
      </left>
      <right style="dashed">
        <color theme="1" tint="0.499984740745262"/>
      </right>
      <top style="thin">
        <color indexed="64"/>
      </top>
      <bottom style="thin">
        <color indexed="64"/>
      </bottom>
      <diagonal/>
    </border>
    <border>
      <left style="thin">
        <color theme="1"/>
      </left>
      <right/>
      <top style="dotted">
        <color theme="0" tint="-0.34998626667073579"/>
      </top>
      <bottom style="dotted">
        <color theme="0" tint="-0.34998626667073579"/>
      </bottom>
      <diagonal/>
    </border>
    <border>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right style="thin">
        <color indexed="64"/>
      </right>
      <top style="dotted">
        <color theme="0" tint="-0.34998626667073579"/>
      </top>
      <bottom style="dotted">
        <color theme="0" tint="-0.34998626667073579"/>
      </bottom>
      <diagonal/>
    </border>
    <border>
      <left style="thin">
        <color indexed="64"/>
      </left>
      <right/>
      <top style="dotted">
        <color theme="0" tint="-0.34998626667073579"/>
      </top>
      <bottom style="dotted">
        <color theme="0" tint="-0.34998626667073579"/>
      </bottom>
      <diagonal/>
    </border>
    <border>
      <left style="dotted">
        <color theme="0" tint="-0.34998626667073579"/>
      </left>
      <right style="thin">
        <color theme="1"/>
      </right>
      <top style="dotted">
        <color theme="0" tint="-0.34998626667073579"/>
      </top>
      <bottom style="dotted">
        <color theme="0" tint="-0.34998626667073579"/>
      </bottom>
      <diagonal/>
    </border>
    <border>
      <left/>
      <right style="dashed">
        <color theme="1" tint="0.499984740745262"/>
      </right>
      <top style="thin">
        <color indexed="64"/>
      </top>
      <bottom style="thin">
        <color indexed="64"/>
      </bottom>
      <diagonal/>
    </border>
    <border>
      <left style="thin">
        <color theme="1"/>
      </left>
      <right/>
      <top style="dotted">
        <color theme="0" tint="-0.34998626667073579"/>
      </top>
      <bottom/>
      <diagonal/>
    </border>
    <border>
      <left/>
      <right/>
      <top style="dotted">
        <color theme="0" tint="-0.34998626667073579"/>
      </top>
      <bottom/>
      <diagonal/>
    </border>
    <border>
      <left/>
      <right style="dotted">
        <color theme="0" tint="-0.34998626667073579"/>
      </right>
      <top style="dotted">
        <color theme="0" tint="-0.34998626667073579"/>
      </top>
      <bottom/>
      <diagonal/>
    </border>
    <border>
      <left/>
      <right style="dotted">
        <color theme="0" tint="-0.34998626667073579"/>
      </right>
      <top/>
      <bottom style="dotted">
        <color theme="1" tint="0.499984740745262"/>
      </bottom>
      <diagonal/>
    </border>
    <border>
      <left style="dotted">
        <color theme="0" tint="-0.34998626667073579"/>
      </left>
      <right/>
      <top style="dotted">
        <color theme="0" tint="-0.34998626667073579"/>
      </top>
      <bottom/>
      <diagonal/>
    </border>
    <border>
      <left/>
      <right style="thin">
        <color indexed="64"/>
      </right>
      <top style="dotted">
        <color theme="0" tint="-0.34998626667073579"/>
      </top>
      <bottom/>
      <diagonal/>
    </border>
    <border>
      <left/>
      <right style="thin">
        <color theme="1"/>
      </right>
      <top style="dotted">
        <color theme="0" tint="-0.34998626667073579"/>
      </top>
      <bottom style="dotted">
        <color theme="0" tint="-0.34998626667073579"/>
      </bottom>
      <diagonal/>
    </border>
    <border>
      <left style="dashed">
        <color theme="1" tint="0.499984740745262"/>
      </left>
      <right style="thin">
        <color indexed="64"/>
      </right>
      <top style="thin">
        <color indexed="64"/>
      </top>
      <bottom style="hair">
        <color indexed="64"/>
      </bottom>
      <diagonal/>
    </border>
    <border>
      <left style="thin">
        <color indexed="64"/>
      </left>
      <right style="dashed">
        <color theme="1" tint="0.499984740745262"/>
      </right>
      <top style="thin">
        <color indexed="64"/>
      </top>
      <bottom style="hair">
        <color indexed="64"/>
      </bottom>
      <diagonal/>
    </border>
    <border>
      <left/>
      <right style="dotted">
        <color theme="0" tint="-0.34998626667073579"/>
      </right>
      <top/>
      <bottom style="thin">
        <color indexed="64"/>
      </bottom>
      <diagonal/>
    </border>
    <border>
      <left style="dotted">
        <color theme="0" tint="-0.34998626667073579"/>
      </left>
      <right/>
      <top style="dotted">
        <color theme="0" tint="-0.34998626667073579"/>
      </top>
      <bottom style="thin">
        <color indexed="64"/>
      </bottom>
      <diagonal/>
    </border>
    <border>
      <left/>
      <right/>
      <top style="dotted">
        <color theme="0" tint="-0.34998626667073579"/>
      </top>
      <bottom style="thin">
        <color indexed="64"/>
      </bottom>
      <diagonal/>
    </border>
    <border>
      <left/>
      <right/>
      <top style="dotted">
        <color theme="1" tint="0.499984740745262"/>
      </top>
      <bottom style="thin">
        <color indexed="64"/>
      </bottom>
      <diagonal/>
    </border>
    <border>
      <left/>
      <right style="dotted">
        <color theme="0" tint="-0.34998626667073579"/>
      </right>
      <top style="dotted">
        <color theme="1" tint="0.499984740745262"/>
      </top>
      <bottom style="thin">
        <color indexed="64"/>
      </bottom>
      <diagonal/>
    </border>
    <border>
      <left style="dotted">
        <color theme="0" tint="-0.34998626667073579"/>
      </left>
      <right/>
      <top/>
      <bottom style="thin">
        <color indexed="64"/>
      </bottom>
      <diagonal/>
    </border>
    <border>
      <left style="thin">
        <color indexed="64"/>
      </left>
      <right/>
      <top style="dotted">
        <color theme="0" tint="-0.34998626667073579"/>
      </top>
      <bottom style="thin">
        <color indexed="64"/>
      </bottom>
      <diagonal/>
    </border>
    <border>
      <left/>
      <right style="dotted">
        <color theme="0" tint="-0.34998626667073579"/>
      </right>
      <top style="dotted">
        <color theme="0" tint="-0.34998626667073579"/>
      </top>
      <bottom style="thin">
        <color indexed="64"/>
      </bottom>
      <diagonal/>
    </border>
    <border>
      <left style="dotted">
        <color theme="0" tint="-0.34998626667073579"/>
      </left>
      <right style="thin">
        <color theme="1"/>
      </right>
      <top style="dotted">
        <color theme="0" tint="-0.34998626667073579"/>
      </top>
      <bottom style="thin">
        <color indexed="64"/>
      </bottom>
      <diagonal/>
    </border>
    <border>
      <left style="dashed">
        <color theme="1" tint="0.499984740745262"/>
      </left>
      <right style="thin">
        <color indexed="64"/>
      </right>
      <top style="hair">
        <color indexed="64"/>
      </top>
      <bottom style="hair">
        <color indexed="64"/>
      </bottom>
      <diagonal/>
    </border>
    <border>
      <left style="thin">
        <color indexed="64"/>
      </left>
      <right style="dashed">
        <color theme="1" tint="0.499984740745262"/>
      </right>
      <top style="hair">
        <color indexed="64"/>
      </top>
      <bottom style="hair">
        <color indexed="64"/>
      </bottom>
      <diagonal/>
    </border>
    <border>
      <left style="dotted">
        <color theme="0" tint="-0.34998626667073579"/>
      </left>
      <right style="thin">
        <color theme="1"/>
      </right>
      <top style="thin">
        <color indexed="64"/>
      </top>
      <bottom style="thin">
        <color indexed="64"/>
      </bottom>
      <diagonal/>
    </border>
    <border>
      <left style="dashed">
        <color theme="1" tint="0.499984740745262"/>
      </left>
      <right style="thin">
        <color indexed="64"/>
      </right>
      <top style="hair">
        <color indexed="64"/>
      </top>
      <bottom style="thin">
        <color indexed="64"/>
      </bottom>
      <diagonal/>
    </border>
    <border>
      <left style="thin">
        <color theme="1"/>
      </left>
      <right/>
      <top/>
      <bottom style="dotted">
        <color theme="0" tint="-0.34998626667073579"/>
      </bottom>
      <diagonal/>
    </border>
    <border>
      <left/>
      <right/>
      <top/>
      <bottom style="dotted">
        <color theme="0" tint="-0.34998626667073579"/>
      </bottom>
      <diagonal/>
    </border>
    <border>
      <left/>
      <right style="dotted">
        <color theme="0" tint="-0.34998626667073579"/>
      </right>
      <top/>
      <bottom style="dotted">
        <color theme="0" tint="-0.34998626667073579"/>
      </bottom>
      <diagonal/>
    </border>
    <border>
      <left/>
      <right style="thin">
        <color indexed="64"/>
      </right>
      <top/>
      <bottom style="dotted">
        <color theme="0" tint="-0.34998626667073579"/>
      </bottom>
      <diagonal/>
    </border>
    <border>
      <left style="thin">
        <color indexed="64"/>
      </left>
      <right/>
      <top/>
      <bottom style="dotted">
        <color theme="0" tint="-0.34998626667073579"/>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theme="1"/>
      </left>
      <right/>
      <top style="dotted">
        <color theme="0" tint="-0.34998626667073579"/>
      </top>
      <bottom style="thin">
        <color indexed="64"/>
      </bottom>
      <diagonal/>
    </border>
    <border>
      <left style="dotted">
        <color theme="0" tint="-0.34998626667073579"/>
      </left>
      <right/>
      <top style="dotted">
        <color theme="1" tint="0.499984740745262"/>
      </top>
      <bottom style="thin">
        <color indexed="64"/>
      </bottom>
      <diagonal/>
    </border>
    <border>
      <left/>
      <right style="thin">
        <color indexed="64"/>
      </right>
      <top style="dotted">
        <color theme="1" tint="0.499984740745262"/>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dotted">
        <color theme="0" tint="-0.34998626667073579"/>
      </right>
      <top style="thin">
        <color indexed="64"/>
      </top>
      <bottom/>
      <diagonal/>
    </border>
    <border>
      <left style="dotted">
        <color theme="0" tint="-0.34998626667073579"/>
      </left>
      <right/>
      <top style="thin">
        <color indexed="64"/>
      </top>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dashed">
        <color theme="1" tint="0.499984740745262"/>
      </right>
      <top style="hair">
        <color indexed="64"/>
      </top>
      <bottom style="thin">
        <color indexed="64"/>
      </bottom>
      <diagonal/>
    </border>
    <border>
      <left style="dotted">
        <color theme="0" tint="-0.34998626667073579"/>
      </left>
      <right/>
      <top style="dotted">
        <color theme="0" tint="-0.34998626667073579"/>
      </top>
      <bottom style="dotted">
        <color theme="0" tint="-0.34998626667073579"/>
      </bottom>
      <diagonal/>
    </border>
    <border>
      <left style="dotted">
        <color theme="0" tint="-0.34998626667073579"/>
      </left>
      <right/>
      <top/>
      <bottom style="dotted">
        <color theme="0" tint="-0.34998626667073579"/>
      </bottom>
      <diagonal/>
    </border>
    <border>
      <left style="thin">
        <color theme="1"/>
      </left>
      <right/>
      <top style="dotted">
        <color theme="0" tint="-0.34998626667073579"/>
      </top>
      <bottom style="dotted">
        <color theme="1" tint="0.499984740745262"/>
      </bottom>
      <diagonal/>
    </border>
    <border>
      <left/>
      <right/>
      <top style="dotted">
        <color theme="0" tint="-0.34998626667073579"/>
      </top>
      <bottom style="dotted">
        <color theme="1" tint="0.499984740745262"/>
      </bottom>
      <diagonal/>
    </border>
    <border>
      <left/>
      <right style="thin">
        <color theme="1"/>
      </right>
      <top/>
      <bottom style="dotted">
        <color theme="0" tint="-0.34998626667073579"/>
      </bottom>
      <diagonal/>
    </border>
    <border>
      <left style="thin">
        <color theme="1"/>
      </left>
      <right/>
      <top style="dotted">
        <color theme="1" tint="0.499984740745262"/>
      </top>
      <bottom style="dotted">
        <color theme="1" tint="0.499984740745262"/>
      </bottom>
      <diagonal/>
    </border>
    <border>
      <left/>
      <right style="dotted">
        <color theme="0" tint="-0.34998626667073579"/>
      </right>
      <top style="dotted">
        <color theme="1" tint="0.499984740745262"/>
      </top>
      <bottom style="dotted">
        <color theme="1" tint="0.499984740745262"/>
      </bottom>
      <diagonal/>
    </border>
    <border>
      <left style="thin">
        <color theme="1"/>
      </left>
      <right/>
      <top style="dotted">
        <color theme="1" tint="0.499984740745262"/>
      </top>
      <bottom style="thin">
        <color indexed="64"/>
      </bottom>
      <diagonal/>
    </border>
    <border>
      <left/>
      <right style="thin">
        <color indexed="64"/>
      </right>
      <top style="dotted">
        <color theme="0" tint="-0.34998626667073579"/>
      </top>
      <bottom style="thin">
        <color indexed="64"/>
      </bottom>
      <diagonal/>
    </border>
    <border>
      <left style="dotted">
        <color theme="0" tint="-0.34998626667073579"/>
      </left>
      <right style="thin">
        <color indexed="64"/>
      </right>
      <top style="thin">
        <color indexed="64"/>
      </top>
      <bottom style="dotted">
        <color theme="0" tint="-0.34998626667073579"/>
      </bottom>
      <diagonal/>
    </border>
    <border>
      <left style="dashed">
        <color theme="1" tint="0.499984740745262"/>
      </left>
      <right style="thin">
        <color indexed="64"/>
      </right>
      <top style="thin">
        <color indexed="64"/>
      </top>
      <bottom style="dashed">
        <color theme="1" tint="0.499984740745262"/>
      </bottom>
      <diagonal/>
    </border>
    <border>
      <left style="thin">
        <color indexed="64"/>
      </left>
      <right style="thin">
        <color indexed="64"/>
      </right>
      <top style="thin">
        <color indexed="64"/>
      </top>
      <bottom style="dashed">
        <color theme="1" tint="0.499984740745262"/>
      </bottom>
      <diagonal/>
    </border>
    <border>
      <left style="thin">
        <color indexed="64"/>
      </left>
      <right style="dashed">
        <color theme="1" tint="0.499984740745262"/>
      </right>
      <top style="thin">
        <color indexed="64"/>
      </top>
      <bottom style="dashed">
        <color theme="1" tint="0.499984740745262"/>
      </bottom>
      <diagonal/>
    </border>
    <border>
      <left/>
      <right/>
      <top style="double">
        <color indexed="64"/>
      </top>
      <bottom style="double">
        <color theme="1"/>
      </bottom>
      <diagonal/>
    </border>
    <border>
      <left style="thin">
        <color indexed="64"/>
      </left>
      <right/>
      <top style="thin">
        <color indexed="64"/>
      </top>
      <bottom style="dashed">
        <color theme="0" tint="-0.24994659260841701"/>
      </bottom>
      <diagonal/>
    </border>
    <border>
      <left/>
      <right/>
      <top style="thin">
        <color indexed="64"/>
      </top>
      <bottom style="dashed">
        <color theme="0" tint="-0.24994659260841701"/>
      </bottom>
      <diagonal/>
    </border>
    <border>
      <left/>
      <right style="dashed">
        <color theme="0" tint="-0.24994659260841701"/>
      </right>
      <top style="thin">
        <color indexed="64"/>
      </top>
      <bottom style="dashed">
        <color theme="0" tint="-0.24994659260841701"/>
      </bottom>
      <diagonal/>
    </border>
    <border>
      <left style="dashed">
        <color theme="0" tint="-0.24994659260841701"/>
      </left>
      <right style="dashed">
        <color theme="0" tint="-0.24994659260841701"/>
      </right>
      <top style="thin">
        <color indexed="64"/>
      </top>
      <bottom style="dashed">
        <color theme="0" tint="-0.24994659260841701"/>
      </bottom>
      <diagonal/>
    </border>
    <border>
      <left style="dashed">
        <color theme="0" tint="-0.24994659260841701"/>
      </left>
      <right style="thin">
        <color indexed="64"/>
      </right>
      <top style="thin">
        <color indexed="64"/>
      </top>
      <bottom style="dashed">
        <color theme="0" tint="-0.24994659260841701"/>
      </bottom>
      <diagonal/>
    </border>
    <border>
      <left style="thin">
        <color indexed="64"/>
      </left>
      <right/>
      <top style="dashed">
        <color theme="0" tint="-0.24994659260841701"/>
      </top>
      <bottom/>
      <diagonal/>
    </border>
    <border>
      <left/>
      <right/>
      <top style="dashed">
        <color theme="0" tint="-0.24994659260841701"/>
      </top>
      <bottom/>
      <diagonal/>
    </border>
    <border>
      <left/>
      <right style="dashed">
        <color theme="0" tint="-0.24994659260841701"/>
      </right>
      <top style="dashed">
        <color theme="0" tint="-0.24994659260841701"/>
      </top>
      <bottom/>
      <diagonal/>
    </border>
    <border>
      <left style="dashed">
        <color theme="0" tint="-0.24994659260841701"/>
      </left>
      <right style="dashed">
        <color theme="0" tint="-0.24994659260841701"/>
      </right>
      <top style="dashed">
        <color theme="0" tint="-0.24994659260841701"/>
      </top>
      <bottom/>
      <diagonal/>
    </border>
    <border>
      <left style="dashed">
        <color theme="0" tint="-0.24994659260841701"/>
      </left>
      <right style="thin">
        <color indexed="64"/>
      </right>
      <top style="dashed">
        <color theme="0" tint="-0.24994659260841701"/>
      </top>
      <bottom/>
      <diagonal/>
    </border>
    <border>
      <left style="thin">
        <color indexed="64"/>
      </left>
      <right/>
      <top/>
      <bottom style="dashed">
        <color theme="0" tint="-0.24994659260841701"/>
      </bottom>
      <diagonal/>
    </border>
    <border>
      <left/>
      <right/>
      <top/>
      <bottom style="dashed">
        <color theme="0" tint="-0.24994659260841701"/>
      </bottom>
      <diagonal/>
    </border>
    <border>
      <left/>
      <right style="dashed">
        <color theme="0" tint="-0.24994659260841701"/>
      </right>
      <top/>
      <bottom style="dashed">
        <color theme="0" tint="-0.24994659260841701"/>
      </bottom>
      <diagonal/>
    </border>
    <border>
      <left style="dashed">
        <color theme="0" tint="-0.24994659260841701"/>
      </left>
      <right/>
      <top/>
      <bottom style="dashed">
        <color theme="0" tint="-0.24994659260841701"/>
      </bottom>
      <diagonal/>
    </border>
    <border>
      <left/>
      <right style="thin">
        <color indexed="64"/>
      </right>
      <top/>
      <bottom style="dashed">
        <color theme="0" tint="-0.24994659260841701"/>
      </bottom>
      <diagonal/>
    </border>
    <border>
      <left style="thin">
        <color indexed="64"/>
      </left>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right style="dashed">
        <color theme="0" tint="-0.24994659260841701"/>
      </right>
      <top style="dashed">
        <color theme="0" tint="-0.24994659260841701"/>
      </top>
      <bottom style="dashed">
        <color theme="0" tint="-0.24994659260841701"/>
      </bottom>
      <diagonal/>
    </border>
    <border>
      <left style="dashed">
        <color theme="0" tint="-0.24994659260841701"/>
      </left>
      <right style="dashed">
        <color theme="0" tint="-0.24994659260841701"/>
      </right>
      <top style="dashed">
        <color theme="0" tint="-0.24994659260841701"/>
      </top>
      <bottom style="dashed">
        <color theme="0" tint="-0.24994659260841701"/>
      </bottom>
      <diagonal/>
    </border>
    <border>
      <left style="dashed">
        <color theme="0" tint="-0.24994659260841701"/>
      </left>
      <right style="thin">
        <color indexed="64"/>
      </right>
      <top style="dashed">
        <color theme="0" tint="-0.24994659260841701"/>
      </top>
      <bottom style="dashed">
        <color theme="0" tint="-0.24994659260841701"/>
      </bottom>
      <diagonal/>
    </border>
    <border>
      <left style="thin">
        <color indexed="64"/>
      </left>
      <right/>
      <top style="dashed">
        <color theme="0" tint="-0.24994659260841701"/>
      </top>
      <bottom style="thin">
        <color indexed="64"/>
      </bottom>
      <diagonal/>
    </border>
    <border>
      <left/>
      <right/>
      <top style="dashed">
        <color theme="0" tint="-0.24994659260841701"/>
      </top>
      <bottom style="thin">
        <color indexed="64"/>
      </bottom>
      <diagonal/>
    </border>
    <border>
      <left/>
      <right style="dashed">
        <color theme="0" tint="-0.24994659260841701"/>
      </right>
      <top style="dashed">
        <color theme="0" tint="-0.24994659260841701"/>
      </top>
      <bottom style="thin">
        <color indexed="64"/>
      </bottom>
      <diagonal/>
    </border>
    <border>
      <left style="dashed">
        <color theme="0" tint="-0.24994659260841701"/>
      </left>
      <right/>
      <top style="dashed">
        <color theme="0" tint="-0.24994659260841701"/>
      </top>
      <bottom style="thin">
        <color indexed="64"/>
      </bottom>
      <diagonal/>
    </border>
    <border>
      <left/>
      <right style="thin">
        <color indexed="64"/>
      </right>
      <top style="dashed">
        <color theme="0" tint="-0.24994659260841701"/>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theme="1"/>
      </left>
      <right/>
      <top/>
      <bottom style="dashed">
        <color theme="1" tint="0.499984740745262"/>
      </bottom>
      <diagonal/>
    </border>
    <border>
      <left/>
      <right style="thin">
        <color theme="1"/>
      </right>
      <top/>
      <bottom style="dashed">
        <color theme="1" tint="0.499984740745262"/>
      </bottom>
      <diagonal/>
    </border>
    <border>
      <left style="dashed">
        <color theme="1" tint="0.499984740745262"/>
      </left>
      <right/>
      <top style="dashed">
        <color theme="1" tint="0.499984740745262"/>
      </top>
      <bottom/>
      <diagonal/>
    </border>
    <border>
      <left/>
      <right style="thin">
        <color theme="1"/>
      </right>
      <top style="dashed">
        <color theme="1" tint="0.499984740745262"/>
      </top>
      <bottom/>
      <diagonal/>
    </border>
    <border>
      <left style="thin">
        <color theme="1"/>
      </left>
      <right/>
      <top style="dashed">
        <color theme="1" tint="0.499984740745262"/>
      </top>
      <bottom/>
      <diagonal/>
    </border>
    <border>
      <left/>
      <right style="thin">
        <color indexed="64"/>
      </right>
      <top style="dashed">
        <color theme="1" tint="0.499984740745262"/>
      </top>
      <bottom/>
      <diagonal/>
    </border>
    <border>
      <left/>
      <right style="thin">
        <color indexed="64"/>
      </right>
      <top style="thin">
        <color indexed="64"/>
      </top>
      <bottom style="double">
        <color indexed="64"/>
      </bottom>
      <diagonal/>
    </border>
    <border>
      <left/>
      <right/>
      <top style="thin">
        <color theme="1"/>
      </top>
      <bottom style="double">
        <color indexed="64"/>
      </bottom>
      <diagonal/>
    </border>
    <border>
      <left/>
      <right style="thin">
        <color theme="1"/>
      </right>
      <top style="thin">
        <color theme="1"/>
      </top>
      <bottom style="double">
        <color indexed="64"/>
      </bottom>
      <diagonal/>
    </border>
    <border>
      <left style="dashed">
        <color theme="1" tint="0.499984740745262"/>
      </left>
      <right/>
      <top style="thin">
        <color indexed="64"/>
      </top>
      <bottom/>
      <diagonal/>
    </border>
    <border>
      <left/>
      <right style="dashed">
        <color theme="1" tint="0.499984740745262"/>
      </right>
      <top style="thin">
        <color indexed="64"/>
      </top>
      <bottom/>
      <diagonal/>
    </border>
    <border>
      <left/>
      <right style="dashed">
        <color theme="0" tint="-0.499984740745262"/>
      </right>
      <top style="dashed">
        <color theme="1" tint="0.499984740745262"/>
      </top>
      <bottom/>
      <diagonal/>
    </border>
    <border>
      <left/>
      <right style="dashed">
        <color theme="0" tint="-0.499984740745262"/>
      </right>
      <top/>
      <bottom style="dashed">
        <color theme="1" tint="0.499984740745262"/>
      </bottom>
      <diagonal/>
    </border>
    <border>
      <left style="thin">
        <color theme="1"/>
      </left>
      <right/>
      <top style="thin">
        <color theme="1"/>
      </top>
      <bottom style="dashed">
        <color theme="1" tint="0.499984740745262"/>
      </bottom>
      <diagonal/>
    </border>
    <border>
      <left style="dashed">
        <color theme="1" tint="0.499984740745262"/>
      </left>
      <right/>
      <top style="dashed">
        <color theme="1" tint="0.499984740745262"/>
      </top>
      <bottom style="thin">
        <color theme="1"/>
      </bottom>
      <diagonal/>
    </border>
    <border>
      <left/>
      <right style="thin">
        <color theme="1"/>
      </right>
      <top style="dashed">
        <color theme="1" tint="0.499984740745262"/>
      </top>
      <bottom style="thin">
        <color theme="1"/>
      </bottom>
      <diagonal/>
    </border>
    <border>
      <left style="thin">
        <color theme="1"/>
      </left>
      <right/>
      <top style="dashed">
        <color theme="1" tint="0.499984740745262"/>
      </top>
      <bottom style="thin">
        <color theme="1"/>
      </bottom>
      <diagonal/>
    </border>
    <border>
      <left/>
      <right style="dashed">
        <color theme="1" tint="0.499984740745262"/>
      </right>
      <top style="dashed">
        <color theme="1" tint="0.499984740745262"/>
      </top>
      <bottom style="thin">
        <color theme="1"/>
      </bottom>
      <diagonal/>
    </border>
    <border>
      <left style="thin">
        <color theme="1"/>
      </left>
      <right style="dotted">
        <color theme="0" tint="-0.24994659260841701"/>
      </right>
      <top style="thin">
        <color theme="1"/>
      </top>
      <bottom style="dashed">
        <color theme="1" tint="0.499984740745262"/>
      </bottom>
      <diagonal/>
    </border>
    <border>
      <left style="dotted">
        <color theme="0" tint="-0.24994659260841701"/>
      </left>
      <right style="dotted">
        <color theme="0" tint="-0.24994659260841701"/>
      </right>
      <top style="thin">
        <color theme="1"/>
      </top>
      <bottom style="dashed">
        <color theme="1" tint="0.499984740745262"/>
      </bottom>
      <diagonal/>
    </border>
    <border>
      <left style="dotted">
        <color theme="0" tint="-0.24994659260841701"/>
      </left>
      <right style="thin">
        <color theme="1"/>
      </right>
      <top style="thin">
        <color theme="1"/>
      </top>
      <bottom style="dashed">
        <color theme="1" tint="0.499984740745262"/>
      </bottom>
      <diagonal/>
    </border>
    <border>
      <left/>
      <right style="dashed">
        <color theme="0" tint="-0.249977111117893"/>
      </right>
      <top style="thin">
        <color theme="1"/>
      </top>
      <bottom style="dashed">
        <color theme="1" tint="0.499984740745262"/>
      </bottom>
      <diagonal/>
    </border>
    <border>
      <left style="thin">
        <color theme="1"/>
      </left>
      <right style="dotted">
        <color theme="1"/>
      </right>
      <top style="thin">
        <color theme="1"/>
      </top>
      <bottom style="dashed">
        <color theme="1" tint="0.499984740745262"/>
      </bottom>
      <diagonal/>
    </border>
    <border>
      <left style="dotted">
        <color theme="1"/>
      </left>
      <right style="dotted">
        <color theme="1"/>
      </right>
      <top style="thin">
        <color theme="1"/>
      </top>
      <bottom style="dashed">
        <color theme="1" tint="0.499984740745262"/>
      </bottom>
      <diagonal/>
    </border>
    <border>
      <left style="dotted">
        <color theme="1"/>
      </left>
      <right style="thin">
        <color theme="1"/>
      </right>
      <top style="thin">
        <color theme="1"/>
      </top>
      <bottom style="dashed">
        <color theme="1" tint="0.499984740745262"/>
      </bottom>
      <diagonal/>
    </border>
    <border>
      <left/>
      <right style="dashed">
        <color theme="0" tint="-0.499984740745262"/>
      </right>
      <top style="thin">
        <color theme="1"/>
      </top>
      <bottom style="dashed">
        <color theme="1" tint="0.499984740745262"/>
      </bottom>
      <diagonal/>
    </border>
    <border>
      <left style="thin">
        <color theme="1"/>
      </left>
      <right style="dotted">
        <color theme="0" tint="-0.24994659260841701"/>
      </right>
      <top/>
      <bottom style="thin">
        <color indexed="64"/>
      </bottom>
      <diagonal/>
    </border>
    <border>
      <left style="dotted">
        <color theme="0" tint="-0.24994659260841701"/>
      </left>
      <right style="dotted">
        <color theme="0" tint="-0.24994659260841701"/>
      </right>
      <top/>
      <bottom style="thin">
        <color indexed="64"/>
      </bottom>
      <diagonal/>
    </border>
    <border>
      <left style="dotted">
        <color theme="0" tint="-0.24994659260841701"/>
      </left>
      <right style="thin">
        <color theme="1"/>
      </right>
      <top/>
      <bottom style="thin">
        <color indexed="64"/>
      </bottom>
      <diagonal/>
    </border>
    <border>
      <left/>
      <right style="dashed">
        <color theme="0" tint="-0.249977111117893"/>
      </right>
      <top/>
      <bottom style="thin">
        <color indexed="64"/>
      </bottom>
      <diagonal/>
    </border>
    <border>
      <left style="thin">
        <color theme="1"/>
      </left>
      <right/>
      <top style="dashed">
        <color theme="1" tint="0.499984740745262"/>
      </top>
      <bottom style="thin">
        <color indexed="64"/>
      </bottom>
      <diagonal/>
    </border>
    <border>
      <left/>
      <right style="dotted">
        <color theme="1"/>
      </right>
      <top style="dashed">
        <color theme="1" tint="0.499984740745262"/>
      </top>
      <bottom style="thin">
        <color indexed="64"/>
      </bottom>
      <diagonal/>
    </border>
    <border>
      <left style="dotted">
        <color theme="1"/>
      </left>
      <right style="dotted">
        <color theme="1"/>
      </right>
      <top/>
      <bottom style="thin">
        <color indexed="64"/>
      </bottom>
      <diagonal/>
    </border>
    <border>
      <left style="dotted">
        <color theme="1"/>
      </left>
      <right style="thin">
        <color theme="1"/>
      </right>
      <top/>
      <bottom style="thin">
        <color indexed="64"/>
      </bottom>
      <diagonal/>
    </border>
    <border>
      <left/>
      <right style="dashed">
        <color theme="0" tint="-0.499984740745262"/>
      </right>
      <top/>
      <bottom style="thin">
        <color indexed="64"/>
      </bottom>
      <diagonal/>
    </border>
    <border>
      <left style="thin">
        <color indexed="64"/>
      </left>
      <right style="thin">
        <color theme="1"/>
      </right>
      <top style="thin">
        <color theme="1"/>
      </top>
      <bottom/>
      <diagonal/>
    </border>
    <border>
      <left style="thin">
        <color theme="1"/>
      </left>
      <right style="thin">
        <color theme="1"/>
      </right>
      <top/>
      <bottom style="thin">
        <color indexed="64"/>
      </bottom>
      <diagonal/>
    </border>
    <border>
      <left/>
      <right/>
      <top/>
      <bottom style="double">
        <color auto="1"/>
      </bottom>
      <diagonal/>
    </border>
    <border>
      <left/>
      <right style="thin">
        <color indexed="64"/>
      </right>
      <top/>
      <bottom style="double">
        <color auto="1"/>
      </bottom>
      <diagonal/>
    </border>
    <border>
      <left/>
      <right/>
      <top style="double">
        <color auto="1"/>
      </top>
      <bottom style="double">
        <color auto="1"/>
      </bottom>
      <diagonal/>
    </border>
    <border>
      <left style="thin">
        <color indexed="64"/>
      </left>
      <right style="dashed">
        <color theme="0" tint="-0.24994659260841701"/>
      </right>
      <top style="thin">
        <color indexed="64"/>
      </top>
      <bottom style="dashed">
        <color theme="0" tint="-0.24994659260841701"/>
      </bottom>
      <diagonal/>
    </border>
    <border>
      <left style="thin">
        <color indexed="64"/>
      </left>
      <right style="dashed">
        <color theme="0" tint="-0.24994659260841701"/>
      </right>
      <top style="dashed">
        <color theme="0" tint="-0.24994659260841701"/>
      </top>
      <bottom style="dashed">
        <color theme="0" tint="-0.24994659260841701"/>
      </bottom>
      <diagonal/>
    </border>
    <border>
      <left style="thin">
        <color indexed="64"/>
      </left>
      <right style="dashed">
        <color theme="0" tint="-0.24994659260841701"/>
      </right>
      <top style="dashed">
        <color theme="0" tint="-0.24994659260841701"/>
      </top>
      <bottom style="thin">
        <color indexed="64"/>
      </bottom>
      <diagonal/>
    </border>
    <border>
      <left style="dashed">
        <color theme="0" tint="-0.24994659260841701"/>
      </left>
      <right style="dashed">
        <color theme="0" tint="-0.24994659260841701"/>
      </right>
      <top style="dashed">
        <color theme="0" tint="-0.24994659260841701"/>
      </top>
      <bottom style="thin">
        <color indexed="64"/>
      </bottom>
      <diagonal/>
    </border>
    <border>
      <left style="dashed">
        <color theme="0" tint="-0.24994659260841701"/>
      </left>
      <right style="thin">
        <color indexed="64"/>
      </right>
      <top style="dashed">
        <color theme="0" tint="-0.24994659260841701"/>
      </top>
      <bottom style="thin">
        <color indexed="64"/>
      </bottom>
      <diagonal/>
    </border>
    <border>
      <left style="thin">
        <color theme="1"/>
      </left>
      <right/>
      <top style="thin">
        <color theme="1"/>
      </top>
      <bottom style="thin">
        <color indexed="64"/>
      </bottom>
      <diagonal/>
    </border>
    <border>
      <left style="thin">
        <color theme="1"/>
      </left>
      <right/>
      <top style="thin">
        <color indexed="64"/>
      </top>
      <bottom style="thin">
        <color theme="1"/>
      </bottom>
      <diagonal/>
    </border>
    <border>
      <left style="dashed">
        <color theme="0" tint="-0.24994659260841701"/>
      </left>
      <right/>
      <top style="thin">
        <color indexed="64"/>
      </top>
      <bottom style="dashed">
        <color theme="0" tint="-0.24994659260841701"/>
      </bottom>
      <diagonal/>
    </border>
    <border>
      <left style="dashed">
        <color theme="0" tint="-0.24994659260841701"/>
      </left>
      <right/>
      <top style="dashed">
        <color theme="0" tint="-0.24994659260841701"/>
      </top>
      <bottom style="dashed">
        <color theme="0" tint="-0.24994659260841701"/>
      </bottom>
      <diagonal/>
    </border>
    <border>
      <left/>
      <right style="hair">
        <color indexed="64"/>
      </right>
      <top/>
      <bottom/>
      <diagonal/>
    </border>
    <border>
      <left style="thin">
        <color indexed="64"/>
      </left>
      <right/>
      <top/>
      <bottom style="double">
        <color theme="1"/>
      </bottom>
      <diagonal/>
    </border>
    <border>
      <left/>
      <right style="thin">
        <color indexed="64"/>
      </right>
      <top/>
      <bottom style="double">
        <color theme="1"/>
      </bottom>
      <diagonal/>
    </border>
    <border>
      <left/>
      <right style="thin">
        <color theme="1"/>
      </right>
      <top style="thin">
        <color indexed="64"/>
      </top>
      <bottom/>
      <diagonal/>
    </border>
    <border>
      <left/>
      <right style="thin">
        <color indexed="64"/>
      </right>
      <top style="hair">
        <color indexed="64"/>
      </top>
      <bottom style="hair">
        <color indexed="64"/>
      </bottom>
      <diagonal/>
    </border>
    <border>
      <left/>
      <right/>
      <top style="dashed">
        <color theme="1" tint="0.249977111117893"/>
      </top>
      <bottom style="thin">
        <color auto="1"/>
      </bottom>
      <diagonal/>
    </border>
    <border>
      <left/>
      <right/>
      <top style="thin">
        <color theme="1"/>
      </top>
      <bottom style="dotted">
        <color theme="1" tint="0.499984740745262"/>
      </bottom>
      <diagonal/>
    </border>
    <border>
      <left style="thin">
        <color indexed="64"/>
      </left>
      <right/>
      <top style="thin">
        <color theme="1"/>
      </top>
      <bottom style="dotted">
        <color theme="1" tint="0.499984740745262"/>
      </bottom>
      <diagonal/>
    </border>
    <border>
      <left style="thin">
        <color indexed="64"/>
      </left>
      <right/>
      <top style="thin">
        <color indexed="64"/>
      </top>
      <bottom style="dotted">
        <color theme="1" tint="0.499984740745262"/>
      </bottom>
      <diagonal/>
    </border>
    <border>
      <left/>
      <right style="thin">
        <color indexed="64"/>
      </right>
      <top style="thin">
        <color indexed="64"/>
      </top>
      <bottom style="dotted">
        <color theme="1" tint="0.499984740745262"/>
      </bottom>
      <diagonal/>
    </border>
    <border>
      <left style="thin">
        <color indexed="64"/>
      </left>
      <right/>
      <top style="dotted">
        <color theme="1" tint="0.499984740745262"/>
      </top>
      <bottom style="thin">
        <color indexed="64"/>
      </bottom>
      <diagonal/>
    </border>
    <border>
      <left style="thin">
        <color indexed="64"/>
      </left>
      <right style="dashed">
        <color theme="0" tint="-0.14996795556505021"/>
      </right>
      <top style="thin">
        <color indexed="64"/>
      </top>
      <bottom style="dashed">
        <color theme="0" tint="-0.14996795556505021"/>
      </bottom>
      <diagonal/>
    </border>
    <border>
      <left style="dashed">
        <color theme="0" tint="-0.14996795556505021"/>
      </left>
      <right style="dashed">
        <color theme="0" tint="-0.14996795556505021"/>
      </right>
      <top style="thin">
        <color indexed="64"/>
      </top>
      <bottom style="dashed">
        <color theme="0" tint="-0.14996795556505021"/>
      </bottom>
      <diagonal/>
    </border>
    <border>
      <left style="dashed">
        <color theme="0" tint="-0.14996795556505021"/>
      </left>
      <right style="thin">
        <color indexed="64"/>
      </right>
      <top style="thin">
        <color indexed="64"/>
      </top>
      <bottom style="dashed">
        <color theme="0" tint="-0.14996795556505021"/>
      </bottom>
      <diagonal/>
    </border>
    <border>
      <left style="thin">
        <color indexed="64"/>
      </left>
      <right style="dashed">
        <color theme="0" tint="-0.14996795556505021"/>
      </right>
      <top style="dashed">
        <color theme="0" tint="-0.14996795556505021"/>
      </top>
      <bottom style="thin">
        <color indexed="64"/>
      </bottom>
      <diagonal/>
    </border>
    <border>
      <left style="dashed">
        <color theme="0" tint="-0.14996795556505021"/>
      </left>
      <right style="dashed">
        <color theme="0" tint="-0.14996795556505021"/>
      </right>
      <top style="dashed">
        <color theme="0" tint="-0.14996795556505021"/>
      </top>
      <bottom style="thin">
        <color indexed="64"/>
      </bottom>
      <diagonal/>
    </border>
    <border>
      <left style="dashed">
        <color theme="0" tint="-0.14996795556505021"/>
      </left>
      <right/>
      <top style="thin">
        <color indexed="64"/>
      </top>
      <bottom style="dashed">
        <color theme="0" tint="-0.14996795556505021"/>
      </bottom>
      <diagonal/>
    </border>
    <border>
      <left/>
      <right style="dashed">
        <color theme="0" tint="-0.14996795556505021"/>
      </right>
      <top style="thin">
        <color indexed="64"/>
      </top>
      <bottom style="dashed">
        <color theme="0" tint="-0.14996795556505021"/>
      </bottom>
      <diagonal/>
    </border>
    <border>
      <left/>
      <right style="dashed">
        <color theme="0" tint="-0.14996795556505021"/>
      </right>
      <top style="dashed">
        <color theme="0" tint="-0.14996795556505021"/>
      </top>
      <bottom style="thin">
        <color indexed="64"/>
      </bottom>
      <diagonal/>
    </border>
    <border>
      <left style="dashed">
        <color theme="0" tint="-0.14996795556505021"/>
      </left>
      <right/>
      <top style="dashed">
        <color theme="0" tint="-0.14996795556505021"/>
      </top>
      <bottom style="thin">
        <color indexed="64"/>
      </bottom>
      <diagonal/>
    </border>
    <border>
      <left/>
      <right style="thin">
        <color indexed="64"/>
      </right>
      <top style="dashed">
        <color theme="0" tint="-0.14996795556505021"/>
      </top>
      <bottom style="thin">
        <color indexed="64"/>
      </bottom>
      <diagonal/>
    </border>
    <border>
      <left style="thin">
        <color indexed="64"/>
      </left>
      <right/>
      <top style="thin">
        <color indexed="64"/>
      </top>
      <bottom style="dashed">
        <color theme="1" tint="0.249977111117893"/>
      </bottom>
      <diagonal/>
    </border>
    <border>
      <left/>
      <right/>
      <top style="thin">
        <color indexed="64"/>
      </top>
      <bottom style="dashed">
        <color theme="1" tint="0.249977111117893"/>
      </bottom>
      <diagonal/>
    </border>
    <border>
      <left/>
      <right/>
      <top style="dashed">
        <color theme="1" tint="0.249977111117893"/>
      </top>
      <bottom/>
      <diagonal/>
    </border>
    <border>
      <left/>
      <right/>
      <top/>
      <bottom style="dashed">
        <color theme="1" tint="0.249977111117893"/>
      </bottom>
      <diagonal/>
    </border>
    <border>
      <left style="thin">
        <color indexed="64"/>
      </left>
      <right/>
      <top style="dashed">
        <color theme="1" tint="0.249977111117893"/>
      </top>
      <bottom/>
      <diagonal/>
    </border>
    <border>
      <left/>
      <right style="thin">
        <color theme="1"/>
      </right>
      <top style="dashed">
        <color theme="1" tint="0.249977111117893"/>
      </top>
      <bottom style="thin">
        <color indexed="64"/>
      </bottom>
      <diagonal/>
    </border>
    <border>
      <left/>
      <right style="thin">
        <color indexed="64"/>
      </right>
      <top style="dashed">
        <color theme="1" tint="0.249977111117893"/>
      </top>
      <bottom style="thin">
        <color indexed="64"/>
      </bottom>
      <diagonal/>
    </border>
    <border>
      <left style="thin">
        <color indexed="64"/>
      </left>
      <right style="thin">
        <color indexed="64"/>
      </right>
      <top style="dashed">
        <color theme="1" tint="0.249977111117893"/>
      </top>
      <bottom style="thin">
        <color indexed="64"/>
      </bottom>
      <diagonal/>
    </border>
    <border>
      <left/>
      <right style="thin">
        <color theme="1"/>
      </right>
      <top style="dotted">
        <color theme="1" tint="0.499984740745262"/>
      </top>
      <bottom style="thin">
        <color indexed="64"/>
      </bottom>
      <diagonal/>
    </border>
    <border>
      <left style="thin">
        <color indexed="64"/>
      </left>
      <right style="thin">
        <color indexed="64"/>
      </right>
      <top style="dotted">
        <color theme="1" tint="0.499984740745262"/>
      </top>
      <bottom style="thin">
        <color indexed="64"/>
      </bottom>
      <diagonal/>
    </border>
  </borders>
  <cellStyleXfs count="548">
    <xf numFmtId="0" fontId="0" fillId="0" borderId="0"/>
    <xf numFmtId="0" fontId="1" fillId="0" borderId="0"/>
    <xf numFmtId="9" fontId="1" fillId="0" borderId="0" applyFont="0" applyFill="0" applyBorder="0" applyAlignment="0" applyProtection="0"/>
    <xf numFmtId="169" fontId="1" fillId="0" borderId="0" applyFont="0" applyFill="0" applyBorder="0" applyAlignment="0" applyProtection="0"/>
    <xf numFmtId="170" fontId="17" fillId="0" borderId="0">
      <protection locked="0"/>
    </xf>
    <xf numFmtId="170" fontId="17" fillId="0" borderId="0">
      <protection locked="0"/>
    </xf>
    <xf numFmtId="170" fontId="17" fillId="0" borderId="0">
      <protection locked="0"/>
    </xf>
    <xf numFmtId="171" fontId="1" fillId="0" borderId="0" applyFont="0" applyFill="0" applyBorder="0" applyAlignment="0" applyProtection="0"/>
    <xf numFmtId="170" fontId="17" fillId="0" borderId="0">
      <protection locked="0"/>
    </xf>
    <xf numFmtId="170" fontId="17" fillId="0" borderId="0">
      <protection locked="0"/>
    </xf>
    <xf numFmtId="170" fontId="18" fillId="0" borderId="0">
      <protection locked="0"/>
    </xf>
    <xf numFmtId="170" fontId="17" fillId="0" borderId="0">
      <protection locked="0"/>
    </xf>
    <xf numFmtId="170" fontId="17" fillId="0" borderId="0">
      <protection locked="0"/>
    </xf>
    <xf numFmtId="170" fontId="17" fillId="0" borderId="0">
      <protection locked="0"/>
    </xf>
    <xf numFmtId="170" fontId="18" fillId="0" borderId="0">
      <protection locked="0"/>
    </xf>
    <xf numFmtId="170" fontId="17" fillId="0" borderId="0">
      <protection locked="0"/>
    </xf>
    <xf numFmtId="170" fontId="19" fillId="0" borderId="0">
      <protection locked="0"/>
    </xf>
    <xf numFmtId="170" fontId="19" fillId="0" borderId="0">
      <protection locked="0"/>
    </xf>
    <xf numFmtId="170" fontId="17" fillId="0" borderId="0">
      <protection locked="0"/>
    </xf>
    <xf numFmtId="9" fontId="1" fillId="0" borderId="0" applyFont="0" applyFill="0" applyBorder="0" applyAlignment="0" applyProtection="0"/>
    <xf numFmtId="0" fontId="21" fillId="0" borderId="0"/>
    <xf numFmtId="0" fontId="1" fillId="0" borderId="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4" fillId="5" borderId="0" applyNumberFormat="0" applyBorder="0" applyAlignment="0" applyProtection="0"/>
    <xf numFmtId="0" fontId="25" fillId="17" borderId="20" applyNumberFormat="0" applyAlignment="0" applyProtection="0"/>
    <xf numFmtId="0" fontId="26" fillId="18" borderId="21" applyNumberFormat="0" applyAlignment="0" applyProtection="0"/>
    <xf numFmtId="0" fontId="27" fillId="0" borderId="22" applyNumberFormat="0" applyFill="0" applyAlignment="0" applyProtection="0"/>
    <xf numFmtId="0" fontId="28" fillId="0" borderId="0" applyNumberFormat="0" applyFill="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22" borderId="0" applyNumberFormat="0" applyBorder="0" applyAlignment="0" applyProtection="0"/>
    <xf numFmtId="0" fontId="29" fillId="8" borderId="20" applyNumberFormat="0" applyAlignment="0" applyProtection="0"/>
    <xf numFmtId="171" fontId="1" fillId="0" borderId="0" applyFont="0" applyFill="0" applyBorder="0" applyAlignment="0" applyProtection="0"/>
    <xf numFmtId="0" fontId="30" fillId="4" borderId="0" applyNumberFormat="0" applyBorder="0" applyAlignment="0" applyProtection="0"/>
    <xf numFmtId="0" fontId="31" fillId="23" borderId="0" applyNumberFormat="0" applyBorder="0" applyAlignment="0" applyProtection="0"/>
    <xf numFmtId="0" fontId="1" fillId="24" borderId="23" applyNumberFormat="0" applyFont="0" applyAlignment="0" applyProtection="0"/>
    <xf numFmtId="9" fontId="1" fillId="0" borderId="0" applyFont="0" applyFill="0" applyBorder="0" applyAlignment="0" applyProtection="0"/>
    <xf numFmtId="0" fontId="32" fillId="17" borderId="24"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25" applyNumberFormat="0" applyFill="0" applyAlignment="0" applyProtection="0"/>
    <xf numFmtId="0" fontId="37" fillId="0" borderId="26" applyNumberFormat="0" applyFill="0" applyAlignment="0" applyProtection="0"/>
    <xf numFmtId="0" fontId="28" fillId="0" borderId="27" applyNumberFormat="0" applyFill="0" applyAlignment="0" applyProtection="0"/>
    <xf numFmtId="0" fontId="38" fillId="0" borderId="28" applyNumberFormat="0" applyFill="0" applyAlignment="0" applyProtection="0"/>
    <xf numFmtId="171" fontId="1" fillId="0" borderId="0" applyFont="0" applyFill="0" applyBorder="0" applyAlignment="0" applyProtection="0"/>
    <xf numFmtId="0" fontId="1" fillId="24" borderId="23" applyNumberFormat="0" applyFont="0" applyAlignment="0" applyProtection="0"/>
    <xf numFmtId="9" fontId="1" fillId="0" borderId="0" applyFont="0" applyFill="0" applyBorder="0" applyAlignment="0" applyProtection="0"/>
    <xf numFmtId="0" fontId="1" fillId="0" borderId="0"/>
    <xf numFmtId="0" fontId="45" fillId="0" borderId="0"/>
    <xf numFmtId="0" fontId="47" fillId="0" borderId="0"/>
    <xf numFmtId="0" fontId="1" fillId="0" borderId="0"/>
    <xf numFmtId="0" fontId="49" fillId="0" borderId="0"/>
    <xf numFmtId="0" fontId="52" fillId="0" borderId="0"/>
    <xf numFmtId="0" fontId="1" fillId="0" borderId="0"/>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 fillId="0" borderId="0"/>
    <xf numFmtId="0" fontId="52" fillId="0" borderId="0"/>
    <xf numFmtId="0" fontId="1" fillId="0" borderId="0"/>
    <xf numFmtId="0" fontId="1"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5" fillId="0" borderId="0"/>
    <xf numFmtId="0" fontId="62" fillId="0" borderId="0"/>
    <xf numFmtId="0" fontId="45"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64" fillId="0" borderId="0"/>
    <xf numFmtId="174" fontId="1" fillId="0" borderId="53">
      <alignment horizontal="right"/>
    </xf>
    <xf numFmtId="2" fontId="2" fillId="0" borderId="0"/>
    <xf numFmtId="173" fontId="2" fillId="0" borderId="0"/>
    <xf numFmtId="175" fontId="42" fillId="0" borderId="0"/>
    <xf numFmtId="176" fontId="1" fillId="0" borderId="53">
      <alignment horizontal="right"/>
    </xf>
    <xf numFmtId="3" fontId="68" fillId="0" borderId="0" applyFont="0" applyFill="0" applyBorder="0" applyAlignment="0" applyProtection="0"/>
    <xf numFmtId="0" fontId="69" fillId="0" borderId="0"/>
    <xf numFmtId="0" fontId="69" fillId="0" borderId="0"/>
    <xf numFmtId="0" fontId="69" fillId="0" borderId="0"/>
    <xf numFmtId="0" fontId="69" fillId="0" borderId="0"/>
    <xf numFmtId="164" fontId="1" fillId="0" borderId="0" applyFont="0" applyFill="0" applyBorder="0" applyAlignment="0" applyProtection="0"/>
    <xf numFmtId="0" fontId="69"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7" fontId="1" fillId="0" borderId="0" applyFon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59"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178" fontId="1" fillId="0" borderId="0">
      <alignment horizontal="right"/>
    </xf>
    <xf numFmtId="179" fontId="1" fillId="0" borderId="0" applyFont="0" applyFill="0" applyBorder="0" applyAlignment="0">
      <alignment horizontal="center"/>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6" fontId="1" fillId="0" borderId="0" applyFont="0" applyFill="0" applyBorder="0" applyAlignment="0" applyProtection="0"/>
    <xf numFmtId="169" fontId="1" fillId="0" borderId="0" applyFont="0" applyFill="0" applyBorder="0" applyAlignment="0" applyProtection="0"/>
    <xf numFmtId="166"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1" fontId="1" fillId="0" borderId="0">
      <alignment horizontal="right"/>
    </xf>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7" fontId="1" fillId="0" borderId="0" applyFont="0" applyFill="0" applyBorder="0" applyAlignment="0" applyProtection="0"/>
    <xf numFmtId="182"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83" fontId="72" fillId="0" borderId="0" applyFont="0" applyFill="0" applyBorder="0" applyAlignment="0" applyProtection="0"/>
    <xf numFmtId="184" fontId="73" fillId="0" borderId="0"/>
    <xf numFmtId="185" fontId="1" fillId="0" borderId="0" applyFont="0" applyFill="0" applyBorder="0" applyAlignment="0">
      <alignment horizontal="center"/>
    </xf>
    <xf numFmtId="0" fontId="1" fillId="0" borderId="0"/>
    <xf numFmtId="0" fontId="1" fillId="0" borderId="0" applyProtection="0"/>
    <xf numFmtId="0" fontId="64"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4" fillId="0" borderId="0"/>
    <xf numFmtId="0" fontId="1" fillId="0" borderId="0"/>
    <xf numFmtId="0" fontId="1" fillId="0" borderId="0"/>
    <xf numFmtId="0" fontId="1" fillId="0" borderId="0"/>
    <xf numFmtId="0" fontId="1" fillId="0" borderId="0"/>
    <xf numFmtId="0" fontId="52" fillId="0" borderId="0"/>
    <xf numFmtId="0" fontId="52" fillId="0" borderId="0"/>
    <xf numFmtId="0" fontId="69" fillId="0" borderId="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57" fillId="0" borderId="0">
      <alignment vertical="top"/>
    </xf>
    <xf numFmtId="0" fontId="1" fillId="0" borderId="0"/>
    <xf numFmtId="0" fontId="22" fillId="3"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24" fillId="5" borderId="0" applyNumberFormat="0" applyBorder="0" applyAlignment="0" applyProtection="0"/>
    <xf numFmtId="0" fontId="25" fillId="17" borderId="20" applyNumberFormat="0" applyAlignment="0" applyProtection="0"/>
    <xf numFmtId="0" fontId="25" fillId="17" borderId="20" applyNumberFormat="0" applyAlignment="0" applyProtection="0"/>
    <xf numFmtId="0" fontId="25" fillId="17" borderId="20" applyNumberFormat="0" applyAlignment="0" applyProtection="0"/>
    <xf numFmtId="0" fontId="26" fillId="18" borderId="21" applyNumberFormat="0" applyAlignment="0" applyProtection="0"/>
    <xf numFmtId="0" fontId="27" fillId="0" borderId="22" applyNumberFormat="0" applyFill="0" applyAlignment="0" applyProtection="0"/>
    <xf numFmtId="0" fontId="26" fillId="18" borderId="21" applyNumberFormat="0" applyAlignment="0" applyProtection="0"/>
    <xf numFmtId="0" fontId="26" fillId="18" borderId="21" applyNumberFormat="0" applyAlignment="0" applyProtection="0"/>
    <xf numFmtId="165" fontId="45" fillId="0" borderId="0" applyFont="0" applyFill="0" applyBorder="0" applyAlignment="0" applyProtection="0"/>
    <xf numFmtId="187" fontId="45" fillId="0" borderId="0" applyFont="0" applyFill="0" applyBorder="0" applyAlignment="0" applyProtection="0"/>
    <xf numFmtId="0" fontId="28" fillId="0" borderId="0" applyNumberFormat="0" applyFill="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22" borderId="0" applyNumberFormat="0" applyBorder="0" applyAlignment="0" applyProtection="0"/>
    <xf numFmtId="0" fontId="29" fillId="8" borderId="20" applyNumberFormat="0" applyAlignment="0" applyProtection="0"/>
    <xf numFmtId="0" fontId="83" fillId="7" borderId="27" applyFill="0" applyBorder="0" applyAlignment="0" applyProtection="0"/>
    <xf numFmtId="0" fontId="84" fillId="7" borderId="27" applyFont="0" applyFill="0" applyBorder="0" applyAlignment="0" applyProtection="0"/>
    <xf numFmtId="0" fontId="85" fillId="33" borderId="0"/>
    <xf numFmtId="0" fontId="34" fillId="0" borderId="0" applyNumberFormat="0" applyFill="0" applyBorder="0" applyAlignment="0" applyProtection="0"/>
    <xf numFmtId="0" fontId="34" fillId="0" borderId="0" applyNumberFormat="0" applyFill="0" applyBorder="0" applyAlignment="0" applyProtection="0"/>
    <xf numFmtId="0" fontId="24" fillId="5" borderId="0" applyNumberFormat="0" applyBorder="0" applyAlignment="0" applyProtection="0"/>
    <xf numFmtId="0" fontId="24" fillId="5" borderId="0" applyNumberFormat="0" applyBorder="0" applyAlignment="0" applyProtection="0"/>
    <xf numFmtId="0" fontId="86" fillId="0" borderId="0" applyNumberFormat="0" applyFill="0" applyBorder="0" applyAlignment="0" applyProtection="0"/>
    <xf numFmtId="0" fontId="36" fillId="0" borderId="25" applyNumberFormat="0" applyFill="0" applyAlignment="0" applyProtection="0"/>
    <xf numFmtId="0" fontId="87" fillId="0" borderId="0" applyNumberFormat="0" applyFill="0" applyBorder="0" applyAlignment="0" applyProtection="0"/>
    <xf numFmtId="0" fontId="37" fillId="0" borderId="26"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0" fillId="4" borderId="0" applyNumberFormat="0" applyBorder="0" applyAlignment="0" applyProtection="0"/>
    <xf numFmtId="0" fontId="29" fillId="8" borderId="20" applyNumberFormat="0" applyAlignment="0" applyProtection="0"/>
    <xf numFmtId="0" fontId="29" fillId="8" borderId="20" applyNumberFormat="0" applyAlignment="0" applyProtection="0"/>
    <xf numFmtId="0" fontId="27" fillId="0" borderId="22" applyNumberFormat="0" applyFill="0" applyAlignment="0" applyProtection="0"/>
    <xf numFmtId="0" fontId="27" fillId="0" borderId="22" applyNumberFormat="0" applyFill="0" applyAlignment="0" applyProtection="0"/>
    <xf numFmtId="0" fontId="31" fillId="23" borderId="0" applyNumberFormat="0" applyBorder="0" applyAlignment="0" applyProtection="0"/>
    <xf numFmtId="0" fontId="88" fillId="0" borderId="0"/>
    <xf numFmtId="0" fontId="1" fillId="0" borderId="0"/>
    <xf numFmtId="0" fontId="88" fillId="0" borderId="0"/>
    <xf numFmtId="0" fontId="52" fillId="0" borderId="0"/>
    <xf numFmtId="0" fontId="22" fillId="0" borderId="0"/>
    <xf numFmtId="0" fontId="22" fillId="0" borderId="0"/>
    <xf numFmtId="0" fontId="1" fillId="0" borderId="0"/>
    <xf numFmtId="0" fontId="52" fillId="0" borderId="0"/>
    <xf numFmtId="0" fontId="1" fillId="24" borderId="23" applyNumberFormat="0" applyFont="0" applyAlignment="0" applyProtection="0"/>
    <xf numFmtId="0" fontId="32" fillId="17" borderId="24" applyNumberFormat="0" applyAlignment="0" applyProtection="0"/>
    <xf numFmtId="0" fontId="32" fillId="17" borderId="24"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32" fillId="17" borderId="24"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25" applyNumberFormat="0" applyFill="0" applyAlignment="0" applyProtection="0"/>
    <xf numFmtId="0" fontId="37" fillId="0" borderId="26" applyNumberFormat="0" applyFill="0" applyAlignment="0" applyProtection="0"/>
    <xf numFmtId="0" fontId="28" fillId="0" borderId="27" applyNumberFormat="0" applyFill="0" applyAlignment="0" applyProtection="0"/>
    <xf numFmtId="0" fontId="3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 fillId="0" borderId="0"/>
    <xf numFmtId="0" fontId="88" fillId="0" borderId="0"/>
    <xf numFmtId="0" fontId="1" fillId="0" borderId="0"/>
    <xf numFmtId="0" fontId="88" fillId="0" borderId="0"/>
    <xf numFmtId="0" fontId="1" fillId="0" borderId="0"/>
    <xf numFmtId="9" fontId="52" fillId="0" borderId="0" applyFont="0" applyFill="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1"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 fillId="0" borderId="0"/>
    <xf numFmtId="0" fontId="1" fillId="0" borderId="0"/>
    <xf numFmtId="0" fontId="1" fillId="0" borderId="0"/>
    <xf numFmtId="9" fontId="52" fillId="0" borderId="0" applyFont="0" applyFill="0" applyBorder="0" applyAlignment="0" applyProtection="0"/>
  </cellStyleXfs>
  <cellXfs count="3705">
    <xf numFmtId="0" fontId="0" fillId="0" borderId="0" xfId="0"/>
    <xf numFmtId="0" fontId="1" fillId="0" borderId="0" xfId="208" applyBorder="1" applyProtection="1"/>
    <xf numFmtId="168" fontId="4" fillId="26" borderId="0" xfId="0" applyNumberFormat="1" applyFont="1" applyFill="1" applyBorder="1" applyAlignment="1" applyProtection="1">
      <alignment vertical="center" wrapText="1"/>
      <protection locked="0"/>
    </xf>
    <xf numFmtId="0" fontId="4" fillId="0" borderId="19" xfId="208" applyFont="1" applyBorder="1" applyProtection="1"/>
    <xf numFmtId="0" fontId="4" fillId="0" borderId="9" xfId="429" applyFont="1" applyBorder="1" applyAlignment="1" applyProtection="1">
      <alignment horizontal="center" vertical="center"/>
      <protection locked="0"/>
    </xf>
    <xf numFmtId="167" fontId="4" fillId="2" borderId="9" xfId="429" applyNumberFormat="1" applyFont="1" applyFill="1" applyBorder="1" applyAlignment="1" applyProtection="1">
      <alignment horizontal="center" vertical="center"/>
    </xf>
    <xf numFmtId="2" fontId="4" fillId="2" borderId="9" xfId="429" applyNumberFormat="1" applyFont="1" applyFill="1" applyBorder="1" applyAlignment="1" applyProtection="1">
      <alignment horizontal="center" vertical="center"/>
    </xf>
    <xf numFmtId="2" fontId="4" fillId="0" borderId="9" xfId="429" applyNumberFormat="1" applyFont="1" applyBorder="1" applyAlignment="1" applyProtection="1">
      <alignment horizontal="center" vertical="center"/>
    </xf>
    <xf numFmtId="0" fontId="5" fillId="26" borderId="19" xfId="71" applyFont="1" applyFill="1" applyBorder="1" applyAlignment="1" applyProtection="1">
      <alignment horizontal="left" vertical="center"/>
    </xf>
    <xf numFmtId="0" fontId="2" fillId="0" borderId="129" xfId="208" applyFont="1" applyBorder="1" applyAlignment="1" applyProtection="1">
      <alignment horizontal="center" vertical="center"/>
    </xf>
    <xf numFmtId="0" fontId="42" fillId="25" borderId="29" xfId="208" applyFont="1" applyFill="1" applyBorder="1" applyAlignment="1" applyProtection="1">
      <alignment horizontal="center" vertical="center"/>
    </xf>
    <xf numFmtId="0" fontId="2" fillId="0" borderId="37" xfId="208" applyFont="1" applyBorder="1" applyAlignment="1" applyProtection="1">
      <alignment horizontal="center"/>
    </xf>
    <xf numFmtId="167" fontId="42" fillId="2" borderId="142" xfId="208" applyNumberFormat="1" applyFont="1" applyFill="1" applyBorder="1" applyAlignment="1" applyProtection="1">
      <alignment horizontal="center" vertical="center" wrapText="1"/>
    </xf>
    <xf numFmtId="0" fontId="2" fillId="0" borderId="32" xfId="208" applyFont="1" applyBorder="1" applyAlignment="1" applyProtection="1">
      <alignment horizontal="right" vertical="center"/>
    </xf>
    <xf numFmtId="0" fontId="2" fillId="0" borderId="0" xfId="208" applyFont="1" applyBorder="1" applyAlignment="1" applyProtection="1">
      <alignment horizontal="right" vertical="center"/>
    </xf>
    <xf numFmtId="186" fontId="2" fillId="0" borderId="0" xfId="71" applyNumberFormat="1" applyFont="1" applyBorder="1" applyAlignment="1" applyProtection="1">
      <alignment vertical="center"/>
    </xf>
    <xf numFmtId="186" fontId="2" fillId="26" borderId="0" xfId="71" applyNumberFormat="1" applyFont="1" applyFill="1" applyBorder="1" applyAlignment="1" applyProtection="1">
      <alignment vertical="center"/>
    </xf>
    <xf numFmtId="167" fontId="4" fillId="0" borderId="9" xfId="429" applyNumberFormat="1" applyFont="1" applyBorder="1" applyAlignment="1" applyProtection="1">
      <alignment horizontal="center" vertical="center"/>
    </xf>
    <xf numFmtId="167" fontId="91" fillId="0" borderId="0" xfId="429" applyNumberFormat="1" applyFont="1" applyBorder="1" applyAlignment="1" applyProtection="1">
      <alignment horizontal="center" vertical="center"/>
      <protection locked="0"/>
    </xf>
    <xf numFmtId="0" fontId="4" fillId="25" borderId="10" xfId="429" applyFont="1" applyFill="1" applyBorder="1" applyAlignment="1" applyProtection="1">
      <alignment horizontal="right" vertical="center" wrapText="1"/>
    </xf>
    <xf numFmtId="1" fontId="4" fillId="26" borderId="9" xfId="429" applyNumberFormat="1" applyFont="1" applyFill="1" applyBorder="1" applyAlignment="1" applyProtection="1">
      <alignment horizontal="center" vertical="center"/>
    </xf>
    <xf numFmtId="0" fontId="4" fillId="0" borderId="14" xfId="208" applyFont="1" applyBorder="1" applyAlignment="1" applyProtection="1">
      <alignment horizontal="center"/>
    </xf>
    <xf numFmtId="167" fontId="103" fillId="33" borderId="49" xfId="431" applyNumberFormat="1" applyFont="1" applyFill="1" applyBorder="1" applyAlignment="1" applyProtection="1">
      <alignment horizontal="center" vertical="center"/>
      <protection locked="0"/>
    </xf>
    <xf numFmtId="0" fontId="42" fillId="26" borderId="19" xfId="71" applyFont="1" applyFill="1" applyBorder="1" applyAlignment="1" applyProtection="1">
      <alignment horizontal="left" vertical="center"/>
    </xf>
    <xf numFmtId="168" fontId="2" fillId="26" borderId="18" xfId="208" applyNumberFormat="1" applyFont="1" applyFill="1" applyBorder="1" applyAlignment="1" applyProtection="1">
      <alignment horizontal="left"/>
    </xf>
    <xf numFmtId="0" fontId="46" fillId="0" borderId="0" xfId="69" applyFont="1" applyBorder="1" applyAlignment="1" applyProtection="1">
      <alignment wrapText="1"/>
      <protection locked="0"/>
    </xf>
    <xf numFmtId="0" fontId="1" fillId="0" borderId="0" xfId="71" applyFont="1" applyFill="1" applyProtection="1">
      <protection locked="0"/>
    </xf>
    <xf numFmtId="0" fontId="46" fillId="0" borderId="0" xfId="70" applyFont="1" applyFill="1" applyBorder="1" applyAlignment="1" applyProtection="1">
      <alignment vertical="center" wrapText="1"/>
      <protection locked="0"/>
    </xf>
    <xf numFmtId="0" fontId="10" fillId="2" borderId="0" xfId="0" applyFont="1" applyFill="1" applyProtection="1">
      <protection locked="0"/>
    </xf>
    <xf numFmtId="0" fontId="39" fillId="2" borderId="0" xfId="0" applyFont="1" applyFill="1" applyProtection="1">
      <protection locked="0"/>
    </xf>
    <xf numFmtId="0" fontId="0" fillId="2" borderId="0" xfId="0" applyFill="1" applyProtection="1">
      <protection locked="0"/>
    </xf>
    <xf numFmtId="0" fontId="1" fillId="0" borderId="0" xfId="21" applyFont="1" applyFill="1" applyAlignment="1" applyProtection="1">
      <alignment vertical="center"/>
      <protection locked="0"/>
    </xf>
    <xf numFmtId="0" fontId="1" fillId="0" borderId="0" xfId="71" applyFont="1" applyFill="1" applyAlignment="1" applyProtection="1">
      <alignment vertical="center"/>
      <protection locked="0"/>
    </xf>
    <xf numFmtId="0" fontId="10" fillId="2" borderId="0" xfId="21" applyFont="1" applyFill="1" applyProtection="1">
      <protection locked="0"/>
    </xf>
    <xf numFmtId="0" fontId="1" fillId="0" borderId="0" xfId="1" applyProtection="1">
      <protection locked="0"/>
    </xf>
    <xf numFmtId="0" fontId="1" fillId="0" borderId="0" xfId="1" applyFont="1" applyProtection="1">
      <protection locked="0"/>
    </xf>
    <xf numFmtId="0" fontId="4" fillId="0" borderId="0" xfId="1" applyFont="1" applyProtection="1">
      <protection locked="0"/>
    </xf>
    <xf numFmtId="0" fontId="1" fillId="0" borderId="19" xfId="1" applyFont="1" applyBorder="1" applyAlignment="1" applyProtection="1">
      <protection locked="0"/>
    </xf>
    <xf numFmtId="0" fontId="1" fillId="0" borderId="0" xfId="1" applyFont="1" applyBorder="1" applyProtection="1">
      <protection locked="0"/>
    </xf>
    <xf numFmtId="0" fontId="1" fillId="0" borderId="18" xfId="1" applyFont="1" applyBorder="1" applyProtection="1">
      <protection locked="0"/>
    </xf>
    <xf numFmtId="0" fontId="1" fillId="0" borderId="19" xfId="1" applyFont="1" applyBorder="1" applyProtection="1">
      <protection locked="0"/>
    </xf>
    <xf numFmtId="0" fontId="1" fillId="0" borderId="0" xfId="1" applyFont="1" applyBorder="1" applyAlignment="1" applyProtection="1">
      <protection locked="0"/>
    </xf>
    <xf numFmtId="0" fontId="4" fillId="0" borderId="19" xfId="1" applyFont="1" applyBorder="1" applyAlignment="1" applyProtection="1">
      <protection locked="0"/>
    </xf>
    <xf numFmtId="0" fontId="4" fillId="0" borderId="0" xfId="1" applyFont="1" applyBorder="1" applyAlignment="1" applyProtection="1">
      <protection locked="0"/>
    </xf>
    <xf numFmtId="0" fontId="4" fillId="0" borderId="0" xfId="1" applyFont="1" applyBorder="1" applyProtection="1">
      <protection locked="0"/>
    </xf>
    <xf numFmtId="0" fontId="4" fillId="0" borderId="18" xfId="1" applyFont="1" applyBorder="1" applyProtection="1">
      <protection locked="0"/>
    </xf>
    <xf numFmtId="2" fontId="55" fillId="0" borderId="19" xfId="1" applyNumberFormat="1" applyFont="1" applyFill="1" applyBorder="1" applyAlignment="1" applyProtection="1">
      <protection locked="0"/>
    </xf>
    <xf numFmtId="2" fontId="56" fillId="0" borderId="0" xfId="1" applyNumberFormat="1" applyFont="1" applyFill="1" applyBorder="1" applyAlignment="1" applyProtection="1">
      <protection locked="0"/>
    </xf>
    <xf numFmtId="0" fontId="2" fillId="0" borderId="0" xfId="1" applyFont="1" applyBorder="1" applyProtection="1">
      <protection locked="0"/>
    </xf>
    <xf numFmtId="2" fontId="56" fillId="0" borderId="19" xfId="1" applyNumberFormat="1" applyFont="1" applyFill="1" applyBorder="1" applyAlignment="1" applyProtection="1">
      <protection locked="0"/>
    </xf>
    <xf numFmtId="0" fontId="1" fillId="0" borderId="78" xfId="1" applyFont="1" applyBorder="1" applyProtection="1">
      <protection locked="0"/>
    </xf>
    <xf numFmtId="0" fontId="1" fillId="0" borderId="37" xfId="1" applyFont="1" applyBorder="1" applyProtection="1">
      <protection locked="0"/>
    </xf>
    <xf numFmtId="0" fontId="1" fillId="0" borderId="79" xfId="1" applyFont="1" applyBorder="1" applyProtection="1">
      <protection locked="0"/>
    </xf>
    <xf numFmtId="0" fontId="1" fillId="0" borderId="0" xfId="68" applyFont="1" applyProtection="1">
      <protection locked="0"/>
    </xf>
    <xf numFmtId="0" fontId="1" fillId="0" borderId="0" xfId="74" applyFont="1" applyProtection="1">
      <protection locked="0"/>
    </xf>
    <xf numFmtId="0" fontId="1" fillId="0" borderId="0" xfId="68" applyFont="1" applyAlignment="1" applyProtection="1">
      <alignment vertical="center"/>
      <protection locked="0"/>
    </xf>
    <xf numFmtId="0" fontId="1" fillId="0" borderId="0" xfId="74" applyFont="1" applyAlignment="1" applyProtection="1">
      <alignment vertical="center"/>
      <protection locked="0"/>
    </xf>
    <xf numFmtId="0" fontId="4" fillId="0" borderId="9" xfId="74" applyFont="1" applyBorder="1" applyAlignment="1" applyProtection="1">
      <alignment horizontal="center" vertical="center"/>
      <protection locked="0"/>
    </xf>
    <xf numFmtId="0" fontId="1" fillId="0" borderId="0" xfId="74" applyFont="1" applyFill="1" applyProtection="1">
      <protection locked="0"/>
    </xf>
    <xf numFmtId="0" fontId="1" fillId="0" borderId="0" xfId="74" applyFont="1" applyFill="1" applyAlignment="1" applyProtection="1">
      <alignment vertical="center"/>
      <protection locked="0"/>
    </xf>
    <xf numFmtId="0" fontId="1" fillId="0" borderId="0" xfId="208" applyProtection="1">
      <protection locked="0"/>
    </xf>
    <xf numFmtId="0" fontId="4" fillId="0" borderId="0" xfId="208" applyFont="1" applyProtection="1">
      <protection locked="0"/>
    </xf>
    <xf numFmtId="168" fontId="4" fillId="26" borderId="0" xfId="208" applyNumberFormat="1" applyFont="1" applyFill="1" applyBorder="1" applyAlignment="1" applyProtection="1">
      <alignment vertical="top"/>
      <protection locked="0"/>
    </xf>
    <xf numFmtId="0" fontId="4" fillId="0" borderId="0" xfId="208" applyFont="1" applyBorder="1" applyProtection="1">
      <protection locked="0"/>
    </xf>
    <xf numFmtId="0" fontId="2" fillId="0" borderId="39" xfId="208" applyFont="1" applyBorder="1" applyAlignment="1" applyProtection="1">
      <alignment horizontal="center" vertical="center" wrapText="1"/>
      <protection locked="0"/>
    </xf>
    <xf numFmtId="0" fontId="3" fillId="0" borderId="0" xfId="208" applyFont="1" applyFill="1" applyBorder="1" applyAlignment="1" applyProtection="1">
      <protection locked="0"/>
    </xf>
    <xf numFmtId="0" fontId="1" fillId="0" borderId="0" xfId="208" applyFill="1" applyBorder="1" applyProtection="1">
      <protection locked="0"/>
    </xf>
    <xf numFmtId="0" fontId="1" fillId="0" borderId="0" xfId="208" applyFont="1" applyProtection="1">
      <protection locked="0"/>
    </xf>
    <xf numFmtId="167" fontId="2" fillId="0" borderId="0" xfId="208" applyNumberFormat="1" applyFont="1" applyBorder="1" applyAlignment="1" applyProtection="1">
      <alignment horizontal="center" vertical="center" wrapText="1"/>
      <protection locked="0"/>
    </xf>
    <xf numFmtId="0" fontId="2" fillId="0" borderId="30" xfId="208" applyFont="1" applyFill="1" applyBorder="1" applyAlignment="1" applyProtection="1">
      <alignment vertical="center"/>
      <protection locked="0"/>
    </xf>
    <xf numFmtId="0" fontId="2" fillId="0" borderId="39" xfId="208" applyFont="1" applyFill="1" applyBorder="1" applyAlignment="1" applyProtection="1">
      <alignment vertical="center"/>
      <protection locked="0"/>
    </xf>
    <xf numFmtId="0" fontId="2" fillId="0" borderId="32" xfId="208" applyFont="1" applyBorder="1" applyAlignment="1" applyProtection="1">
      <alignment vertical="center"/>
      <protection locked="0"/>
    </xf>
    <xf numFmtId="0" fontId="2" fillId="0" borderId="31" xfId="208" applyFont="1" applyFill="1" applyBorder="1" applyAlignment="1" applyProtection="1">
      <alignment vertical="center"/>
      <protection locked="0"/>
    </xf>
    <xf numFmtId="0" fontId="2" fillId="0" borderId="32" xfId="208" applyFont="1" applyFill="1" applyBorder="1" applyAlignment="1" applyProtection="1">
      <alignment vertical="center"/>
      <protection locked="0"/>
    </xf>
    <xf numFmtId="0" fontId="1" fillId="0" borderId="0" xfId="208" applyBorder="1" applyProtection="1">
      <protection locked="0"/>
    </xf>
    <xf numFmtId="0" fontId="1" fillId="0" borderId="0" xfId="208" applyFont="1" applyBorder="1" applyProtection="1">
      <protection locked="0"/>
    </xf>
    <xf numFmtId="1" fontId="42" fillId="2" borderId="0" xfId="208" applyNumberFormat="1" applyFont="1" applyFill="1" applyBorder="1" applyAlignment="1" applyProtection="1">
      <alignment vertical="center"/>
      <protection locked="0"/>
    </xf>
    <xf numFmtId="0" fontId="57" fillId="26" borderId="0" xfId="208" applyFont="1" applyFill="1" applyAlignment="1" applyProtection="1">
      <alignment horizontal="left" vertical="top" wrapText="1"/>
      <protection locked="0"/>
    </xf>
    <xf numFmtId="0" fontId="1" fillId="26" borderId="0" xfId="208" applyFill="1" applyProtection="1">
      <protection locked="0"/>
    </xf>
    <xf numFmtId="0" fontId="3" fillId="25" borderId="0" xfId="68" applyFont="1" applyFill="1" applyBorder="1" applyAlignment="1" applyProtection="1">
      <alignment vertical="center"/>
      <protection locked="0"/>
    </xf>
    <xf numFmtId="0" fontId="1" fillId="0" borderId="0" xfId="21" applyFont="1" applyFill="1" applyBorder="1" applyAlignment="1" applyProtection="1">
      <alignment vertical="center"/>
      <protection locked="0"/>
    </xf>
    <xf numFmtId="0" fontId="1" fillId="0" borderId="0" xfId="208" applyFill="1" applyAlignment="1" applyProtection="1">
      <alignment vertical="center"/>
      <protection locked="0"/>
    </xf>
    <xf numFmtId="0" fontId="1" fillId="0" borderId="0" xfId="208" applyAlignment="1" applyProtection="1">
      <alignment vertical="center"/>
      <protection locked="0"/>
    </xf>
    <xf numFmtId="167" fontId="2" fillId="26" borderId="92" xfId="208" applyNumberFormat="1" applyFont="1" applyFill="1" applyBorder="1" applyAlignment="1" applyProtection="1">
      <alignment horizontal="center" vertical="center" wrapText="1"/>
    </xf>
    <xf numFmtId="0" fontId="4" fillId="0" borderId="0" xfId="208" applyFont="1" applyBorder="1" applyAlignment="1" applyProtection="1">
      <alignment horizontal="left"/>
      <protection locked="0"/>
    </xf>
    <xf numFmtId="0" fontId="79" fillId="2" borderId="0" xfId="427" applyFont="1" applyFill="1" applyAlignment="1" applyProtection="1">
      <protection locked="0"/>
    </xf>
    <xf numFmtId="0" fontId="79" fillId="2" borderId="0" xfId="427" applyFont="1" applyFill="1" applyAlignment="1" applyProtection="1">
      <alignment vertical="center"/>
      <protection locked="0"/>
    </xf>
    <xf numFmtId="0" fontId="79" fillId="2" borderId="0" xfId="427" applyFont="1" applyFill="1" applyProtection="1">
      <protection locked="0"/>
    </xf>
    <xf numFmtId="0" fontId="79" fillId="2" borderId="0" xfId="427" applyFont="1" applyFill="1" applyAlignment="1" applyProtection="1">
      <alignment wrapText="1"/>
      <protection locked="0"/>
    </xf>
    <xf numFmtId="0" fontId="89" fillId="33" borderId="49" xfId="295" applyFont="1" applyFill="1" applyBorder="1" applyAlignment="1" applyProtection="1">
      <alignment horizontal="center" vertical="center"/>
      <protection locked="0"/>
    </xf>
    <xf numFmtId="0" fontId="79" fillId="0" borderId="0" xfId="429" applyFont="1" applyProtection="1">
      <protection locked="0"/>
    </xf>
    <xf numFmtId="0" fontId="79" fillId="0" borderId="0" xfId="429" applyFont="1" applyAlignment="1" applyProtection="1">
      <alignment vertical="center"/>
      <protection locked="0"/>
    </xf>
    <xf numFmtId="2" fontId="79" fillId="2" borderId="0" xfId="427" applyNumberFormat="1" applyFont="1" applyFill="1" applyAlignment="1" applyProtection="1">
      <protection locked="0"/>
    </xf>
    <xf numFmtId="0" fontId="79" fillId="0" borderId="0" xfId="429" applyFont="1" applyAlignment="1" applyProtection="1">
      <alignment horizontal="center" vertical="center"/>
      <protection locked="0"/>
    </xf>
    <xf numFmtId="2" fontId="79" fillId="0" borderId="0" xfId="429" applyNumberFormat="1" applyFont="1" applyAlignment="1" applyProtection="1">
      <alignment vertical="center"/>
      <protection locked="0"/>
    </xf>
    <xf numFmtId="173" fontId="79" fillId="0" borderId="0" xfId="429" applyNumberFormat="1" applyFont="1" applyAlignment="1" applyProtection="1">
      <alignment horizontal="center" vertical="center"/>
      <protection locked="0"/>
    </xf>
    <xf numFmtId="173" fontId="79" fillId="0" borderId="0" xfId="429" applyNumberFormat="1" applyFont="1" applyAlignment="1" applyProtection="1">
      <alignment vertical="center"/>
      <protection locked="0"/>
    </xf>
    <xf numFmtId="0" fontId="39" fillId="2" borderId="0" xfId="21" applyFont="1" applyFill="1" applyBorder="1" applyProtection="1">
      <protection locked="0"/>
    </xf>
    <xf numFmtId="0" fontId="9" fillId="2" borderId="0" xfId="21" applyFont="1" applyFill="1" applyBorder="1" applyAlignment="1" applyProtection="1">
      <alignment horizontal="center"/>
      <protection locked="0"/>
    </xf>
    <xf numFmtId="0" fontId="39" fillId="2" borderId="0" xfId="21" applyFont="1" applyFill="1" applyProtection="1">
      <protection locked="0"/>
    </xf>
    <xf numFmtId="0" fontId="11" fillId="2" borderId="0" xfId="21" applyFont="1" applyFill="1" applyBorder="1" applyAlignment="1" applyProtection="1">
      <alignment horizontal="center"/>
      <protection locked="0"/>
    </xf>
    <xf numFmtId="0" fontId="40" fillId="0" borderId="0" xfId="21" applyFont="1" applyProtection="1">
      <protection locked="0"/>
    </xf>
    <xf numFmtId="0" fontId="12" fillId="2" borderId="0" xfId="21" applyFont="1" applyFill="1" applyBorder="1" applyAlignment="1" applyProtection="1">
      <alignment horizontal="center"/>
      <protection locked="0"/>
    </xf>
    <xf numFmtId="0" fontId="13" fillId="0" borderId="0" xfId="21" applyFont="1" applyFill="1" applyBorder="1" applyAlignment="1" applyProtection="1">
      <alignment horizontal="center" vertical="center"/>
      <protection locked="0"/>
    </xf>
    <xf numFmtId="0" fontId="14" fillId="2" borderId="0" xfId="21" applyFont="1" applyFill="1" applyBorder="1" applyAlignment="1" applyProtection="1">
      <alignment horizontal="right"/>
      <protection locked="0"/>
    </xf>
    <xf numFmtId="0" fontId="15" fillId="2" borderId="0" xfId="21" applyFont="1" applyFill="1" applyProtection="1">
      <protection locked="0"/>
    </xf>
    <xf numFmtId="0" fontId="4" fillId="2" borderId="0" xfId="21" applyFont="1" applyFill="1" applyProtection="1">
      <protection locked="0"/>
    </xf>
    <xf numFmtId="0" fontId="41" fillId="2" borderId="0" xfId="21" applyFont="1" applyFill="1" applyProtection="1">
      <protection locked="0"/>
    </xf>
    <xf numFmtId="1" fontId="10" fillId="2" borderId="0" xfId="21" applyNumberFormat="1" applyFont="1" applyFill="1" applyBorder="1" applyAlignment="1" applyProtection="1">
      <alignment horizontal="center" vertical="center"/>
      <protection locked="0"/>
    </xf>
    <xf numFmtId="0" fontId="10" fillId="2" borderId="0" xfId="21" applyFont="1" applyFill="1" applyBorder="1" applyProtection="1">
      <protection locked="0"/>
    </xf>
    <xf numFmtId="0" fontId="1" fillId="2" borderId="19" xfId="21" applyFont="1" applyFill="1" applyBorder="1" applyProtection="1">
      <protection locked="0"/>
    </xf>
    <xf numFmtId="0" fontId="1" fillId="2" borderId="0" xfId="21" applyFont="1" applyFill="1" applyBorder="1" applyProtection="1">
      <protection locked="0"/>
    </xf>
    <xf numFmtId="0" fontId="1" fillId="2" borderId="0" xfId="21" applyFont="1" applyFill="1" applyBorder="1" applyAlignment="1" applyProtection="1">
      <protection locked="0"/>
    </xf>
    <xf numFmtId="0" fontId="1" fillId="2" borderId="18" xfId="21" applyFont="1" applyFill="1" applyBorder="1" applyProtection="1">
      <protection locked="0"/>
    </xf>
    <xf numFmtId="0" fontId="1" fillId="2" borderId="0" xfId="21" applyFill="1" applyBorder="1" applyProtection="1">
      <protection locked="0"/>
    </xf>
    <xf numFmtId="0" fontId="1" fillId="2" borderId="0" xfId="21" applyFill="1" applyAlignment="1" applyProtection="1">
      <protection locked="0"/>
    </xf>
    <xf numFmtId="2" fontId="1" fillId="2" borderId="0" xfId="21" applyNumberFormat="1" applyFont="1" applyFill="1" applyBorder="1" applyAlignment="1" applyProtection="1">
      <alignment horizontal="center" vertical="center"/>
      <protection locked="0"/>
    </xf>
    <xf numFmtId="0" fontId="1" fillId="2" borderId="0" xfId="21" applyFont="1" applyFill="1" applyBorder="1" applyAlignment="1" applyProtection="1">
      <alignment horizontal="center" vertical="center"/>
      <protection locked="0"/>
    </xf>
    <xf numFmtId="167" fontId="1" fillId="2" borderId="0" xfId="21" applyNumberFormat="1" applyFont="1" applyFill="1" applyBorder="1" applyAlignment="1" applyProtection="1">
      <alignment horizontal="center" vertical="center"/>
      <protection locked="0"/>
    </xf>
    <xf numFmtId="1" fontId="1" fillId="2" borderId="0" xfId="21" applyNumberFormat="1" applyFont="1" applyFill="1" applyBorder="1" applyAlignment="1" applyProtection="1">
      <alignment horizontal="center" vertical="center"/>
      <protection locked="0"/>
    </xf>
    <xf numFmtId="1" fontId="1" fillId="2" borderId="18" xfId="21" applyNumberFormat="1" applyFont="1" applyFill="1" applyBorder="1" applyAlignment="1" applyProtection="1">
      <alignment horizontal="center" vertical="center"/>
      <protection locked="0"/>
    </xf>
    <xf numFmtId="2" fontId="39" fillId="2" borderId="0" xfId="21" applyNumberFormat="1" applyFont="1" applyFill="1" applyProtection="1">
      <protection locked="0"/>
    </xf>
    <xf numFmtId="1" fontId="39" fillId="2" borderId="0" xfId="21" applyNumberFormat="1" applyFont="1" applyFill="1" applyProtection="1">
      <protection locked="0"/>
    </xf>
    <xf numFmtId="2" fontId="103" fillId="33" borderId="49" xfId="430" applyNumberFormat="1" applyFont="1" applyFill="1" applyBorder="1" applyAlignment="1" applyProtection="1">
      <alignment horizontal="center" vertical="center"/>
    </xf>
    <xf numFmtId="167" fontId="105" fillId="2" borderId="0" xfId="427" applyNumberFormat="1" applyFont="1" applyFill="1" applyAlignment="1" applyProtection="1">
      <alignment vertical="center"/>
    </xf>
    <xf numFmtId="0" fontId="105" fillId="2" borderId="0" xfId="427" applyFont="1" applyFill="1" applyAlignment="1" applyProtection="1">
      <alignment vertical="center"/>
    </xf>
    <xf numFmtId="2" fontId="79" fillId="0" borderId="49" xfId="429" applyNumberFormat="1" applyFont="1" applyBorder="1" applyAlignment="1" applyProtection="1">
      <alignment horizontal="center" vertical="center"/>
    </xf>
    <xf numFmtId="0" fontId="4" fillId="0" borderId="0" xfId="544" applyFont="1" applyProtection="1"/>
    <xf numFmtId="0" fontId="12" fillId="2" borderId="34" xfId="21" applyFont="1" applyFill="1" applyBorder="1" applyAlignment="1" applyProtection="1"/>
    <xf numFmtId="0" fontId="110" fillId="2" borderId="0" xfId="21" applyFont="1" applyFill="1" applyProtection="1"/>
    <xf numFmtId="0" fontId="110" fillId="2" borderId="0" xfId="21" applyFont="1" applyFill="1" applyBorder="1" applyAlignment="1" applyProtection="1">
      <alignment horizontal="center" vertical="center"/>
    </xf>
    <xf numFmtId="0" fontId="39" fillId="2" borderId="0" xfId="21" applyFont="1" applyFill="1" applyBorder="1" applyProtection="1"/>
    <xf numFmtId="0" fontId="110" fillId="2" borderId="0" xfId="21" applyFont="1" applyFill="1" applyBorder="1" applyAlignment="1" applyProtection="1">
      <alignment horizontal="center"/>
    </xf>
    <xf numFmtId="0" fontId="39" fillId="2" borderId="0" xfId="21" applyFont="1" applyFill="1" applyProtection="1"/>
    <xf numFmtId="0" fontId="107" fillId="0" borderId="49" xfId="429" applyNumberFormat="1" applyFont="1" applyBorder="1" applyAlignment="1" applyProtection="1">
      <alignment horizontal="center" vertical="center"/>
    </xf>
    <xf numFmtId="0" fontId="105" fillId="0" borderId="12" xfId="429" applyFont="1" applyBorder="1" applyAlignment="1" applyProtection="1">
      <alignment vertical="center"/>
    </xf>
    <xf numFmtId="0" fontId="79" fillId="0" borderId="0" xfId="429" applyFont="1" applyAlignment="1" applyProtection="1">
      <alignment vertical="center"/>
    </xf>
    <xf numFmtId="0" fontId="2" fillId="0" borderId="131" xfId="208" applyFont="1" applyBorder="1" applyAlignment="1" applyProtection="1">
      <alignment horizontal="center" vertical="center"/>
    </xf>
    <xf numFmtId="0" fontId="2" fillId="0" borderId="16" xfId="208" applyFont="1" applyBorder="1" applyAlignment="1" applyProtection="1">
      <alignment horizontal="center" vertical="center"/>
    </xf>
    <xf numFmtId="0" fontId="2" fillId="0" borderId="136" xfId="208" applyFont="1" applyBorder="1" applyAlignment="1" applyProtection="1">
      <alignment horizontal="center" vertical="center"/>
    </xf>
    <xf numFmtId="0" fontId="2" fillId="0" borderId="137" xfId="208" applyFont="1" applyBorder="1" applyAlignment="1" applyProtection="1">
      <alignment horizontal="center" vertical="center"/>
    </xf>
    <xf numFmtId="0" fontId="2" fillId="0" borderId="38" xfId="208" applyFont="1" applyBorder="1" applyAlignment="1" applyProtection="1">
      <alignment horizontal="center" vertical="center"/>
    </xf>
    <xf numFmtId="1" fontId="2" fillId="0" borderId="54" xfId="208" applyNumberFormat="1" applyFont="1" applyBorder="1" applyAlignment="1" applyProtection="1">
      <alignment horizontal="center" vertical="center"/>
    </xf>
    <xf numFmtId="0" fontId="1" fillId="0" borderId="0" xfId="208" applyFont="1" applyProtection="1"/>
    <xf numFmtId="167" fontId="112" fillId="33" borderId="49" xfId="430" applyNumberFormat="1" applyFont="1" applyFill="1" applyBorder="1" applyAlignment="1" applyProtection="1">
      <alignment horizontal="center" vertical="center"/>
    </xf>
    <xf numFmtId="173" fontId="113" fillId="0" borderId="49" xfId="429" applyNumberFormat="1" applyFont="1" applyBorder="1" applyAlignment="1" applyProtection="1">
      <alignment horizontal="center" vertical="center"/>
    </xf>
    <xf numFmtId="167" fontId="113" fillId="0" borderId="49" xfId="429" applyNumberFormat="1" applyFont="1" applyBorder="1" applyAlignment="1" applyProtection="1">
      <alignment horizontal="center" vertical="center"/>
    </xf>
    <xf numFmtId="167" fontId="113" fillId="0" borderId="49" xfId="429" applyNumberFormat="1" applyFont="1" applyBorder="1" applyAlignment="1" applyProtection="1">
      <alignment horizontal="center" vertical="center"/>
      <protection locked="0"/>
    </xf>
    <xf numFmtId="2" fontId="113" fillId="0" borderId="49" xfId="429" applyNumberFormat="1" applyFont="1" applyBorder="1" applyAlignment="1" applyProtection="1">
      <alignment horizontal="center" vertical="center"/>
    </xf>
    <xf numFmtId="167" fontId="114" fillId="0" borderId="49" xfId="429" applyNumberFormat="1" applyFont="1" applyBorder="1" applyAlignment="1" applyProtection="1">
      <alignment horizontal="center" vertical="center"/>
    </xf>
    <xf numFmtId="0" fontId="114" fillId="2" borderId="0" xfId="427" applyFont="1" applyFill="1" applyAlignment="1" applyProtection="1">
      <protection locked="0"/>
    </xf>
    <xf numFmtId="0" fontId="39" fillId="2" borderId="0" xfId="21" applyFont="1" applyFill="1" applyBorder="1" applyAlignment="1" applyProtection="1">
      <alignment vertical="center"/>
    </xf>
    <xf numFmtId="0" fontId="110" fillId="2" borderId="0" xfId="21" applyFont="1" applyFill="1" applyBorder="1" applyAlignment="1" applyProtection="1">
      <alignment vertical="center"/>
    </xf>
    <xf numFmtId="0" fontId="116" fillId="2" borderId="0" xfId="21" applyFont="1" applyFill="1" applyBorder="1" applyAlignment="1" applyProtection="1">
      <alignment horizontal="center" vertical="center"/>
    </xf>
    <xf numFmtId="167" fontId="110" fillId="2" borderId="0" xfId="21" applyNumberFormat="1" applyFont="1" applyFill="1" applyBorder="1" applyAlignment="1" applyProtection="1">
      <alignment horizontal="center" vertical="center"/>
    </xf>
    <xf numFmtId="1" fontId="110" fillId="2" borderId="0" xfId="21" applyNumberFormat="1" applyFont="1" applyFill="1" applyBorder="1" applyAlignment="1" applyProtection="1">
      <alignment horizontal="center" vertical="center"/>
    </xf>
    <xf numFmtId="1" fontId="110" fillId="2" borderId="0" xfId="21" quotePrefix="1" applyNumberFormat="1" applyFont="1" applyFill="1" applyBorder="1" applyAlignment="1" applyProtection="1">
      <alignment horizontal="center" vertical="center"/>
    </xf>
    <xf numFmtId="0" fontId="1" fillId="0" borderId="0" xfId="21" applyFont="1" applyFill="1" applyAlignment="1" applyProtection="1">
      <alignment vertical="center"/>
    </xf>
    <xf numFmtId="0" fontId="1" fillId="0" borderId="0" xfId="208" applyProtection="1"/>
    <xf numFmtId="0" fontId="4" fillId="0" borderId="0" xfId="208" applyFont="1" applyBorder="1" applyAlignment="1" applyProtection="1">
      <alignment horizontal="left"/>
    </xf>
    <xf numFmtId="0" fontId="4" fillId="0" borderId="0" xfId="208" applyFont="1" applyBorder="1" applyProtection="1"/>
    <xf numFmtId="0" fontId="5" fillId="0" borderId="0" xfId="208" applyFont="1" applyBorder="1" applyAlignment="1" applyProtection="1">
      <alignment vertical="center" wrapText="1"/>
    </xf>
    <xf numFmtId="0" fontId="4" fillId="0" borderId="18" xfId="208" applyFont="1" applyBorder="1" applyProtection="1"/>
    <xf numFmtId="0" fontId="5" fillId="0" borderId="0" xfId="208" applyFont="1" applyFill="1" applyBorder="1" applyAlignment="1" applyProtection="1">
      <alignment horizontal="center" vertical="center" wrapText="1"/>
    </xf>
    <xf numFmtId="0" fontId="4" fillId="0" borderId="0" xfId="208" applyFont="1" applyFill="1" applyBorder="1" applyAlignment="1" applyProtection="1">
      <alignment horizontal="center"/>
    </xf>
    <xf numFmtId="0" fontId="4" fillId="0" borderId="0" xfId="208" applyFont="1" applyFill="1" applyBorder="1" applyAlignment="1" applyProtection="1"/>
    <xf numFmtId="0" fontId="1" fillId="0" borderId="34" xfId="429" applyFont="1" applyBorder="1" applyProtection="1"/>
    <xf numFmtId="0" fontId="3" fillId="2" borderId="35" xfId="427" applyFont="1" applyFill="1" applyBorder="1" applyAlignment="1" applyProtection="1">
      <alignment horizontal="center" vertical="center"/>
    </xf>
    <xf numFmtId="0" fontId="1" fillId="0" borderId="35" xfId="429" applyFont="1" applyBorder="1" applyProtection="1"/>
    <xf numFmtId="0" fontId="1" fillId="0" borderId="34" xfId="429" applyFont="1" applyBorder="1" applyAlignment="1" applyProtection="1">
      <alignment vertical="center"/>
    </xf>
    <xf numFmtId="0" fontId="1" fillId="0" borderId="35" xfId="429" applyFont="1" applyBorder="1" applyAlignment="1" applyProtection="1">
      <alignment vertical="center"/>
    </xf>
    <xf numFmtId="0" fontId="4" fillId="0" borderId="0" xfId="429" applyFont="1" applyBorder="1" applyProtection="1"/>
    <xf numFmtId="173" fontId="4" fillId="26" borderId="0" xfId="429" applyNumberFormat="1" applyFont="1" applyFill="1" applyBorder="1" applyAlignment="1" applyProtection="1">
      <alignment horizontal="center" vertical="center"/>
    </xf>
    <xf numFmtId="0" fontId="4" fillId="0" borderId="35" xfId="429" applyFont="1" applyFill="1" applyBorder="1" applyAlignment="1" applyProtection="1">
      <alignment vertical="center"/>
    </xf>
    <xf numFmtId="173" fontId="4" fillId="0" borderId="0" xfId="429" applyNumberFormat="1" applyFont="1" applyFill="1" applyBorder="1" applyAlignment="1" applyProtection="1">
      <alignment horizontal="center" vertical="center"/>
    </xf>
    <xf numFmtId="173" fontId="4" fillId="0" borderId="35" xfId="429" applyNumberFormat="1" applyFont="1" applyFill="1" applyBorder="1" applyAlignment="1" applyProtection="1">
      <alignment horizontal="center" vertical="center"/>
    </xf>
    <xf numFmtId="0" fontId="91" fillId="0" borderId="0" xfId="429" applyFont="1" applyAlignment="1" applyProtection="1">
      <alignment vertical="center"/>
    </xf>
    <xf numFmtId="0" fontId="91" fillId="0" borderId="0" xfId="429" applyFont="1" applyProtection="1"/>
    <xf numFmtId="167" fontId="4" fillId="2" borderId="0" xfId="429" applyNumberFormat="1" applyFont="1" applyFill="1" applyBorder="1" applyAlignment="1" applyProtection="1">
      <alignment horizontal="center" vertical="center"/>
    </xf>
    <xf numFmtId="0" fontId="4" fillId="0" borderId="35" xfId="429" applyFont="1" applyFill="1" applyBorder="1" applyAlignment="1" applyProtection="1">
      <alignment horizontal="center" vertical="center"/>
    </xf>
    <xf numFmtId="0" fontId="4" fillId="2" borderId="0" xfId="429" applyFont="1" applyFill="1" applyBorder="1" applyAlignment="1" applyProtection="1">
      <alignment horizontal="left" vertical="center" indent="2"/>
    </xf>
    <xf numFmtId="188" fontId="5" fillId="0" borderId="35" xfId="429" applyNumberFormat="1" applyFont="1" applyFill="1" applyBorder="1" applyAlignment="1" applyProtection="1">
      <alignment horizontal="center" vertical="center"/>
    </xf>
    <xf numFmtId="0" fontId="4" fillId="2" borderId="0" xfId="429" applyFont="1" applyFill="1" applyBorder="1" applyAlignment="1" applyProtection="1">
      <alignment vertical="center"/>
    </xf>
    <xf numFmtId="167" fontId="4" fillId="0" borderId="35" xfId="429" applyNumberFormat="1" applyFont="1" applyFill="1" applyBorder="1" applyAlignment="1" applyProtection="1">
      <alignment horizontal="center" vertical="center"/>
    </xf>
    <xf numFmtId="0" fontId="4" fillId="2" borderId="0" xfId="429" applyFont="1" applyFill="1" applyBorder="1" applyAlignment="1" applyProtection="1">
      <alignment horizontal="center" vertical="center"/>
    </xf>
    <xf numFmtId="0" fontId="1" fillId="0" borderId="36" xfId="429" applyFont="1" applyBorder="1" applyProtection="1"/>
    <xf numFmtId="0" fontId="2" fillId="2" borderId="37" xfId="429" applyFont="1" applyFill="1" applyBorder="1" applyAlignment="1" applyProtection="1">
      <alignment vertical="center"/>
    </xf>
    <xf numFmtId="0" fontId="1" fillId="2" borderId="37" xfId="429" applyFont="1" applyFill="1" applyBorder="1" applyAlignment="1" applyProtection="1">
      <alignment vertical="center"/>
    </xf>
    <xf numFmtId="167" fontId="2" fillId="2" borderId="37" xfId="429" applyNumberFormat="1" applyFont="1" applyFill="1" applyBorder="1" applyAlignment="1" applyProtection="1">
      <alignment horizontal="center" vertical="center"/>
    </xf>
    <xf numFmtId="167" fontId="2" fillId="0" borderId="37" xfId="429" applyNumberFormat="1" applyFont="1" applyFill="1" applyBorder="1" applyAlignment="1" applyProtection="1">
      <alignment horizontal="center" vertical="center"/>
    </xf>
    <xf numFmtId="167" fontId="2" fillId="0" borderId="38" xfId="429" applyNumberFormat="1" applyFont="1" applyFill="1" applyBorder="1" applyAlignment="1" applyProtection="1">
      <alignment horizontal="center" vertical="center"/>
    </xf>
    <xf numFmtId="0" fontId="79" fillId="2" borderId="0" xfId="427" applyFont="1" applyFill="1" applyAlignment="1" applyProtection="1"/>
    <xf numFmtId="0" fontId="79" fillId="2" borderId="0" xfId="427" applyFont="1" applyFill="1" applyAlignment="1" applyProtection="1">
      <alignment vertical="center"/>
    </xf>
    <xf numFmtId="0" fontId="79" fillId="2" borderId="49" xfId="427" applyFont="1" applyFill="1" applyBorder="1" applyAlignment="1" applyProtection="1">
      <alignment horizontal="center" vertical="center"/>
    </xf>
    <xf numFmtId="0" fontId="79" fillId="2" borderId="0" xfId="427" applyFont="1" applyFill="1" applyProtection="1"/>
    <xf numFmtId="0" fontId="79" fillId="2" borderId="0" xfId="427" applyFont="1" applyFill="1" applyAlignment="1" applyProtection="1">
      <alignment wrapText="1"/>
    </xf>
    <xf numFmtId="167" fontId="105" fillId="0" borderId="0" xfId="429" applyNumberFormat="1" applyFont="1" applyBorder="1" applyAlignment="1" applyProtection="1">
      <alignment vertical="center"/>
    </xf>
    <xf numFmtId="0" fontId="105" fillId="0" borderId="0" xfId="429" applyFont="1" applyAlignment="1" applyProtection="1">
      <alignment vertical="center"/>
    </xf>
    <xf numFmtId="0" fontId="1" fillId="0" borderId="0" xfId="208" applyFill="1" applyBorder="1" applyAlignment="1" applyProtection="1">
      <alignment vertical="center" wrapText="1"/>
    </xf>
    <xf numFmtId="0" fontId="1" fillId="0" borderId="0" xfId="208" applyFill="1" applyProtection="1"/>
    <xf numFmtId="0" fontId="1" fillId="31" borderId="0" xfId="208" applyFill="1" applyProtection="1"/>
    <xf numFmtId="0" fontId="80" fillId="2" borderId="0" xfId="208" applyFont="1" applyFill="1" applyProtection="1"/>
    <xf numFmtId="0" fontId="1" fillId="0" borderId="0" xfId="208" applyFill="1" applyBorder="1" applyProtection="1"/>
    <xf numFmtId="0" fontId="2" fillId="2" borderId="0" xfId="208" applyFont="1" applyFill="1" applyAlignment="1" applyProtection="1"/>
    <xf numFmtId="173" fontId="80" fillId="2" borderId="0" xfId="208" applyNumberFormat="1" applyFont="1" applyFill="1" applyProtection="1"/>
    <xf numFmtId="0" fontId="82" fillId="2" borderId="0" xfId="208" applyFont="1" applyFill="1" applyProtection="1"/>
    <xf numFmtId="0" fontId="63" fillId="2" borderId="0" xfId="208" applyFont="1" applyFill="1" applyProtection="1"/>
    <xf numFmtId="0" fontId="82" fillId="0" borderId="0" xfId="208" applyFont="1" applyProtection="1"/>
    <xf numFmtId="0" fontId="1" fillId="0" borderId="0" xfId="208" applyFont="1" applyBorder="1" applyProtection="1"/>
    <xf numFmtId="0" fontId="1" fillId="0" borderId="16" xfId="208" applyFont="1" applyFill="1" applyBorder="1" applyProtection="1"/>
    <xf numFmtId="0" fontId="1" fillId="0" borderId="16" xfId="208" applyFont="1" applyBorder="1" applyProtection="1"/>
    <xf numFmtId="0" fontId="1" fillId="0" borderId="0" xfId="208" applyFill="1" applyBorder="1" applyAlignment="1" applyProtection="1">
      <alignment vertical="top"/>
    </xf>
    <xf numFmtId="0" fontId="1" fillId="0" borderId="0" xfId="208" applyFill="1" applyBorder="1" applyAlignment="1" applyProtection="1">
      <alignment vertical="center"/>
    </xf>
    <xf numFmtId="0" fontId="42" fillId="26" borderId="15" xfId="71" applyFont="1" applyFill="1" applyBorder="1" applyAlignment="1" applyProtection="1">
      <alignment vertical="center"/>
    </xf>
    <xf numFmtId="0" fontId="1" fillId="0" borderId="18" xfId="208" applyFont="1" applyBorder="1" applyProtection="1"/>
    <xf numFmtId="0" fontId="1" fillId="0" borderId="14" xfId="208" applyFont="1" applyBorder="1" applyProtection="1"/>
    <xf numFmtId="0" fontId="1" fillId="0" borderId="0" xfId="1" applyProtection="1"/>
    <xf numFmtId="0" fontId="1" fillId="0" borderId="0" xfId="1" applyFont="1" applyProtection="1"/>
    <xf numFmtId="0" fontId="1" fillId="0" borderId="49" xfId="1" applyBorder="1" applyAlignment="1" applyProtection="1">
      <alignment horizontal="center"/>
    </xf>
    <xf numFmtId="0" fontId="1" fillId="0" borderId="49" xfId="1" applyFont="1" applyBorder="1" applyAlignment="1" applyProtection="1">
      <alignment horizontal="center"/>
    </xf>
    <xf numFmtId="14" fontId="1" fillId="0" borderId="49" xfId="1" applyNumberFormat="1" applyBorder="1" applyAlignment="1" applyProtection="1">
      <alignment horizontal="center"/>
    </xf>
    <xf numFmtId="0" fontId="1" fillId="0" borderId="49" xfId="1" applyFill="1" applyBorder="1" applyAlignment="1" applyProtection="1">
      <alignment horizontal="center"/>
    </xf>
    <xf numFmtId="0" fontId="4" fillId="0" borderId="0" xfId="1" applyFont="1" applyProtection="1"/>
    <xf numFmtId="167" fontId="1" fillId="0" borderId="49" xfId="1" applyNumberFormat="1" applyBorder="1" applyAlignment="1" applyProtection="1">
      <alignment horizontal="center"/>
    </xf>
    <xf numFmtId="2" fontId="1" fillId="0" borderId="0" xfId="1" applyNumberFormat="1" applyAlignment="1" applyProtection="1">
      <alignment horizontal="center"/>
    </xf>
    <xf numFmtId="167" fontId="1" fillId="0" borderId="0" xfId="1" applyNumberFormat="1" applyFill="1" applyBorder="1" applyAlignment="1" applyProtection="1">
      <alignment horizontal="center"/>
    </xf>
    <xf numFmtId="2" fontId="1" fillId="0" borderId="0" xfId="1" applyNumberFormat="1" applyProtection="1"/>
    <xf numFmtId="0" fontId="57" fillId="0" borderId="0" xfId="1" applyFont="1" applyProtection="1"/>
    <xf numFmtId="0" fontId="1" fillId="0" borderId="0" xfId="71" applyFont="1" applyFill="1" applyProtection="1"/>
    <xf numFmtId="0" fontId="1" fillId="0" borderId="0" xfId="71" applyFont="1" applyFill="1" applyAlignment="1" applyProtection="1">
      <alignment vertical="center"/>
    </xf>
    <xf numFmtId="0" fontId="4" fillId="0" borderId="9" xfId="429" applyFont="1" applyBorder="1" applyAlignment="1" applyProtection="1">
      <alignment horizontal="center" vertical="center" wrapText="1"/>
      <protection locked="0"/>
    </xf>
    <xf numFmtId="0" fontId="42" fillId="26" borderId="19" xfId="74" applyFont="1" applyFill="1" applyBorder="1" applyAlignment="1" applyProtection="1">
      <alignment vertical="center"/>
    </xf>
    <xf numFmtId="168" fontId="2" fillId="26" borderId="18" xfId="71" applyNumberFormat="1" applyFont="1" applyFill="1" applyBorder="1" applyAlignment="1" applyProtection="1">
      <alignment horizontal="left" vertical="center"/>
    </xf>
    <xf numFmtId="0" fontId="2" fillId="0" borderId="67" xfId="208" applyFont="1" applyBorder="1" applyAlignment="1" applyProtection="1">
      <alignment horizontal="center"/>
    </xf>
    <xf numFmtId="167" fontId="2" fillId="0" borderId="149" xfId="208" applyNumberFormat="1" applyFont="1" applyBorder="1" applyAlignment="1" applyProtection="1">
      <alignment horizontal="center" vertical="center"/>
    </xf>
    <xf numFmtId="0" fontId="2" fillId="0" borderId="32" xfId="208" applyFont="1" applyBorder="1" applyAlignment="1" applyProtection="1">
      <alignment horizontal="center"/>
    </xf>
    <xf numFmtId="167" fontId="2" fillId="0" borderId="159" xfId="208" applyNumberFormat="1" applyFont="1" applyBorder="1" applyAlignment="1" applyProtection="1">
      <alignment horizontal="center" vertical="center" wrapText="1"/>
    </xf>
    <xf numFmtId="167" fontId="2" fillId="0" borderId="156" xfId="208" applyNumberFormat="1" applyFont="1" applyBorder="1" applyAlignment="1" applyProtection="1">
      <alignment horizontal="center" vertical="center" wrapText="1"/>
    </xf>
    <xf numFmtId="0" fontId="2" fillId="38" borderId="0" xfId="208" applyFont="1" applyFill="1" applyBorder="1" applyAlignment="1" applyProtection="1">
      <alignment horizontal="right"/>
    </xf>
    <xf numFmtId="0" fontId="2" fillId="38" borderId="37" xfId="208" applyFont="1" applyFill="1" applyBorder="1" applyAlignment="1" applyProtection="1">
      <alignment vertical="center"/>
    </xf>
    <xf numFmtId="0" fontId="1" fillId="38" borderId="37" xfId="208" applyFill="1" applyBorder="1" applyProtection="1"/>
    <xf numFmtId="0" fontId="1" fillId="0" borderId="34" xfId="429" applyFont="1" applyBorder="1" applyProtection="1">
      <protection locked="0"/>
    </xf>
    <xf numFmtId="167" fontId="3" fillId="0" borderId="0" xfId="429" applyNumberFormat="1" applyFont="1" applyBorder="1" applyAlignment="1" applyProtection="1">
      <alignment horizontal="center" vertical="center"/>
      <protection locked="0"/>
    </xf>
    <xf numFmtId="0" fontId="1" fillId="0" borderId="0" xfId="429" applyFont="1" applyBorder="1" applyProtection="1">
      <protection locked="0"/>
    </xf>
    <xf numFmtId="0" fontId="1" fillId="0" borderId="34" xfId="429" applyFont="1" applyBorder="1" applyAlignment="1" applyProtection="1">
      <alignment vertical="center"/>
      <protection locked="0"/>
    </xf>
    <xf numFmtId="0" fontId="1" fillId="0" borderId="0" xfId="429" applyFont="1" applyBorder="1" applyAlignment="1" applyProtection="1">
      <alignment vertical="center"/>
      <protection locked="0"/>
    </xf>
    <xf numFmtId="0" fontId="4" fillId="0" borderId="0" xfId="429" applyFont="1" applyBorder="1" applyProtection="1">
      <protection locked="0"/>
    </xf>
    <xf numFmtId="0" fontId="3" fillId="0" borderId="0" xfId="429" applyFont="1" applyBorder="1" applyProtection="1">
      <protection locked="0"/>
    </xf>
    <xf numFmtId="1" fontId="12" fillId="2" borderId="0" xfId="21" applyNumberFormat="1" applyFont="1" applyFill="1" applyBorder="1" applyAlignment="1" applyProtection="1"/>
    <xf numFmtId="167" fontId="15" fillId="2" borderId="0" xfId="21" applyNumberFormat="1" applyFont="1" applyFill="1" applyBorder="1" applyAlignment="1" applyProtection="1">
      <alignment horizontal="left"/>
    </xf>
    <xf numFmtId="15" fontId="15" fillId="2" borderId="0" xfId="21" applyNumberFormat="1" applyFont="1" applyFill="1" applyBorder="1" applyAlignment="1" applyProtection="1">
      <alignment horizontal="left"/>
    </xf>
    <xf numFmtId="167" fontId="109" fillId="0" borderId="148" xfId="208" applyNumberFormat="1" applyFont="1" applyBorder="1" applyAlignment="1" applyProtection="1">
      <alignment horizontal="center" vertical="center"/>
    </xf>
    <xf numFmtId="0" fontId="42" fillId="26" borderId="12" xfId="0" applyFont="1" applyFill="1" applyBorder="1" applyAlignment="1" applyProtection="1">
      <alignment vertical="center"/>
    </xf>
    <xf numFmtId="0" fontId="5" fillId="26" borderId="34" xfId="71" applyFont="1" applyFill="1" applyBorder="1" applyAlignment="1" applyProtection="1">
      <alignment vertical="center" wrapText="1"/>
    </xf>
    <xf numFmtId="0" fontId="5" fillId="26" borderId="65" xfId="71" applyFont="1" applyFill="1" applyBorder="1" applyAlignment="1" applyProtection="1">
      <alignment vertical="center"/>
    </xf>
    <xf numFmtId="1" fontId="2" fillId="0" borderId="0" xfId="71" applyNumberFormat="1" applyFont="1" applyBorder="1" applyAlignment="1" applyProtection="1">
      <alignment horizontal="left" vertical="center"/>
    </xf>
    <xf numFmtId="0" fontId="1" fillId="26" borderId="16" xfId="208" applyFill="1" applyBorder="1" applyProtection="1"/>
    <xf numFmtId="0" fontId="42" fillId="26" borderId="16" xfId="208" applyFont="1" applyFill="1" applyBorder="1" applyAlignment="1" applyProtection="1">
      <alignment horizontal="left"/>
    </xf>
    <xf numFmtId="0" fontId="109" fillId="2" borderId="19" xfId="21" applyFont="1" applyFill="1" applyBorder="1" applyAlignment="1" applyProtection="1">
      <alignment horizontal="center" vertical="center"/>
    </xf>
    <xf numFmtId="0" fontId="109" fillId="2" borderId="0" xfId="21" applyFont="1" applyFill="1" applyBorder="1" applyAlignment="1" applyProtection="1">
      <alignment horizontal="center" vertical="center"/>
    </xf>
    <xf numFmtId="0" fontId="12" fillId="27" borderId="0" xfId="21" applyFont="1" applyFill="1" applyAlignment="1" applyProtection="1">
      <alignment horizontal="left" vertical="center"/>
    </xf>
    <xf numFmtId="0" fontId="12" fillId="2" borderId="0" xfId="21" applyFont="1" applyFill="1" applyAlignment="1" applyProtection="1">
      <alignment horizontal="left" vertical="center"/>
    </xf>
    <xf numFmtId="0" fontId="12" fillId="2" borderId="0" xfId="21" applyFont="1" applyFill="1" applyAlignment="1" applyProtection="1">
      <alignment horizontal="center" vertical="center"/>
    </xf>
    <xf numFmtId="0" fontId="120" fillId="2" borderId="0" xfId="21" applyFont="1" applyFill="1" applyProtection="1">
      <protection locked="0"/>
    </xf>
    <xf numFmtId="0" fontId="12" fillId="2" borderId="0" xfId="21" applyFont="1" applyFill="1" applyProtection="1">
      <protection locked="0"/>
    </xf>
    <xf numFmtId="0" fontId="120" fillId="2" borderId="0" xfId="0" applyFont="1" applyFill="1" applyProtection="1">
      <protection locked="0"/>
    </xf>
    <xf numFmtId="0" fontId="12" fillId="2" borderId="0" xfId="21" applyFont="1" applyFill="1" applyBorder="1" applyAlignment="1" applyProtection="1"/>
    <xf numFmtId="0" fontId="109" fillId="2" borderId="0" xfId="21" applyFont="1" applyFill="1" applyBorder="1" applyProtection="1"/>
    <xf numFmtId="0" fontId="109" fillId="2" borderId="0" xfId="21" applyFont="1" applyFill="1" applyBorder="1" applyAlignment="1" applyProtection="1">
      <alignment horizontal="center"/>
    </xf>
    <xf numFmtId="0" fontId="109" fillId="2" borderId="0" xfId="21" quotePrefix="1" applyFont="1" applyFill="1" applyBorder="1" applyAlignment="1" applyProtection="1">
      <alignment horizontal="center" vertical="center"/>
    </xf>
    <xf numFmtId="0" fontId="2" fillId="2" borderId="0" xfId="21" applyFont="1" applyFill="1" applyProtection="1">
      <protection locked="0"/>
    </xf>
    <xf numFmtId="0" fontId="109" fillId="2" borderId="0" xfId="21" applyFont="1" applyFill="1" applyProtection="1">
      <protection locked="0"/>
    </xf>
    <xf numFmtId="0" fontId="120" fillId="2" borderId="0" xfId="21" applyFont="1" applyFill="1" applyBorder="1" applyProtection="1">
      <protection locked="0"/>
    </xf>
    <xf numFmtId="0" fontId="122" fillId="2" borderId="0" xfId="0" applyFont="1" applyFill="1" applyProtection="1">
      <protection locked="0"/>
    </xf>
    <xf numFmtId="0" fontId="120" fillId="2" borderId="0" xfId="21" applyFont="1" applyFill="1" applyBorder="1" applyAlignment="1" applyProtection="1">
      <alignment vertical="center"/>
    </xf>
    <xf numFmtId="0" fontId="118" fillId="2" borderId="0" xfId="21" applyFont="1" applyFill="1" applyBorder="1" applyAlignment="1" applyProtection="1">
      <alignment horizontal="center" vertical="center"/>
    </xf>
    <xf numFmtId="0" fontId="109" fillId="2" borderId="19" xfId="21" applyFont="1" applyFill="1" applyBorder="1" applyAlignment="1" applyProtection="1">
      <alignment horizontal="center"/>
    </xf>
    <xf numFmtId="0" fontId="2" fillId="2" borderId="0" xfId="21" applyFont="1" applyFill="1" applyBorder="1" applyAlignment="1" applyProtection="1">
      <alignment horizontal="center" vertical="center"/>
    </xf>
    <xf numFmtId="0" fontId="2" fillId="2" borderId="0" xfId="21" applyFont="1" applyFill="1" applyBorder="1" applyAlignment="1" applyProtection="1">
      <alignment horizontal="center" vertical="center"/>
      <protection locked="0"/>
    </xf>
    <xf numFmtId="0" fontId="109" fillId="40" borderId="19" xfId="21" applyFont="1" applyFill="1" applyBorder="1" applyAlignment="1" applyProtection="1">
      <alignment horizontal="center" vertical="center"/>
    </xf>
    <xf numFmtId="0" fontId="109" fillId="40" borderId="0" xfId="21" applyFont="1" applyFill="1" applyBorder="1" applyAlignment="1" applyProtection="1">
      <alignment horizontal="center" vertical="center"/>
    </xf>
    <xf numFmtId="0" fontId="109" fillId="2" borderId="0" xfId="21" applyFont="1" applyFill="1" applyBorder="1" applyProtection="1">
      <protection locked="0"/>
    </xf>
    <xf numFmtId="0" fontId="109" fillId="2" borderId="18" xfId="21" applyFont="1" applyFill="1" applyBorder="1" applyAlignment="1" applyProtection="1">
      <alignment horizontal="center" vertical="center"/>
    </xf>
    <xf numFmtId="0" fontId="109" fillId="2" borderId="18" xfId="21" applyFont="1" applyFill="1" applyBorder="1" applyAlignment="1" applyProtection="1">
      <alignment horizontal="center"/>
    </xf>
    <xf numFmtId="0" fontId="109" fillId="2" borderId="18" xfId="21" applyFont="1" applyFill="1" applyBorder="1" applyProtection="1"/>
    <xf numFmtId="1" fontId="109" fillId="2" borderId="15" xfId="21" quotePrefix="1" applyNumberFormat="1" applyFont="1" applyFill="1" applyBorder="1" applyAlignment="1" applyProtection="1">
      <alignment horizontal="center" vertical="center"/>
    </xf>
    <xf numFmtId="0" fontId="109" fillId="2" borderId="14" xfId="21" applyFont="1" applyFill="1" applyBorder="1" applyAlignment="1" applyProtection="1">
      <alignment horizontal="center" vertical="center"/>
    </xf>
    <xf numFmtId="0" fontId="2" fillId="2" borderId="0" xfId="21" applyFont="1" applyFill="1" applyBorder="1" applyProtection="1"/>
    <xf numFmtId="0" fontId="2" fillId="2" borderId="0" xfId="21" applyFont="1" applyFill="1" applyBorder="1" applyAlignment="1" applyProtection="1">
      <alignment horizontal="center"/>
    </xf>
    <xf numFmtId="0" fontId="2" fillId="2" borderId="19" xfId="21" applyFont="1" applyFill="1" applyBorder="1" applyProtection="1"/>
    <xf numFmtId="0" fontId="2" fillId="2" borderId="0" xfId="21" applyFont="1" applyFill="1" applyBorder="1" applyAlignment="1" applyProtection="1">
      <alignment vertical="center"/>
      <protection locked="0"/>
    </xf>
    <xf numFmtId="0" fontId="2" fillId="2" borderId="0" xfId="21" applyFont="1" applyFill="1" applyBorder="1" applyAlignment="1" applyProtection="1">
      <alignment vertical="center"/>
    </xf>
    <xf numFmtId="0" fontId="2" fillId="2" borderId="19" xfId="21" applyFont="1" applyFill="1" applyBorder="1" applyAlignment="1" applyProtection="1">
      <alignment vertical="center"/>
    </xf>
    <xf numFmtId="0" fontId="2" fillId="2" borderId="18" xfId="21" applyFont="1" applyFill="1" applyBorder="1" applyAlignment="1" applyProtection="1">
      <alignment horizontal="center" vertical="center"/>
    </xf>
    <xf numFmtId="0" fontId="2" fillId="2" borderId="19" xfId="21" applyFont="1" applyFill="1" applyBorder="1" applyAlignment="1" applyProtection="1">
      <alignment horizontal="center" vertical="center"/>
    </xf>
    <xf numFmtId="0" fontId="1" fillId="2" borderId="0" xfId="21" quotePrefix="1" applyFont="1" applyFill="1" applyAlignment="1" applyProtection="1">
      <alignment horizontal="center"/>
      <protection locked="0"/>
    </xf>
    <xf numFmtId="0" fontId="2" fillId="2" borderId="0" xfId="21" quotePrefix="1" applyFont="1" applyFill="1" applyBorder="1" applyAlignment="1" applyProtection="1">
      <alignment horizontal="center" vertical="center"/>
    </xf>
    <xf numFmtId="0" fontId="1" fillId="2" borderId="0" xfId="21" applyFont="1" applyFill="1" applyProtection="1">
      <protection locked="0"/>
    </xf>
    <xf numFmtId="0" fontId="2" fillId="2" borderId="15" xfId="21" applyFont="1" applyFill="1" applyBorder="1" applyAlignment="1" applyProtection="1">
      <alignment horizontal="center" vertical="center"/>
    </xf>
    <xf numFmtId="0" fontId="2" fillId="2" borderId="19" xfId="21" applyFont="1" applyFill="1" applyBorder="1" applyAlignment="1" applyProtection="1">
      <alignment horizontal="center" vertical="center"/>
      <protection locked="0"/>
    </xf>
    <xf numFmtId="0" fontId="120" fillId="2" borderId="0" xfId="21" applyFont="1" applyFill="1" applyBorder="1" applyAlignment="1" applyProtection="1">
      <alignment horizontal="center"/>
      <protection locked="0"/>
    </xf>
    <xf numFmtId="0" fontId="2" fillId="2" borderId="15" xfId="21" applyFont="1" applyFill="1" applyBorder="1" applyAlignment="1" applyProtection="1">
      <alignment horizontal="center" vertical="center"/>
      <protection locked="0"/>
    </xf>
    <xf numFmtId="0" fontId="120" fillId="2" borderId="160" xfId="21" applyFont="1" applyFill="1" applyBorder="1" applyProtection="1">
      <protection locked="0"/>
    </xf>
    <xf numFmtId="0" fontId="111" fillId="2" borderId="0" xfId="21" applyFont="1" applyFill="1" applyBorder="1" applyAlignment="1" applyProtection="1"/>
    <xf numFmtId="167" fontId="116" fillId="2" borderId="0" xfId="21" applyNumberFormat="1" applyFont="1" applyFill="1" applyBorder="1" applyAlignment="1" applyProtection="1">
      <alignment horizontal="center" vertical="center"/>
    </xf>
    <xf numFmtId="0" fontId="117" fillId="2" borderId="0" xfId="21" quotePrefix="1" applyFont="1" applyFill="1" applyBorder="1" applyAlignment="1" applyProtection="1">
      <alignment horizontal="center" vertical="center"/>
    </xf>
    <xf numFmtId="0" fontId="117" fillId="27" borderId="0" xfId="21" quotePrefix="1" applyFont="1" applyFill="1" applyBorder="1" applyAlignment="1" applyProtection="1">
      <alignment horizontal="center" vertical="center"/>
    </xf>
    <xf numFmtId="0" fontId="118" fillId="27" borderId="0" xfId="21" applyFont="1" applyFill="1" applyBorder="1" applyAlignment="1" applyProtection="1">
      <alignment horizontal="center" vertical="center"/>
    </xf>
    <xf numFmtId="0" fontId="115" fillId="2" borderId="0" xfId="21" applyFont="1" applyFill="1" applyBorder="1" applyProtection="1">
      <protection locked="0"/>
    </xf>
    <xf numFmtId="1" fontId="2" fillId="2" borderId="0" xfId="21" applyNumberFormat="1" applyFont="1" applyFill="1" applyBorder="1" applyAlignment="1" applyProtection="1">
      <alignment vertical="center"/>
    </xf>
    <xf numFmtId="0" fontId="42" fillId="25" borderId="49" xfId="21" applyFont="1" applyFill="1" applyBorder="1" applyAlignment="1" applyProtection="1">
      <alignment vertical="center" wrapText="1"/>
    </xf>
    <xf numFmtId="0" fontId="42" fillId="25" borderId="49" xfId="21" applyFont="1" applyFill="1" applyBorder="1" applyAlignment="1" applyProtection="1">
      <alignment vertical="center"/>
    </xf>
    <xf numFmtId="2" fontId="2" fillId="2" borderId="49" xfId="21" applyNumberFormat="1" applyFont="1" applyFill="1" applyBorder="1" applyAlignment="1" applyProtection="1">
      <alignment vertical="center"/>
    </xf>
    <xf numFmtId="1" fontId="2" fillId="2" borderId="49" xfId="21" applyNumberFormat="1" applyFont="1" applyFill="1" applyBorder="1" applyAlignment="1" applyProtection="1">
      <alignment vertical="center"/>
    </xf>
    <xf numFmtId="0" fontId="1" fillId="2" borderId="49" xfId="21" applyFont="1" applyFill="1" applyBorder="1" applyAlignment="1" applyProtection="1">
      <protection locked="0"/>
    </xf>
    <xf numFmtId="2" fontId="2" fillId="2" borderId="0" xfId="21" applyNumberFormat="1" applyFont="1" applyFill="1" applyBorder="1" applyAlignment="1" applyProtection="1">
      <alignment vertical="center"/>
    </xf>
    <xf numFmtId="0" fontId="109" fillId="2" borderId="160" xfId="21" applyFont="1" applyFill="1" applyBorder="1" applyAlignment="1" applyProtection="1">
      <alignment horizontal="center" vertical="center"/>
    </xf>
    <xf numFmtId="0" fontId="2" fillId="2" borderId="160" xfId="21" applyFont="1" applyFill="1" applyBorder="1" applyAlignment="1" applyProtection="1">
      <alignment horizontal="center" vertical="center"/>
    </xf>
    <xf numFmtId="0" fontId="2" fillId="2" borderId="160" xfId="21" applyFont="1" applyFill="1" applyBorder="1" applyAlignment="1" applyProtection="1">
      <alignment horizontal="center" vertical="center"/>
      <protection locked="0"/>
    </xf>
    <xf numFmtId="0" fontId="120" fillId="2" borderId="160" xfId="21" applyFont="1" applyFill="1" applyBorder="1" applyAlignment="1" applyProtection="1">
      <alignment horizontal="center"/>
      <protection locked="0"/>
    </xf>
    <xf numFmtId="0" fontId="2" fillId="2" borderId="14" xfId="21" applyFont="1" applyFill="1" applyBorder="1" applyAlignment="1" applyProtection="1">
      <alignment horizontal="center" vertical="center"/>
    </xf>
    <xf numFmtId="0" fontId="2" fillId="2" borderId="49" xfId="21" applyFont="1" applyFill="1" applyBorder="1" applyProtection="1">
      <protection locked="0"/>
    </xf>
    <xf numFmtId="0" fontId="2" fillId="2" borderId="0" xfId="21" applyFont="1" applyFill="1" applyBorder="1" applyProtection="1">
      <protection locked="0"/>
    </xf>
    <xf numFmtId="1" fontId="109" fillId="2" borderId="49" xfId="21" applyNumberFormat="1" applyFont="1" applyFill="1" applyBorder="1" applyAlignment="1" applyProtection="1">
      <alignment horizontal="center" vertical="center"/>
      <protection locked="0"/>
    </xf>
    <xf numFmtId="0" fontId="109" fillId="2" borderId="49" xfId="21" applyFont="1" applyFill="1" applyBorder="1" applyAlignment="1" applyProtection="1">
      <alignment horizontal="center"/>
      <protection locked="0"/>
    </xf>
    <xf numFmtId="0" fontId="109" fillId="2" borderId="49" xfId="21" applyFont="1" applyFill="1" applyBorder="1" applyProtection="1">
      <protection locked="0"/>
    </xf>
    <xf numFmtId="49" fontId="2" fillId="0" borderId="0" xfId="71" applyNumberFormat="1" applyFont="1" applyBorder="1" applyAlignment="1" applyProtection="1">
      <alignment vertical="center"/>
    </xf>
    <xf numFmtId="49" fontId="2" fillId="26" borderId="0" xfId="71" applyNumberFormat="1" applyFont="1" applyFill="1" applyBorder="1" applyAlignment="1" applyProtection="1">
      <alignment vertical="center"/>
    </xf>
    <xf numFmtId="0" fontId="1" fillId="0" borderId="15" xfId="21" applyFont="1" applyFill="1" applyBorder="1" applyAlignment="1" applyProtection="1">
      <alignment vertical="center"/>
    </xf>
    <xf numFmtId="0" fontId="1" fillId="0" borderId="0" xfId="71" applyFont="1" applyFill="1" applyBorder="1" applyProtection="1"/>
    <xf numFmtId="167" fontId="109" fillId="2" borderId="0" xfId="21" applyNumberFormat="1" applyFont="1" applyFill="1" applyBorder="1" applyAlignment="1" applyProtection="1">
      <alignment horizontal="center" vertical="center"/>
    </xf>
    <xf numFmtId="0" fontId="1" fillId="2" borderId="0" xfId="21" applyFill="1" applyProtection="1">
      <protection locked="0"/>
    </xf>
    <xf numFmtId="0" fontId="109" fillId="2" borderId="160" xfId="21" applyFont="1" applyFill="1" applyBorder="1" applyProtection="1">
      <protection locked="0"/>
    </xf>
    <xf numFmtId="0" fontId="110" fillId="2" borderId="160" xfId="21" applyFont="1" applyFill="1" applyBorder="1" applyAlignment="1" applyProtection="1">
      <alignment horizontal="center" vertical="center"/>
    </xf>
    <xf numFmtId="0" fontId="1" fillId="2" borderId="160" xfId="21" applyFont="1" applyFill="1" applyBorder="1" applyProtection="1">
      <protection locked="0"/>
    </xf>
    <xf numFmtId="0" fontId="2" fillId="2" borderId="160" xfId="21" applyFont="1" applyFill="1" applyBorder="1" applyProtection="1">
      <protection locked="0"/>
    </xf>
    <xf numFmtId="0" fontId="39" fillId="2" borderId="160" xfId="21" applyFont="1" applyFill="1" applyBorder="1" applyProtection="1">
      <protection locked="0"/>
    </xf>
    <xf numFmtId="1" fontId="12" fillId="2" borderId="0" xfId="21" applyNumberFormat="1" applyFont="1" applyFill="1" applyBorder="1" applyAlignment="1" applyProtection="1">
      <alignment horizontal="center" vertical="center"/>
      <protection locked="0"/>
    </xf>
    <xf numFmtId="1" fontId="128" fillId="2" borderId="49" xfId="21" applyNumberFormat="1" applyFont="1" applyFill="1" applyBorder="1" applyAlignment="1" applyProtection="1">
      <alignment horizontal="center" vertical="center"/>
      <protection locked="0"/>
    </xf>
    <xf numFmtId="1" fontId="12" fillId="2" borderId="49" xfId="21" applyNumberFormat="1" applyFont="1" applyFill="1" applyBorder="1" applyAlignment="1" applyProtection="1">
      <alignment horizontal="center" vertical="center"/>
      <protection locked="0"/>
    </xf>
    <xf numFmtId="0" fontId="120" fillId="2" borderId="0" xfId="21" applyFont="1" applyFill="1" applyProtection="1"/>
    <xf numFmtId="1" fontId="128" fillId="27" borderId="49" xfId="21" applyNumberFormat="1" applyFont="1" applyFill="1" applyBorder="1" applyAlignment="1" applyProtection="1">
      <alignment horizontal="center" vertical="center"/>
      <protection locked="0"/>
    </xf>
    <xf numFmtId="1" fontId="12" fillId="27" borderId="49" xfId="21" applyNumberFormat="1" applyFont="1" applyFill="1" applyBorder="1" applyAlignment="1" applyProtection="1">
      <alignment horizontal="center" vertical="center"/>
      <protection locked="0"/>
    </xf>
    <xf numFmtId="0" fontId="12" fillId="2" borderId="49" xfId="21" applyFont="1" applyFill="1" applyBorder="1" applyAlignment="1" applyProtection="1">
      <alignment horizontal="center" vertical="center"/>
      <protection locked="0"/>
    </xf>
    <xf numFmtId="0" fontId="12" fillId="2" borderId="49" xfId="21" applyFont="1" applyFill="1" applyBorder="1" applyProtection="1">
      <protection locked="0"/>
    </xf>
    <xf numFmtId="0" fontId="42" fillId="2" borderId="15" xfId="21" applyFont="1" applyFill="1" applyBorder="1" applyAlignment="1" applyProtection="1">
      <alignment vertical="center"/>
      <protection locked="0"/>
    </xf>
    <xf numFmtId="0" fontId="42" fillId="2" borderId="160" xfId="21" applyFont="1" applyFill="1" applyBorder="1" applyAlignment="1" applyProtection="1">
      <alignment vertical="center"/>
      <protection locked="0"/>
    </xf>
    <xf numFmtId="0" fontId="42" fillId="2" borderId="14" xfId="21" applyFont="1" applyFill="1" applyBorder="1" applyAlignment="1" applyProtection="1">
      <alignment vertical="center"/>
      <protection locked="0"/>
    </xf>
    <xf numFmtId="167" fontId="109" fillId="2" borderId="49" xfId="21" applyNumberFormat="1" applyFont="1" applyFill="1" applyBorder="1" applyProtection="1"/>
    <xf numFmtId="2" fontId="109" fillId="2" borderId="49" xfId="21" applyNumberFormat="1" applyFont="1" applyFill="1" applyBorder="1" applyProtection="1"/>
    <xf numFmtId="0" fontId="110" fillId="2" borderId="49" xfId="21" applyFont="1" applyFill="1" applyBorder="1" applyProtection="1"/>
    <xf numFmtId="0" fontId="4" fillId="2" borderId="0" xfId="21" applyFont="1" applyFill="1" applyBorder="1" applyProtection="1">
      <protection locked="0"/>
    </xf>
    <xf numFmtId="0" fontId="130" fillId="2" borderId="49" xfId="21" applyFont="1" applyFill="1" applyBorder="1" applyAlignment="1" applyProtection="1"/>
    <xf numFmtId="1" fontId="4" fillId="2" borderId="0" xfId="21" applyNumberFormat="1" applyFont="1" applyFill="1" applyBorder="1" applyAlignment="1" applyProtection="1">
      <alignment horizontal="center" vertical="center"/>
      <protection locked="0"/>
    </xf>
    <xf numFmtId="167" fontId="4" fillId="2" borderId="0" xfId="21" applyNumberFormat="1" applyFont="1" applyFill="1" applyBorder="1" applyAlignment="1" applyProtection="1">
      <alignment horizontal="center" vertical="center"/>
      <protection locked="0"/>
    </xf>
    <xf numFmtId="167" fontId="2" fillId="2" borderId="0" xfId="21" applyNumberFormat="1" applyFont="1" applyFill="1" applyBorder="1" applyAlignment="1" applyProtection="1">
      <alignment horizontal="center" vertical="center"/>
      <protection locked="0"/>
    </xf>
    <xf numFmtId="1" fontId="109" fillId="2" borderId="0" xfId="21" applyNumberFormat="1" applyFont="1" applyFill="1" applyBorder="1" applyAlignment="1" applyProtection="1">
      <alignment horizontal="center" vertical="center"/>
    </xf>
    <xf numFmtId="0" fontId="2" fillId="2" borderId="10" xfId="21" applyFont="1" applyFill="1" applyBorder="1" applyAlignment="1" applyProtection="1">
      <alignment horizontal="left" vertical="center"/>
    </xf>
    <xf numFmtId="0" fontId="5" fillId="26" borderId="32" xfId="0" applyFont="1" applyFill="1" applyBorder="1" applyAlignment="1" applyProtection="1">
      <alignment vertical="center"/>
    </xf>
    <xf numFmtId="0" fontId="5" fillId="2" borderId="37" xfId="21" applyFont="1" applyFill="1" applyBorder="1" applyAlignment="1" applyProtection="1"/>
    <xf numFmtId="0" fontId="2" fillId="2" borderId="11" xfId="21" applyFont="1" applyFill="1" applyBorder="1" applyAlignment="1" applyProtection="1">
      <alignment vertical="center"/>
    </xf>
    <xf numFmtId="0" fontId="2" fillId="2" borderId="10" xfId="21" applyFont="1" applyFill="1" applyBorder="1" applyAlignment="1" applyProtection="1">
      <alignment vertical="center"/>
    </xf>
    <xf numFmtId="0" fontId="2" fillId="2" borderId="162" xfId="21" applyFont="1" applyFill="1" applyBorder="1" applyAlignment="1" applyProtection="1">
      <alignment horizontal="center" vertical="center"/>
    </xf>
    <xf numFmtId="0" fontId="1" fillId="2" borderId="49" xfId="21" applyFont="1" applyFill="1" applyBorder="1" applyProtection="1">
      <protection locked="0"/>
    </xf>
    <xf numFmtId="1" fontId="1" fillId="2" borderId="49" xfId="21" applyNumberFormat="1" applyFont="1" applyFill="1" applyBorder="1" applyProtection="1">
      <protection locked="0"/>
    </xf>
    <xf numFmtId="1" fontId="1" fillId="2" borderId="0" xfId="21" applyNumberFormat="1" applyFill="1" applyProtection="1">
      <protection locked="0"/>
    </xf>
    <xf numFmtId="1" fontId="1" fillId="2" borderId="0" xfId="21" applyNumberFormat="1" applyFont="1" applyFill="1" applyProtection="1">
      <protection locked="0"/>
    </xf>
    <xf numFmtId="0" fontId="109" fillId="2" borderId="0" xfId="21" applyNumberFormat="1" applyFont="1" applyFill="1" applyBorder="1" applyAlignment="1" applyProtection="1">
      <alignment horizontal="center" vertical="center"/>
    </xf>
    <xf numFmtId="172" fontId="128" fillId="26" borderId="49" xfId="71" applyNumberFormat="1" applyFont="1" applyFill="1" applyBorder="1" applyAlignment="1" applyProtection="1">
      <alignment horizontal="center" vertical="center" wrapText="1"/>
    </xf>
    <xf numFmtId="172" fontId="128" fillId="26" borderId="49" xfId="71" applyNumberFormat="1" applyFont="1" applyFill="1" applyBorder="1" applyAlignment="1" applyProtection="1">
      <alignment vertical="center" wrapText="1"/>
    </xf>
    <xf numFmtId="12" fontId="128" fillId="26" borderId="49" xfId="71" applyNumberFormat="1" applyFont="1" applyFill="1" applyBorder="1" applyAlignment="1" applyProtection="1">
      <alignment vertical="center" wrapText="1"/>
    </xf>
    <xf numFmtId="12" fontId="126" fillId="26" borderId="49" xfId="71" applyNumberFormat="1" applyFont="1" applyFill="1" applyBorder="1" applyAlignment="1" applyProtection="1">
      <alignment vertical="center" wrapText="1"/>
    </xf>
    <xf numFmtId="0" fontId="42" fillId="2" borderId="164" xfId="21" applyFont="1" applyFill="1" applyBorder="1" applyAlignment="1" applyProtection="1">
      <alignment vertical="center"/>
      <protection locked="0"/>
    </xf>
    <xf numFmtId="0" fontId="42" fillId="2" borderId="162" xfId="21" applyFont="1" applyFill="1" applyBorder="1" applyAlignment="1" applyProtection="1">
      <alignment vertical="center"/>
      <protection locked="0"/>
    </xf>
    <xf numFmtId="0" fontId="42" fillId="2" borderId="163" xfId="21" applyFont="1" applyFill="1" applyBorder="1" applyAlignment="1" applyProtection="1">
      <alignment vertical="center"/>
      <protection locked="0"/>
    </xf>
    <xf numFmtId="0" fontId="4" fillId="2" borderId="10" xfId="21" applyFont="1" applyFill="1" applyBorder="1" applyAlignment="1" applyProtection="1">
      <alignment horizontal="left" vertical="center"/>
    </xf>
    <xf numFmtId="0" fontId="4" fillId="2" borderId="11" xfId="21" applyFont="1" applyFill="1" applyBorder="1" applyAlignment="1" applyProtection="1">
      <alignment vertical="center"/>
    </xf>
    <xf numFmtId="0" fontId="4" fillId="2" borderId="10" xfId="21" applyFont="1" applyFill="1" applyBorder="1" applyAlignment="1" applyProtection="1">
      <alignment vertical="center"/>
    </xf>
    <xf numFmtId="15" fontId="15" fillId="2" borderId="29" xfId="21" applyNumberFormat="1" applyFont="1" applyFill="1" applyBorder="1" applyAlignment="1" applyProtection="1">
      <alignment horizontal="left"/>
    </xf>
    <xf numFmtId="167" fontId="15" fillId="2" borderId="53" xfId="21" applyNumberFormat="1" applyFont="1" applyFill="1" applyBorder="1" applyAlignment="1" applyProtection="1">
      <alignment horizontal="left"/>
    </xf>
    <xf numFmtId="1" fontId="12" fillId="2" borderId="54" xfId="21" applyNumberFormat="1" applyFont="1" applyFill="1" applyBorder="1" applyAlignment="1" applyProtection="1"/>
    <xf numFmtId="0" fontId="5" fillId="26" borderId="164" xfId="0" applyFont="1" applyFill="1" applyBorder="1" applyAlignment="1" applyProtection="1">
      <alignment vertical="center"/>
    </xf>
    <xf numFmtId="0" fontId="5" fillId="26" borderId="162" xfId="0" applyFont="1" applyFill="1" applyBorder="1" applyAlignment="1" applyProtection="1">
      <alignment vertical="center"/>
    </xf>
    <xf numFmtId="0" fontId="3" fillId="2" borderId="0" xfId="0" applyFont="1" applyFill="1" applyBorder="1" applyAlignment="1" applyProtection="1">
      <alignment horizontal="center" vertical="center" wrapText="1"/>
    </xf>
    <xf numFmtId="0" fontId="5" fillId="26" borderId="19" xfId="0" applyFont="1" applyFill="1" applyBorder="1" applyAlignment="1" applyProtection="1">
      <alignment vertical="center"/>
    </xf>
    <xf numFmtId="0" fontId="5" fillId="26" borderId="0" xfId="0" applyFont="1" applyFill="1" applyBorder="1" applyAlignment="1" applyProtection="1">
      <alignment vertical="center"/>
    </xf>
    <xf numFmtId="0" fontId="5" fillId="26" borderId="78" xfId="0" applyFont="1" applyFill="1" applyBorder="1" applyAlignment="1" applyProtection="1">
      <alignment vertical="center"/>
    </xf>
    <xf numFmtId="0" fontId="5" fillId="26" borderId="37" xfId="0" applyFont="1" applyFill="1" applyBorder="1" applyAlignment="1" applyProtection="1">
      <alignment vertical="center"/>
    </xf>
    <xf numFmtId="0" fontId="92" fillId="2" borderId="0" xfId="21" applyNumberFormat="1" applyFont="1" applyFill="1" applyBorder="1" applyAlignment="1" applyProtection="1">
      <alignment horizontal="center" vertical="center"/>
    </xf>
    <xf numFmtId="167" fontId="4" fillId="2" borderId="0" xfId="21" applyNumberFormat="1" applyFont="1" applyFill="1" applyBorder="1" applyAlignment="1" applyProtection="1">
      <alignment horizontal="center" vertical="center"/>
      <protection locked="0"/>
    </xf>
    <xf numFmtId="0" fontId="46" fillId="0" borderId="0" xfId="70" applyFont="1" applyFill="1" applyBorder="1" applyAlignment="1" applyProtection="1">
      <alignment horizontal="center" wrapText="1"/>
    </xf>
    <xf numFmtId="0" fontId="5" fillId="2" borderId="0" xfId="21" applyFont="1" applyFill="1" applyBorder="1" applyAlignment="1" applyProtection="1"/>
    <xf numFmtId="0" fontId="5" fillId="0" borderId="29" xfId="21" applyFont="1" applyFill="1" applyBorder="1" applyAlignment="1" applyProtection="1">
      <protection locked="0"/>
    </xf>
    <xf numFmtId="0" fontId="4" fillId="0" borderId="53" xfId="21" applyFont="1" applyFill="1" applyBorder="1" applyAlignment="1" applyProtection="1">
      <protection locked="0"/>
    </xf>
    <xf numFmtId="0" fontId="1" fillId="0" borderId="53" xfId="21" applyFont="1" applyFill="1" applyBorder="1" applyAlignment="1" applyProtection="1">
      <protection locked="0"/>
    </xf>
    <xf numFmtId="0" fontId="43" fillId="0" borderId="54" xfId="21" applyFont="1" applyFill="1" applyBorder="1" applyAlignment="1" applyProtection="1">
      <protection locked="0"/>
    </xf>
    <xf numFmtId="0" fontId="3" fillId="2" borderId="0" xfId="0" applyFont="1" applyFill="1" applyBorder="1" applyAlignment="1" applyProtection="1">
      <alignment horizontal="center" vertical="center"/>
    </xf>
    <xf numFmtId="0" fontId="131" fillId="2" borderId="0" xfId="0" applyFont="1" applyFill="1" applyBorder="1" applyAlignment="1" applyProtection="1">
      <alignment horizontal="left" vertical="center" wrapText="1"/>
    </xf>
    <xf numFmtId="168" fontId="2" fillId="2" borderId="18" xfId="21" applyNumberFormat="1" applyFont="1" applyFill="1" applyBorder="1" applyAlignment="1" applyProtection="1">
      <alignment horizontal="left"/>
      <protection locked="0"/>
    </xf>
    <xf numFmtId="0" fontId="109" fillId="26" borderId="0" xfId="71" applyFont="1" applyFill="1" applyBorder="1" applyAlignment="1" applyProtection="1">
      <alignment horizontal="left" vertical="top" wrapText="1"/>
      <protection locked="0"/>
    </xf>
    <xf numFmtId="0" fontId="109" fillId="0" borderId="0" xfId="71" applyFont="1" applyBorder="1" applyAlignment="1" applyProtection="1">
      <alignment horizontal="center"/>
      <protection locked="0"/>
    </xf>
    <xf numFmtId="0" fontId="132" fillId="25" borderId="0" xfId="68" applyFont="1" applyFill="1" applyBorder="1" applyAlignment="1" applyProtection="1">
      <alignment horizontal="center" vertical="center"/>
    </xf>
    <xf numFmtId="0" fontId="46" fillId="0" borderId="0" xfId="69" applyFont="1" applyBorder="1" applyAlignment="1" applyProtection="1">
      <alignment horizontal="center" vertical="center" wrapText="1"/>
    </xf>
    <xf numFmtId="0" fontId="1" fillId="2" borderId="0" xfId="0" applyFont="1" applyFill="1" applyBorder="1" applyAlignment="1" applyProtection="1">
      <alignment horizontal="center"/>
      <protection locked="0"/>
    </xf>
    <xf numFmtId="0" fontId="42" fillId="2" borderId="0" xfId="21" applyFont="1" applyFill="1" applyBorder="1" applyAlignment="1" applyProtection="1">
      <alignment vertical="center"/>
      <protection locked="0"/>
    </xf>
    <xf numFmtId="0" fontId="130" fillId="2" borderId="0" xfId="21" applyFont="1" applyFill="1" applyBorder="1" applyAlignment="1" applyProtection="1"/>
    <xf numFmtId="0" fontId="131" fillId="2" borderId="15" xfId="21" applyFont="1" applyFill="1" applyBorder="1" applyAlignment="1" applyProtection="1">
      <alignment horizontal="left" vertical="center"/>
    </xf>
    <xf numFmtId="0" fontId="14" fillId="2" borderId="49" xfId="21" applyFont="1" applyFill="1" applyBorder="1" applyAlignment="1" applyProtection="1">
      <alignment horizontal="right"/>
      <protection locked="0"/>
    </xf>
    <xf numFmtId="168" fontId="2" fillId="2" borderId="0" xfId="21" applyNumberFormat="1" applyFont="1" applyFill="1" applyBorder="1" applyAlignment="1" applyProtection="1">
      <alignment horizontal="left"/>
      <protection locked="0"/>
    </xf>
    <xf numFmtId="0" fontId="2" fillId="26" borderId="0" xfId="0" applyFont="1" applyFill="1" applyBorder="1" applyAlignment="1" applyProtection="1">
      <alignment vertical="center"/>
      <protection locked="0"/>
    </xf>
    <xf numFmtId="0" fontId="109" fillId="0" borderId="0" xfId="0" applyFont="1" applyBorder="1" applyAlignment="1" applyProtection="1">
      <protection locked="0"/>
    </xf>
    <xf numFmtId="0" fontId="2" fillId="26" borderId="32" xfId="544" applyFont="1" applyFill="1" applyBorder="1" applyAlignment="1" applyProtection="1">
      <alignment vertical="center"/>
      <protection locked="0"/>
    </xf>
    <xf numFmtId="0" fontId="2" fillId="26" borderId="66" xfId="544" applyFont="1" applyFill="1" applyBorder="1" applyAlignment="1" applyProtection="1">
      <alignment vertical="center"/>
      <protection locked="0"/>
    </xf>
    <xf numFmtId="0" fontId="2" fillId="26" borderId="0" xfId="0" applyFont="1" applyFill="1" applyBorder="1" applyAlignment="1" applyProtection="1">
      <alignment vertical="center" wrapText="1"/>
      <protection locked="0"/>
    </xf>
    <xf numFmtId="168" fontId="2" fillId="26" borderId="0" xfId="0" applyNumberFormat="1" applyFont="1" applyFill="1" applyBorder="1" applyAlignment="1" applyProtection="1">
      <alignment vertical="center"/>
      <protection locked="0"/>
    </xf>
    <xf numFmtId="168" fontId="2" fillId="26" borderId="18" xfId="0" applyNumberFormat="1" applyFont="1" applyFill="1" applyBorder="1" applyAlignment="1" applyProtection="1">
      <alignment vertical="center"/>
      <protection locked="0"/>
    </xf>
    <xf numFmtId="168" fontId="2" fillId="26" borderId="0" xfId="0" applyNumberFormat="1" applyFont="1" applyFill="1" applyBorder="1" applyAlignment="1" applyProtection="1">
      <alignment vertical="center" wrapText="1"/>
      <protection locked="0"/>
    </xf>
    <xf numFmtId="168" fontId="2" fillId="26" borderId="18" xfId="0" applyNumberFormat="1" applyFont="1" applyFill="1" applyBorder="1" applyAlignment="1" applyProtection="1">
      <alignment vertical="center" wrapText="1"/>
      <protection locked="0"/>
    </xf>
    <xf numFmtId="0" fontId="2" fillId="26" borderId="37" xfId="0" applyFont="1" applyFill="1" applyBorder="1" applyAlignment="1" applyProtection="1">
      <alignment vertical="center"/>
      <protection locked="0"/>
    </xf>
    <xf numFmtId="168" fontId="2" fillId="2" borderId="37" xfId="21" applyNumberFormat="1" applyFont="1" applyFill="1" applyBorder="1" applyAlignment="1" applyProtection="1">
      <protection locked="0"/>
    </xf>
    <xf numFmtId="168" fontId="2" fillId="2" borderId="79" xfId="21" applyNumberFormat="1" applyFont="1" applyFill="1" applyBorder="1" applyAlignment="1" applyProtection="1">
      <protection locked="0"/>
    </xf>
    <xf numFmtId="0" fontId="2" fillId="2" borderId="162" xfId="21" applyFont="1" applyFill="1" applyBorder="1" applyAlignment="1">
      <alignment horizontal="center" vertical="center"/>
    </xf>
    <xf numFmtId="0" fontId="2" fillId="2" borderId="18" xfId="21" applyFont="1" applyFill="1" applyBorder="1" applyAlignment="1">
      <alignment horizontal="center" vertical="center"/>
    </xf>
    <xf numFmtId="2" fontId="2" fillId="2" borderId="0" xfId="21" applyNumberFormat="1" applyFont="1" applyFill="1" applyBorder="1" applyAlignment="1">
      <alignment horizontal="center" vertical="center"/>
    </xf>
    <xf numFmtId="2" fontId="2" fillId="2" borderId="18" xfId="21" applyNumberFormat="1" applyFont="1" applyFill="1" applyBorder="1" applyAlignment="1">
      <alignment horizontal="center" vertical="center"/>
    </xf>
    <xf numFmtId="2" fontId="109" fillId="2" borderId="0" xfId="21" applyNumberFormat="1" applyFont="1" applyFill="1" applyBorder="1" applyAlignment="1">
      <alignment horizontal="center" vertical="center"/>
    </xf>
    <xf numFmtId="2" fontId="109" fillId="2" borderId="18" xfId="21" applyNumberFormat="1" applyFont="1" applyFill="1" applyBorder="1" applyAlignment="1">
      <alignment horizontal="center" vertical="center"/>
    </xf>
    <xf numFmtId="0" fontId="109" fillId="2" borderId="0" xfId="21" applyFont="1" applyFill="1" applyBorder="1" applyAlignment="1">
      <alignment horizontal="center" vertical="center"/>
    </xf>
    <xf numFmtId="0" fontId="109" fillId="2" borderId="18" xfId="21" applyFont="1" applyFill="1" applyBorder="1" applyAlignment="1">
      <alignment horizontal="center" vertical="center"/>
    </xf>
    <xf numFmtId="0" fontId="2" fillId="2" borderId="0" xfId="21" applyFont="1" applyFill="1" applyBorder="1" applyAlignment="1">
      <alignment horizontal="center" vertical="center"/>
    </xf>
    <xf numFmtId="0" fontId="2" fillId="2" borderId="0" xfId="21" quotePrefix="1" applyFont="1" applyFill="1" applyAlignment="1">
      <alignment horizontal="center" vertical="center"/>
    </xf>
    <xf numFmtId="0" fontId="2" fillId="2" borderId="0" xfId="21" quotePrefix="1" applyFont="1" applyFill="1" applyBorder="1" applyAlignment="1">
      <alignment horizontal="center" vertical="center"/>
    </xf>
    <xf numFmtId="0" fontId="2" fillId="2" borderId="0" xfId="21" applyFont="1" applyFill="1"/>
    <xf numFmtId="0" fontId="2" fillId="2" borderId="0" xfId="21" applyFont="1" applyFill="1" applyAlignment="1">
      <alignment horizontal="center" vertical="center"/>
    </xf>
    <xf numFmtId="0" fontId="1" fillId="2" borderId="0" xfId="21" quotePrefix="1" applyFill="1" applyAlignment="1" applyProtection="1">
      <alignment horizontal="center"/>
      <protection locked="0"/>
    </xf>
    <xf numFmtId="0" fontId="2" fillId="2" borderId="0" xfId="21" applyFont="1" applyFill="1" applyAlignment="1">
      <alignment horizontal="center"/>
    </xf>
    <xf numFmtId="0" fontId="5" fillId="26" borderId="62" xfId="71" applyFont="1" applyFill="1" applyBorder="1" applyAlignment="1" applyProtection="1">
      <alignment vertical="top" wrapText="1"/>
    </xf>
    <xf numFmtId="0" fontId="109" fillId="26" borderId="66" xfId="71" applyFont="1" applyFill="1" applyBorder="1" applyAlignment="1" applyProtection="1">
      <alignment vertical="top" wrapText="1"/>
      <protection locked="0"/>
    </xf>
    <xf numFmtId="0" fontId="109" fillId="2" borderId="49" xfId="21" applyNumberFormat="1" applyFont="1" applyFill="1" applyBorder="1" applyProtection="1"/>
    <xf numFmtId="0" fontId="1" fillId="0" borderId="51" xfId="71" applyFont="1" applyFill="1" applyBorder="1" applyAlignment="1" applyProtection="1">
      <alignment horizontal="center" vertical="center"/>
    </xf>
    <xf numFmtId="0" fontId="1" fillId="0" borderId="52" xfId="71" applyFont="1" applyFill="1" applyBorder="1" applyAlignment="1" applyProtection="1">
      <alignment horizontal="center" vertical="center"/>
    </xf>
    <xf numFmtId="0" fontId="42" fillId="26" borderId="0" xfId="71" applyFont="1" applyFill="1" applyBorder="1" applyAlignment="1" applyProtection="1">
      <alignment vertical="center" wrapText="1"/>
    </xf>
    <xf numFmtId="0" fontId="1" fillId="0" borderId="0" xfId="71" applyFont="1" applyFill="1" applyBorder="1" applyAlignment="1" applyProtection="1">
      <alignment horizontal="center"/>
    </xf>
    <xf numFmtId="0" fontId="42" fillId="26" borderId="19" xfId="1" applyFont="1" applyFill="1" applyBorder="1" applyAlignment="1" applyProtection="1">
      <alignment vertical="center"/>
    </xf>
    <xf numFmtId="0" fontId="42" fillId="26" borderId="0" xfId="1" applyFont="1" applyFill="1" applyBorder="1" applyAlignment="1" applyProtection="1">
      <alignment vertical="center"/>
    </xf>
    <xf numFmtId="0" fontId="42" fillId="26" borderId="0" xfId="0" applyFont="1" applyFill="1" applyBorder="1" applyAlignment="1" applyProtection="1">
      <alignment horizontal="left" vertical="center"/>
    </xf>
    <xf numFmtId="0" fontId="42" fillId="26" borderId="32" xfId="0" applyFont="1" applyFill="1" applyBorder="1" applyAlignment="1" applyProtection="1">
      <alignment vertical="center"/>
    </xf>
    <xf numFmtId="0" fontId="42" fillId="26" borderId="0" xfId="74" applyFont="1" applyFill="1" applyBorder="1" applyAlignment="1" applyProtection="1">
      <alignment vertical="center"/>
    </xf>
    <xf numFmtId="0" fontId="42" fillId="26" borderId="0" xfId="150" applyFont="1" applyFill="1" applyBorder="1" applyAlignment="1" applyProtection="1">
      <alignment vertical="center"/>
    </xf>
    <xf numFmtId="0" fontId="42" fillId="26" borderId="19" xfId="71" applyFont="1" applyFill="1" applyBorder="1" applyAlignment="1" applyProtection="1">
      <alignment vertical="center" wrapText="1"/>
    </xf>
    <xf numFmtId="0" fontId="42" fillId="26" borderId="0" xfId="71" applyFont="1" applyFill="1" applyBorder="1" applyAlignment="1" applyProtection="1">
      <alignment vertical="center" wrapText="1"/>
    </xf>
    <xf numFmtId="0" fontId="2" fillId="2" borderId="0" xfId="150" applyFont="1" applyFill="1" applyBorder="1" applyAlignment="1" applyProtection="1">
      <alignment horizontal="left" vertical="center"/>
    </xf>
    <xf numFmtId="0" fontId="42" fillId="26" borderId="0" xfId="71" applyFont="1" applyFill="1" applyBorder="1" applyAlignment="1" applyProtection="1">
      <alignment vertical="center"/>
    </xf>
    <xf numFmtId="0" fontId="5" fillId="0" borderId="0" xfId="71" applyFont="1" applyBorder="1" applyAlignment="1" applyProtection="1">
      <alignment horizontal="center" vertical="center" wrapText="1"/>
    </xf>
    <xf numFmtId="0" fontId="2" fillId="0" borderId="0" xfId="208" applyFont="1" applyBorder="1" applyAlignment="1" applyProtection="1">
      <alignment horizontal="center" vertical="center"/>
    </xf>
    <xf numFmtId="0" fontId="42" fillId="26" borderId="19" xfId="208" applyFont="1" applyFill="1" applyBorder="1" applyAlignment="1" applyProtection="1">
      <alignment vertical="center"/>
    </xf>
    <xf numFmtId="0" fontId="42" fillId="26" borderId="0" xfId="208" applyFont="1" applyFill="1" applyBorder="1" applyAlignment="1" applyProtection="1">
      <alignment vertical="center"/>
    </xf>
    <xf numFmtId="0" fontId="2" fillId="0" borderId="39" xfId="208" applyFont="1" applyBorder="1" applyAlignment="1" applyProtection="1">
      <alignment horizontal="center" vertical="center" wrapText="1"/>
    </xf>
    <xf numFmtId="0" fontId="42" fillId="0" borderId="16" xfId="208" applyFont="1" applyBorder="1" applyAlignment="1" applyProtection="1">
      <alignment vertical="center"/>
    </xf>
    <xf numFmtId="0" fontId="2" fillId="26" borderId="0" xfId="208" applyFont="1" applyFill="1" applyBorder="1" applyAlignment="1" applyProtection="1">
      <alignment horizontal="left" vertical="center"/>
    </xf>
    <xf numFmtId="0" fontId="42" fillId="26" borderId="78" xfId="208" applyFont="1" applyFill="1" applyBorder="1" applyAlignment="1" applyProtection="1">
      <alignment vertical="center"/>
    </xf>
    <xf numFmtId="0" fontId="42" fillId="26" borderId="37" xfId="208" applyFont="1" applyFill="1" applyBorder="1" applyAlignment="1" applyProtection="1">
      <alignment vertical="center"/>
    </xf>
    <xf numFmtId="0" fontId="5" fillId="2" borderId="13" xfId="208" applyFont="1" applyFill="1" applyBorder="1" applyAlignment="1" applyProtection="1">
      <alignment horizontal="left" vertical="center" wrapText="1"/>
    </xf>
    <xf numFmtId="0" fontId="4" fillId="2" borderId="12" xfId="208" applyFont="1" applyFill="1" applyBorder="1" applyAlignment="1" applyProtection="1">
      <alignment horizontal="left" vertical="center" wrapText="1"/>
    </xf>
    <xf numFmtId="0" fontId="4" fillId="2" borderId="16" xfId="208" applyFont="1" applyFill="1" applyBorder="1" applyAlignment="1" applyProtection="1">
      <alignment horizontal="center" vertical="center"/>
      <protection locked="0"/>
    </xf>
    <xf numFmtId="0" fontId="1" fillId="0" borderId="12" xfId="208" applyFont="1" applyBorder="1" applyAlignment="1" applyProtection="1">
      <alignment horizontal="center" vertical="center"/>
    </xf>
    <xf numFmtId="167" fontId="4" fillId="0" borderId="12" xfId="208" applyNumberFormat="1" applyFont="1" applyBorder="1" applyAlignment="1" applyProtection="1">
      <alignment horizontal="center" vertical="center"/>
      <protection locked="0"/>
    </xf>
    <xf numFmtId="167" fontId="4" fillId="0" borderId="17" xfId="208" applyNumberFormat="1" applyFont="1" applyBorder="1" applyAlignment="1" applyProtection="1">
      <alignment horizontal="center" vertical="center"/>
      <protection locked="0"/>
    </xf>
    <xf numFmtId="0" fontId="4" fillId="2" borderId="0" xfId="208" applyFont="1" applyFill="1" applyBorder="1" applyAlignment="1" applyProtection="1">
      <alignment horizontal="center" vertical="center"/>
      <protection locked="0"/>
    </xf>
    <xf numFmtId="0" fontId="103" fillId="0" borderId="49" xfId="429" applyFont="1" applyBorder="1" applyAlignment="1" applyProtection="1">
      <alignment vertical="center"/>
    </xf>
    <xf numFmtId="0" fontId="103" fillId="0" borderId="11" xfId="429" applyFont="1" applyBorder="1" applyAlignment="1" applyProtection="1">
      <alignment vertical="center"/>
    </xf>
    <xf numFmtId="0" fontId="103" fillId="0" borderId="10" xfId="429" applyFont="1" applyBorder="1" applyAlignment="1" applyProtection="1">
      <alignment vertical="center"/>
    </xf>
    <xf numFmtId="0" fontId="103" fillId="0" borderId="9" xfId="429" applyFont="1" applyBorder="1" applyAlignment="1" applyProtection="1">
      <alignment vertical="center"/>
    </xf>
    <xf numFmtId="173" fontId="5" fillId="0" borderId="0" xfId="429" applyNumberFormat="1" applyFont="1" applyFill="1" applyBorder="1" applyAlignment="1" applyProtection="1">
      <alignment horizontal="center" vertical="center"/>
    </xf>
    <xf numFmtId="0" fontId="48" fillId="0" borderId="0" xfId="211" applyFont="1" applyBorder="1" applyAlignment="1" applyProtection="1">
      <alignment horizontal="center"/>
      <protection locked="0"/>
    </xf>
    <xf numFmtId="0" fontId="1" fillId="0" borderId="0" xfId="429" applyFont="1" applyBorder="1" applyAlignment="1" applyProtection="1">
      <alignment horizontal="center" vertical="center"/>
      <protection locked="0"/>
    </xf>
    <xf numFmtId="0" fontId="1" fillId="0" borderId="0" xfId="428" applyFont="1" applyBorder="1" applyAlignment="1" applyProtection="1">
      <alignment horizontal="center" vertical="center"/>
      <protection locked="0"/>
    </xf>
    <xf numFmtId="0" fontId="46" fillId="0" borderId="0" xfId="68" applyFont="1" applyBorder="1" applyAlignment="1" applyProtection="1">
      <alignment horizontal="center" vertical="center" wrapText="1"/>
    </xf>
    <xf numFmtId="0" fontId="99" fillId="0" borderId="0" xfId="71" applyFont="1" applyBorder="1" applyAlignment="1" applyProtection="1">
      <alignment horizontal="left" vertical="center"/>
    </xf>
    <xf numFmtId="0" fontId="42" fillId="26" borderId="0" xfId="71" applyFont="1" applyFill="1" applyBorder="1" applyAlignment="1" applyProtection="1">
      <alignment horizontal="left" vertical="center"/>
    </xf>
    <xf numFmtId="0" fontId="4" fillId="0" borderId="18" xfId="208" applyFont="1" applyBorder="1" applyAlignment="1" applyProtection="1">
      <alignment horizontal="center"/>
    </xf>
    <xf numFmtId="0" fontId="4" fillId="0" borderId="0" xfId="208" applyFont="1" applyBorder="1" applyAlignment="1" applyProtection="1">
      <alignment horizontal="center"/>
    </xf>
    <xf numFmtId="0" fontId="79" fillId="33" borderId="0" xfId="546" applyFont="1" applyFill="1" applyAlignment="1" applyProtection="1">
      <alignment vertical="center"/>
      <protection locked="0"/>
    </xf>
    <xf numFmtId="0" fontId="42" fillId="26" borderId="164" xfId="71" applyFont="1" applyFill="1" applyBorder="1" applyAlignment="1">
      <alignment vertical="center"/>
    </xf>
    <xf numFmtId="0" fontId="42" fillId="26" borderId="162" xfId="71" applyFont="1" applyFill="1" applyBorder="1" applyAlignment="1">
      <alignment vertical="center"/>
    </xf>
    <xf numFmtId="0" fontId="42" fillId="26" borderId="163" xfId="71" applyFont="1" applyFill="1" applyBorder="1" applyAlignment="1">
      <alignment vertical="center"/>
    </xf>
    <xf numFmtId="0" fontId="42" fillId="26" borderId="19" xfId="71" applyFont="1" applyFill="1" applyBorder="1" applyAlignment="1">
      <alignment vertical="center"/>
    </xf>
    <xf numFmtId="0" fontId="42" fillId="26" borderId="0" xfId="71" applyFont="1" applyFill="1" applyBorder="1" applyAlignment="1">
      <alignment vertical="center"/>
    </xf>
    <xf numFmtId="0" fontId="1" fillId="0" borderId="0" xfId="21" applyFont="1" applyFill="1" applyBorder="1" applyAlignment="1" applyProtection="1">
      <alignment horizontal="left"/>
      <protection locked="0"/>
    </xf>
    <xf numFmtId="0" fontId="42" fillId="26" borderId="18" xfId="71" applyFont="1" applyFill="1" applyBorder="1" applyAlignment="1">
      <alignment vertical="center"/>
    </xf>
    <xf numFmtId="0" fontId="43" fillId="26" borderId="0" xfId="71" applyFont="1" applyFill="1" applyBorder="1" applyAlignment="1" applyProtection="1">
      <alignment horizontal="right" vertical="center" wrapText="1"/>
    </xf>
    <xf numFmtId="0" fontId="5" fillId="26" borderId="19" xfId="150" applyFont="1" applyFill="1" applyBorder="1" applyAlignment="1">
      <alignment horizontal="left" vertical="center"/>
    </xf>
    <xf numFmtId="0" fontId="5" fillId="26" borderId="0" xfId="150" applyFont="1" applyFill="1" applyBorder="1" applyAlignment="1">
      <alignment horizontal="left" vertical="center"/>
    </xf>
    <xf numFmtId="0" fontId="4" fillId="26" borderId="0" xfId="150" applyFont="1" applyFill="1" applyBorder="1" applyAlignment="1">
      <alignment vertical="center"/>
    </xf>
    <xf numFmtId="0" fontId="4" fillId="26" borderId="18" xfId="150" applyFont="1" applyFill="1" applyBorder="1" applyAlignment="1">
      <alignment vertical="center"/>
    </xf>
    <xf numFmtId="0" fontId="91" fillId="26" borderId="19" xfId="546" applyFont="1" applyFill="1" applyBorder="1" applyAlignment="1">
      <alignment vertical="center"/>
    </xf>
    <xf numFmtId="0" fontId="91" fillId="26" borderId="18" xfId="546" applyFont="1" applyFill="1" applyBorder="1" applyAlignment="1">
      <alignment vertical="center"/>
    </xf>
    <xf numFmtId="0" fontId="91" fillId="26" borderId="0" xfId="546" applyFont="1" applyFill="1" applyBorder="1" applyAlignment="1">
      <alignment horizontal="center" vertical="center" wrapText="1"/>
    </xf>
    <xf numFmtId="0" fontId="133" fillId="26" borderId="0" xfId="546" applyFont="1" applyFill="1" applyBorder="1" applyAlignment="1">
      <alignment horizontal="center" vertical="center" wrapText="1"/>
    </xf>
    <xf numFmtId="0" fontId="79" fillId="33" borderId="0" xfId="546" applyFont="1" applyFill="1" applyAlignment="1">
      <alignment vertical="center"/>
    </xf>
    <xf numFmtId="0" fontId="91" fillId="33" borderId="19" xfId="546" applyFont="1" applyFill="1" applyBorder="1" applyAlignment="1">
      <alignment vertical="center"/>
    </xf>
    <xf numFmtId="1" fontId="91" fillId="26" borderId="0" xfId="546" quotePrefix="1" applyNumberFormat="1" applyFont="1" applyFill="1" applyBorder="1" applyAlignment="1">
      <alignment horizontal="center" vertical="center"/>
    </xf>
    <xf numFmtId="0" fontId="91" fillId="33" borderId="18" xfId="546" applyFont="1" applyFill="1" applyBorder="1" applyAlignment="1">
      <alignment vertical="center"/>
    </xf>
    <xf numFmtId="0" fontId="79" fillId="33" borderId="9" xfId="546" applyFont="1" applyFill="1" applyBorder="1" applyAlignment="1">
      <alignment horizontal="center" vertical="center"/>
    </xf>
    <xf numFmtId="0" fontId="91" fillId="33" borderId="0" xfId="546" applyFont="1" applyFill="1" applyAlignment="1">
      <alignment vertical="center"/>
    </xf>
    <xf numFmtId="0" fontId="89" fillId="33" borderId="0" xfId="546" applyFont="1" applyFill="1" applyAlignment="1">
      <alignment vertical="center"/>
    </xf>
    <xf numFmtId="1" fontId="91" fillId="26" borderId="160" xfId="546" applyNumberFormat="1" applyFont="1" applyFill="1" applyBorder="1" applyAlignment="1">
      <alignment horizontal="center" vertical="center"/>
    </xf>
    <xf numFmtId="0" fontId="91" fillId="33" borderId="0" xfId="546" applyFont="1" applyFill="1" applyBorder="1" applyAlignment="1">
      <alignment vertical="center"/>
    </xf>
    <xf numFmtId="0" fontId="91" fillId="33" borderId="0" xfId="546" applyFont="1" applyFill="1" applyBorder="1" applyAlignment="1">
      <alignment horizontal="left" vertical="center" wrapText="1"/>
    </xf>
    <xf numFmtId="1" fontId="91" fillId="26" borderId="0" xfId="546" applyNumberFormat="1" applyFont="1" applyFill="1" applyBorder="1" applyAlignment="1">
      <alignment horizontal="center" vertical="center"/>
    </xf>
    <xf numFmtId="1" fontId="133" fillId="33" borderId="0" xfId="546" applyNumberFormat="1" applyFont="1" applyFill="1" applyBorder="1" applyAlignment="1">
      <alignment horizontal="center" vertical="center"/>
    </xf>
    <xf numFmtId="0" fontId="1" fillId="0" borderId="0" xfId="21" applyAlignment="1" applyProtection="1">
      <alignment horizontal="left" vertical="center"/>
      <protection locked="0"/>
    </xf>
    <xf numFmtId="0" fontId="1" fillId="0" borderId="0" xfId="21" applyAlignment="1" applyProtection="1">
      <alignment vertical="center"/>
      <protection locked="0"/>
    </xf>
    <xf numFmtId="0" fontId="91" fillId="33" borderId="78" xfId="546" applyFont="1" applyFill="1" applyBorder="1" applyAlignment="1">
      <alignment vertical="center"/>
    </xf>
    <xf numFmtId="0" fontId="91" fillId="33" borderId="37" xfId="546" applyFont="1" applyFill="1" applyBorder="1" applyAlignment="1">
      <alignment vertical="center"/>
    </xf>
    <xf numFmtId="0" fontId="133" fillId="33" borderId="37" xfId="546" applyFont="1" applyFill="1" applyBorder="1" applyAlignment="1">
      <alignment horizontal="center" vertical="center"/>
    </xf>
    <xf numFmtId="0" fontId="133" fillId="33" borderId="37" xfId="546" applyFont="1" applyFill="1" applyBorder="1" applyAlignment="1">
      <alignment horizontal="right" vertical="center"/>
    </xf>
    <xf numFmtId="167" fontId="91" fillId="33" borderId="37" xfId="546" applyNumberFormat="1" applyFont="1" applyFill="1" applyBorder="1" applyAlignment="1">
      <alignment horizontal="center" vertical="center"/>
    </xf>
    <xf numFmtId="0" fontId="133" fillId="2" borderId="37" xfId="546" applyFont="1" applyFill="1" applyBorder="1" applyAlignment="1">
      <alignment horizontal="center" vertical="center"/>
    </xf>
    <xf numFmtId="0" fontId="91" fillId="33" borderId="79" xfId="546" applyFont="1" applyFill="1" applyBorder="1" applyAlignment="1">
      <alignment vertical="center"/>
    </xf>
    <xf numFmtId="0" fontId="1" fillId="0" borderId="0" xfId="71" applyProtection="1">
      <protection locked="0"/>
    </xf>
    <xf numFmtId="0" fontId="5" fillId="26" borderId="62" xfId="71" applyFont="1" applyFill="1" applyBorder="1" applyAlignment="1">
      <alignment vertical="top" wrapText="1"/>
    </xf>
    <xf numFmtId="0" fontId="4" fillId="26" borderId="66" xfId="71" applyFont="1" applyFill="1" applyBorder="1" applyAlignment="1" applyProtection="1">
      <alignment vertical="top" wrapText="1"/>
      <protection locked="0"/>
    </xf>
    <xf numFmtId="0" fontId="5" fillId="26" borderId="19" xfId="71" applyFont="1" applyFill="1" applyBorder="1" applyAlignment="1">
      <alignment horizontal="left" vertical="top" wrapText="1"/>
    </xf>
    <xf numFmtId="0" fontId="4" fillId="26" borderId="18" xfId="71" applyFont="1" applyFill="1" applyBorder="1" applyAlignment="1" applyProtection="1">
      <alignment horizontal="center" vertical="top" wrapText="1"/>
      <protection locked="0"/>
    </xf>
    <xf numFmtId="0" fontId="94" fillId="0" borderId="19" xfId="223" applyFont="1" applyBorder="1" applyAlignment="1" applyProtection="1">
      <protection locked="0"/>
    </xf>
    <xf numFmtId="0" fontId="94" fillId="0" borderId="18" xfId="223" applyFont="1" applyBorder="1" applyAlignment="1" applyProtection="1">
      <protection locked="0"/>
    </xf>
    <xf numFmtId="0" fontId="1" fillId="0" borderId="0" xfId="71" applyAlignment="1" applyProtection="1">
      <alignment vertical="center"/>
      <protection locked="0"/>
    </xf>
    <xf numFmtId="0" fontId="2" fillId="0" borderId="0" xfId="69" applyFont="1" applyAlignment="1" applyProtection="1">
      <alignment wrapText="1"/>
      <protection locked="0"/>
    </xf>
    <xf numFmtId="0" fontId="2" fillId="0" borderId="0" xfId="70" applyFont="1" applyAlignment="1" applyProtection="1">
      <alignment vertical="center" wrapText="1"/>
      <protection locked="0"/>
    </xf>
    <xf numFmtId="0" fontId="1" fillId="26" borderId="53" xfId="21" applyFont="1" applyFill="1" applyBorder="1" applyAlignment="1" applyProtection="1"/>
    <xf numFmtId="0" fontId="1" fillId="0" borderId="53" xfId="21" applyFont="1" applyFill="1" applyBorder="1" applyAlignment="1" applyProtection="1"/>
    <xf numFmtId="0" fontId="50" fillId="0" borderId="0" xfId="71" applyFont="1" applyBorder="1" applyAlignment="1" applyProtection="1">
      <alignment horizontal="center" vertical="center"/>
    </xf>
    <xf numFmtId="0" fontId="1" fillId="0" borderId="0" xfId="71" applyFont="1" applyProtection="1"/>
    <xf numFmtId="0" fontId="1" fillId="41" borderId="0" xfId="71" applyFont="1" applyFill="1" applyProtection="1"/>
    <xf numFmtId="0" fontId="135" fillId="0" borderId="0" xfId="71" applyFont="1" applyBorder="1" applyAlignment="1" applyProtection="1">
      <alignment horizontal="left"/>
    </xf>
    <xf numFmtId="0" fontId="39" fillId="0" borderId="0" xfId="71" applyFont="1" applyBorder="1" applyAlignment="1" applyProtection="1"/>
    <xf numFmtId="0" fontId="4" fillId="0" borderId="164" xfId="21" applyFont="1" applyFill="1" applyBorder="1" applyAlignment="1" applyProtection="1"/>
    <xf numFmtId="0" fontId="4" fillId="0" borderId="162" xfId="21" applyFont="1" applyFill="1" applyBorder="1" applyAlignment="1" applyProtection="1"/>
    <xf numFmtId="0" fontId="4" fillId="0" borderId="162" xfId="21" applyFont="1" applyFill="1" applyBorder="1" applyProtection="1"/>
    <xf numFmtId="0" fontId="4" fillId="0" borderId="163" xfId="21" applyFont="1" applyFill="1" applyBorder="1" applyAlignment="1" applyProtection="1"/>
    <xf numFmtId="0" fontId="5" fillId="0" borderId="29" xfId="21" applyFont="1" applyFill="1" applyBorder="1" applyAlignment="1" applyProtection="1">
      <alignment horizontal="center"/>
    </xf>
    <xf numFmtId="0" fontId="3" fillId="0" borderId="164" xfId="21" applyFont="1" applyFill="1" applyBorder="1" applyAlignment="1" applyProtection="1">
      <alignment horizontal="center"/>
    </xf>
    <xf numFmtId="0" fontId="4" fillId="0" borderId="162" xfId="21" applyFont="1" applyFill="1" applyBorder="1" applyAlignment="1" applyProtection="1">
      <alignment horizontal="right"/>
    </xf>
    <xf numFmtId="0" fontId="5" fillId="0" borderId="162" xfId="21" applyFont="1" applyFill="1" applyBorder="1" applyAlignment="1" applyProtection="1"/>
    <xf numFmtId="0" fontId="5" fillId="0" borderId="0" xfId="21" applyFont="1" applyFill="1" applyAlignment="1" applyProtection="1">
      <alignment horizontal="center"/>
    </xf>
    <xf numFmtId="0" fontId="4" fillId="0" borderId="0" xfId="21" applyFont="1" applyFill="1" applyProtection="1"/>
    <xf numFmtId="0" fontId="4" fillId="0" borderId="19" xfId="21" applyFont="1" applyFill="1" applyBorder="1" applyAlignment="1" applyProtection="1"/>
    <xf numFmtId="0" fontId="4" fillId="26" borderId="0" xfId="21" applyFont="1" applyFill="1" applyBorder="1" applyAlignment="1" applyProtection="1"/>
    <xf numFmtId="0" fontId="4" fillId="26" borderId="0" xfId="21" applyFont="1" applyFill="1" applyBorder="1" applyProtection="1"/>
    <xf numFmtId="0" fontId="1" fillId="26" borderId="0" xfId="21" applyFont="1" applyFill="1" applyBorder="1" applyAlignment="1" applyProtection="1"/>
    <xf numFmtId="0" fontId="4" fillId="26" borderId="0" xfId="21" applyFont="1" applyFill="1" applyProtection="1"/>
    <xf numFmtId="0" fontId="137" fillId="26" borderId="0" xfId="21" applyFont="1" applyFill="1" applyBorder="1" applyAlignment="1" applyProtection="1"/>
    <xf numFmtId="0" fontId="4" fillId="26" borderId="18" xfId="21" applyFont="1" applyFill="1" applyBorder="1" applyAlignment="1" applyProtection="1"/>
    <xf numFmtId="0" fontId="4" fillId="42" borderId="54" xfId="21" applyFont="1" applyFill="1" applyBorder="1" applyAlignment="1" applyProtection="1">
      <protection locked="0"/>
    </xf>
    <xf numFmtId="0" fontId="4" fillId="0" borderId="53" xfId="21" applyFont="1" applyFill="1" applyBorder="1" applyAlignment="1" applyProtection="1"/>
    <xf numFmtId="0" fontId="1" fillId="0" borderId="19" xfId="21" applyFont="1" applyFill="1" applyBorder="1" applyAlignment="1" applyProtection="1"/>
    <xf numFmtId="0" fontId="3" fillId="25" borderId="19" xfId="21" applyFont="1" applyFill="1" applyBorder="1" applyAlignment="1" applyProtection="1">
      <alignment horizontal="center"/>
    </xf>
    <xf numFmtId="0" fontId="3" fillId="25" borderId="0" xfId="21" applyFont="1" applyFill="1" applyBorder="1" applyAlignment="1" applyProtection="1">
      <alignment horizontal="center"/>
    </xf>
    <xf numFmtId="0" fontId="3" fillId="25" borderId="18" xfId="21" applyFont="1" applyFill="1" applyBorder="1" applyAlignment="1" applyProtection="1">
      <alignment horizontal="center"/>
    </xf>
    <xf numFmtId="0" fontId="4" fillId="0" borderId="0" xfId="21" applyFont="1" applyFill="1" applyBorder="1" applyAlignment="1" applyProtection="1"/>
    <xf numFmtId="0" fontId="5" fillId="25" borderId="19" xfId="21" applyFont="1" applyFill="1" applyBorder="1" applyProtection="1"/>
    <xf numFmtId="0" fontId="5" fillId="25" borderId="0" xfId="21" applyFont="1" applyFill="1" applyBorder="1" applyAlignment="1" applyProtection="1">
      <alignment horizontal="center"/>
    </xf>
    <xf numFmtId="0" fontId="5" fillId="25" borderId="19" xfId="21" applyFont="1" applyFill="1" applyBorder="1" applyAlignment="1" applyProtection="1">
      <alignment horizontal="center"/>
    </xf>
    <xf numFmtId="0" fontId="5" fillId="25" borderId="18" xfId="21" applyFont="1" applyFill="1" applyBorder="1" applyAlignment="1" applyProtection="1">
      <alignment horizontal="center"/>
    </xf>
    <xf numFmtId="0" fontId="1" fillId="25" borderId="19" xfId="21" applyFont="1" applyFill="1" applyBorder="1" applyAlignment="1" applyProtection="1">
      <alignment vertical="center"/>
    </xf>
    <xf numFmtId="0" fontId="3" fillId="25" borderId="0" xfId="21" applyFont="1" applyFill="1" applyBorder="1" applyAlignment="1" applyProtection="1">
      <alignment vertical="center"/>
    </xf>
    <xf numFmtId="0" fontId="3" fillId="25" borderId="18" xfId="21" applyFont="1" applyFill="1" applyBorder="1" applyAlignment="1" applyProtection="1">
      <alignment vertical="center"/>
    </xf>
    <xf numFmtId="0" fontId="1" fillId="0" borderId="18" xfId="21" applyFont="1" applyFill="1" applyBorder="1" applyAlignment="1" applyProtection="1">
      <alignment horizontal="center"/>
    </xf>
    <xf numFmtId="0" fontId="110" fillId="26" borderId="19" xfId="0" applyFont="1" applyFill="1" applyBorder="1" applyAlignment="1" applyProtection="1">
      <alignment horizontal="left" vertical="center" wrapText="1"/>
    </xf>
    <xf numFmtId="0" fontId="110" fillId="26" borderId="0" xfId="0" applyFont="1" applyFill="1" applyBorder="1" applyAlignment="1" applyProtection="1">
      <alignment horizontal="left" vertical="center" wrapText="1"/>
    </xf>
    <xf numFmtId="0" fontId="110" fillId="26" borderId="18" xfId="0" applyFont="1" applyFill="1" applyBorder="1" applyAlignment="1" applyProtection="1">
      <alignment horizontal="left" vertical="center" wrapText="1"/>
    </xf>
    <xf numFmtId="0" fontId="1" fillId="0" borderId="19" xfId="21" applyFont="1" applyFill="1" applyBorder="1" applyAlignment="1" applyProtection="1">
      <alignment vertical="center"/>
    </xf>
    <xf numFmtId="0" fontId="135" fillId="0" borderId="0" xfId="21" applyFont="1" applyFill="1" applyBorder="1" applyProtection="1"/>
    <xf numFmtId="0" fontId="135" fillId="0" borderId="0" xfId="21" applyFont="1" applyFill="1" applyBorder="1" applyAlignment="1" applyProtection="1"/>
    <xf numFmtId="0" fontId="135" fillId="0" borderId="18" xfId="21" applyFont="1" applyFill="1" applyBorder="1" applyAlignment="1" applyProtection="1"/>
    <xf numFmtId="0" fontId="1" fillId="26" borderId="19" xfId="21" applyFont="1" applyFill="1" applyBorder="1" applyAlignment="1" applyProtection="1"/>
    <xf numFmtId="0" fontId="1" fillId="26" borderId="18" xfId="21" applyFont="1" applyFill="1" applyBorder="1" applyAlignment="1" applyProtection="1"/>
    <xf numFmtId="0" fontId="1" fillId="0" borderId="53" xfId="21" applyFont="1" applyFill="1" applyBorder="1" applyAlignment="1" applyProtection="1">
      <alignment horizontal="center"/>
    </xf>
    <xf numFmtId="0" fontId="1" fillId="0" borderId="0" xfId="21" applyFont="1" applyFill="1" applyBorder="1" applyAlignment="1" applyProtection="1"/>
    <xf numFmtId="0" fontId="135" fillId="26" borderId="0" xfId="21" applyFont="1" applyFill="1" applyBorder="1" applyAlignment="1" applyProtection="1">
      <alignment vertical="center"/>
    </xf>
    <xf numFmtId="0" fontId="1" fillId="0" borderId="19" xfId="21" applyFont="1" applyFill="1" applyBorder="1" applyProtection="1"/>
    <xf numFmtId="0" fontId="1" fillId="26" borderId="0" xfId="21" applyFont="1" applyFill="1" applyBorder="1" applyProtection="1"/>
    <xf numFmtId="0" fontId="1" fillId="0" borderId="0" xfId="21" applyFont="1" applyFill="1" applyBorder="1" applyAlignment="1" applyProtection="1">
      <alignment horizontal="center"/>
    </xf>
    <xf numFmtId="0" fontId="1" fillId="0" borderId="15" xfId="21" applyFont="1" applyFill="1" applyBorder="1" applyAlignment="1" applyProtection="1"/>
    <xf numFmtId="0" fontId="43" fillId="0" borderId="0" xfId="21" applyFont="1" applyFill="1" applyBorder="1" applyAlignment="1" applyProtection="1"/>
    <xf numFmtId="0" fontId="1" fillId="0" borderId="162" xfId="21" applyFont="1" applyFill="1" applyBorder="1" applyAlignment="1" applyProtection="1"/>
    <xf numFmtId="0" fontId="135" fillId="0" borderId="0" xfId="21" applyFont="1" applyFill="1" applyBorder="1" applyAlignment="1" applyProtection="1">
      <alignment vertical="center"/>
    </xf>
    <xf numFmtId="0" fontId="1" fillId="0" borderId="19" xfId="71" applyFont="1" applyFill="1" applyBorder="1" applyProtection="1"/>
    <xf numFmtId="0" fontId="1" fillId="26" borderId="0" xfId="71" applyFont="1" applyFill="1" applyBorder="1" applyProtection="1"/>
    <xf numFmtId="0" fontId="1" fillId="26" borderId="18" xfId="71" applyFont="1" applyFill="1" applyBorder="1" applyProtection="1"/>
    <xf numFmtId="0" fontId="4" fillId="0" borderId="0" xfId="71" applyFont="1" applyFill="1" applyProtection="1"/>
    <xf numFmtId="0" fontId="1" fillId="26" borderId="19" xfId="21" applyFont="1" applyFill="1" applyBorder="1" applyAlignment="1" applyProtection="1">
      <alignment vertical="center"/>
    </xf>
    <xf numFmtId="0" fontId="54" fillId="26" borderId="18" xfId="21" applyFont="1" applyFill="1" applyBorder="1" applyAlignment="1" applyProtection="1">
      <alignment horizontal="justify" vertical="center" wrapText="1"/>
    </xf>
    <xf numFmtId="0" fontId="54" fillId="26" borderId="0" xfId="21" applyFont="1" applyFill="1" applyBorder="1" applyAlignment="1" applyProtection="1">
      <alignment horizontal="justify" vertical="center" wrapText="1"/>
    </xf>
    <xf numFmtId="14" fontId="54" fillId="26" borderId="0" xfId="21" applyNumberFormat="1" applyFont="1" applyFill="1" applyBorder="1" applyAlignment="1" applyProtection="1">
      <alignment horizontal="justify" vertical="center" wrapText="1"/>
    </xf>
    <xf numFmtId="0" fontId="1" fillId="0" borderId="0" xfId="21" applyFont="1" applyFill="1" applyBorder="1" applyAlignment="1" applyProtection="1">
      <alignment vertical="center"/>
    </xf>
    <xf numFmtId="0" fontId="1" fillId="26" borderId="0" xfId="21" applyFont="1" applyFill="1" applyBorder="1" applyAlignment="1" applyProtection="1">
      <alignment vertical="center"/>
    </xf>
    <xf numFmtId="0" fontId="3" fillId="26" borderId="0" xfId="21" applyFont="1" applyFill="1" applyBorder="1" applyAlignment="1" applyProtection="1">
      <alignment vertical="center"/>
    </xf>
    <xf numFmtId="0" fontId="8" fillId="26" borderId="0" xfId="21" applyFont="1" applyFill="1" applyBorder="1" applyAlignment="1" applyProtection="1">
      <alignment horizontal="justify" vertical="center" wrapText="1"/>
    </xf>
    <xf numFmtId="0" fontId="54" fillId="0" borderId="0" xfId="21" applyFont="1" applyFill="1" applyBorder="1" applyAlignment="1" applyProtection="1">
      <alignment horizontal="justify" vertical="center" wrapText="1"/>
    </xf>
    <xf numFmtId="0" fontId="1" fillId="0" borderId="18" xfId="21" applyFont="1" applyFill="1" applyBorder="1" applyAlignment="1" applyProtection="1">
      <alignment vertical="center"/>
    </xf>
    <xf numFmtId="0" fontId="135" fillId="26" borderId="160" xfId="21" applyFont="1" applyFill="1" applyBorder="1" applyAlignment="1" applyProtection="1">
      <alignment vertical="center"/>
    </xf>
    <xf numFmtId="0" fontId="1" fillId="0" borderId="160" xfId="21" applyFont="1" applyFill="1" applyBorder="1" applyAlignment="1" applyProtection="1">
      <alignment vertical="center"/>
    </xf>
    <xf numFmtId="0" fontId="1" fillId="0" borderId="14" xfId="21" applyFont="1" applyFill="1" applyBorder="1" applyAlignment="1" applyProtection="1">
      <alignment vertical="center"/>
    </xf>
    <xf numFmtId="0" fontId="54" fillId="0" borderId="0" xfId="21" applyFont="1" applyFill="1" applyBorder="1" applyAlignment="1" applyProtection="1">
      <alignment vertical="center" wrapText="1"/>
    </xf>
    <xf numFmtId="0" fontId="139" fillId="26" borderId="0" xfId="21" applyFont="1" applyFill="1" applyBorder="1" applyAlignment="1" applyProtection="1">
      <alignment horizontal="left" vertical="center"/>
    </xf>
    <xf numFmtId="0" fontId="139" fillId="26" borderId="0" xfId="21" applyFont="1" applyFill="1" applyBorder="1" applyAlignment="1" applyProtection="1">
      <alignment vertical="center"/>
    </xf>
    <xf numFmtId="168" fontId="1" fillId="26" borderId="0" xfId="21" applyNumberFormat="1" applyFont="1" applyFill="1" applyBorder="1" applyAlignment="1" applyProtection="1">
      <alignment vertical="center"/>
    </xf>
    <xf numFmtId="0" fontId="1" fillId="26" borderId="18" xfId="21" applyFont="1" applyFill="1" applyBorder="1" applyAlignment="1" applyProtection="1">
      <alignment vertical="center"/>
    </xf>
    <xf numFmtId="0" fontId="3" fillId="0" borderId="19" xfId="21" applyFont="1" applyFill="1" applyBorder="1" applyAlignment="1" applyProtection="1">
      <alignment vertical="center"/>
    </xf>
    <xf numFmtId="0" fontId="8" fillId="0" borderId="0" xfId="21" applyFont="1" applyFill="1" applyBorder="1" applyAlignment="1" applyProtection="1">
      <alignment vertical="center"/>
    </xf>
    <xf numFmtId="0" fontId="3" fillId="26" borderId="19" xfId="21" applyFont="1" applyFill="1" applyBorder="1" applyAlignment="1" applyProtection="1">
      <alignment horizontal="center"/>
    </xf>
    <xf numFmtId="0" fontId="3" fillId="26" borderId="18" xfId="21" applyFont="1" applyFill="1" applyBorder="1" applyAlignment="1" applyProtection="1">
      <alignment horizontal="center"/>
    </xf>
    <xf numFmtId="0" fontId="43" fillId="0" borderId="19" xfId="21" applyFont="1" applyFill="1" applyBorder="1" applyAlignment="1" applyProtection="1">
      <alignment vertical="center" wrapText="1"/>
    </xf>
    <xf numFmtId="0" fontId="43" fillId="0" borderId="18" xfId="21" applyFont="1" applyFill="1" applyBorder="1" applyAlignment="1" applyProtection="1">
      <alignment vertical="center" wrapText="1"/>
    </xf>
    <xf numFmtId="0" fontId="43" fillId="0" borderId="0" xfId="21" applyFont="1" applyFill="1" applyBorder="1" applyAlignment="1" applyProtection="1">
      <alignment vertical="center" wrapText="1"/>
    </xf>
    <xf numFmtId="0" fontId="1" fillId="0" borderId="15" xfId="21" quotePrefix="1" applyFont="1" applyFill="1" applyBorder="1" applyAlignment="1" applyProtection="1">
      <alignment vertical="center"/>
    </xf>
    <xf numFmtId="0" fontId="1" fillId="0" borderId="14" xfId="21" quotePrefix="1" applyFont="1" applyFill="1" applyBorder="1" applyAlignment="1" applyProtection="1">
      <alignment vertical="center"/>
    </xf>
    <xf numFmtId="0" fontId="43" fillId="0" borderId="15" xfId="21" applyFont="1" applyFill="1" applyBorder="1" applyAlignment="1" applyProtection="1">
      <alignment vertical="center" wrapText="1"/>
    </xf>
    <xf numFmtId="0" fontId="43" fillId="0" borderId="160" xfId="21" applyFont="1" applyFill="1" applyBorder="1" applyAlignment="1" applyProtection="1">
      <alignment vertical="center" wrapText="1"/>
    </xf>
    <xf numFmtId="0" fontId="43" fillId="0" borderId="14" xfId="21" applyFont="1" applyFill="1" applyBorder="1" applyAlignment="1" applyProtection="1">
      <alignment vertical="center" wrapText="1"/>
    </xf>
    <xf numFmtId="0" fontId="8" fillId="26" borderId="0" xfId="21" applyFont="1" applyFill="1" applyBorder="1" applyAlignment="1" applyProtection="1">
      <alignment horizontal="center" vertical="center"/>
    </xf>
    <xf numFmtId="0" fontId="140" fillId="0" borderId="19" xfId="21" applyFont="1" applyFill="1" applyBorder="1" applyAlignment="1" applyProtection="1">
      <alignment vertical="center"/>
    </xf>
    <xf numFmtId="0" fontId="140" fillId="0" borderId="0" xfId="21" applyFont="1" applyFill="1" applyBorder="1" applyAlignment="1" applyProtection="1">
      <alignment vertical="center"/>
    </xf>
    <xf numFmtId="0" fontId="1" fillId="0" borderId="0" xfId="21" applyFont="1" applyFill="1" applyBorder="1" applyAlignment="1" applyProtection="1">
      <alignment horizontal="center" vertical="center"/>
    </xf>
    <xf numFmtId="0" fontId="140" fillId="0" borderId="18" xfId="21" applyFont="1" applyFill="1" applyBorder="1" applyAlignment="1" applyProtection="1">
      <alignment vertical="center"/>
    </xf>
    <xf numFmtId="0" fontId="140" fillId="0" borderId="0" xfId="71" applyFont="1" applyFill="1" applyBorder="1" applyAlignment="1" applyProtection="1">
      <alignment horizontal="center"/>
    </xf>
    <xf numFmtId="0" fontId="1" fillId="0" borderId="0" xfId="71" applyFont="1" applyFill="1" applyBorder="1" applyAlignment="1" applyProtection="1">
      <alignment horizontal="center" vertical="center"/>
    </xf>
    <xf numFmtId="0" fontId="140" fillId="0" borderId="0" xfId="71" applyFont="1" applyFill="1" applyBorder="1" applyAlignment="1" applyProtection="1">
      <alignment horizontal="center" vertical="center"/>
    </xf>
    <xf numFmtId="0" fontId="1" fillId="0" borderId="50" xfId="71" applyFont="1" applyFill="1" applyBorder="1" applyAlignment="1" applyProtection="1">
      <alignment horizontal="center" vertical="center"/>
    </xf>
    <xf numFmtId="0" fontId="1" fillId="0" borderId="19" xfId="71" applyFont="1" applyFill="1" applyBorder="1" applyAlignment="1" applyProtection="1">
      <alignment vertical="center"/>
    </xf>
    <xf numFmtId="0" fontId="1" fillId="0" borderId="0" xfId="71" applyFont="1" applyFill="1" applyBorder="1" applyAlignment="1" applyProtection="1">
      <alignment vertical="center"/>
    </xf>
    <xf numFmtId="0" fontId="2" fillId="0" borderId="0" xfId="71" applyFont="1" applyFill="1" applyBorder="1" applyAlignment="1" applyProtection="1">
      <alignment horizontal="center" wrapText="1"/>
    </xf>
    <xf numFmtId="0" fontId="1" fillId="0" borderId="0" xfId="21" applyFont="1" applyFill="1" applyProtection="1"/>
    <xf numFmtId="0" fontId="1" fillId="0" borderId="0" xfId="21" applyFont="1" applyFill="1" applyBorder="1" applyProtection="1"/>
    <xf numFmtId="0" fontId="1" fillId="0" borderId="18" xfId="21" applyFont="1" applyFill="1" applyBorder="1" applyProtection="1"/>
    <xf numFmtId="0" fontId="1" fillId="0" borderId="15" xfId="21" applyFont="1" applyFill="1" applyBorder="1" applyProtection="1"/>
    <xf numFmtId="0" fontId="1" fillId="0" borderId="160" xfId="21" applyFont="1" applyFill="1" applyBorder="1" applyProtection="1"/>
    <xf numFmtId="0" fontId="1" fillId="0" borderId="14" xfId="21" applyFont="1" applyFill="1" applyBorder="1" applyProtection="1"/>
    <xf numFmtId="0" fontId="4" fillId="0" borderId="0" xfId="544" applyFont="1" applyBorder="1" applyProtection="1">
      <protection locked="0"/>
    </xf>
    <xf numFmtId="0" fontId="4" fillId="0" borderId="0" xfId="544" applyFont="1" applyProtection="1">
      <protection locked="0"/>
    </xf>
    <xf numFmtId="0" fontId="4" fillId="26" borderId="0" xfId="544" applyFont="1" applyFill="1" applyBorder="1" applyProtection="1">
      <protection locked="0"/>
    </xf>
    <xf numFmtId="0" fontId="16" fillId="26" borderId="0" xfId="544" applyFont="1" applyFill="1" applyBorder="1" applyAlignment="1" applyProtection="1">
      <alignment horizontal="left" vertical="center"/>
      <protection locked="0"/>
    </xf>
    <xf numFmtId="0" fontId="16" fillId="26" borderId="0" xfId="544" applyFont="1" applyFill="1" applyBorder="1" applyAlignment="1" applyProtection="1">
      <alignment horizontal="center" vertical="center"/>
      <protection locked="0"/>
    </xf>
    <xf numFmtId="0" fontId="2" fillId="26" borderId="162" xfId="544" applyFont="1" applyFill="1" applyBorder="1" applyAlignment="1" applyProtection="1">
      <alignment vertical="center"/>
    </xf>
    <xf numFmtId="0" fontId="2" fillId="2" borderId="163" xfId="544" applyFont="1" applyFill="1" applyBorder="1" applyAlignment="1" applyProtection="1">
      <alignment horizontal="left" vertical="center"/>
      <protection locked="0"/>
    </xf>
    <xf numFmtId="0" fontId="42" fillId="26" borderId="0" xfId="544" applyFont="1" applyFill="1" applyBorder="1" applyAlignment="1" applyProtection="1">
      <alignment vertical="center"/>
    </xf>
    <xf numFmtId="0" fontId="2" fillId="26" borderId="0" xfId="544" applyFont="1" applyFill="1" applyBorder="1" applyAlignment="1" applyProtection="1">
      <alignment vertical="center"/>
    </xf>
    <xf numFmtId="168" fontId="2" fillId="26" borderId="18" xfId="544" applyNumberFormat="1" applyFont="1" applyFill="1" applyBorder="1" applyAlignment="1" applyProtection="1">
      <alignment horizontal="left" vertical="center"/>
    </xf>
    <xf numFmtId="0" fontId="4" fillId="26" borderId="0" xfId="544" applyFont="1" applyFill="1" applyBorder="1" applyAlignment="1" applyProtection="1">
      <alignment horizontal="center"/>
      <protection locked="0"/>
    </xf>
    <xf numFmtId="0" fontId="2" fillId="26" borderId="0" xfId="71" applyFont="1" applyFill="1" applyBorder="1" applyAlignment="1" applyProtection="1">
      <protection locked="0"/>
    </xf>
    <xf numFmtId="168" fontId="2" fillId="26" borderId="18" xfId="544" applyNumberFormat="1" applyFont="1" applyFill="1" applyBorder="1" applyAlignment="1" applyProtection="1">
      <alignment horizontal="left" vertical="center"/>
      <protection locked="0"/>
    </xf>
    <xf numFmtId="0" fontId="1" fillId="26" borderId="53" xfId="21" applyFont="1" applyFill="1" applyBorder="1" applyAlignment="1" applyProtection="1">
      <protection locked="0"/>
    </xf>
    <xf numFmtId="0" fontId="2" fillId="26" borderId="0" xfId="544" applyFont="1" applyFill="1" applyBorder="1" applyProtection="1">
      <protection locked="0"/>
    </xf>
    <xf numFmtId="0" fontId="2" fillId="26" borderId="0" xfId="544" applyFont="1" applyFill="1" applyBorder="1" applyAlignment="1" applyProtection="1">
      <alignment horizontal="left" vertical="center"/>
      <protection locked="0"/>
    </xf>
    <xf numFmtId="0" fontId="2" fillId="26" borderId="0" xfId="544" applyFont="1" applyFill="1" applyBorder="1" applyAlignment="1" applyProtection="1">
      <alignment horizontal="center" vertical="center"/>
      <protection locked="0"/>
    </xf>
    <xf numFmtId="0" fontId="2" fillId="2" borderId="0" xfId="544" applyFont="1" applyFill="1" applyProtection="1">
      <protection locked="0"/>
    </xf>
    <xf numFmtId="0" fontId="5" fillId="26" borderId="15" xfId="0" applyFont="1" applyFill="1" applyBorder="1" applyAlignment="1" applyProtection="1">
      <alignment vertical="center"/>
    </xf>
    <xf numFmtId="0" fontId="5" fillId="26" borderId="160" xfId="0" applyFont="1" applyFill="1" applyBorder="1" applyAlignment="1" applyProtection="1">
      <alignment vertical="center"/>
    </xf>
    <xf numFmtId="0" fontId="2" fillId="26" borderId="160" xfId="544" applyFont="1" applyFill="1" applyBorder="1" applyAlignment="1" applyProtection="1">
      <alignment vertical="center"/>
    </xf>
    <xf numFmtId="0" fontId="5" fillId="2" borderId="160" xfId="544" applyFont="1" applyFill="1" applyBorder="1" applyAlignment="1" applyProtection="1">
      <alignment vertical="center"/>
      <protection locked="0"/>
    </xf>
    <xf numFmtId="168" fontId="2" fillId="26" borderId="14" xfId="544" applyNumberFormat="1" applyFont="1" applyFill="1" applyBorder="1" applyAlignment="1" applyProtection="1">
      <alignment horizontal="left" vertical="center"/>
    </xf>
    <xf numFmtId="0" fontId="5" fillId="28" borderId="9" xfId="544" applyFont="1" applyFill="1" applyBorder="1" applyAlignment="1" applyProtection="1">
      <alignment horizontal="center" vertical="center"/>
      <protection locked="0"/>
    </xf>
    <xf numFmtId="168" fontId="2" fillId="26" borderId="0" xfId="544" applyNumberFormat="1" applyFont="1" applyFill="1" applyBorder="1" applyAlignment="1" applyProtection="1">
      <alignment horizontal="left" vertical="center"/>
      <protection locked="0"/>
    </xf>
    <xf numFmtId="0" fontId="2" fillId="2" borderId="0" xfId="544" applyFont="1" applyFill="1" applyAlignment="1" applyProtection="1">
      <alignment horizontal="left" vertical="center"/>
      <protection locked="0"/>
    </xf>
    <xf numFmtId="0" fontId="4" fillId="2" borderId="0" xfId="544" applyFont="1" applyFill="1" applyAlignment="1" applyProtection="1">
      <alignment horizontal="left" vertical="center"/>
      <protection locked="0"/>
    </xf>
    <xf numFmtId="0" fontId="4" fillId="0" borderId="18" xfId="544" applyFont="1" applyBorder="1" applyAlignment="1" applyProtection="1">
      <alignment horizontal="center" vertical="center"/>
      <protection locked="0"/>
    </xf>
    <xf numFmtId="0" fontId="4" fillId="0" borderId="0" xfId="544" applyFont="1" applyBorder="1" applyAlignment="1" applyProtection="1">
      <alignment horizontal="center" vertical="center"/>
      <protection locked="0"/>
    </xf>
    <xf numFmtId="0" fontId="5" fillId="25" borderId="10" xfId="544" applyFont="1" applyFill="1" applyBorder="1" applyAlignment="1" applyProtection="1">
      <alignment vertical="center" wrapText="1"/>
    </xf>
    <xf numFmtId="0" fontId="2" fillId="2" borderId="0" xfId="544" applyFont="1" applyFill="1" applyBorder="1" applyAlignment="1" applyProtection="1">
      <alignment vertical="center"/>
      <protection locked="0"/>
    </xf>
    <xf numFmtId="0" fontId="2" fillId="2" borderId="0" xfId="544" applyFont="1" applyFill="1" applyAlignment="1" applyProtection="1">
      <alignment vertical="center"/>
      <protection locked="0"/>
    </xf>
    <xf numFmtId="0" fontId="99" fillId="0" borderId="172" xfId="544" applyFont="1" applyBorder="1" applyAlignment="1" applyProtection="1">
      <alignment horizontal="center" vertical="center" wrapText="1"/>
    </xf>
    <xf numFmtId="0" fontId="42" fillId="2" borderId="0" xfId="544" applyFont="1" applyFill="1" applyBorder="1" applyAlignment="1" applyProtection="1">
      <alignment vertical="center"/>
      <protection locked="0"/>
    </xf>
    <xf numFmtId="0" fontId="42" fillId="2" borderId="0" xfId="544" applyFont="1" applyFill="1" applyAlignment="1" applyProtection="1">
      <alignment vertical="center"/>
      <protection locked="0"/>
    </xf>
    <xf numFmtId="0" fontId="5" fillId="25" borderId="172" xfId="544" applyFont="1" applyFill="1" applyBorder="1" applyAlignment="1" applyProtection="1">
      <alignment horizontal="center" vertical="center" wrapText="1"/>
    </xf>
    <xf numFmtId="0" fontId="42" fillId="2" borderId="0" xfId="544" applyFont="1" applyFill="1" applyBorder="1" applyAlignment="1" applyProtection="1">
      <alignment vertical="center"/>
    </xf>
    <xf numFmtId="0" fontId="42" fillId="2" borderId="0" xfId="544" applyFont="1" applyFill="1" applyAlignment="1" applyProtection="1">
      <alignment vertical="center"/>
    </xf>
    <xf numFmtId="0" fontId="42" fillId="43" borderId="173" xfId="544" applyFont="1" applyFill="1" applyBorder="1" applyAlignment="1" applyProtection="1">
      <alignment horizontal="center" vertical="center" wrapText="1"/>
    </xf>
    <xf numFmtId="0" fontId="42" fillId="43" borderId="83" xfId="544" applyFont="1" applyFill="1" applyBorder="1" applyAlignment="1" applyProtection="1">
      <alignment horizontal="center" vertical="center" wrapText="1"/>
    </xf>
    <xf numFmtId="0" fontId="42" fillId="43" borderId="85" xfId="544" applyFont="1" applyFill="1" applyBorder="1" applyAlignment="1" applyProtection="1">
      <alignment horizontal="center" vertical="center" wrapText="1"/>
    </xf>
    <xf numFmtId="0" fontId="42" fillId="43" borderId="174" xfId="544" applyFont="1" applyFill="1" applyBorder="1" applyAlignment="1" applyProtection="1">
      <alignment horizontal="center" vertical="center" wrapText="1"/>
    </xf>
    <xf numFmtId="1" fontId="95" fillId="0" borderId="180" xfId="544" applyNumberFormat="1" applyFont="1" applyBorder="1" applyAlignment="1" applyProtection="1">
      <alignment horizontal="center" vertical="center"/>
    </xf>
    <xf numFmtId="0" fontId="2" fillId="2" borderId="0" xfId="544" applyFont="1" applyFill="1" applyBorder="1" applyAlignment="1" applyProtection="1">
      <alignment vertical="center"/>
    </xf>
    <xf numFmtId="0" fontId="2" fillId="2" borderId="0" xfId="544" applyFont="1" applyFill="1" applyAlignment="1" applyProtection="1">
      <alignment vertical="center"/>
    </xf>
    <xf numFmtId="0" fontId="2" fillId="0" borderId="181" xfId="544" applyFont="1" applyBorder="1" applyAlignment="1" applyProtection="1">
      <alignment horizontal="center" vertical="center"/>
    </xf>
    <xf numFmtId="0" fontId="2" fillId="0" borderId="10" xfId="544" applyFont="1" applyBorder="1" applyAlignment="1" applyProtection="1">
      <alignment horizontal="center" vertical="center"/>
    </xf>
    <xf numFmtId="0" fontId="2" fillId="0" borderId="11" xfId="544" applyFont="1" applyBorder="1" applyAlignment="1" applyProtection="1">
      <alignment horizontal="center" vertical="center"/>
    </xf>
    <xf numFmtId="0" fontId="2" fillId="0" borderId="49" xfId="544" applyFont="1" applyBorder="1" applyAlignment="1" applyProtection="1">
      <alignment horizontal="center" vertical="center"/>
    </xf>
    <xf numFmtId="0" fontId="2" fillId="0" borderId="182" xfId="544" applyFont="1" applyBorder="1" applyAlignment="1" applyProtection="1">
      <alignment horizontal="center" vertical="center"/>
    </xf>
    <xf numFmtId="1" fontId="95" fillId="0" borderId="188" xfId="544" applyNumberFormat="1" applyFont="1" applyBorder="1" applyAlignment="1" applyProtection="1">
      <alignment horizontal="center" vertical="center"/>
    </xf>
    <xf numFmtId="0" fontId="2" fillId="2" borderId="0" xfId="544" applyFont="1" applyFill="1" applyBorder="1" applyProtection="1"/>
    <xf numFmtId="0" fontId="2" fillId="2" borderId="0" xfId="544" applyFont="1" applyFill="1" applyProtection="1"/>
    <xf numFmtId="0" fontId="42" fillId="43" borderId="181" xfId="544" applyFont="1" applyFill="1" applyBorder="1" applyAlignment="1" applyProtection="1">
      <alignment horizontal="center" vertical="center" wrapText="1"/>
    </xf>
    <xf numFmtId="0" fontId="42" fillId="43" borderId="10" xfId="544" applyFont="1" applyFill="1" applyBorder="1" applyAlignment="1" applyProtection="1">
      <alignment horizontal="center" vertical="center" wrapText="1"/>
    </xf>
    <xf numFmtId="0" fontId="42" fillId="43" borderId="49" xfId="544" applyFont="1" applyFill="1" applyBorder="1" applyAlignment="1" applyProtection="1">
      <alignment horizontal="center" vertical="center" wrapText="1"/>
    </xf>
    <xf numFmtId="0" fontId="42" fillId="43" borderId="189" xfId="544" applyFont="1" applyFill="1" applyBorder="1" applyAlignment="1" applyProtection="1">
      <alignment horizontal="center" vertical="center" wrapText="1"/>
    </xf>
    <xf numFmtId="1" fontId="95" fillId="0" borderId="196" xfId="544" applyNumberFormat="1" applyFont="1" applyBorder="1" applyAlignment="1" applyProtection="1">
      <alignment horizontal="center" vertical="center"/>
    </xf>
    <xf numFmtId="0" fontId="2" fillId="0" borderId="197" xfId="544" applyFont="1" applyBorder="1" applyAlignment="1" applyProtection="1">
      <alignment horizontal="center" vertical="center"/>
    </xf>
    <xf numFmtId="0" fontId="2" fillId="0" borderId="43" xfId="544" applyFont="1" applyBorder="1" applyAlignment="1" applyProtection="1">
      <alignment horizontal="center" vertical="center"/>
    </xf>
    <xf numFmtId="0" fontId="2" fillId="0" borderId="42" xfId="544" applyFont="1" applyBorder="1" applyAlignment="1" applyProtection="1">
      <alignment horizontal="center" vertical="center"/>
    </xf>
    <xf numFmtId="0" fontId="2" fillId="0" borderId="8" xfId="544" applyFont="1" applyBorder="1" applyAlignment="1" applyProtection="1">
      <alignment horizontal="center" vertical="center"/>
    </xf>
    <xf numFmtId="0" fontId="2" fillId="0" borderId="198" xfId="544" applyFont="1" applyBorder="1" applyAlignment="1" applyProtection="1">
      <alignment horizontal="center" vertical="center"/>
    </xf>
    <xf numFmtId="1" fontId="95" fillId="0" borderId="207" xfId="544" applyNumberFormat="1" applyFont="1" applyBorder="1" applyAlignment="1" applyProtection="1">
      <alignment horizontal="center" vertical="center"/>
    </xf>
    <xf numFmtId="0" fontId="2" fillId="0" borderId="208" xfId="544" applyFont="1" applyBorder="1" applyAlignment="1" applyProtection="1">
      <alignment horizontal="center" vertical="center"/>
    </xf>
    <xf numFmtId="0" fontId="2" fillId="0" borderId="5" xfId="544" applyFont="1" applyBorder="1" applyAlignment="1" applyProtection="1">
      <alignment horizontal="center" vertical="center"/>
    </xf>
    <xf numFmtId="0" fontId="2" fillId="0" borderId="6" xfId="544" applyFont="1" applyBorder="1" applyAlignment="1" applyProtection="1">
      <alignment horizontal="center" vertical="center"/>
    </xf>
    <xf numFmtId="0" fontId="2" fillId="0" borderId="4" xfId="544" applyFont="1" applyBorder="1" applyAlignment="1" applyProtection="1">
      <alignment horizontal="center" vertical="center"/>
    </xf>
    <xf numFmtId="0" fontId="2" fillId="0" borderId="209" xfId="544" applyFont="1" applyBorder="1" applyAlignment="1" applyProtection="1">
      <alignment horizontal="center" vertical="center"/>
    </xf>
    <xf numFmtId="0" fontId="95" fillId="25" borderId="172" xfId="544" applyFont="1" applyFill="1" applyBorder="1" applyAlignment="1" applyProtection="1">
      <alignment horizontal="center" vertical="center" wrapText="1"/>
    </xf>
    <xf numFmtId="0" fontId="95" fillId="0" borderId="210" xfId="544" applyFont="1" applyBorder="1" applyAlignment="1" applyProtection="1">
      <alignment horizontal="center" vertical="center"/>
    </xf>
    <xf numFmtId="0" fontId="2" fillId="0" borderId="211" xfId="544" applyFont="1" applyBorder="1" applyAlignment="1" applyProtection="1">
      <alignment horizontal="center" vertical="center"/>
    </xf>
    <xf numFmtId="0" fontId="2" fillId="0" borderId="3" xfId="544" applyFont="1" applyBorder="1" applyAlignment="1" applyProtection="1">
      <alignment horizontal="center" vertical="center"/>
    </xf>
    <xf numFmtId="0" fontId="2" fillId="0" borderId="1" xfId="544" applyFont="1" applyBorder="1" applyAlignment="1" applyProtection="1">
      <alignment horizontal="center" vertical="center"/>
    </xf>
    <xf numFmtId="0" fontId="2" fillId="0" borderId="2" xfId="544" applyFont="1" applyBorder="1" applyAlignment="1" applyProtection="1">
      <alignment horizontal="center" vertical="center"/>
    </xf>
    <xf numFmtId="1" fontId="95" fillId="0" borderId="74" xfId="544" applyNumberFormat="1" applyFont="1" applyBorder="1" applyAlignment="1" applyProtection="1">
      <alignment horizontal="center" vertical="center"/>
    </xf>
    <xf numFmtId="1" fontId="95" fillId="0" borderId="35" xfId="544" applyNumberFormat="1" applyFont="1" applyBorder="1" applyAlignment="1" applyProtection="1">
      <alignment horizontal="center" vertical="center"/>
    </xf>
    <xf numFmtId="0" fontId="2" fillId="0" borderId="217" xfId="544" applyFont="1" applyBorder="1" applyAlignment="1" applyProtection="1">
      <alignment horizontal="center" vertical="center"/>
    </xf>
    <xf numFmtId="0" fontId="2" fillId="0" borderId="218" xfId="544" applyFont="1" applyBorder="1" applyAlignment="1" applyProtection="1">
      <alignment horizontal="center" vertical="center"/>
    </xf>
    <xf numFmtId="0" fontId="2" fillId="0" borderId="222" xfId="544" applyFont="1" applyBorder="1" applyAlignment="1" applyProtection="1">
      <alignment horizontal="center" vertical="center"/>
    </xf>
    <xf numFmtId="0" fontId="2" fillId="0" borderId="223" xfId="544" applyFont="1" applyBorder="1" applyAlignment="1" applyProtection="1">
      <alignment horizontal="center" vertical="center"/>
    </xf>
    <xf numFmtId="0" fontId="2" fillId="0" borderId="226" xfId="544" applyFont="1" applyBorder="1" applyAlignment="1" applyProtection="1">
      <alignment horizontal="center" vertical="center"/>
    </xf>
    <xf numFmtId="0" fontId="2" fillId="0" borderId="227" xfId="544" applyFont="1" applyBorder="1" applyAlignment="1" applyProtection="1">
      <alignment horizontal="center" vertical="center"/>
    </xf>
    <xf numFmtId="0" fontId="2" fillId="0" borderId="228" xfId="544" applyFont="1" applyBorder="1" applyAlignment="1" applyProtection="1">
      <alignment horizontal="center" vertical="center"/>
    </xf>
    <xf numFmtId="1" fontId="95" fillId="0" borderId="233" xfId="544" applyNumberFormat="1" applyFont="1" applyBorder="1" applyAlignment="1" applyProtection="1">
      <alignment horizontal="center" vertical="center"/>
    </xf>
    <xf numFmtId="1" fontId="95" fillId="0" borderId="237" xfId="544" applyNumberFormat="1" applyFont="1" applyBorder="1" applyAlignment="1" applyProtection="1">
      <alignment horizontal="center" vertical="center"/>
    </xf>
    <xf numFmtId="0" fontId="95" fillId="25" borderId="9" xfId="544" applyFont="1" applyFill="1" applyBorder="1" applyAlignment="1" applyProtection="1">
      <alignment horizontal="center" vertical="center" wrapText="1"/>
    </xf>
    <xf numFmtId="0" fontId="95" fillId="0" borderId="238" xfId="544" applyFont="1" applyBorder="1" applyAlignment="1" applyProtection="1">
      <alignment horizontal="center" vertical="center"/>
    </xf>
    <xf numFmtId="0" fontId="2" fillId="2" borderId="19" xfId="544" applyFont="1" applyFill="1" applyBorder="1" applyProtection="1"/>
    <xf numFmtId="0" fontId="4" fillId="0" borderId="219" xfId="544" applyFont="1" applyBorder="1" applyAlignment="1" applyProtection="1">
      <alignment vertical="center"/>
    </xf>
    <xf numFmtId="0" fontId="4" fillId="0" borderId="201" xfId="544" applyFont="1" applyBorder="1" applyAlignment="1" applyProtection="1">
      <alignment vertical="center"/>
    </xf>
    <xf numFmtId="1" fontId="143" fillId="0" borderId="14" xfId="544" applyNumberFormat="1" applyFont="1" applyBorder="1" applyAlignment="1" applyProtection="1">
      <alignment horizontal="center" vertical="center"/>
    </xf>
    <xf numFmtId="0" fontId="5" fillId="26" borderId="34" xfId="544" applyFont="1" applyFill="1" applyBorder="1" applyAlignment="1" applyProtection="1">
      <alignment horizontal="left" vertical="top"/>
    </xf>
    <xf numFmtId="0" fontId="2" fillId="2" borderId="19" xfId="544" applyFont="1" applyFill="1" applyBorder="1" applyAlignment="1" applyProtection="1">
      <alignment vertical="center"/>
    </xf>
    <xf numFmtId="0" fontId="2" fillId="0" borderId="239" xfId="544" applyFont="1" applyBorder="1" applyAlignment="1" applyProtection="1">
      <alignment horizontal="center" vertical="center"/>
    </xf>
    <xf numFmtId="0" fontId="2" fillId="0" borderId="102" xfId="544" applyFont="1" applyBorder="1" applyAlignment="1" applyProtection="1">
      <alignment horizontal="center" vertical="center"/>
    </xf>
    <xf numFmtId="0" fontId="2" fillId="0" borderId="101" xfId="544" applyFont="1" applyBorder="1" applyAlignment="1" applyProtection="1">
      <alignment horizontal="center" vertical="center"/>
    </xf>
    <xf numFmtId="0" fontId="2" fillId="0" borderId="240" xfId="544" applyFont="1" applyBorder="1" applyAlignment="1" applyProtection="1">
      <alignment horizontal="center" vertical="center"/>
    </xf>
    <xf numFmtId="0" fontId="2" fillId="0" borderId="241" xfId="544" applyFont="1" applyBorder="1" applyAlignment="1" applyProtection="1">
      <alignment horizontal="center" vertical="center"/>
    </xf>
    <xf numFmtId="0" fontId="4" fillId="2" borderId="0" xfId="544" applyFont="1" applyFill="1" applyBorder="1" applyProtection="1">
      <protection locked="0"/>
    </xf>
    <xf numFmtId="0" fontId="4" fillId="2" borderId="0" xfId="544" applyFont="1" applyFill="1" applyProtection="1">
      <protection locked="0"/>
    </xf>
    <xf numFmtId="0" fontId="5" fillId="26" borderId="0" xfId="544" applyFont="1" applyFill="1" applyBorder="1" applyAlignment="1" applyProtection="1">
      <alignment horizontal="center" vertical="center"/>
      <protection locked="0"/>
    </xf>
    <xf numFmtId="0" fontId="5" fillId="26" borderId="169" xfId="544" applyFont="1" applyFill="1" applyBorder="1" applyAlignment="1" applyProtection="1">
      <alignment vertical="center"/>
      <protection locked="0"/>
    </xf>
    <xf numFmtId="0" fontId="5" fillId="26" borderId="162" xfId="544" applyFont="1" applyFill="1" applyBorder="1" applyAlignment="1" applyProtection="1">
      <alignment horizontal="center" vertical="center"/>
      <protection locked="0"/>
    </xf>
    <xf numFmtId="0" fontId="1" fillId="26" borderId="0" xfId="68" applyFont="1" applyFill="1" applyBorder="1" applyAlignment="1" applyProtection="1">
      <alignment vertical="center"/>
      <protection locked="0"/>
    </xf>
    <xf numFmtId="0" fontId="1" fillId="26" borderId="0" xfId="71" applyFont="1" applyFill="1" applyBorder="1" applyProtection="1">
      <protection locked="0"/>
    </xf>
    <xf numFmtId="0" fontId="4" fillId="0" borderId="0" xfId="544" applyFont="1" applyAlignment="1" applyProtection="1">
      <alignment horizontal="center"/>
      <protection locked="0"/>
    </xf>
    <xf numFmtId="0" fontId="4" fillId="2" borderId="0" xfId="544" applyFont="1" applyFill="1" applyBorder="1" applyAlignment="1" applyProtection="1">
      <alignment horizontal="center"/>
      <protection locked="0"/>
    </xf>
    <xf numFmtId="0" fontId="4" fillId="0" borderId="0" xfId="544" applyFont="1" applyBorder="1" applyAlignment="1" applyProtection="1">
      <alignment horizontal="center"/>
      <protection locked="0"/>
    </xf>
    <xf numFmtId="0" fontId="46" fillId="26" borderId="0" xfId="69" applyFont="1" applyFill="1" applyBorder="1" applyAlignment="1" applyProtection="1">
      <alignment wrapText="1"/>
      <protection locked="0"/>
    </xf>
    <xf numFmtId="0" fontId="4" fillId="0" borderId="19" xfId="544" applyFont="1" applyBorder="1" applyProtection="1">
      <protection locked="0"/>
    </xf>
    <xf numFmtId="0" fontId="1" fillId="0" borderId="0" xfId="544" applyProtection="1">
      <protection locked="0"/>
    </xf>
    <xf numFmtId="0" fontId="3" fillId="2" borderId="0" xfId="544" applyFont="1" applyFill="1" applyBorder="1" applyAlignment="1" applyProtection="1">
      <alignment horizontal="center"/>
      <protection locked="0"/>
    </xf>
    <xf numFmtId="0" fontId="53" fillId="2" borderId="0" xfId="544" applyFont="1" applyFill="1" applyBorder="1" applyAlignment="1" applyProtection="1">
      <alignment horizontal="center" vertical="center"/>
      <protection locked="0"/>
    </xf>
    <xf numFmtId="0" fontId="1" fillId="0" borderId="0" xfId="544" applyBorder="1" applyProtection="1">
      <protection locked="0"/>
    </xf>
    <xf numFmtId="0" fontId="1" fillId="2" borderId="0" xfId="544" applyFill="1" applyBorder="1" applyProtection="1">
      <protection locked="0"/>
    </xf>
    <xf numFmtId="0" fontId="42" fillId="2" borderId="0" xfId="544" applyFont="1" applyFill="1" applyBorder="1" applyAlignment="1" applyProtection="1">
      <alignment horizontal="center"/>
      <protection locked="0"/>
    </xf>
    <xf numFmtId="0" fontId="44" fillId="2" borderId="0" xfId="544" applyFont="1" applyFill="1" applyBorder="1" applyAlignment="1" applyProtection="1">
      <alignment horizontal="center"/>
      <protection locked="0"/>
    </xf>
    <xf numFmtId="0" fontId="54" fillId="2" borderId="0" xfId="544" applyFont="1" applyFill="1" applyBorder="1" applyProtection="1">
      <protection locked="0"/>
    </xf>
    <xf numFmtId="0" fontId="5" fillId="2" borderId="19" xfId="544" applyFont="1" applyFill="1" applyBorder="1" applyAlignment="1" applyProtection="1">
      <alignment vertical="center"/>
    </xf>
    <xf numFmtId="0" fontId="5" fillId="2" borderId="0" xfId="544" applyFont="1" applyFill="1" applyBorder="1" applyAlignment="1" applyProtection="1">
      <alignment vertical="center"/>
    </xf>
    <xf numFmtId="0" fontId="2" fillId="2" borderId="18" xfId="544" applyFont="1" applyFill="1" applyBorder="1" applyAlignment="1" applyProtection="1">
      <alignment vertical="center"/>
      <protection locked="0"/>
    </xf>
    <xf numFmtId="0" fontId="1" fillId="0" borderId="0" xfId="544" applyFont="1" applyProtection="1"/>
    <xf numFmtId="0" fontId="1" fillId="0" borderId="0" xfId="544" applyProtection="1"/>
    <xf numFmtId="0" fontId="5" fillId="0" borderId="0" xfId="544" applyFont="1" applyBorder="1" applyAlignment="1" applyProtection="1">
      <protection locked="0"/>
    </xf>
    <xf numFmtId="0" fontId="1" fillId="0" borderId="0" xfId="544" applyFont="1" applyBorder="1" applyAlignment="1" applyProtection="1">
      <alignment horizontal="left"/>
      <protection locked="0"/>
    </xf>
    <xf numFmtId="0" fontId="1" fillId="0" borderId="0" xfId="544" applyBorder="1" applyAlignment="1" applyProtection="1">
      <alignment horizontal="left"/>
      <protection locked="0"/>
    </xf>
    <xf numFmtId="0" fontId="3" fillId="0" borderId="0" xfId="544" applyFont="1" applyBorder="1" applyAlignment="1" applyProtection="1">
      <protection locked="0"/>
    </xf>
    <xf numFmtId="0" fontId="5" fillId="2" borderId="19" xfId="544" applyFont="1" applyFill="1" applyBorder="1" applyAlignment="1" applyProtection="1">
      <alignment horizontal="left" vertical="center"/>
    </xf>
    <xf numFmtId="0" fontId="5" fillId="2" borderId="0" xfId="544" applyFont="1" applyFill="1" applyBorder="1" applyAlignment="1" applyProtection="1">
      <alignment horizontal="left" vertical="center"/>
    </xf>
    <xf numFmtId="0" fontId="2" fillId="2" borderId="0" xfId="544" applyFont="1" applyFill="1" applyBorder="1" applyAlignment="1" applyProtection="1">
      <alignment horizontal="left" vertical="center"/>
    </xf>
    <xf numFmtId="0" fontId="2" fillId="2" borderId="0" xfId="544" applyFont="1" applyFill="1" applyBorder="1" applyAlignment="1" applyProtection="1">
      <alignment horizontal="left" vertical="center"/>
      <protection locked="0"/>
    </xf>
    <xf numFmtId="0" fontId="2" fillId="2" borderId="18" xfId="544" applyFont="1" applyFill="1" applyBorder="1" applyAlignment="1" applyProtection="1">
      <alignment horizontal="left" vertical="center"/>
      <protection locked="0"/>
    </xf>
    <xf numFmtId="0" fontId="1" fillId="0" borderId="0" xfId="544" applyBorder="1" applyAlignment="1" applyProtection="1">
      <protection locked="0"/>
    </xf>
    <xf numFmtId="0" fontId="65" fillId="2" borderId="0" xfId="544" applyFont="1" applyFill="1" applyBorder="1" applyAlignment="1" applyProtection="1">
      <alignment vertical="center"/>
    </xf>
    <xf numFmtId="168" fontId="2" fillId="2" borderId="0" xfId="544" applyNumberFormat="1" applyFont="1" applyFill="1" applyBorder="1" applyAlignment="1" applyProtection="1">
      <alignment vertical="center"/>
    </xf>
    <xf numFmtId="168" fontId="2" fillId="2" borderId="18" xfId="544" applyNumberFormat="1" applyFont="1" applyFill="1" applyBorder="1" applyAlignment="1" applyProtection="1">
      <alignment vertical="center"/>
    </xf>
    <xf numFmtId="0" fontId="4" fillId="0" borderId="0" xfId="544" applyFont="1" applyBorder="1" applyAlignment="1" applyProtection="1">
      <alignment horizontal="left"/>
      <protection locked="0"/>
    </xf>
    <xf numFmtId="0" fontId="4" fillId="0" borderId="0" xfId="544" applyFont="1" applyBorder="1" applyAlignment="1" applyProtection="1">
      <protection locked="0"/>
    </xf>
    <xf numFmtId="168" fontId="2" fillId="2" borderId="0" xfId="544" applyNumberFormat="1" applyFont="1" applyFill="1" applyBorder="1" applyAlignment="1" applyProtection="1">
      <alignment vertical="center"/>
      <protection locked="0"/>
    </xf>
    <xf numFmtId="168" fontId="2" fillId="2" borderId="18" xfId="544" applyNumberFormat="1" applyFont="1" applyFill="1" applyBorder="1" applyAlignment="1" applyProtection="1">
      <alignment vertical="center"/>
      <protection locked="0"/>
    </xf>
    <xf numFmtId="0" fontId="5" fillId="2" borderId="78" xfId="544" applyFont="1" applyFill="1" applyBorder="1" applyAlignment="1" applyProtection="1">
      <alignment vertical="center"/>
    </xf>
    <xf numFmtId="0" fontId="5" fillId="2" borderId="37" xfId="544" applyFont="1" applyFill="1" applyBorder="1" applyAlignment="1" applyProtection="1">
      <alignment vertical="center"/>
    </xf>
    <xf numFmtId="0" fontId="2" fillId="2" borderId="37" xfId="544" applyFont="1" applyFill="1" applyBorder="1" applyAlignment="1" applyProtection="1">
      <alignment vertical="center"/>
    </xf>
    <xf numFmtId="0" fontId="5" fillId="0" borderId="37" xfId="544" applyFont="1" applyBorder="1" applyAlignment="1" applyProtection="1">
      <protection locked="0"/>
    </xf>
    <xf numFmtId="0" fontId="98" fillId="0" borderId="0" xfId="544" applyFont="1" applyProtection="1">
      <protection locked="0"/>
    </xf>
    <xf numFmtId="0" fontId="1" fillId="0" borderId="0" xfId="544" applyAlignment="1" applyProtection="1">
      <alignment vertical="center"/>
      <protection locked="0"/>
    </xf>
    <xf numFmtId="0" fontId="1" fillId="0" borderId="0" xfId="544" applyFont="1" applyProtection="1">
      <protection locked="0"/>
    </xf>
    <xf numFmtId="0" fontId="75" fillId="0" borderId="0" xfId="544" applyFont="1" applyBorder="1" applyProtection="1">
      <protection locked="0"/>
    </xf>
    <xf numFmtId="0" fontId="75" fillId="0" borderId="0" xfId="544" applyFont="1" applyProtection="1">
      <protection locked="0"/>
    </xf>
    <xf numFmtId="0" fontId="92" fillId="0" borderId="19" xfId="544" applyFont="1" applyBorder="1" applyAlignment="1" applyProtection="1">
      <alignment horizontal="left" vertical="center"/>
    </xf>
    <xf numFmtId="0" fontId="92" fillId="0" borderId="0" xfId="544" applyFont="1" applyBorder="1" applyAlignment="1" applyProtection="1">
      <alignment horizontal="left" vertical="center"/>
    </xf>
    <xf numFmtId="0" fontId="92" fillId="0" borderId="18" xfId="544" applyFont="1" applyBorder="1" applyAlignment="1" applyProtection="1">
      <alignment horizontal="left" vertical="center"/>
    </xf>
    <xf numFmtId="0" fontId="16" fillId="2" borderId="0" xfId="544" applyFont="1" applyFill="1" applyBorder="1" applyAlignment="1" applyProtection="1">
      <alignment vertical="center"/>
      <protection locked="0"/>
    </xf>
    <xf numFmtId="0" fontId="16" fillId="0" borderId="0" xfId="544" applyFont="1" applyBorder="1" applyAlignment="1" applyProtection="1">
      <alignment vertical="center" wrapText="1"/>
      <protection locked="0"/>
    </xf>
    <xf numFmtId="0" fontId="20" fillId="2" borderId="0" xfId="544" applyFont="1" applyFill="1" applyAlignment="1" applyProtection="1">
      <protection locked="0"/>
    </xf>
    <xf numFmtId="0" fontId="4" fillId="0" borderId="0" xfId="544" applyFont="1" applyBorder="1" applyAlignment="1" applyProtection="1">
      <alignment vertical="center"/>
      <protection locked="0"/>
    </xf>
    <xf numFmtId="0" fontId="4" fillId="0" borderId="0" xfId="544" applyFont="1" applyFill="1" applyBorder="1" applyAlignment="1" applyProtection="1">
      <alignment vertical="center"/>
      <protection locked="0"/>
    </xf>
    <xf numFmtId="0" fontId="20" fillId="0" borderId="0" xfId="544" applyFont="1" applyAlignment="1" applyProtection="1">
      <protection locked="0"/>
    </xf>
    <xf numFmtId="0" fontId="4" fillId="0" borderId="0" xfId="544" applyFont="1" applyFill="1" applyAlignment="1" applyProtection="1">
      <alignment vertical="center"/>
      <protection locked="0"/>
    </xf>
    <xf numFmtId="0" fontId="4" fillId="0" borderId="0" xfId="544" applyFont="1" applyAlignment="1" applyProtection="1">
      <alignment vertical="center"/>
      <protection locked="0"/>
    </xf>
    <xf numFmtId="0" fontId="1" fillId="0" borderId="0" xfId="544" applyBorder="1" applyAlignment="1" applyProtection="1">
      <alignment vertical="center"/>
      <protection locked="0"/>
    </xf>
    <xf numFmtId="0" fontId="1" fillId="0" borderId="0" xfId="544" applyFont="1" applyBorder="1" applyAlignment="1" applyProtection="1">
      <alignment vertical="center"/>
      <protection locked="0"/>
    </xf>
    <xf numFmtId="0" fontId="1" fillId="0" borderId="0" xfId="544" applyFill="1" applyBorder="1" applyAlignment="1" applyProtection="1">
      <alignment vertical="center"/>
      <protection locked="0"/>
    </xf>
    <xf numFmtId="0" fontId="4" fillId="2" borderId="0" xfId="544" applyFont="1" applyFill="1" applyBorder="1" applyAlignment="1" applyProtection="1">
      <alignment vertical="center"/>
      <protection locked="0"/>
    </xf>
    <xf numFmtId="0" fontId="1" fillId="0" borderId="0" xfId="544" applyFill="1" applyAlignment="1" applyProtection="1">
      <alignment vertical="center"/>
      <protection locked="0"/>
    </xf>
    <xf numFmtId="0" fontId="3" fillId="0" borderId="0" xfId="1" applyFont="1" applyAlignment="1" applyProtection="1">
      <alignment horizontal="center"/>
    </xf>
    <xf numFmtId="0" fontId="1" fillId="0" borderId="49" xfId="1" applyFont="1" applyBorder="1" applyProtection="1"/>
    <xf numFmtId="0" fontId="42" fillId="26" borderId="164" xfId="1" applyFont="1" applyFill="1" applyBorder="1" applyAlignment="1" applyProtection="1">
      <alignment vertical="center"/>
    </xf>
    <xf numFmtId="0" fontId="42" fillId="26" borderId="162" xfId="1" applyFont="1" applyFill="1" applyBorder="1" applyAlignment="1" applyProtection="1">
      <alignment vertical="center"/>
    </xf>
    <xf numFmtId="0" fontId="2" fillId="26" borderId="162" xfId="1" applyFont="1" applyFill="1" applyBorder="1" applyAlignment="1" applyProtection="1">
      <alignment vertical="center"/>
    </xf>
    <xf numFmtId="0" fontId="42" fillId="26" borderId="0" xfId="0" applyFont="1" applyFill="1" applyBorder="1" applyAlignment="1" applyProtection="1">
      <alignment vertical="center"/>
    </xf>
    <xf numFmtId="0" fontId="2" fillId="2" borderId="162" xfId="544" applyFont="1" applyFill="1" applyBorder="1" applyAlignment="1" applyProtection="1">
      <alignment vertical="center"/>
      <protection locked="0"/>
    </xf>
    <xf numFmtId="0" fontId="2" fillId="2" borderId="163" xfId="544" applyFont="1" applyFill="1" applyBorder="1" applyAlignment="1" applyProtection="1">
      <alignment vertical="center"/>
      <protection locked="0"/>
    </xf>
    <xf numFmtId="0" fontId="2" fillId="26" borderId="0" xfId="1" applyFont="1" applyFill="1" applyBorder="1" applyAlignment="1" applyProtection="1">
      <alignment vertical="center"/>
    </xf>
    <xf numFmtId="168" fontId="2" fillId="26" borderId="0" xfId="1" applyNumberFormat="1" applyFont="1" applyFill="1" applyBorder="1" applyAlignment="1" applyProtection="1">
      <alignment vertical="center"/>
    </xf>
    <xf numFmtId="168" fontId="2" fillId="26" borderId="18" xfId="1" applyNumberFormat="1" applyFont="1" applyFill="1" applyBorder="1" applyAlignment="1" applyProtection="1">
      <alignment vertical="center"/>
    </xf>
    <xf numFmtId="168" fontId="2" fillId="26" borderId="0" xfId="1" applyNumberFormat="1" applyFont="1" applyFill="1" applyBorder="1" applyAlignment="1" applyProtection="1">
      <alignment vertical="center"/>
      <protection locked="0"/>
    </xf>
    <xf numFmtId="168" fontId="2" fillId="26" borderId="18" xfId="1" applyNumberFormat="1" applyFont="1" applyFill="1" applyBorder="1" applyAlignment="1" applyProtection="1">
      <alignment vertical="center"/>
      <protection locked="0"/>
    </xf>
    <xf numFmtId="0" fontId="4" fillId="0" borderId="19" xfId="1" applyFont="1" applyBorder="1" applyProtection="1">
      <protection locked="0"/>
    </xf>
    <xf numFmtId="0" fontId="3" fillId="26" borderId="62" xfId="71" applyFont="1" applyFill="1" applyBorder="1" applyAlignment="1" applyProtection="1">
      <alignment vertical="top" wrapText="1"/>
    </xf>
    <xf numFmtId="0" fontId="3" fillId="26" borderId="19" xfId="71" applyFont="1" applyFill="1" applyBorder="1" applyAlignment="1" applyProtection="1">
      <alignment vertical="top" wrapText="1"/>
    </xf>
    <xf numFmtId="0" fontId="3" fillId="26" borderId="0" xfId="71" applyFont="1" applyFill="1" applyBorder="1" applyAlignment="1" applyProtection="1">
      <alignment horizontal="left" vertical="center" wrapText="1"/>
    </xf>
    <xf numFmtId="0" fontId="1" fillId="26" borderId="0" xfId="71" applyFont="1" applyFill="1" applyBorder="1" applyAlignment="1" applyProtection="1">
      <alignment horizontal="left" vertical="top" wrapText="1"/>
      <protection locked="0"/>
    </xf>
    <xf numFmtId="0" fontId="1" fillId="26" borderId="18" xfId="71" applyFont="1" applyFill="1" applyBorder="1" applyAlignment="1" applyProtection="1">
      <alignment horizontal="left" vertical="top" wrapText="1"/>
      <protection locked="0"/>
    </xf>
    <xf numFmtId="0" fontId="1" fillId="0" borderId="164" xfId="68" applyFont="1" applyBorder="1" applyAlignment="1" applyProtection="1"/>
    <xf numFmtId="0" fontId="1" fillId="0" borderId="162" xfId="68" applyFont="1" applyBorder="1" applyAlignment="1" applyProtection="1"/>
    <xf numFmtId="0" fontId="1" fillId="0" borderId="19" xfId="68" applyFont="1" applyBorder="1" applyAlignment="1" applyProtection="1"/>
    <xf numFmtId="0" fontId="1" fillId="0" borderId="0" xfId="68" applyFont="1" applyBorder="1" applyAlignment="1" applyProtection="1"/>
    <xf numFmtId="0" fontId="1" fillId="0" borderId="15" xfId="68" applyFont="1" applyBorder="1" applyAlignment="1" applyProtection="1"/>
    <xf numFmtId="0" fontId="1" fillId="0" borderId="160" xfId="68" applyFont="1" applyBorder="1" applyAlignment="1" applyProtection="1"/>
    <xf numFmtId="0" fontId="42" fillId="26" borderId="164" xfId="74" applyFont="1" applyFill="1" applyBorder="1" applyAlignment="1" applyProtection="1">
      <alignment vertical="center"/>
    </xf>
    <xf numFmtId="0" fontId="42" fillId="26" borderId="162" xfId="74" applyFont="1" applyFill="1" applyBorder="1" applyAlignment="1" applyProtection="1">
      <alignment vertical="center"/>
    </xf>
    <xf numFmtId="0" fontId="42" fillId="26" borderId="163" xfId="74" applyFont="1" applyFill="1" applyBorder="1" applyAlignment="1" applyProtection="1">
      <alignment vertical="center"/>
    </xf>
    <xf numFmtId="0" fontId="1" fillId="0" borderId="0" xfId="21" applyFont="1" applyFill="1" applyBorder="1" applyAlignment="1" applyProtection="1">
      <protection locked="0"/>
    </xf>
    <xf numFmtId="0" fontId="42" fillId="26" borderId="18" xfId="74" applyFont="1" applyFill="1" applyBorder="1" applyAlignment="1" applyProtection="1">
      <alignment vertical="center"/>
    </xf>
    <xf numFmtId="0" fontId="42" fillId="26" borderId="0" xfId="74" applyFont="1" applyFill="1" applyBorder="1" applyAlignment="1" applyProtection="1">
      <alignment vertical="center" wrapText="1"/>
    </xf>
    <xf numFmtId="0" fontId="43" fillId="26" borderId="0" xfId="74" applyFont="1" applyFill="1" applyBorder="1" applyAlignment="1" applyProtection="1">
      <alignment vertical="center" wrapText="1"/>
    </xf>
    <xf numFmtId="0" fontId="42" fillId="26" borderId="15" xfId="74" applyFont="1" applyFill="1" applyBorder="1" applyAlignment="1" applyProtection="1">
      <alignment vertical="center"/>
    </xf>
    <xf numFmtId="0" fontId="42" fillId="26" borderId="160" xfId="74" applyFont="1" applyFill="1" applyBorder="1" applyAlignment="1" applyProtection="1">
      <alignment vertical="center"/>
    </xf>
    <xf numFmtId="0" fontId="42" fillId="26" borderId="14" xfId="74" applyFont="1" applyFill="1" applyBorder="1" applyAlignment="1" applyProtection="1">
      <alignment vertical="center"/>
    </xf>
    <xf numFmtId="167" fontId="4" fillId="0" borderId="163" xfId="74" applyNumberFormat="1" applyFont="1" applyBorder="1" applyAlignment="1" applyProtection="1">
      <alignment horizontal="center" vertical="center"/>
      <protection locked="0"/>
    </xf>
    <xf numFmtId="0" fontId="1" fillId="0" borderId="49" xfId="74" applyFont="1" applyBorder="1" applyProtection="1">
      <protection locked="0"/>
    </xf>
    <xf numFmtId="0" fontId="4" fillId="0" borderId="164" xfId="74" applyFont="1" applyBorder="1" applyAlignment="1" applyProtection="1">
      <alignment horizontal="left" vertical="center"/>
    </xf>
    <xf numFmtId="0" fontId="4" fillId="0" borderId="162" xfId="74" applyFont="1" applyBorder="1" applyAlignment="1" applyProtection="1">
      <alignment horizontal="left" vertical="center"/>
    </xf>
    <xf numFmtId="0" fontId="4" fillId="0" borderId="162" xfId="74" applyFont="1" applyBorder="1" applyAlignment="1" applyProtection="1">
      <alignment horizontal="center" vertical="center"/>
      <protection locked="0"/>
    </xf>
    <xf numFmtId="1" fontId="42" fillId="0" borderId="162" xfId="74" applyNumberFormat="1" applyFont="1" applyBorder="1" applyAlignment="1" applyProtection="1">
      <alignment horizontal="center" vertical="center"/>
    </xf>
    <xf numFmtId="1" fontId="42" fillId="0" borderId="163" xfId="74" applyNumberFormat="1" applyFont="1" applyBorder="1" applyAlignment="1" applyProtection="1">
      <alignment horizontal="center" vertical="center"/>
    </xf>
    <xf numFmtId="0" fontId="4" fillId="0" borderId="19" xfId="74" applyFont="1" applyBorder="1" applyAlignment="1" applyProtection="1">
      <alignment horizontal="left" vertical="center"/>
    </xf>
    <xf numFmtId="0" fontId="4" fillId="0" borderId="0" xfId="74" applyFont="1" applyBorder="1" applyAlignment="1" applyProtection="1">
      <alignment horizontal="left" vertical="center"/>
    </xf>
    <xf numFmtId="0" fontId="4" fillId="0" borderId="0" xfId="74" applyFont="1" applyBorder="1" applyAlignment="1" applyProtection="1">
      <alignment horizontal="center" vertical="center"/>
      <protection locked="0"/>
    </xf>
    <xf numFmtId="1" fontId="42" fillId="0" borderId="0" xfId="74" applyNumberFormat="1" applyFont="1" applyBorder="1" applyAlignment="1" applyProtection="1">
      <alignment horizontal="center" vertical="center"/>
    </xf>
    <xf numFmtId="1" fontId="42" fillId="0" borderId="18" xfId="74" applyNumberFormat="1" applyFont="1" applyBorder="1" applyAlignment="1" applyProtection="1">
      <alignment horizontal="center" vertical="center"/>
    </xf>
    <xf numFmtId="0" fontId="5" fillId="26" borderId="164" xfId="74" applyFont="1" applyFill="1" applyBorder="1" applyAlignment="1" applyProtection="1">
      <alignment vertical="top" wrapText="1"/>
    </xf>
    <xf numFmtId="0" fontId="4" fillId="26" borderId="163" xfId="74" applyFont="1" applyFill="1" applyBorder="1" applyAlignment="1" applyProtection="1">
      <alignment vertical="top" wrapText="1"/>
      <protection locked="0"/>
    </xf>
    <xf numFmtId="0" fontId="5" fillId="26" borderId="19" xfId="74" applyFont="1" applyFill="1" applyBorder="1" applyAlignment="1" applyProtection="1">
      <alignment vertical="top" wrapText="1"/>
    </xf>
    <xf numFmtId="0" fontId="4" fillId="26" borderId="18" xfId="74" applyFont="1" applyFill="1" applyBorder="1" applyAlignment="1" applyProtection="1">
      <alignment horizontal="center" vertical="top" wrapText="1"/>
      <protection locked="0"/>
    </xf>
    <xf numFmtId="0" fontId="94" fillId="0" borderId="19" xfId="73" applyFont="1" applyBorder="1" applyAlignment="1" applyProtection="1">
      <alignment vertical="top"/>
      <protection locked="0"/>
    </xf>
    <xf numFmtId="0" fontId="94" fillId="0" borderId="18" xfId="73" applyFont="1" applyBorder="1" applyAlignment="1" applyProtection="1">
      <alignment vertical="top"/>
      <protection locked="0"/>
    </xf>
    <xf numFmtId="0" fontId="64" fillId="2" borderId="0" xfId="150" applyFont="1" applyFill="1" applyAlignment="1" applyProtection="1">
      <alignment horizontal="centerContinuous"/>
    </xf>
    <xf numFmtId="0" fontId="64" fillId="2" borderId="0" xfId="150" applyFont="1" applyFill="1" applyAlignment="1" applyProtection="1"/>
    <xf numFmtId="0" fontId="64" fillId="2" borderId="0" xfId="150" applyFont="1" applyFill="1" applyProtection="1"/>
    <xf numFmtId="0" fontId="144" fillId="2" borderId="0" xfId="150" applyFont="1" applyFill="1" applyAlignment="1" applyProtection="1">
      <alignment horizontal="center"/>
    </xf>
    <xf numFmtId="0" fontId="64" fillId="2" borderId="0" xfId="150" applyFill="1" applyProtection="1"/>
    <xf numFmtId="0" fontId="64" fillId="2" borderId="0" xfId="150" applyFont="1" applyFill="1" applyAlignment="1" applyProtection="1">
      <alignment horizontal="centerContinuous" vertical="top"/>
    </xf>
    <xf numFmtId="0" fontId="64" fillId="2" borderId="0" xfId="150" applyFont="1" applyFill="1" applyAlignment="1" applyProtection="1">
      <alignment horizontal="center" vertical="top"/>
    </xf>
    <xf numFmtId="0" fontId="64" fillId="2" borderId="0" xfId="150" applyFont="1" applyFill="1" applyAlignment="1" applyProtection="1">
      <alignment vertical="top"/>
    </xf>
    <xf numFmtId="0" fontId="144" fillId="2" borderId="0" xfId="150" applyFont="1" applyFill="1" applyAlignment="1" applyProtection="1">
      <alignment horizontal="center" vertical="top"/>
    </xf>
    <xf numFmtId="0" fontId="64" fillId="2" borderId="0" xfId="150" applyFill="1" applyAlignment="1" applyProtection="1">
      <alignment vertical="top"/>
    </xf>
    <xf numFmtId="0" fontId="145" fillId="2" borderId="0" xfId="150" applyFont="1" applyFill="1" applyAlignment="1" applyProtection="1">
      <alignment horizontal="center"/>
    </xf>
    <xf numFmtId="0" fontId="64" fillId="2" borderId="0" xfId="150" applyFont="1" applyFill="1" applyAlignment="1" applyProtection="1">
      <alignment horizontal="center"/>
    </xf>
    <xf numFmtId="0" fontId="146" fillId="2" borderId="0" xfId="150" applyFont="1" applyFill="1" applyAlignment="1" applyProtection="1">
      <alignment horizontal="center"/>
    </xf>
    <xf numFmtId="0" fontId="42" fillId="26" borderId="164" xfId="71" applyFont="1" applyFill="1" applyBorder="1" applyAlignment="1" applyProtection="1">
      <alignment vertical="center"/>
    </xf>
    <xf numFmtId="0" fontId="42" fillId="26" borderId="162" xfId="71" applyFont="1" applyFill="1" applyBorder="1" applyAlignment="1" applyProtection="1">
      <alignment vertical="center"/>
    </xf>
    <xf numFmtId="0" fontId="2" fillId="26" borderId="162" xfId="71" applyFont="1" applyFill="1" applyBorder="1" applyAlignment="1" applyProtection="1">
      <alignment vertical="center"/>
    </xf>
    <xf numFmtId="0" fontId="42" fillId="26" borderId="162" xfId="0" applyFont="1" applyFill="1" applyBorder="1" applyAlignment="1" applyProtection="1">
      <alignment vertical="center"/>
    </xf>
    <xf numFmtId="0" fontId="2" fillId="26" borderId="162" xfId="0" applyFont="1" applyFill="1" applyBorder="1" applyAlignment="1" applyProtection="1">
      <alignment vertical="center"/>
    </xf>
    <xf numFmtId="0" fontId="2" fillId="26" borderId="163" xfId="0" applyFont="1" applyFill="1" applyBorder="1" applyAlignment="1" applyProtection="1">
      <alignment vertical="center"/>
    </xf>
    <xf numFmtId="0" fontId="5" fillId="0" borderId="164" xfId="21" applyFont="1" applyFill="1" applyBorder="1" applyAlignment="1" applyProtection="1"/>
    <xf numFmtId="0" fontId="147" fillId="2" borderId="29" xfId="150" applyFont="1" applyFill="1" applyBorder="1" applyAlignment="1" applyProtection="1">
      <alignment horizontal="center"/>
    </xf>
    <xf numFmtId="0" fontId="148" fillId="2" borderId="0" xfId="150" applyFont="1" applyFill="1" applyBorder="1" applyAlignment="1" applyProtection="1">
      <alignment horizontal="centerContinuous" vertical="center"/>
    </xf>
    <xf numFmtId="0" fontId="64" fillId="2" borderId="0" xfId="150" applyFill="1" applyBorder="1" applyAlignment="1" applyProtection="1">
      <alignment horizontal="centerContinuous"/>
    </xf>
    <xf numFmtId="168" fontId="2" fillId="26" borderId="18" xfId="71" applyNumberFormat="1" applyFont="1" applyFill="1" applyBorder="1" applyAlignment="1" applyProtection="1">
      <alignment vertical="center" wrapText="1"/>
    </xf>
    <xf numFmtId="0" fontId="64" fillId="2" borderId="53" xfId="150" applyFont="1" applyFill="1" applyBorder="1" applyAlignment="1" applyProtection="1"/>
    <xf numFmtId="0" fontId="64" fillId="2" borderId="49" xfId="150" applyFont="1" applyFill="1" applyBorder="1" applyAlignment="1" applyProtection="1">
      <alignment horizontal="center" vertical="center"/>
    </xf>
    <xf numFmtId="2" fontId="64" fillId="2" borderId="49" xfId="150" applyNumberFormat="1" applyFont="1" applyFill="1" applyBorder="1" applyAlignment="1" applyProtection="1">
      <alignment horizontal="center" vertical="center"/>
    </xf>
    <xf numFmtId="0" fontId="64" fillId="2" borderId="49" xfId="150" applyFill="1" applyBorder="1" applyAlignment="1" applyProtection="1">
      <alignment horizontal="center"/>
    </xf>
    <xf numFmtId="0" fontId="64" fillId="2" borderId="0" xfId="150" applyFill="1" applyBorder="1" applyAlignment="1" applyProtection="1">
      <alignment horizontal="center"/>
    </xf>
    <xf numFmtId="167" fontId="64" fillId="2" borderId="0" xfId="150" applyNumberFormat="1" applyFill="1" applyBorder="1" applyAlignment="1" applyProtection="1">
      <alignment horizontal="center"/>
    </xf>
    <xf numFmtId="0" fontId="4" fillId="0" borderId="15" xfId="21" applyFont="1" applyBorder="1" applyAlignment="1" applyProtection="1">
      <alignment horizontal="right"/>
    </xf>
    <xf numFmtId="0" fontId="4" fillId="0" borderId="160" xfId="21" applyFont="1" applyBorder="1" applyProtection="1"/>
    <xf numFmtId="0" fontId="4" fillId="0" borderId="14" xfId="21" applyFont="1" applyBorder="1" applyProtection="1"/>
    <xf numFmtId="0" fontId="64" fillId="2" borderId="54" xfId="150" applyFont="1" applyFill="1" applyBorder="1" applyAlignment="1" applyProtection="1"/>
    <xf numFmtId="167" fontId="64" fillId="2" borderId="49" xfId="150" applyNumberFormat="1" applyFill="1" applyBorder="1" applyAlignment="1" applyProtection="1">
      <alignment horizontal="center"/>
    </xf>
    <xf numFmtId="0" fontId="1" fillId="26" borderId="0" xfId="71" applyFont="1" applyFill="1" applyBorder="1" applyAlignment="1" applyProtection="1">
      <alignment vertical="center" wrapText="1"/>
    </xf>
    <xf numFmtId="0" fontId="42" fillId="26" borderId="0" xfId="71" applyFont="1" applyFill="1" applyBorder="1" applyAlignment="1" applyProtection="1">
      <alignment horizontal="center" vertical="center" wrapText="1"/>
    </xf>
    <xf numFmtId="168" fontId="2" fillId="26" borderId="0" xfId="71" applyNumberFormat="1" applyFont="1" applyFill="1" applyBorder="1" applyAlignment="1" applyProtection="1">
      <alignment vertical="center" wrapText="1"/>
    </xf>
    <xf numFmtId="0" fontId="149" fillId="2" borderId="0" xfId="150" applyFont="1" applyFill="1" applyBorder="1" applyAlignment="1" applyProtection="1"/>
    <xf numFmtId="2" fontId="64" fillId="2" borderId="0" xfId="150" applyNumberFormat="1" applyFill="1" applyBorder="1" applyAlignment="1" applyProtection="1">
      <alignment horizontal="center"/>
    </xf>
    <xf numFmtId="0" fontId="65" fillId="2" borderId="19" xfId="150" applyFont="1" applyFill="1" applyBorder="1" applyProtection="1"/>
    <xf numFmtId="0" fontId="64" fillId="2" borderId="0" xfId="150" applyFill="1" applyBorder="1" applyProtection="1"/>
    <xf numFmtId="0" fontId="65" fillId="2" borderId="0" xfId="150" applyFont="1" applyFill="1" applyBorder="1" applyAlignment="1" applyProtection="1">
      <alignment vertical="center"/>
    </xf>
    <xf numFmtId="0" fontId="5" fillId="26" borderId="0" xfId="150" applyFont="1" applyFill="1" applyBorder="1" applyAlignment="1" applyProtection="1">
      <alignment vertical="center" wrapText="1"/>
    </xf>
    <xf numFmtId="0" fontId="64" fillId="26" borderId="0" xfId="150" applyFill="1" applyBorder="1" applyProtection="1"/>
    <xf numFmtId="49" fontId="1" fillId="2" borderId="18" xfId="150" applyNumberFormat="1" applyFont="1" applyFill="1" applyBorder="1" applyAlignment="1" applyProtection="1">
      <alignment horizontal="left"/>
    </xf>
    <xf numFmtId="0" fontId="64" fillId="2" borderId="53" xfId="150" applyFont="1" applyFill="1" applyBorder="1" applyAlignment="1" applyProtection="1">
      <alignment horizontal="center"/>
    </xf>
    <xf numFmtId="1" fontId="64" fillId="2" borderId="19" xfId="150" applyNumberFormat="1" applyFill="1" applyBorder="1" applyAlignment="1" applyProtection="1">
      <alignment horizontal="center"/>
    </xf>
    <xf numFmtId="1" fontId="64" fillId="2" borderId="0" xfId="150" applyNumberFormat="1" applyFill="1" applyBorder="1" applyAlignment="1" applyProtection="1">
      <alignment horizontal="center"/>
    </xf>
    <xf numFmtId="0" fontId="64" fillId="2" borderId="18" xfId="150" applyFill="1" applyBorder="1" applyProtection="1"/>
    <xf numFmtId="0" fontId="43" fillId="0" borderId="15" xfId="21" applyFont="1" applyFill="1" applyBorder="1" applyAlignment="1" applyProtection="1"/>
    <xf numFmtId="0" fontId="64" fillId="2" borderId="54" xfId="150" applyFont="1" applyFill="1" applyBorder="1" applyAlignment="1" applyProtection="1">
      <alignment horizontal="center"/>
    </xf>
    <xf numFmtId="0" fontId="64" fillId="2" borderId="11" xfId="150" applyFont="1" applyFill="1" applyBorder="1" applyAlignment="1" applyProtection="1">
      <alignment horizontal="center" vertical="center"/>
    </xf>
    <xf numFmtId="1" fontId="1" fillId="2" borderId="15" xfId="150" applyNumberFormat="1" applyFont="1" applyFill="1" applyBorder="1" applyAlignment="1" applyProtection="1">
      <alignment horizontal="center" vertical="center"/>
    </xf>
    <xf numFmtId="1" fontId="1" fillId="26" borderId="160" xfId="150" applyNumberFormat="1" applyFont="1" applyFill="1" applyBorder="1" applyAlignment="1" applyProtection="1">
      <alignment horizontal="center" vertical="center"/>
    </xf>
    <xf numFmtId="0" fontId="64" fillId="2" borderId="14" xfId="150" applyFill="1" applyBorder="1" applyProtection="1"/>
    <xf numFmtId="0" fontId="1" fillId="2" borderId="19" xfId="150" applyFont="1" applyFill="1" applyBorder="1" applyProtection="1"/>
    <xf numFmtId="0" fontId="1" fillId="2" borderId="18" xfId="150" applyFont="1" applyFill="1" applyBorder="1" applyAlignment="1" applyProtection="1">
      <alignment horizontal="centerContinuous"/>
    </xf>
    <xf numFmtId="2" fontId="1" fillId="2" borderId="162" xfId="150" applyNumberFormat="1" applyFont="1" applyFill="1" applyBorder="1" applyAlignment="1" applyProtection="1">
      <alignment horizontal="center" vertical="center"/>
    </xf>
    <xf numFmtId="167" fontId="1" fillId="26" borderId="163" xfId="150" applyNumberFormat="1" applyFont="1" applyFill="1" applyBorder="1" applyAlignment="1" applyProtection="1">
      <alignment horizontal="left" vertical="center"/>
    </xf>
    <xf numFmtId="0" fontId="4" fillId="26" borderId="19" xfId="150" applyFont="1" applyFill="1" applyBorder="1" applyAlignment="1" applyProtection="1">
      <alignment vertical="center"/>
    </xf>
    <xf numFmtId="0" fontId="15" fillId="26" borderId="0" xfId="150" applyFont="1" applyFill="1" applyBorder="1" applyAlignment="1" applyProtection="1">
      <alignment vertical="center"/>
    </xf>
    <xf numFmtId="0" fontId="4" fillId="26" borderId="18" xfId="150" applyFont="1" applyFill="1" applyBorder="1" applyAlignment="1" applyProtection="1">
      <alignment horizontal="center" vertical="center"/>
    </xf>
    <xf numFmtId="2" fontId="1" fillId="2" borderId="160" xfId="150" applyNumberFormat="1" applyFont="1" applyFill="1" applyBorder="1" applyAlignment="1" applyProtection="1">
      <alignment horizontal="center" vertical="center"/>
    </xf>
    <xf numFmtId="167" fontId="1" fillId="26" borderId="14" xfId="150" applyNumberFormat="1" applyFont="1" applyFill="1" applyBorder="1" applyAlignment="1" applyProtection="1">
      <alignment horizontal="left" vertical="center"/>
    </xf>
    <xf numFmtId="0" fontId="4" fillId="2" borderId="19" xfId="150" applyFont="1" applyFill="1" applyBorder="1" applyAlignment="1" applyProtection="1">
      <alignment horizontal="left" vertical="center"/>
    </xf>
    <xf numFmtId="0" fontId="4" fillId="2" borderId="0" xfId="150" applyFont="1" applyFill="1" applyBorder="1" applyAlignment="1" applyProtection="1">
      <alignment horizontal="left" vertical="center"/>
    </xf>
    <xf numFmtId="0" fontId="4" fillId="2" borderId="18" xfId="150" applyFont="1" applyFill="1" applyBorder="1" applyAlignment="1" applyProtection="1">
      <alignment horizontal="center" vertical="center"/>
    </xf>
    <xf numFmtId="0" fontId="1" fillId="2" borderId="18" xfId="150" applyFont="1" applyFill="1" applyBorder="1" applyAlignment="1" applyProtection="1">
      <alignment horizontal="center"/>
    </xf>
    <xf numFmtId="0" fontId="146" fillId="2" borderId="0" xfId="150" applyFont="1" applyFill="1" applyAlignment="1" applyProtection="1">
      <alignment horizontal="centerContinuous"/>
    </xf>
    <xf numFmtId="0" fontId="92" fillId="26" borderId="19" xfId="150" applyFont="1" applyFill="1" applyBorder="1" applyAlignment="1" applyProtection="1">
      <alignment horizontal="right" vertical="center"/>
    </xf>
    <xf numFmtId="0" fontId="92" fillId="26" borderId="0" xfId="150" applyFont="1" applyFill="1" applyBorder="1" applyAlignment="1" applyProtection="1">
      <alignment horizontal="left" vertical="center"/>
      <protection locked="0"/>
    </xf>
    <xf numFmtId="0" fontId="92" fillId="26" borderId="0" xfId="150" applyFont="1" applyFill="1" applyBorder="1" applyAlignment="1" applyProtection="1">
      <alignment horizontal="right" vertical="center"/>
    </xf>
    <xf numFmtId="0" fontId="92" fillId="26" borderId="18" xfId="150" applyFont="1" applyFill="1" applyBorder="1" applyAlignment="1" applyProtection="1">
      <alignment horizontal="left" vertical="center"/>
      <protection locked="0"/>
    </xf>
    <xf numFmtId="1" fontId="92" fillId="26" borderId="19" xfId="150" applyNumberFormat="1" applyFont="1" applyFill="1" applyBorder="1" applyAlignment="1" applyProtection="1">
      <alignment horizontal="right" vertical="center"/>
    </xf>
    <xf numFmtId="1" fontId="92" fillId="26" borderId="0" xfId="150" applyNumberFormat="1" applyFont="1" applyFill="1" applyBorder="1" applyAlignment="1" applyProtection="1">
      <alignment horizontal="left" vertical="center"/>
      <protection locked="0"/>
    </xf>
    <xf numFmtId="1" fontId="92" fillId="26" borderId="0" xfId="150" applyNumberFormat="1" applyFont="1" applyFill="1" applyBorder="1" applyAlignment="1" applyProtection="1">
      <alignment horizontal="right" vertical="center"/>
    </xf>
    <xf numFmtId="1" fontId="92" fillId="26" borderId="18" xfId="150" applyNumberFormat="1" applyFont="1" applyFill="1" applyBorder="1" applyAlignment="1" applyProtection="1">
      <alignment horizontal="left" vertical="center"/>
      <protection locked="0"/>
    </xf>
    <xf numFmtId="2" fontId="1" fillId="2" borderId="18" xfId="150" applyNumberFormat="1" applyFont="1" applyFill="1" applyBorder="1" applyAlignment="1" applyProtection="1">
      <alignment horizontal="center"/>
    </xf>
    <xf numFmtId="0" fontId="151" fillId="0" borderId="0" xfId="150" applyFont="1" applyFill="1" applyBorder="1" applyAlignment="1" applyProtection="1">
      <alignment horizontal="center"/>
    </xf>
    <xf numFmtId="2" fontId="151" fillId="2" borderId="0" xfId="150" applyNumberFormat="1" applyFont="1" applyFill="1" applyBorder="1" applyAlignment="1" applyProtection="1">
      <alignment horizontal="center"/>
    </xf>
    <xf numFmtId="0" fontId="145" fillId="2" borderId="0" xfId="150" applyFont="1" applyFill="1" applyBorder="1" applyAlignment="1" applyProtection="1">
      <alignment horizontal="left"/>
    </xf>
    <xf numFmtId="0" fontId="145" fillId="2" borderId="0" xfId="150" applyFont="1" applyFill="1" applyBorder="1" applyAlignment="1" applyProtection="1">
      <alignment horizontal="center"/>
    </xf>
    <xf numFmtId="0" fontId="65" fillId="44" borderId="0" xfId="150" applyFont="1" applyFill="1" applyBorder="1" applyAlignment="1" applyProtection="1">
      <alignment vertical="center" wrapText="1"/>
    </xf>
    <xf numFmtId="0" fontId="149" fillId="2" borderId="0" xfId="150" applyFont="1" applyFill="1" applyBorder="1" applyProtection="1"/>
    <xf numFmtId="0" fontId="153" fillId="2" borderId="0" xfId="150" applyFont="1" applyFill="1" applyBorder="1" applyAlignment="1" applyProtection="1">
      <alignment horizontal="center"/>
    </xf>
    <xf numFmtId="167" fontId="1" fillId="2" borderId="0" xfId="150" applyNumberFormat="1" applyFont="1" applyFill="1" applyBorder="1" applyAlignment="1" applyProtection="1">
      <alignment horizontal="centerContinuous"/>
    </xf>
    <xf numFmtId="0" fontId="2" fillId="2" borderId="0" xfId="150" applyFont="1" applyFill="1" applyBorder="1" applyProtection="1"/>
    <xf numFmtId="0" fontId="151" fillId="2" borderId="0" xfId="150" applyFont="1" applyFill="1" applyBorder="1" applyAlignment="1" applyProtection="1">
      <alignment horizontal="center"/>
    </xf>
    <xf numFmtId="0" fontId="154" fillId="2" borderId="0" xfId="150" applyFont="1" applyFill="1" applyBorder="1" applyAlignment="1" applyProtection="1"/>
    <xf numFmtId="0" fontId="152" fillId="2" borderId="0" xfId="150" applyFont="1" applyFill="1" applyBorder="1" applyProtection="1"/>
    <xf numFmtId="0" fontId="64" fillId="2" borderId="0" xfId="150" quotePrefix="1" applyFill="1" applyBorder="1" applyAlignment="1" applyProtection="1">
      <alignment horizontal="center"/>
    </xf>
    <xf numFmtId="0" fontId="4" fillId="2" borderId="15" xfId="150" applyFont="1" applyFill="1" applyBorder="1" applyAlignment="1" applyProtection="1">
      <alignment horizontal="left" vertical="center"/>
    </xf>
    <xf numFmtId="0" fontId="4" fillId="2" borderId="160" xfId="150" applyFont="1" applyFill="1" applyBorder="1" applyAlignment="1" applyProtection="1">
      <alignment horizontal="left" vertical="center"/>
    </xf>
    <xf numFmtId="0" fontId="155" fillId="2" borderId="160" xfId="150" applyFont="1" applyFill="1" applyBorder="1" applyAlignment="1" applyProtection="1">
      <alignment vertical="center"/>
    </xf>
    <xf numFmtId="0" fontId="4" fillId="2" borderId="14" xfId="150" applyFont="1" applyFill="1" applyBorder="1" applyAlignment="1" applyProtection="1">
      <alignment horizontal="center" vertical="center"/>
    </xf>
    <xf numFmtId="167" fontId="1" fillId="2" borderId="18" xfId="150" applyNumberFormat="1" applyFont="1" applyFill="1" applyBorder="1" applyAlignment="1" applyProtection="1">
      <alignment horizontal="center"/>
    </xf>
    <xf numFmtId="2" fontId="1" fillId="2" borderId="0" xfId="150" applyNumberFormat="1" applyFont="1" applyFill="1" applyBorder="1" applyAlignment="1" applyProtection="1">
      <alignment horizontal="centerContinuous"/>
    </xf>
    <xf numFmtId="2" fontId="151" fillId="45" borderId="0" xfId="150" applyNumberFormat="1" applyFont="1" applyFill="1" applyBorder="1" applyAlignment="1" applyProtection="1">
      <alignment horizontal="center"/>
    </xf>
    <xf numFmtId="0" fontId="1" fillId="2" borderId="0" xfId="150" applyFont="1" applyFill="1" applyBorder="1" applyAlignment="1" applyProtection="1">
      <alignment horizontal="left"/>
    </xf>
    <xf numFmtId="167" fontId="2" fillId="0" borderId="0" xfId="150" applyNumberFormat="1" applyFont="1" applyFill="1" applyBorder="1" applyAlignment="1" applyProtection="1">
      <alignment horizontal="center"/>
    </xf>
    <xf numFmtId="167" fontId="2" fillId="26" borderId="0" xfId="150" applyNumberFormat="1" applyFont="1" applyFill="1" applyBorder="1" applyAlignment="1" applyProtection="1">
      <alignment horizontal="center"/>
    </xf>
    <xf numFmtId="1" fontId="156" fillId="26" borderId="0" xfId="150" applyNumberFormat="1" applyFont="1" applyFill="1" applyBorder="1" applyAlignment="1" applyProtection="1">
      <alignment horizontal="center"/>
    </xf>
    <xf numFmtId="0" fontId="157" fillId="2" borderId="0" xfId="150" applyFont="1" applyFill="1" applyBorder="1" applyAlignment="1" applyProtection="1">
      <alignment horizontal="center"/>
    </xf>
    <xf numFmtId="0" fontId="158" fillId="2" borderId="19" xfId="150" applyFont="1" applyFill="1" applyBorder="1" applyAlignment="1" applyProtection="1">
      <alignment vertical="center"/>
    </xf>
    <xf numFmtId="167" fontId="1" fillId="26" borderId="0" xfId="150" applyNumberFormat="1" applyFont="1" applyFill="1" applyBorder="1" applyAlignment="1" applyProtection="1">
      <alignment vertical="center"/>
    </xf>
    <xf numFmtId="167" fontId="1" fillId="26" borderId="18" xfId="150" applyNumberFormat="1" applyFont="1" applyFill="1" applyBorder="1" applyAlignment="1" applyProtection="1">
      <alignment horizontal="center"/>
    </xf>
    <xf numFmtId="2" fontId="159" fillId="2" borderId="0" xfId="150" applyNumberFormat="1" applyFont="1" applyFill="1" applyBorder="1" applyAlignment="1" applyProtection="1">
      <alignment horizontal="centerContinuous"/>
    </xf>
    <xf numFmtId="167" fontId="64" fillId="2" borderId="0" xfId="150" applyNumberFormat="1" applyFill="1" applyBorder="1" applyProtection="1"/>
    <xf numFmtId="173" fontId="145" fillId="2" borderId="0" xfId="150" applyNumberFormat="1" applyFont="1" applyFill="1" applyBorder="1" applyProtection="1"/>
    <xf numFmtId="0" fontId="1" fillId="26" borderId="0" xfId="150" applyFont="1" applyFill="1" applyBorder="1" applyAlignment="1" applyProtection="1">
      <alignment vertical="center"/>
    </xf>
    <xf numFmtId="2" fontId="159" fillId="2" borderId="0" xfId="150" applyNumberFormat="1" applyFont="1" applyFill="1" applyBorder="1" applyAlignment="1" applyProtection="1">
      <alignment horizontal="center"/>
    </xf>
    <xf numFmtId="0" fontId="1" fillId="2" borderId="0" xfId="150" applyFont="1" applyFill="1" applyBorder="1" applyAlignment="1" applyProtection="1">
      <alignment horizontal="center"/>
    </xf>
    <xf numFmtId="0" fontId="151" fillId="2" borderId="0" xfId="150" applyFont="1" applyFill="1" applyBorder="1" applyProtection="1"/>
    <xf numFmtId="0" fontId="1" fillId="2" borderId="19" xfId="150" applyFont="1" applyFill="1" applyBorder="1" applyAlignment="1" applyProtection="1">
      <alignment horizontal="left" vertical="center"/>
    </xf>
    <xf numFmtId="0" fontId="64" fillId="2" borderId="19" xfId="150" applyFill="1" applyBorder="1" applyProtection="1"/>
    <xf numFmtId="173" fontId="1" fillId="2" borderId="0" xfId="150" applyNumberFormat="1" applyFont="1" applyFill="1" applyBorder="1" applyAlignment="1" applyProtection="1">
      <alignment vertical="center"/>
    </xf>
    <xf numFmtId="0" fontId="1" fillId="2" borderId="18" xfId="150" applyFont="1" applyFill="1" applyBorder="1" applyProtection="1"/>
    <xf numFmtId="0" fontId="160" fillId="2" borderId="0" xfId="150" applyFont="1" applyFill="1" applyBorder="1" applyAlignment="1" applyProtection="1">
      <alignment horizontal="center"/>
    </xf>
    <xf numFmtId="2" fontId="161" fillId="2" borderId="0" xfId="150" applyNumberFormat="1" applyFont="1" applyFill="1" applyBorder="1" applyAlignment="1" applyProtection="1">
      <alignment horizontal="centerContinuous"/>
    </xf>
    <xf numFmtId="167" fontId="151" fillId="45" borderId="0" xfId="150" applyNumberFormat="1" applyFont="1" applyFill="1" applyBorder="1" applyAlignment="1" applyProtection="1">
      <alignment horizontal="center"/>
    </xf>
    <xf numFmtId="0" fontId="1" fillId="2" borderId="0" xfId="150" applyFont="1" applyFill="1" applyBorder="1" applyAlignment="1" applyProtection="1">
      <alignment horizontal="left" vertical="center"/>
    </xf>
    <xf numFmtId="0" fontId="63" fillId="2" borderId="0" xfId="150" applyFont="1" applyFill="1" applyBorder="1" applyProtection="1"/>
    <xf numFmtId="0" fontId="1" fillId="2" borderId="0" xfId="150" applyFont="1" applyFill="1" applyBorder="1" applyProtection="1"/>
    <xf numFmtId="167" fontId="162" fillId="2" borderId="0" xfId="150" applyNumberFormat="1" applyFont="1" applyFill="1" applyBorder="1" applyAlignment="1" applyProtection="1">
      <alignment horizontal="center"/>
    </xf>
    <xf numFmtId="0" fontId="64" fillId="2" borderId="0" xfId="150" applyFont="1" applyFill="1" applyBorder="1" applyProtection="1"/>
    <xf numFmtId="167" fontId="64" fillId="2" borderId="0" xfId="150" applyNumberFormat="1" applyFont="1" applyFill="1" applyBorder="1" applyAlignment="1" applyProtection="1">
      <alignment horizontal="center"/>
    </xf>
    <xf numFmtId="0" fontId="57" fillId="2" borderId="19" xfId="150" applyFont="1" applyFill="1" applyBorder="1" applyProtection="1"/>
    <xf numFmtId="0" fontId="57" fillId="2" borderId="0" xfId="150" applyFont="1" applyFill="1" applyBorder="1" applyProtection="1"/>
    <xf numFmtId="189" fontId="163" fillId="2" borderId="0" xfId="150" applyNumberFormat="1" applyFont="1" applyFill="1" applyBorder="1" applyAlignment="1" applyProtection="1">
      <alignment horizontal="left"/>
    </xf>
    <xf numFmtId="0" fontId="57" fillId="2" borderId="0" xfId="150" applyFont="1" applyFill="1" applyBorder="1" applyAlignment="1" applyProtection="1">
      <alignment horizontal="centerContinuous"/>
    </xf>
    <xf numFmtId="0" fontId="158" fillId="2" borderId="0" xfId="150" applyFont="1" applyFill="1" applyBorder="1" applyAlignment="1" applyProtection="1">
      <alignment vertical="center"/>
    </xf>
    <xf numFmtId="0" fontId="155" fillId="2" borderId="0" xfId="150" applyFont="1" applyFill="1" applyBorder="1" applyProtection="1"/>
    <xf numFmtId="1" fontId="164" fillId="2" borderId="0" xfId="150" applyNumberFormat="1" applyFont="1" applyFill="1" applyBorder="1" applyAlignment="1" applyProtection="1">
      <alignment horizontal="centerContinuous"/>
    </xf>
    <xf numFmtId="167" fontId="151" fillId="2" borderId="0" xfId="150" applyNumberFormat="1" applyFont="1" applyFill="1" applyBorder="1" applyAlignment="1" applyProtection="1">
      <alignment horizontal="right"/>
    </xf>
    <xf numFmtId="0" fontId="151" fillId="2" borderId="0" xfId="150" applyFont="1" applyFill="1" applyBorder="1" applyAlignment="1" applyProtection="1">
      <alignment horizontal="left"/>
    </xf>
    <xf numFmtId="0" fontId="64" fillId="2" borderId="53" xfId="150" applyFill="1" applyBorder="1" applyAlignment="1" applyProtection="1">
      <alignment horizontal="center"/>
    </xf>
    <xf numFmtId="0" fontId="165" fillId="2" borderId="0" xfId="150" applyFont="1" applyFill="1" applyProtection="1"/>
    <xf numFmtId="1" fontId="164" fillId="2" borderId="0" xfId="150" applyNumberFormat="1" applyFont="1" applyFill="1" applyBorder="1" applyAlignment="1" applyProtection="1">
      <alignment horizontal="center"/>
    </xf>
    <xf numFmtId="0" fontId="166" fillId="2" borderId="0" xfId="150" applyFont="1" applyFill="1" applyBorder="1" applyProtection="1"/>
    <xf numFmtId="0" fontId="167" fillId="2" borderId="0" xfId="150" applyFont="1" applyFill="1" applyBorder="1" applyAlignment="1" applyProtection="1">
      <alignment horizontal="centerContinuous"/>
    </xf>
    <xf numFmtId="0" fontId="167" fillId="2" borderId="0" xfId="150" applyFont="1" applyFill="1" applyBorder="1" applyProtection="1"/>
    <xf numFmtId="0" fontId="64" fillId="2" borderId="54" xfId="150" applyFill="1" applyBorder="1" applyAlignment="1" applyProtection="1">
      <alignment horizontal="center"/>
    </xf>
    <xf numFmtId="167" fontId="1" fillId="2" borderId="0" xfId="150" applyNumberFormat="1" applyFont="1" applyFill="1" applyBorder="1" applyAlignment="1" applyProtection="1">
      <alignment horizontal="center" vertical="center"/>
    </xf>
    <xf numFmtId="0" fontId="1" fillId="26" borderId="0" xfId="150" applyFont="1" applyFill="1" applyBorder="1" applyAlignment="1" applyProtection="1">
      <alignment horizontal="left" vertical="center"/>
    </xf>
    <xf numFmtId="167" fontId="1" fillId="2" borderId="0" xfId="150" applyNumberFormat="1" applyFont="1" applyFill="1" applyBorder="1" applyAlignment="1" applyProtection="1">
      <alignment horizontal="center"/>
    </xf>
    <xf numFmtId="173" fontId="1" fillId="2" borderId="0" xfId="150" applyNumberFormat="1" applyFont="1" applyFill="1" applyBorder="1" applyAlignment="1" applyProtection="1">
      <alignment horizontal="left" vertical="center"/>
    </xf>
    <xf numFmtId="0" fontId="168" fillId="2" borderId="0" xfId="150" applyFont="1" applyFill="1" applyBorder="1" applyAlignment="1" applyProtection="1">
      <alignment horizontal="center"/>
    </xf>
    <xf numFmtId="173" fontId="64" fillId="2" borderId="0" xfId="150" applyNumberFormat="1" applyFill="1" applyBorder="1" applyAlignment="1" applyProtection="1">
      <alignment horizontal="center"/>
    </xf>
    <xf numFmtId="0" fontId="1" fillId="2" borderId="19" xfId="150" applyFont="1" applyFill="1" applyBorder="1" applyAlignment="1" applyProtection="1">
      <alignment horizontal="center" vertical="center"/>
    </xf>
    <xf numFmtId="0" fontId="1" fillId="2" borderId="0" xfId="150" applyFont="1" applyFill="1" applyBorder="1" applyAlignment="1" applyProtection="1">
      <alignment horizontal="center" vertical="center"/>
    </xf>
    <xf numFmtId="0" fontId="2" fillId="2" borderId="0" xfId="150" applyFont="1" applyFill="1" applyBorder="1" applyAlignment="1" applyProtection="1">
      <alignment vertical="center"/>
    </xf>
    <xf numFmtId="2" fontId="1" fillId="2" borderId="18" xfId="150" applyNumberFormat="1" applyFont="1" applyFill="1" applyBorder="1" applyAlignment="1" applyProtection="1">
      <alignment horizontal="center" vertical="center"/>
    </xf>
    <xf numFmtId="0" fontId="162" fillId="2" borderId="0" xfId="150" applyFont="1" applyFill="1" applyBorder="1" applyAlignment="1" applyProtection="1">
      <alignment horizontal="center"/>
    </xf>
    <xf numFmtId="0" fontId="162" fillId="2" borderId="0" xfId="150" applyFont="1" applyFill="1" applyBorder="1" applyProtection="1"/>
    <xf numFmtId="0" fontId="1" fillId="2" borderId="0" xfId="150" applyFont="1" applyFill="1" applyAlignment="1" applyProtection="1">
      <alignment horizontal="center" vertical="center"/>
    </xf>
    <xf numFmtId="168" fontId="2" fillId="2" borderId="0" xfId="150" applyNumberFormat="1" applyFont="1" applyFill="1" applyBorder="1" applyAlignment="1" applyProtection="1">
      <alignment horizontal="center" vertical="center"/>
    </xf>
    <xf numFmtId="0" fontId="169" fillId="2" borderId="0" xfId="150" applyFont="1" applyFill="1" applyBorder="1" applyAlignment="1" applyProtection="1">
      <alignment horizontal="center"/>
    </xf>
    <xf numFmtId="0" fontId="1" fillId="2" borderId="164" xfId="150" applyFont="1" applyFill="1" applyBorder="1" applyAlignment="1" applyProtection="1">
      <alignment horizontal="center" vertical="center"/>
    </xf>
    <xf numFmtId="2" fontId="1" fillId="2" borderId="163" xfId="150" applyNumberFormat="1" applyFont="1" applyFill="1" applyBorder="1" applyAlignment="1" applyProtection="1">
      <alignment horizontal="center" vertical="center"/>
    </xf>
    <xf numFmtId="0" fontId="42" fillId="0" borderId="50" xfId="71" applyFont="1" applyFill="1" applyBorder="1" applyAlignment="1" applyProtection="1">
      <alignment vertical="top" wrapText="1"/>
    </xf>
    <xf numFmtId="0" fontId="4" fillId="0" borderId="52" xfId="150" applyFont="1" applyFill="1" applyBorder="1" applyAlignment="1" applyProtection="1">
      <alignment vertical="top"/>
    </xf>
    <xf numFmtId="167" fontId="64" fillId="2" borderId="0" xfId="150" applyNumberFormat="1" applyFill="1" applyProtection="1"/>
    <xf numFmtId="0" fontId="170" fillId="2" borderId="0" xfId="150" applyFont="1" applyFill="1" applyBorder="1" applyAlignment="1" applyProtection="1"/>
    <xf numFmtId="0" fontId="171" fillId="2" borderId="0" xfId="150" applyFont="1" applyFill="1" applyBorder="1" applyAlignment="1" applyProtection="1">
      <alignment horizontal="left"/>
    </xf>
    <xf numFmtId="0" fontId="1" fillId="2" borderId="0" xfId="150" applyFont="1" applyFill="1" applyBorder="1" applyAlignment="1" applyProtection="1">
      <alignment horizontal="centerContinuous"/>
    </xf>
    <xf numFmtId="0" fontId="3" fillId="26" borderId="0" xfId="71" applyFont="1" applyFill="1" applyBorder="1" applyAlignment="1" applyProtection="1">
      <alignment vertical="center"/>
    </xf>
    <xf numFmtId="167" fontId="64" fillId="2" borderId="0" xfId="150" applyNumberFormat="1" applyFill="1" applyAlignment="1" applyProtection="1">
      <alignment vertical="top"/>
    </xf>
    <xf numFmtId="0" fontId="1" fillId="2" borderId="0" xfId="150" applyFont="1" applyFill="1" applyProtection="1"/>
    <xf numFmtId="0" fontId="149" fillId="25" borderId="0" xfId="150" applyFont="1" applyFill="1" applyBorder="1" applyAlignment="1" applyProtection="1"/>
    <xf numFmtId="0" fontId="1" fillId="2" borderId="0" xfId="150" applyFont="1" applyFill="1" applyAlignment="1" applyProtection="1">
      <alignment horizontal="center"/>
    </xf>
    <xf numFmtId="0" fontId="1" fillId="0" borderId="0" xfId="150" applyFont="1" applyFill="1" applyProtection="1"/>
    <xf numFmtId="0" fontId="64" fillId="2" borderId="164" xfId="210" applyFill="1" applyBorder="1" applyProtection="1"/>
    <xf numFmtId="0" fontId="64" fillId="2" borderId="162" xfId="210" applyFill="1" applyBorder="1" applyProtection="1"/>
    <xf numFmtId="0" fontId="64" fillId="2" borderId="0" xfId="210" applyFill="1" applyProtection="1"/>
    <xf numFmtId="0" fontId="64" fillId="0" borderId="0" xfId="210" applyFill="1" applyProtection="1"/>
    <xf numFmtId="0" fontId="64" fillId="2" borderId="19" xfId="210" applyFill="1" applyBorder="1" applyProtection="1"/>
    <xf numFmtId="0" fontId="64" fillId="2" borderId="0" xfId="210" applyFill="1" applyBorder="1" applyProtection="1"/>
    <xf numFmtId="0" fontId="64" fillId="2" borderId="15" xfId="210" applyFill="1" applyBorder="1" applyProtection="1"/>
    <xf numFmtId="0" fontId="64" fillId="2" borderId="160" xfId="210" applyFill="1" applyBorder="1" applyProtection="1"/>
    <xf numFmtId="0" fontId="2" fillId="26" borderId="162" xfId="68" applyFont="1" applyFill="1" applyBorder="1" applyAlignment="1" applyProtection="1">
      <alignment vertical="center"/>
    </xf>
    <xf numFmtId="0" fontId="42" fillId="26" borderId="162" xfId="71" applyFont="1" applyFill="1" applyBorder="1" applyAlignment="1" applyProtection="1">
      <alignment vertical="center" wrapText="1"/>
    </xf>
    <xf numFmtId="0" fontId="2" fillId="26" borderId="163" xfId="71" applyFont="1" applyFill="1" applyBorder="1" applyAlignment="1" applyProtection="1">
      <alignment horizontal="left" vertical="center" wrapText="1"/>
    </xf>
    <xf numFmtId="0" fontId="5" fillId="0" borderId="163" xfId="21" applyFont="1" applyFill="1" applyBorder="1" applyAlignment="1" applyProtection="1">
      <alignment horizontal="center"/>
    </xf>
    <xf numFmtId="0" fontId="147" fillId="0" borderId="29" xfId="210" applyFont="1" applyFill="1" applyBorder="1" applyAlignment="1" applyProtection="1">
      <alignment horizontal="center"/>
    </xf>
    <xf numFmtId="0" fontId="147" fillId="0" borderId="29" xfId="210" applyFont="1" applyFill="1" applyBorder="1" applyAlignment="1" applyProtection="1">
      <alignment horizontal="center" vertical="center" wrapText="1"/>
    </xf>
    <xf numFmtId="0" fontId="42" fillId="2" borderId="19" xfId="210" applyFont="1" applyFill="1" applyBorder="1" applyProtection="1"/>
    <xf numFmtId="0" fontId="42" fillId="2" borderId="0" xfId="210" applyFont="1" applyFill="1" applyBorder="1" applyProtection="1"/>
    <xf numFmtId="0" fontId="1" fillId="0" borderId="0" xfId="21" applyFont="1" applyFill="1" applyBorder="1" applyAlignment="1" applyProtection="1">
      <alignment horizontal="left"/>
    </xf>
    <xf numFmtId="0" fontId="64" fillId="2" borderId="18" xfId="210" applyFill="1" applyBorder="1" applyProtection="1"/>
    <xf numFmtId="0" fontId="4" fillId="0" borderId="18" xfId="21" applyFont="1" applyFill="1" applyBorder="1" applyAlignment="1" applyProtection="1"/>
    <xf numFmtId="0" fontId="4" fillId="2" borderId="53" xfId="150" applyFont="1" applyFill="1" applyBorder="1" applyAlignment="1" applyProtection="1">
      <alignment horizontal="center" vertical="center"/>
    </xf>
    <xf numFmtId="0" fontId="172" fillId="0" borderId="53" xfId="210" applyFont="1" applyFill="1" applyBorder="1" applyAlignment="1" applyProtection="1">
      <alignment horizontal="center" vertical="center" wrapText="1"/>
    </xf>
    <xf numFmtId="0" fontId="2" fillId="26" borderId="18" xfId="71" applyFont="1" applyFill="1" applyBorder="1" applyAlignment="1" applyProtection="1">
      <alignment horizontal="left" wrapText="1"/>
    </xf>
    <xf numFmtId="0" fontId="64" fillId="0" borderId="54" xfId="210" applyFill="1" applyBorder="1" applyAlignment="1" applyProtection="1">
      <alignment horizontal="center"/>
    </xf>
    <xf numFmtId="1" fontId="1" fillId="2" borderId="18" xfId="150" applyNumberFormat="1" applyFont="1" applyFill="1" applyBorder="1" applyAlignment="1" applyProtection="1">
      <alignment horizontal="center" vertical="center"/>
    </xf>
    <xf numFmtId="0" fontId="1" fillId="26" borderId="0" xfId="71" applyFont="1" applyFill="1" applyBorder="1" applyAlignment="1" applyProtection="1">
      <alignment horizontal="center" vertical="center" wrapText="1"/>
    </xf>
    <xf numFmtId="0" fontId="64" fillId="0" borderId="29" xfId="210" applyFill="1" applyBorder="1" applyAlignment="1" applyProtection="1">
      <alignment horizontal="center"/>
    </xf>
    <xf numFmtId="0" fontId="172" fillId="0" borderId="53" xfId="210" applyFont="1" applyFill="1" applyBorder="1" applyAlignment="1" applyProtection="1">
      <alignment horizontal="center"/>
    </xf>
    <xf numFmtId="2" fontId="1" fillId="2" borderId="19" xfId="150" applyNumberFormat="1" applyFont="1" applyFill="1" applyBorder="1" applyAlignment="1" applyProtection="1">
      <alignment horizontal="right" vertical="center"/>
    </xf>
    <xf numFmtId="167" fontId="1" fillId="45" borderId="18" xfId="150" applyNumberFormat="1" applyFont="1" applyFill="1" applyBorder="1" applyAlignment="1" applyProtection="1">
      <alignment horizontal="center"/>
    </xf>
    <xf numFmtId="0" fontId="42" fillId="26" borderId="19" xfId="150" applyFont="1" applyFill="1" applyBorder="1" applyAlignment="1" applyProtection="1">
      <alignment vertical="center"/>
    </xf>
    <xf numFmtId="0" fontId="2" fillId="2" borderId="0" xfId="150" applyFont="1" applyFill="1" applyBorder="1" applyAlignment="1" applyProtection="1">
      <alignment vertical="center" wrapText="1"/>
    </xf>
    <xf numFmtId="168" fontId="2" fillId="26" borderId="18" xfId="71" applyNumberFormat="1" applyFont="1" applyFill="1" applyBorder="1" applyAlignment="1" applyProtection="1">
      <alignment horizontal="left" vertical="center" wrapText="1"/>
    </xf>
    <xf numFmtId="0" fontId="1" fillId="0" borderId="14" xfId="21" applyFont="1" applyFill="1" applyBorder="1" applyAlignment="1" applyProtection="1"/>
    <xf numFmtId="0" fontId="172" fillId="0" borderId="54" xfId="210" applyFont="1" applyFill="1" applyBorder="1" applyAlignment="1" applyProtection="1">
      <alignment horizontal="center"/>
    </xf>
    <xf numFmtId="0" fontId="1" fillId="2" borderId="19" xfId="210" applyFont="1" applyFill="1" applyBorder="1" applyAlignment="1" applyProtection="1">
      <alignment horizontal="right"/>
    </xf>
    <xf numFmtId="0" fontId="1" fillId="2" borderId="19" xfId="210" applyFont="1" applyFill="1" applyBorder="1" applyAlignment="1" applyProtection="1"/>
    <xf numFmtId="0" fontId="1" fillId="2" borderId="18" xfId="210" applyFont="1" applyFill="1" applyBorder="1" applyAlignment="1" applyProtection="1"/>
    <xf numFmtId="0" fontId="43" fillId="0" borderId="9" xfId="21" applyFont="1" applyFill="1" applyBorder="1" applyAlignment="1" applyProtection="1"/>
    <xf numFmtId="0" fontId="4" fillId="2" borderId="18" xfId="210" applyFont="1" applyFill="1" applyBorder="1" applyAlignment="1" applyProtection="1">
      <alignment vertical="center"/>
    </xf>
    <xf numFmtId="167" fontId="1" fillId="26" borderId="14" xfId="210" applyNumberFormat="1" applyFont="1" applyFill="1" applyBorder="1" applyAlignment="1" applyProtection="1">
      <alignment horizontal="center" vertical="center"/>
    </xf>
    <xf numFmtId="0" fontId="4" fillId="2" borderId="18" xfId="150" applyFont="1" applyFill="1" applyBorder="1" applyAlignment="1" applyProtection="1">
      <alignment vertical="center"/>
    </xf>
    <xf numFmtId="0" fontId="1" fillId="2" borderId="0" xfId="210" applyFont="1" applyFill="1" applyProtection="1"/>
    <xf numFmtId="0" fontId="155" fillId="2" borderId="0" xfId="210" applyFont="1" applyFill="1" applyBorder="1" applyProtection="1"/>
    <xf numFmtId="0" fontId="160" fillId="0" borderId="0" xfId="210" applyFont="1" applyFill="1" applyProtection="1"/>
    <xf numFmtId="0" fontId="1" fillId="0" borderId="0" xfId="210" applyFont="1" applyFill="1" applyProtection="1"/>
    <xf numFmtId="2" fontId="1" fillId="2" borderId="0" xfId="210" applyNumberFormat="1" applyFont="1" applyFill="1" applyProtection="1"/>
    <xf numFmtId="2" fontId="64" fillId="2" borderId="0" xfId="210" applyNumberFormat="1" applyFill="1" applyBorder="1" applyProtection="1"/>
    <xf numFmtId="0" fontId="16" fillId="2" borderId="0" xfId="210" applyFont="1" applyFill="1" applyBorder="1" applyProtection="1"/>
    <xf numFmtId="0" fontId="16" fillId="2" borderId="0" xfId="210" applyFont="1" applyFill="1" applyBorder="1" applyAlignment="1" applyProtection="1">
      <alignment horizontal="left"/>
    </xf>
    <xf numFmtId="0" fontId="1" fillId="2" borderId="0" xfId="210" applyFont="1" applyFill="1" applyBorder="1" applyProtection="1"/>
    <xf numFmtId="0" fontId="16" fillId="2" borderId="18" xfId="210" applyFont="1" applyFill="1" applyBorder="1" applyProtection="1"/>
    <xf numFmtId="0" fontId="64" fillId="2" borderId="0" xfId="210" applyFill="1" applyBorder="1" applyAlignment="1" applyProtection="1">
      <alignment horizontal="centerContinuous"/>
    </xf>
    <xf numFmtId="0" fontId="173" fillId="2" borderId="0" xfId="210" applyFont="1" applyFill="1" applyBorder="1" applyAlignment="1" applyProtection="1">
      <alignment horizontal="centerContinuous"/>
    </xf>
    <xf numFmtId="0" fontId="1" fillId="2" borderId="18" xfId="210" applyFont="1" applyFill="1" applyBorder="1" applyProtection="1"/>
    <xf numFmtId="0" fontId="64" fillId="2" borderId="0" xfId="210" applyFill="1" applyBorder="1" applyAlignment="1" applyProtection="1">
      <alignment horizontal="center"/>
    </xf>
    <xf numFmtId="0" fontId="152" fillId="2" borderId="0" xfId="210" applyFont="1" applyFill="1" applyBorder="1" applyAlignment="1" applyProtection="1">
      <alignment horizontal="center"/>
    </xf>
    <xf numFmtId="0" fontId="1" fillId="26" borderId="245" xfId="210" applyFont="1" applyFill="1" applyBorder="1" applyAlignment="1" applyProtection="1">
      <alignment horizontal="center" vertical="center"/>
    </xf>
    <xf numFmtId="2" fontId="147" fillId="2" borderId="0" xfId="210" applyNumberFormat="1" applyFont="1" applyFill="1" applyBorder="1" applyAlignment="1" applyProtection="1">
      <alignment horizontal="center" vertical="center"/>
    </xf>
    <xf numFmtId="0" fontId="147" fillId="2" borderId="18" xfId="210" applyFont="1" applyFill="1" applyBorder="1" applyAlignment="1" applyProtection="1">
      <alignment horizontal="center" vertical="center"/>
    </xf>
    <xf numFmtId="0" fontId="64" fillId="2" borderId="0" xfId="210" applyFill="1" applyBorder="1" applyAlignment="1" applyProtection="1">
      <alignment horizontal="center" vertical="center"/>
    </xf>
    <xf numFmtId="0" fontId="64" fillId="26" borderId="0" xfId="210" applyFont="1" applyFill="1" applyBorder="1" applyAlignment="1" applyProtection="1">
      <alignment horizontal="center" vertical="center"/>
      <protection locked="0"/>
    </xf>
    <xf numFmtId="167" fontId="1" fillId="26" borderId="18" xfId="210" applyNumberFormat="1" applyFont="1" applyFill="1" applyBorder="1" applyAlignment="1" applyProtection="1">
      <alignment horizontal="center" vertical="center"/>
      <protection locked="0"/>
    </xf>
    <xf numFmtId="167" fontId="152" fillId="2" borderId="0" xfId="210" applyNumberFormat="1" applyFont="1" applyFill="1" applyBorder="1" applyAlignment="1" applyProtection="1">
      <alignment horizontal="center"/>
    </xf>
    <xf numFmtId="0" fontId="1" fillId="26" borderId="260" xfId="210" applyFont="1" applyFill="1" applyBorder="1" applyAlignment="1" applyProtection="1">
      <alignment horizontal="center" vertical="center"/>
    </xf>
    <xf numFmtId="0" fontId="1" fillId="26" borderId="0" xfId="21" applyFont="1" applyFill="1" applyBorder="1" applyAlignment="1" applyProtection="1">
      <alignment horizontal="center" vertical="center"/>
      <protection locked="0"/>
    </xf>
    <xf numFmtId="167" fontId="1" fillId="26" borderId="18" xfId="21" applyNumberFormat="1" applyFont="1" applyFill="1" applyBorder="1" applyAlignment="1" applyProtection="1">
      <alignment horizontal="center" vertical="center"/>
      <protection locked="0"/>
    </xf>
    <xf numFmtId="190" fontId="152" fillId="2" borderId="0" xfId="210" applyNumberFormat="1" applyFont="1" applyFill="1" applyBorder="1" applyAlignment="1" applyProtection="1">
      <alignment horizontal="center"/>
    </xf>
    <xf numFmtId="0" fontId="64" fillId="2" borderId="160" xfId="210" applyFill="1" applyBorder="1" applyAlignment="1" applyProtection="1">
      <alignment vertical="center"/>
    </xf>
    <xf numFmtId="167" fontId="64" fillId="2" borderId="160" xfId="210" applyNumberFormat="1" applyFont="1" applyFill="1" applyBorder="1" applyAlignment="1" applyProtection="1">
      <alignment horizontal="center" vertical="center"/>
    </xf>
    <xf numFmtId="167" fontId="1" fillId="0" borderId="14" xfId="210" applyNumberFormat="1" applyFont="1" applyFill="1" applyBorder="1" applyAlignment="1" applyProtection="1">
      <alignment horizontal="center" vertical="center"/>
    </xf>
    <xf numFmtId="0" fontId="3" fillId="0" borderId="0" xfId="210" applyFont="1" applyFill="1" applyBorder="1" applyAlignment="1" applyProtection="1"/>
    <xf numFmtId="0" fontId="151" fillId="2" borderId="0" xfId="210" applyFont="1" applyFill="1" applyBorder="1" applyAlignment="1" applyProtection="1">
      <alignment horizontal="left"/>
    </xf>
    <xf numFmtId="0" fontId="154" fillId="2" borderId="0" xfId="210" applyFont="1" applyFill="1" applyBorder="1" applyAlignment="1" applyProtection="1">
      <alignment horizontal="left"/>
    </xf>
    <xf numFmtId="0" fontId="151" fillId="2" borderId="0" xfId="210" applyFont="1" applyFill="1" applyBorder="1" applyAlignment="1" applyProtection="1">
      <alignment horizontal="center"/>
    </xf>
    <xf numFmtId="9" fontId="145" fillId="2" borderId="0" xfId="210" applyNumberFormat="1" applyFont="1" applyFill="1" applyBorder="1" applyAlignment="1" applyProtection="1">
      <alignment horizontal="center"/>
    </xf>
    <xf numFmtId="2" fontId="1" fillId="2" borderId="0" xfId="210" applyNumberFormat="1" applyFont="1" applyFill="1" applyBorder="1" applyProtection="1"/>
    <xf numFmtId="0" fontId="1" fillId="26" borderId="265" xfId="210" applyFont="1" applyFill="1" applyBorder="1" applyAlignment="1" applyProtection="1">
      <alignment horizontal="center" vertical="center"/>
    </xf>
    <xf numFmtId="0" fontId="1" fillId="0" borderId="266" xfId="21" applyFont="1" applyFill="1" applyBorder="1" applyAlignment="1" applyProtection="1">
      <alignment vertical="center"/>
    </xf>
    <xf numFmtId="1" fontId="13" fillId="26" borderId="267" xfId="210" applyNumberFormat="1" applyFont="1" applyFill="1" applyBorder="1" applyAlignment="1" applyProtection="1">
      <alignment vertical="center" wrapText="1"/>
    </xf>
    <xf numFmtId="0" fontId="4" fillId="26" borderId="0" xfId="210" applyFont="1" applyFill="1" applyBorder="1" applyAlignment="1" applyProtection="1">
      <alignment horizontal="left" vertical="center" wrapText="1"/>
    </xf>
    <xf numFmtId="0" fontId="4" fillId="26" borderId="0" xfId="210" applyFont="1" applyFill="1" applyBorder="1" applyAlignment="1" applyProtection="1">
      <alignment horizontal="center" vertical="center"/>
    </xf>
    <xf numFmtId="1" fontId="5" fillId="26" borderId="0" xfId="210" applyNumberFormat="1" applyFont="1" applyFill="1" applyBorder="1" applyAlignment="1" applyProtection="1">
      <alignment horizontal="center" vertical="center"/>
    </xf>
    <xf numFmtId="1" fontId="174" fillId="26" borderId="0" xfId="210" applyNumberFormat="1" applyFont="1" applyFill="1" applyBorder="1" applyAlignment="1" applyProtection="1">
      <alignment vertical="center" wrapText="1"/>
    </xf>
    <xf numFmtId="0" fontId="5" fillId="26" borderId="164" xfId="71" applyFont="1" applyFill="1" applyBorder="1" applyAlignment="1" applyProtection="1">
      <alignment vertical="top" wrapText="1"/>
    </xf>
    <xf numFmtId="0" fontId="1" fillId="2" borderId="163" xfId="210" applyFont="1" applyFill="1" applyBorder="1" applyProtection="1"/>
    <xf numFmtId="0" fontId="5" fillId="26" borderId="19" xfId="71" applyFont="1" applyFill="1" applyBorder="1" applyAlignment="1" applyProtection="1">
      <alignment vertical="top" wrapText="1"/>
    </xf>
    <xf numFmtId="0" fontId="1" fillId="0" borderId="19" xfId="71" applyFont="1" applyFill="1" applyBorder="1" applyAlignment="1" applyProtection="1"/>
    <xf numFmtId="0" fontId="1" fillId="0" borderId="18" xfId="71" applyFont="1" applyFill="1" applyBorder="1" applyAlignment="1" applyProtection="1"/>
    <xf numFmtId="0" fontId="4" fillId="26" borderId="18" xfId="71" applyFont="1" applyFill="1" applyBorder="1" applyAlignment="1" applyProtection="1">
      <alignment vertical="top" wrapText="1"/>
    </xf>
    <xf numFmtId="0" fontId="1" fillId="0" borderId="0" xfId="1" applyFill="1" applyBorder="1" applyAlignment="1" applyProtection="1">
      <alignment horizontal="center"/>
      <protection locked="0"/>
    </xf>
    <xf numFmtId="0" fontId="1" fillId="0" borderId="0" xfId="1" applyFill="1" applyProtection="1">
      <protection locked="0"/>
    </xf>
    <xf numFmtId="0" fontId="92" fillId="26" borderId="162" xfId="1" applyFont="1" applyFill="1" applyBorder="1" applyAlignment="1" applyProtection="1">
      <alignment vertical="center"/>
      <protection locked="0"/>
    </xf>
    <xf numFmtId="0" fontId="92" fillId="26" borderId="163" xfId="1" applyFont="1" applyFill="1" applyBorder="1" applyAlignment="1" applyProtection="1">
      <alignment vertical="center"/>
      <protection locked="0"/>
    </xf>
    <xf numFmtId="0" fontId="92" fillId="26" borderId="160" xfId="1" applyFont="1" applyFill="1" applyBorder="1" applyAlignment="1" applyProtection="1">
      <alignment vertical="center"/>
      <protection locked="0"/>
    </xf>
    <xf numFmtId="0" fontId="92" fillId="26" borderId="14" xfId="1" applyFont="1" applyFill="1" applyBorder="1" applyAlignment="1" applyProtection="1">
      <alignment vertical="center"/>
      <protection locked="0"/>
    </xf>
    <xf numFmtId="0" fontId="50" fillId="0" borderId="0"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center"/>
      <protection locked="0"/>
    </xf>
    <xf numFmtId="0" fontId="2" fillId="26" borderId="0" xfId="1" applyFont="1" applyFill="1" applyBorder="1" applyAlignment="1" applyProtection="1">
      <alignment vertical="center" wrapText="1"/>
    </xf>
    <xf numFmtId="0" fontId="42" fillId="26" borderId="0" xfId="1" applyFont="1" applyFill="1" applyBorder="1" applyAlignment="1" applyProtection="1">
      <alignment vertical="center" wrapText="1"/>
    </xf>
    <xf numFmtId="0" fontId="4" fillId="0" borderId="0" xfId="1" applyFont="1" applyFill="1" applyProtection="1">
      <protection locked="0"/>
    </xf>
    <xf numFmtId="0" fontId="42" fillId="0" borderId="0" xfId="1" applyFont="1" applyBorder="1" applyProtection="1">
      <protection locked="0"/>
    </xf>
    <xf numFmtId="0" fontId="94" fillId="0" borderId="0" xfId="1" applyFont="1" applyProtection="1">
      <protection locked="0"/>
    </xf>
    <xf numFmtId="0" fontId="4" fillId="26" borderId="0" xfId="1" applyFont="1" applyFill="1" applyBorder="1" applyAlignment="1" applyProtection="1">
      <alignment horizontal="left" vertical="center"/>
      <protection locked="0"/>
    </xf>
    <xf numFmtId="0" fontId="4" fillId="26" borderId="18" xfId="1" applyFont="1" applyFill="1" applyBorder="1" applyAlignment="1" applyProtection="1">
      <alignment horizontal="left" vertical="center"/>
      <protection locked="0"/>
    </xf>
    <xf numFmtId="0" fontId="1" fillId="26" borderId="19" xfId="1" applyFont="1" applyFill="1" applyBorder="1" applyProtection="1"/>
    <xf numFmtId="0" fontId="1" fillId="26" borderId="0" xfId="1" applyFont="1" applyFill="1" applyBorder="1" applyAlignment="1" applyProtection="1"/>
    <xf numFmtId="0" fontId="2" fillId="26" borderId="0" xfId="1" applyFont="1" applyFill="1" applyBorder="1" applyAlignment="1" applyProtection="1"/>
    <xf numFmtId="0" fontId="1" fillId="26" borderId="0" xfId="1" applyFont="1" applyFill="1" applyBorder="1" applyProtection="1"/>
    <xf numFmtId="0" fontId="4" fillId="26" borderId="0" xfId="1" applyFont="1" applyFill="1" applyBorder="1" applyAlignment="1" applyProtection="1">
      <alignment vertical="center"/>
    </xf>
    <xf numFmtId="0" fontId="1" fillId="26" borderId="0" xfId="1" applyFont="1" applyFill="1" applyBorder="1" applyAlignment="1" applyProtection="1">
      <alignment horizontal="left"/>
    </xf>
    <xf numFmtId="15" fontId="3" fillId="26" borderId="0" xfId="1" applyNumberFormat="1" applyFont="1" applyFill="1" applyBorder="1" applyAlignment="1" applyProtection="1">
      <alignment horizontal="left"/>
    </xf>
    <xf numFmtId="15" fontId="3" fillId="26" borderId="18" xfId="1" applyNumberFormat="1" applyFont="1" applyFill="1" applyBorder="1" applyAlignment="1" applyProtection="1">
      <alignment horizontal="left"/>
    </xf>
    <xf numFmtId="0" fontId="1" fillId="26" borderId="19" xfId="1" applyFont="1" applyFill="1" applyBorder="1" applyAlignment="1" applyProtection="1">
      <alignment vertical="center"/>
    </xf>
    <xf numFmtId="0" fontId="1" fillId="26" borderId="18" xfId="1" applyFont="1" applyFill="1" applyBorder="1" applyAlignment="1" applyProtection="1">
      <alignment vertical="center"/>
    </xf>
    <xf numFmtId="0" fontId="10" fillId="27" borderId="0" xfId="21" applyFont="1" applyFill="1" applyAlignment="1" applyProtection="1">
      <alignment horizontal="left" vertical="center"/>
      <protection locked="0"/>
    </xf>
    <xf numFmtId="0" fontId="1" fillId="0" borderId="0" xfId="1" applyFill="1" applyAlignment="1" applyProtection="1">
      <alignment vertical="center"/>
      <protection locked="0"/>
    </xf>
    <xf numFmtId="0" fontId="10" fillId="2" borderId="0" xfId="21" applyFont="1" applyFill="1" applyAlignment="1" applyProtection="1">
      <alignment horizontal="left" vertical="center"/>
      <protection locked="0"/>
    </xf>
    <xf numFmtId="0" fontId="1" fillId="26" borderId="0" xfId="1" applyFont="1" applyFill="1" applyBorder="1" applyAlignment="1" applyProtection="1">
      <alignment vertical="center"/>
    </xf>
    <xf numFmtId="0" fontId="1" fillId="26" borderId="0" xfId="1" applyFont="1" applyFill="1" applyBorder="1" applyAlignment="1" applyProtection="1">
      <alignment horizontal="left" vertical="center"/>
    </xf>
    <xf numFmtId="15" fontId="3" fillId="26" borderId="0" xfId="1" applyNumberFormat="1" applyFont="1" applyFill="1" applyBorder="1" applyAlignment="1" applyProtection="1">
      <alignment horizontal="left" vertical="center"/>
    </xf>
    <xf numFmtId="15" fontId="3" fillId="26" borderId="18" xfId="1" applyNumberFormat="1" applyFont="1" applyFill="1" applyBorder="1" applyAlignment="1" applyProtection="1">
      <alignment horizontal="left" vertical="center"/>
    </xf>
    <xf numFmtId="0" fontId="1" fillId="0" borderId="0" xfId="1" applyAlignment="1" applyProtection="1">
      <alignment vertical="center"/>
      <protection locked="0"/>
    </xf>
    <xf numFmtId="0" fontId="10" fillId="2" borderId="0" xfId="21" applyFont="1" applyFill="1" applyAlignment="1" applyProtection="1">
      <alignment horizontal="center" vertical="center"/>
      <protection locked="0"/>
    </xf>
    <xf numFmtId="0" fontId="1" fillId="0" borderId="0" xfId="1" applyBorder="1" applyAlignment="1" applyProtection="1">
      <alignment vertical="center"/>
    </xf>
    <xf numFmtId="0" fontId="1" fillId="0" borderId="0" xfId="1" applyBorder="1" applyAlignment="1" applyProtection="1">
      <alignment horizontal="left" vertical="center"/>
    </xf>
    <xf numFmtId="0" fontId="16" fillId="26" borderId="39" xfId="1" applyFont="1" applyFill="1" applyBorder="1" applyAlignment="1" applyProtection="1">
      <alignment vertical="center"/>
    </xf>
    <xf numFmtId="0" fontId="1" fillId="0" borderId="88" xfId="1" applyFont="1" applyBorder="1" applyAlignment="1" applyProtection="1">
      <alignment vertical="center"/>
    </xf>
    <xf numFmtId="0" fontId="1" fillId="0" borderId="118" xfId="1" applyFont="1" applyBorder="1" applyAlignment="1" applyProtection="1">
      <alignment vertical="center"/>
    </xf>
    <xf numFmtId="167" fontId="92" fillId="26" borderId="164" xfId="1" applyNumberFormat="1" applyFont="1" applyFill="1" applyBorder="1" applyAlignment="1" applyProtection="1">
      <alignment horizontal="center" vertical="center" wrapText="1"/>
    </xf>
    <xf numFmtId="167" fontId="92" fillId="26" borderId="162" xfId="1" applyNumberFormat="1" applyFont="1" applyFill="1" applyBorder="1" applyAlignment="1" applyProtection="1">
      <alignment horizontal="center" vertical="center" wrapText="1"/>
    </xf>
    <xf numFmtId="172" fontId="92" fillId="26" borderId="162" xfId="1" applyNumberFormat="1" applyFont="1" applyFill="1" applyBorder="1" applyAlignment="1" applyProtection="1">
      <alignment horizontal="center" vertical="center" wrapText="1"/>
    </xf>
    <xf numFmtId="12" fontId="92" fillId="26" borderId="162" xfId="1" applyNumberFormat="1" applyFont="1" applyFill="1" applyBorder="1" applyAlignment="1" applyProtection="1">
      <alignment horizontal="center" vertical="center" wrapText="1"/>
    </xf>
    <xf numFmtId="0" fontId="2" fillId="26" borderId="162" xfId="1" applyFont="1" applyFill="1" applyBorder="1" applyAlignment="1" applyProtection="1">
      <alignment horizontal="center" vertical="center"/>
      <protection locked="0"/>
    </xf>
    <xf numFmtId="1" fontId="2" fillId="26" borderId="162" xfId="1" applyNumberFormat="1" applyFont="1" applyFill="1" applyBorder="1" applyAlignment="1" applyProtection="1">
      <alignment horizontal="center" vertical="center"/>
    </xf>
    <xf numFmtId="0" fontId="16" fillId="26" borderId="162" xfId="1" applyFont="1" applyFill="1" applyBorder="1" applyAlignment="1" applyProtection="1">
      <alignment horizontal="center" vertical="center"/>
      <protection locked="0"/>
    </xf>
    <xf numFmtId="1" fontId="16" fillId="26" borderId="162" xfId="1" applyNumberFormat="1" applyFont="1" applyFill="1" applyBorder="1" applyAlignment="1" applyProtection="1">
      <alignment horizontal="center" vertical="center"/>
    </xf>
    <xf numFmtId="1" fontId="2" fillId="26" borderId="163" xfId="1" applyNumberFormat="1" applyFont="1" applyFill="1" applyBorder="1" applyAlignment="1" applyProtection="1">
      <alignment horizontal="center" vertical="center"/>
    </xf>
    <xf numFmtId="167" fontId="92" fillId="26" borderId="19" xfId="1" applyNumberFormat="1" applyFont="1" applyFill="1" applyBorder="1" applyAlignment="1" applyProtection="1">
      <alignment horizontal="center" vertical="center" wrapText="1"/>
    </xf>
    <xf numFmtId="0" fontId="2" fillId="26" borderId="0" xfId="1" applyFont="1" applyFill="1" applyBorder="1" applyAlignment="1" applyProtection="1">
      <alignment horizontal="center" vertical="center"/>
      <protection locked="0"/>
    </xf>
    <xf numFmtId="1" fontId="2" fillId="26" borderId="0" xfId="1" applyNumberFormat="1" applyFont="1" applyFill="1" applyBorder="1" applyAlignment="1" applyProtection="1">
      <alignment horizontal="center" vertical="center"/>
    </xf>
    <xf numFmtId="0" fontId="16" fillId="26" borderId="0" xfId="1" applyFont="1" applyFill="1" applyBorder="1" applyAlignment="1" applyProtection="1">
      <alignment horizontal="center" vertical="center"/>
      <protection locked="0"/>
    </xf>
    <xf numFmtId="1" fontId="16" fillId="26" borderId="0" xfId="1" applyNumberFormat="1" applyFont="1" applyFill="1" applyBorder="1" applyAlignment="1" applyProtection="1">
      <alignment horizontal="center" vertical="center"/>
    </xf>
    <xf numFmtId="1" fontId="2" fillId="26" borderId="18" xfId="1" applyNumberFormat="1" applyFont="1" applyFill="1" applyBorder="1" applyAlignment="1" applyProtection="1">
      <alignment horizontal="center" vertical="center"/>
    </xf>
    <xf numFmtId="167" fontId="92" fillId="26" borderId="15" xfId="1" applyNumberFormat="1" applyFont="1" applyFill="1" applyBorder="1" applyAlignment="1" applyProtection="1">
      <alignment horizontal="center" vertical="center" wrapText="1"/>
    </xf>
    <xf numFmtId="167" fontId="92" fillId="26" borderId="160" xfId="1" applyNumberFormat="1" applyFont="1" applyFill="1" applyBorder="1" applyAlignment="1" applyProtection="1">
      <alignment horizontal="center" vertical="center" wrapText="1"/>
    </xf>
    <xf numFmtId="172" fontId="92" fillId="26" borderId="160" xfId="1" applyNumberFormat="1" applyFont="1" applyFill="1" applyBorder="1" applyAlignment="1" applyProtection="1">
      <alignment horizontal="center" vertical="center" wrapText="1"/>
    </xf>
    <xf numFmtId="12" fontId="92" fillId="26" borderId="160" xfId="1" applyNumberFormat="1" applyFont="1" applyFill="1" applyBorder="1" applyAlignment="1" applyProtection="1">
      <alignment horizontal="center" vertical="center" wrapText="1"/>
    </xf>
    <xf numFmtId="0" fontId="2" fillId="26" borderId="160" xfId="1" applyFont="1" applyFill="1" applyBorder="1" applyAlignment="1" applyProtection="1">
      <alignment horizontal="center" vertical="center"/>
      <protection locked="0"/>
    </xf>
    <xf numFmtId="1" fontId="2" fillId="26" borderId="160" xfId="1" applyNumberFormat="1" applyFont="1" applyFill="1" applyBorder="1" applyAlignment="1" applyProtection="1">
      <alignment horizontal="center" vertical="center"/>
    </xf>
    <xf numFmtId="0" fontId="16" fillId="26" borderId="160" xfId="1" applyFont="1" applyFill="1" applyBorder="1" applyAlignment="1" applyProtection="1">
      <alignment horizontal="center" vertical="center"/>
      <protection locked="0"/>
    </xf>
    <xf numFmtId="1" fontId="16" fillId="26" borderId="160" xfId="1" applyNumberFormat="1" applyFont="1" applyFill="1" applyBorder="1" applyAlignment="1" applyProtection="1">
      <alignment horizontal="center" vertical="center"/>
    </xf>
    <xf numFmtId="1" fontId="2" fillId="26" borderId="14" xfId="1" applyNumberFormat="1" applyFont="1" applyFill="1" applyBorder="1" applyAlignment="1" applyProtection="1">
      <alignment horizontal="center" vertical="center"/>
    </xf>
    <xf numFmtId="0" fontId="42" fillId="26" borderId="19" xfId="71" applyFont="1" applyFill="1" applyBorder="1" applyAlignment="1" applyProtection="1">
      <alignment vertical="top" wrapText="1"/>
    </xf>
    <xf numFmtId="0" fontId="2" fillId="26" borderId="18" xfId="71" applyFont="1" applyFill="1" applyBorder="1" applyAlignment="1" applyProtection="1">
      <alignment vertical="top" wrapText="1"/>
      <protection locked="0"/>
    </xf>
    <xf numFmtId="0" fontId="63" fillId="0" borderId="0" xfId="1" applyFont="1" applyFill="1" applyAlignment="1" applyProtection="1">
      <alignment vertical="center"/>
      <protection locked="0"/>
    </xf>
    <xf numFmtId="0" fontId="5" fillId="26" borderId="164" xfId="71" applyFont="1" applyFill="1" applyBorder="1" applyAlignment="1" applyProtection="1">
      <alignment horizontal="left" vertical="center"/>
    </xf>
    <xf numFmtId="186" fontId="2" fillId="0" borderId="162" xfId="71" applyNumberFormat="1" applyFont="1" applyBorder="1" applyAlignment="1" applyProtection="1">
      <alignment vertical="center"/>
    </xf>
    <xf numFmtId="0" fontId="2" fillId="26" borderId="162" xfId="208" applyFont="1" applyFill="1" applyBorder="1" applyProtection="1"/>
    <xf numFmtId="0" fontId="5" fillId="0" borderId="29" xfId="21" applyFont="1" applyFill="1" applyBorder="1" applyAlignment="1" applyProtection="1">
      <alignment horizontal="center"/>
      <protection locked="0"/>
    </xf>
    <xf numFmtId="0" fontId="2" fillId="0" borderId="160" xfId="208" applyFont="1" applyBorder="1" applyAlignment="1" applyProtection="1">
      <alignment horizontal="center" vertical="center"/>
    </xf>
    <xf numFmtId="0" fontId="1" fillId="0" borderId="53" xfId="21" applyFont="1" applyFill="1" applyBorder="1" applyAlignment="1" applyProtection="1">
      <alignment horizontal="center"/>
      <protection locked="0"/>
    </xf>
    <xf numFmtId="0" fontId="2" fillId="0" borderId="160" xfId="208" applyFont="1" applyBorder="1" applyProtection="1"/>
    <xf numFmtId="0" fontId="4" fillId="0" borderId="160" xfId="208" applyFont="1" applyBorder="1" applyAlignment="1" applyProtection="1">
      <alignment horizontal="center"/>
    </xf>
    <xf numFmtId="0" fontId="4" fillId="0" borderId="0" xfId="68" applyFont="1" applyBorder="1" applyAlignment="1" applyProtection="1">
      <alignment horizontal="center" vertical="center"/>
    </xf>
    <xf numFmtId="186" fontId="42" fillId="26" borderId="0" xfId="71" applyNumberFormat="1" applyFont="1" applyFill="1" applyBorder="1" applyAlignment="1" applyProtection="1">
      <alignment horizontal="left" vertical="center"/>
    </xf>
    <xf numFmtId="0" fontId="4" fillId="0" borderId="18" xfId="21" applyFont="1" applyFill="1" applyBorder="1" applyAlignment="1" applyProtection="1">
      <protection locked="0"/>
    </xf>
    <xf numFmtId="0" fontId="2" fillId="26" borderId="0" xfId="71" applyNumberFormat="1" applyFont="1" applyFill="1" applyBorder="1" applyAlignment="1" applyProtection="1">
      <alignment vertical="center"/>
    </xf>
    <xf numFmtId="0" fontId="1" fillId="26" borderId="18" xfId="21" applyFont="1" applyFill="1" applyBorder="1" applyAlignment="1" applyProtection="1">
      <protection locked="0"/>
    </xf>
    <xf numFmtId="0" fontId="2" fillId="26" borderId="16" xfId="71" applyFont="1" applyFill="1" applyBorder="1" applyAlignment="1" applyProtection="1">
      <alignment vertical="center"/>
    </xf>
    <xf numFmtId="0" fontId="1" fillId="0" borderId="18" xfId="21" applyFont="1" applyFill="1" applyBorder="1" applyAlignment="1" applyProtection="1">
      <protection locked="0"/>
    </xf>
    <xf numFmtId="0" fontId="43" fillId="0" borderId="14" xfId="21" applyFont="1" applyFill="1" applyBorder="1" applyAlignment="1" applyProtection="1">
      <protection locked="0"/>
    </xf>
    <xf numFmtId="0" fontId="78" fillId="25" borderId="0" xfId="208" applyFont="1" applyFill="1" applyBorder="1" applyAlignment="1" applyProtection="1">
      <alignment horizontal="center"/>
    </xf>
    <xf numFmtId="0" fontId="50" fillId="0" borderId="0" xfId="21" applyFont="1" applyFill="1" applyBorder="1" applyAlignment="1" applyProtection="1">
      <alignment horizontal="center" vertical="center"/>
    </xf>
    <xf numFmtId="0" fontId="2" fillId="0" borderId="0" xfId="21" applyFont="1" applyFill="1" applyBorder="1" applyAlignment="1" applyProtection="1">
      <alignment horizontal="left" vertical="center" wrapText="1"/>
    </xf>
    <xf numFmtId="0" fontId="42" fillId="0" borderId="0" xfId="21" applyFont="1" applyFill="1" applyBorder="1" applyAlignment="1" applyProtection="1">
      <alignment vertical="center"/>
    </xf>
    <xf numFmtId="0" fontId="2" fillId="0" borderId="0" xfId="70" applyFont="1" applyBorder="1" applyAlignment="1" applyProtection="1">
      <alignment vertical="center" wrapText="1"/>
    </xf>
    <xf numFmtId="168" fontId="2" fillId="0" borderId="0" xfId="21" applyNumberFormat="1" applyFont="1" applyFill="1" applyBorder="1" applyAlignment="1" applyProtection="1">
      <alignment vertical="center"/>
    </xf>
    <xf numFmtId="168" fontId="2" fillId="0" borderId="18" xfId="21" applyNumberFormat="1" applyFont="1" applyFill="1" applyBorder="1" applyAlignment="1" applyProtection="1">
      <alignment vertical="center"/>
    </xf>
    <xf numFmtId="168" fontId="2" fillId="0" borderId="0" xfId="21" applyNumberFormat="1" applyFont="1" applyFill="1" applyBorder="1" applyAlignment="1" applyProtection="1">
      <alignment vertical="center"/>
      <protection locked="0"/>
    </xf>
    <xf numFmtId="168" fontId="2" fillId="0" borderId="18" xfId="21" applyNumberFormat="1" applyFont="1" applyFill="1" applyBorder="1" applyAlignment="1" applyProtection="1">
      <alignment vertical="center"/>
      <protection locked="0"/>
    </xf>
    <xf numFmtId="168" fontId="2" fillId="0" borderId="0" xfId="21" applyNumberFormat="1" applyFont="1" applyFill="1" applyBorder="1" applyAlignment="1" applyProtection="1">
      <alignment horizontal="left" vertical="center"/>
      <protection locked="0"/>
    </xf>
    <xf numFmtId="168" fontId="2" fillId="0" borderId="18" xfId="21" applyNumberFormat="1" applyFont="1" applyFill="1" applyBorder="1" applyAlignment="1" applyProtection="1">
      <alignment horizontal="left" vertical="center"/>
      <protection locked="0"/>
    </xf>
    <xf numFmtId="0" fontId="1" fillId="0" borderId="18" xfId="21" applyFont="1" applyFill="1" applyBorder="1" applyAlignment="1" applyProtection="1">
      <alignment horizontal="left"/>
      <protection locked="0"/>
    </xf>
    <xf numFmtId="0" fontId="3" fillId="0" borderId="0" xfId="21" applyFont="1" applyFill="1" applyBorder="1" applyAlignment="1" applyProtection="1">
      <alignment horizontal="left"/>
    </xf>
    <xf numFmtId="0" fontId="3" fillId="0" borderId="0" xfId="21" applyFont="1" applyFill="1" applyBorder="1" applyAlignment="1" applyProtection="1">
      <alignment horizontal="center"/>
    </xf>
    <xf numFmtId="191" fontId="3" fillId="0" borderId="0" xfId="21" applyNumberFormat="1" applyFont="1" applyFill="1" applyBorder="1" applyAlignment="1" applyProtection="1">
      <alignment horizontal="center"/>
    </xf>
    <xf numFmtId="191" fontId="3" fillId="26" borderId="18" xfId="21" applyNumberFormat="1" applyFont="1" applyFill="1" applyBorder="1" applyAlignment="1" applyProtection="1">
      <alignment horizontal="center"/>
    </xf>
    <xf numFmtId="0" fontId="3" fillId="26" borderId="18" xfId="70" applyFont="1" applyFill="1" applyBorder="1" applyAlignment="1" applyProtection="1">
      <alignment horizontal="center"/>
    </xf>
    <xf numFmtId="0" fontId="5" fillId="26" borderId="18" xfId="70" applyFont="1" applyFill="1" applyBorder="1" applyAlignment="1" applyProtection="1">
      <alignment horizontal="center" vertical="center"/>
    </xf>
    <xf numFmtId="0" fontId="3" fillId="25" borderId="29" xfId="70" applyFont="1" applyFill="1" applyBorder="1" applyAlignment="1" applyProtection="1">
      <alignment horizontal="center" vertical="center" wrapText="1"/>
    </xf>
    <xf numFmtId="0" fontId="5" fillId="26" borderId="18" xfId="70" applyFont="1" applyFill="1" applyBorder="1" applyAlignment="1" applyProtection="1">
      <alignment horizontal="center" vertical="center" wrapText="1"/>
    </xf>
    <xf numFmtId="0" fontId="110" fillId="25" borderId="54" xfId="70" applyFont="1" applyFill="1" applyBorder="1" applyAlignment="1" applyProtection="1">
      <alignment horizontal="center" vertical="center"/>
    </xf>
    <xf numFmtId="0" fontId="94" fillId="26" borderId="18" xfId="70" applyFont="1" applyFill="1" applyBorder="1" applyAlignment="1" applyProtection="1">
      <alignment horizontal="center" vertical="center"/>
    </xf>
    <xf numFmtId="167" fontId="110" fillId="0" borderId="57" xfId="70" applyNumberFormat="1" applyFont="1" applyFill="1" applyBorder="1" applyAlignment="1" applyProtection="1">
      <alignment horizontal="center" vertical="center"/>
      <protection locked="0"/>
    </xf>
    <xf numFmtId="0" fontId="131" fillId="0" borderId="57" xfId="70" applyFont="1" applyFill="1" applyBorder="1" applyAlignment="1" applyProtection="1">
      <alignment horizontal="center" vertical="center"/>
    </xf>
    <xf numFmtId="167" fontId="94" fillId="26" borderId="18" xfId="70" applyNumberFormat="1" applyFont="1" applyFill="1" applyBorder="1" applyAlignment="1" applyProtection="1">
      <alignment horizontal="center" vertical="center"/>
    </xf>
    <xf numFmtId="167" fontId="110" fillId="0" borderId="310" xfId="70" applyNumberFormat="1" applyFont="1" applyFill="1" applyBorder="1" applyAlignment="1" applyProtection="1">
      <alignment horizontal="center" vertical="center"/>
      <protection locked="0"/>
    </xf>
    <xf numFmtId="0" fontId="131" fillId="0" borderId="310" xfId="70" applyFont="1" applyFill="1" applyBorder="1" applyAlignment="1" applyProtection="1">
      <alignment horizontal="center" vertical="center"/>
    </xf>
    <xf numFmtId="167" fontId="1" fillId="0" borderId="49" xfId="70" applyNumberFormat="1" applyFont="1" applyFill="1" applyBorder="1" applyAlignment="1" applyProtection="1">
      <alignment horizontal="center" vertical="center"/>
      <protection locked="0"/>
    </xf>
    <xf numFmtId="0" fontId="131" fillId="0" borderId="49" xfId="70" applyFont="1" applyFill="1" applyBorder="1" applyAlignment="1" applyProtection="1">
      <alignment horizontal="center" vertical="center"/>
    </xf>
    <xf numFmtId="167" fontId="1" fillId="0" borderId="49" xfId="70" applyNumberFormat="1" applyFont="1" applyFill="1" applyBorder="1" applyAlignment="1" applyProtection="1">
      <alignment horizontal="center" vertical="center"/>
    </xf>
    <xf numFmtId="167" fontId="4" fillId="26" borderId="18" xfId="70" applyNumberFormat="1" applyFont="1" applyFill="1" applyBorder="1" applyAlignment="1" applyProtection="1">
      <alignment horizontal="center" vertical="center"/>
    </xf>
    <xf numFmtId="167" fontId="5" fillId="26" borderId="18" xfId="70" applyNumberFormat="1" applyFont="1" applyFill="1" applyBorder="1" applyAlignment="1" applyProtection="1">
      <alignment horizontal="center" vertical="center"/>
    </xf>
    <xf numFmtId="0" fontId="5" fillId="26" borderId="0" xfId="70" applyFont="1" applyFill="1" applyBorder="1" applyAlignment="1" applyProtection="1">
      <alignment horizontal="center" vertical="center"/>
    </xf>
    <xf numFmtId="167" fontId="5" fillId="26" borderId="0" xfId="70" applyNumberFormat="1" applyFont="1" applyFill="1" applyBorder="1" applyAlignment="1" applyProtection="1">
      <alignment horizontal="center" vertical="center"/>
    </xf>
    <xf numFmtId="167" fontId="5" fillId="26" borderId="14" xfId="70" applyNumberFormat="1" applyFont="1" applyFill="1" applyBorder="1" applyAlignment="1" applyProtection="1">
      <alignment horizontal="center" vertical="center"/>
    </xf>
    <xf numFmtId="0" fontId="1" fillId="0" borderId="0" xfId="74" applyFont="1" applyFill="1" applyProtection="1"/>
    <xf numFmtId="0" fontId="4" fillId="26" borderId="18" xfId="74" applyFont="1" applyFill="1" applyBorder="1" applyAlignment="1" applyProtection="1">
      <alignment horizontal="left" vertical="top" wrapText="1"/>
      <protection locked="0"/>
    </xf>
    <xf numFmtId="0" fontId="48" fillId="0" borderId="0" xfId="217" applyFont="1" applyBorder="1" applyProtection="1"/>
    <xf numFmtId="0" fontId="1" fillId="0" borderId="19" xfId="74" applyFont="1" applyFill="1" applyBorder="1" applyProtection="1"/>
    <xf numFmtId="0" fontId="94" fillId="0" borderId="312" xfId="73" applyFont="1" applyBorder="1" applyAlignment="1" applyProtection="1">
      <alignment horizontal="left" vertical="top"/>
      <protection locked="0"/>
    </xf>
    <xf numFmtId="0" fontId="2" fillId="26" borderId="12" xfId="68" applyFont="1" applyFill="1" applyBorder="1" applyAlignment="1" applyProtection="1">
      <alignment vertical="center"/>
    </xf>
    <xf numFmtId="16" fontId="2" fillId="2" borderId="32" xfId="544" applyNumberFormat="1" applyFont="1" applyFill="1" applyBorder="1" applyAlignment="1" applyProtection="1">
      <alignment vertical="center"/>
      <protection locked="0"/>
    </xf>
    <xf numFmtId="0" fontId="2" fillId="2" borderId="33" xfId="544" applyFont="1" applyFill="1" applyBorder="1" applyAlignment="1" applyProtection="1">
      <alignment vertical="center"/>
      <protection locked="0"/>
    </xf>
    <xf numFmtId="0" fontId="137" fillId="0" borderId="0" xfId="21" applyFont="1" applyFill="1" applyBorder="1" applyAlignment="1" applyProtection="1">
      <protection locked="0"/>
    </xf>
    <xf numFmtId="168" fontId="2" fillId="2" borderId="35" xfId="150" applyNumberFormat="1" applyFont="1" applyFill="1" applyBorder="1" applyAlignment="1" applyProtection="1">
      <alignment vertical="center"/>
    </xf>
    <xf numFmtId="168" fontId="2" fillId="2" borderId="35" xfId="150" applyNumberFormat="1" applyFont="1" applyFill="1" applyBorder="1" applyAlignment="1" applyProtection="1">
      <alignment vertical="center"/>
      <protection locked="0"/>
    </xf>
    <xf numFmtId="0" fontId="2" fillId="26" borderId="0" xfId="71" applyFont="1" applyFill="1" applyBorder="1" applyAlignment="1" applyProtection="1">
      <alignment vertical="center" wrapText="1"/>
    </xf>
    <xf numFmtId="0" fontId="42" fillId="0" borderId="0" xfId="429" applyFont="1" applyBorder="1" applyProtection="1"/>
    <xf numFmtId="0" fontId="79" fillId="0" borderId="0" xfId="429" applyFont="1" applyBorder="1" applyProtection="1"/>
    <xf numFmtId="168" fontId="2" fillId="2" borderId="0" xfId="150" applyNumberFormat="1" applyFont="1" applyFill="1" applyBorder="1" applyAlignment="1" applyProtection="1">
      <alignment vertical="center"/>
    </xf>
    <xf numFmtId="168" fontId="2" fillId="2" borderId="18" xfId="150" applyNumberFormat="1" applyFont="1" applyFill="1" applyBorder="1" applyAlignment="1" applyProtection="1">
      <alignment vertical="center"/>
    </xf>
    <xf numFmtId="0" fontId="4" fillId="2" borderId="0" xfId="150" applyFont="1" applyFill="1" applyBorder="1" applyAlignment="1" applyProtection="1">
      <alignment horizontal="left" vertical="center"/>
      <protection locked="0"/>
    </xf>
    <xf numFmtId="168" fontId="4" fillId="2" borderId="0" xfId="150" applyNumberFormat="1" applyFont="1" applyFill="1" applyBorder="1" applyAlignment="1" applyProtection="1">
      <alignment vertical="center"/>
      <protection locked="0"/>
    </xf>
    <xf numFmtId="0" fontId="4" fillId="2" borderId="0" xfId="150" applyFont="1" applyFill="1" applyBorder="1" applyAlignment="1" applyProtection="1">
      <alignment horizontal="center" vertical="center"/>
      <protection locked="0"/>
    </xf>
    <xf numFmtId="0" fontId="4" fillId="2" borderId="35" xfId="150" applyFont="1" applyFill="1" applyBorder="1" applyAlignment="1" applyProtection="1">
      <alignment horizontal="center" vertical="center"/>
    </xf>
    <xf numFmtId="0" fontId="1" fillId="0" borderId="54" xfId="21" applyFont="1" applyFill="1" applyBorder="1" applyAlignment="1" applyProtection="1">
      <protection locked="0"/>
    </xf>
    <xf numFmtId="0" fontId="43" fillId="0" borderId="0" xfId="21" applyFont="1" applyFill="1" applyBorder="1" applyAlignment="1" applyProtection="1">
      <protection locked="0"/>
    </xf>
    <xf numFmtId="0" fontId="3" fillId="2" borderId="0" xfId="427" applyFont="1" applyFill="1" applyBorder="1" applyAlignment="1" applyProtection="1">
      <alignment horizontal="center" vertical="center"/>
    </xf>
    <xf numFmtId="0" fontId="1" fillId="0" borderId="0" xfId="429" applyFont="1" applyBorder="1" applyProtection="1"/>
    <xf numFmtId="0" fontId="1" fillId="0" borderId="0" xfId="429" applyFont="1" applyBorder="1" applyAlignment="1" applyProtection="1">
      <alignment vertical="center"/>
    </xf>
    <xf numFmtId="0" fontId="4" fillId="0" borderId="0" xfId="429" applyFont="1" applyFill="1" applyBorder="1" applyAlignment="1" applyProtection="1">
      <alignment vertical="center"/>
    </xf>
    <xf numFmtId="0" fontId="4" fillId="0" borderId="0" xfId="429" applyFont="1" applyFill="1" applyBorder="1" applyAlignment="1" applyProtection="1">
      <alignment horizontal="center" vertical="center"/>
    </xf>
    <xf numFmtId="188" fontId="5" fillId="0" borderId="0" xfId="429" applyNumberFormat="1" applyFont="1" applyFill="1" applyBorder="1" applyAlignment="1" applyProtection="1">
      <alignment horizontal="center" vertical="center"/>
    </xf>
    <xf numFmtId="167" fontId="4" fillId="0" borderId="0" xfId="429" applyNumberFormat="1" applyFont="1" applyFill="1" applyBorder="1" applyAlignment="1" applyProtection="1">
      <alignment horizontal="center" vertical="center"/>
    </xf>
    <xf numFmtId="0" fontId="4" fillId="26" borderId="0" xfId="429" applyFont="1" applyFill="1" applyBorder="1" applyAlignment="1" applyProtection="1">
      <alignment horizontal="left" vertical="center"/>
    </xf>
    <xf numFmtId="167" fontId="4" fillId="26" borderId="0" xfId="429" applyNumberFormat="1" applyFont="1" applyFill="1" applyBorder="1" applyAlignment="1" applyProtection="1">
      <alignment horizontal="center" vertical="center"/>
    </xf>
    <xf numFmtId="0" fontId="4" fillId="26" borderId="0" xfId="429" applyFont="1" applyFill="1" applyBorder="1" applyAlignment="1" applyProtection="1">
      <alignment horizontal="center" vertical="center"/>
    </xf>
    <xf numFmtId="0" fontId="4" fillId="26" borderId="0" xfId="429" applyFont="1" applyFill="1" applyBorder="1" applyAlignment="1" applyProtection="1">
      <alignment horizontal="left" vertical="center" wrapText="1" indent="2"/>
    </xf>
    <xf numFmtId="1" fontId="4" fillId="26" borderId="0" xfId="429" applyNumberFormat="1" applyFont="1" applyFill="1" applyBorder="1" applyAlignment="1" applyProtection="1">
      <alignment horizontal="center" vertical="center"/>
    </xf>
    <xf numFmtId="167" fontId="4" fillId="26" borderId="35" xfId="429" applyNumberFormat="1" applyFont="1" applyFill="1" applyBorder="1" applyAlignment="1" applyProtection="1">
      <alignment horizontal="center" vertical="center"/>
    </xf>
    <xf numFmtId="167" fontId="2" fillId="0" borderId="0" xfId="429" applyNumberFormat="1" applyFont="1" applyFill="1" applyBorder="1" applyAlignment="1" applyProtection="1">
      <alignment horizontal="center" vertical="center"/>
    </xf>
    <xf numFmtId="0" fontId="1" fillId="26" borderId="0" xfId="429" applyFont="1" applyFill="1" applyBorder="1" applyAlignment="1" applyProtection="1">
      <alignment horizontal="left" vertical="center"/>
    </xf>
    <xf numFmtId="0" fontId="1" fillId="26" borderId="0" xfId="71" applyFont="1" applyFill="1" applyBorder="1" applyAlignment="1" applyProtection="1">
      <alignment horizontal="center" vertical="top" wrapText="1"/>
      <protection locked="0"/>
    </xf>
    <xf numFmtId="0" fontId="1" fillId="26" borderId="66" xfId="71" applyFont="1" applyFill="1" applyBorder="1" applyAlignment="1" applyProtection="1">
      <alignment vertical="top" wrapText="1"/>
      <protection locked="0"/>
    </xf>
    <xf numFmtId="0" fontId="1" fillId="0" borderId="0" xfId="71" applyFont="1" applyFill="1" applyBorder="1" applyAlignment="1" applyProtection="1">
      <alignment horizontal="center" vertical="center" wrapText="1"/>
      <protection locked="0"/>
    </xf>
    <xf numFmtId="0" fontId="44" fillId="26" borderId="0" xfId="208" applyFont="1" applyFill="1" applyBorder="1" applyAlignment="1" applyProtection="1">
      <alignment horizontal="center" vertical="center"/>
    </xf>
    <xf numFmtId="0" fontId="79" fillId="0" borderId="0" xfId="429" applyFont="1" applyBorder="1" applyAlignment="1" applyProtection="1">
      <alignment horizontal="left" vertical="center"/>
    </xf>
    <xf numFmtId="167" fontId="79" fillId="0" borderId="0" xfId="429" applyNumberFormat="1" applyFont="1" applyBorder="1" applyAlignment="1" applyProtection="1">
      <alignment horizontal="center" vertical="center"/>
    </xf>
    <xf numFmtId="0" fontId="2" fillId="26" borderId="0" xfId="208" applyFont="1" applyFill="1" applyBorder="1" applyAlignment="1" applyProtection="1">
      <alignment vertical="center"/>
    </xf>
    <xf numFmtId="0" fontId="2" fillId="26" borderId="0" xfId="208" applyFont="1" applyFill="1" applyBorder="1" applyAlignment="1" applyProtection="1">
      <alignment vertical="center" wrapText="1"/>
    </xf>
    <xf numFmtId="0" fontId="42" fillId="26" borderId="0" xfId="208" applyFont="1" applyFill="1" applyBorder="1" applyAlignment="1" applyProtection="1"/>
    <xf numFmtId="168" fontId="2" fillId="26" borderId="0" xfId="208" applyNumberFormat="1" applyFont="1" applyFill="1" applyBorder="1" applyAlignment="1" applyProtection="1">
      <alignment vertical="center"/>
    </xf>
    <xf numFmtId="168" fontId="2" fillId="26" borderId="18" xfId="208" applyNumberFormat="1" applyFont="1" applyFill="1" applyBorder="1" applyAlignment="1" applyProtection="1">
      <alignment vertical="center"/>
    </xf>
    <xf numFmtId="0" fontId="1" fillId="0" borderId="0" xfId="208" applyAlignment="1" applyProtection="1">
      <alignment vertical="center"/>
    </xf>
    <xf numFmtId="168" fontId="2" fillId="26" borderId="0" xfId="208" applyNumberFormat="1" applyFont="1" applyFill="1" applyBorder="1" applyAlignment="1" applyProtection="1">
      <alignment vertical="center"/>
      <protection locked="0"/>
    </xf>
    <xf numFmtId="168" fontId="2" fillId="26" borderId="18" xfId="208" applyNumberFormat="1" applyFont="1" applyFill="1" applyBorder="1" applyAlignment="1" applyProtection="1">
      <alignment vertical="center"/>
      <protection locked="0"/>
    </xf>
    <xf numFmtId="0" fontId="2" fillId="0" borderId="37" xfId="208" applyFont="1" applyBorder="1" applyAlignment="1" applyProtection="1"/>
    <xf numFmtId="168" fontId="2" fillId="26" borderId="16" xfId="208" applyNumberFormat="1" applyFont="1" applyFill="1" applyBorder="1" applyAlignment="1" applyProtection="1">
      <alignment vertical="center"/>
    </xf>
    <xf numFmtId="168" fontId="2" fillId="26" borderId="14" xfId="208" applyNumberFormat="1" applyFont="1" applyFill="1" applyBorder="1" applyAlignment="1" applyProtection="1">
      <alignment vertical="center"/>
    </xf>
    <xf numFmtId="0" fontId="5" fillId="26" borderId="13" xfId="208" applyFont="1" applyFill="1" applyBorder="1" applyAlignment="1" applyProtection="1">
      <alignment horizontal="center" vertical="center"/>
    </xf>
    <xf numFmtId="0" fontId="5" fillId="26" borderId="12" xfId="208" applyFont="1" applyFill="1" applyBorder="1" applyAlignment="1" applyProtection="1">
      <alignment horizontal="center" vertical="center"/>
    </xf>
    <xf numFmtId="0" fontId="5" fillId="26" borderId="17" xfId="208" applyFont="1" applyFill="1" applyBorder="1" applyAlignment="1" applyProtection="1">
      <alignment horizontal="center" vertical="center"/>
    </xf>
    <xf numFmtId="167" fontId="4" fillId="0" borderId="12" xfId="208" applyNumberFormat="1" applyFont="1" applyBorder="1" applyAlignment="1" applyProtection="1">
      <alignment horizontal="center" vertical="center"/>
    </xf>
    <xf numFmtId="0" fontId="4" fillId="2" borderId="12" xfId="208" applyFont="1" applyFill="1" applyBorder="1" applyAlignment="1" applyProtection="1">
      <alignment horizontal="center" vertical="center"/>
      <protection locked="0"/>
    </xf>
    <xf numFmtId="0" fontId="5" fillId="2" borderId="19" xfId="208" applyFont="1" applyFill="1" applyBorder="1" applyAlignment="1" applyProtection="1">
      <alignment horizontal="left" vertical="center" wrapText="1"/>
    </xf>
    <xf numFmtId="167" fontId="4" fillId="0" borderId="0" xfId="208" applyNumberFormat="1" applyFont="1" applyBorder="1" applyAlignment="1" applyProtection="1">
      <alignment horizontal="center" vertical="center"/>
    </xf>
    <xf numFmtId="167" fontId="4" fillId="0" borderId="0" xfId="208" applyNumberFormat="1" applyFont="1" applyBorder="1" applyAlignment="1" applyProtection="1">
      <alignment horizontal="center" vertical="center"/>
      <protection locked="0"/>
    </xf>
    <xf numFmtId="167" fontId="4" fillId="0" borderId="18" xfId="208" applyNumberFormat="1" applyFont="1" applyBorder="1" applyAlignment="1" applyProtection="1">
      <alignment horizontal="center" vertical="center"/>
      <protection locked="0"/>
    </xf>
    <xf numFmtId="0" fontId="5" fillId="2" borderId="15" xfId="208" applyFont="1" applyFill="1" applyBorder="1" applyAlignment="1" applyProtection="1">
      <alignment horizontal="left" vertical="center" wrapText="1"/>
    </xf>
    <xf numFmtId="0" fontId="4" fillId="2" borderId="16" xfId="208" applyFont="1" applyFill="1" applyBorder="1" applyAlignment="1" applyProtection="1">
      <alignment horizontal="left" vertical="center" wrapText="1"/>
    </xf>
    <xf numFmtId="0" fontId="1" fillId="0" borderId="16" xfId="208" applyFont="1" applyBorder="1" applyAlignment="1" applyProtection="1">
      <alignment horizontal="center" vertical="center"/>
    </xf>
    <xf numFmtId="167" fontId="4" fillId="0" borderId="16" xfId="208" applyNumberFormat="1" applyFont="1" applyBorder="1" applyAlignment="1" applyProtection="1">
      <alignment horizontal="center" vertical="center"/>
    </xf>
    <xf numFmtId="167" fontId="4" fillId="0" borderId="16" xfId="208" applyNumberFormat="1" applyFont="1" applyBorder="1" applyAlignment="1" applyProtection="1">
      <alignment horizontal="center" vertical="center"/>
      <protection locked="0"/>
    </xf>
    <xf numFmtId="167" fontId="4" fillId="0" borderId="14" xfId="208" applyNumberFormat="1" applyFont="1" applyBorder="1" applyAlignment="1" applyProtection="1">
      <alignment horizontal="center" vertical="center"/>
      <protection locked="0"/>
    </xf>
    <xf numFmtId="0" fontId="4" fillId="26" borderId="18" xfId="71" applyFont="1" applyFill="1" applyBorder="1" applyAlignment="1" applyProtection="1">
      <alignment vertical="top" wrapText="1"/>
      <protection locked="0"/>
    </xf>
    <xf numFmtId="0" fontId="3" fillId="26" borderId="0" xfId="71" applyFont="1" applyFill="1" applyBorder="1" applyAlignment="1" applyProtection="1">
      <alignment horizontal="center" vertical="top" wrapText="1"/>
    </xf>
    <xf numFmtId="0" fontId="4" fillId="26" borderId="0" xfId="71" applyFont="1" applyFill="1" applyBorder="1" applyAlignment="1" applyProtection="1">
      <alignment horizontal="center" vertical="top" wrapText="1"/>
      <protection locked="0"/>
    </xf>
    <xf numFmtId="0" fontId="2" fillId="26" borderId="0" xfId="208" applyFont="1" applyFill="1" applyBorder="1" applyAlignment="1" applyProtection="1">
      <alignment vertical="top"/>
    </xf>
    <xf numFmtId="0" fontId="42" fillId="26" borderId="0" xfId="208" applyFont="1" applyFill="1" applyBorder="1" applyAlignment="1" applyProtection="1">
      <alignment vertical="top"/>
    </xf>
    <xf numFmtId="168" fontId="2" fillId="26" borderId="0" xfId="208" applyNumberFormat="1" applyFont="1" applyFill="1" applyBorder="1" applyAlignment="1" applyProtection="1">
      <alignment vertical="top"/>
    </xf>
    <xf numFmtId="168" fontId="2" fillId="26" borderId="18" xfId="208" applyNumberFormat="1" applyFont="1" applyFill="1" applyBorder="1" applyAlignment="1" applyProtection="1">
      <alignment vertical="top"/>
    </xf>
    <xf numFmtId="168" fontId="2" fillId="26" borderId="0" xfId="208" applyNumberFormat="1" applyFont="1" applyFill="1" applyBorder="1" applyAlignment="1" applyProtection="1">
      <alignment vertical="top"/>
      <protection locked="0"/>
    </xf>
    <xf numFmtId="168" fontId="2" fillId="26" borderId="18" xfId="208" applyNumberFormat="1" applyFont="1" applyFill="1" applyBorder="1" applyAlignment="1" applyProtection="1">
      <alignment vertical="top"/>
      <protection locked="0"/>
    </xf>
    <xf numFmtId="0" fontId="2" fillId="0" borderId="13" xfId="208" applyFont="1" applyBorder="1" applyAlignment="1" applyProtection="1">
      <alignment horizontal="center" vertical="center"/>
    </xf>
    <xf numFmtId="0" fontId="2" fillId="0" borderId="12" xfId="208" applyFont="1" applyBorder="1" applyAlignment="1" applyProtection="1">
      <alignment horizontal="center" vertical="center"/>
    </xf>
    <xf numFmtId="1" fontId="42" fillId="2" borderId="12" xfId="208" applyNumberFormat="1" applyFont="1" applyFill="1" applyBorder="1" applyAlignment="1" applyProtection="1">
      <alignment horizontal="center" vertical="center"/>
    </xf>
    <xf numFmtId="1" fontId="42" fillId="2" borderId="17" xfId="208" applyNumberFormat="1" applyFont="1" applyFill="1" applyBorder="1" applyAlignment="1" applyProtection="1">
      <alignment horizontal="center" vertical="center"/>
    </xf>
    <xf numFmtId="0" fontId="2" fillId="0" borderId="19" xfId="208" applyFont="1" applyBorder="1" applyAlignment="1" applyProtection="1">
      <alignment horizontal="center" vertical="center"/>
    </xf>
    <xf numFmtId="1" fontId="42" fillId="2" borderId="0" xfId="208" applyNumberFormat="1" applyFont="1" applyFill="1" applyBorder="1" applyAlignment="1" applyProtection="1">
      <alignment horizontal="center" vertical="center"/>
    </xf>
    <xf numFmtId="1" fontId="42" fillId="2" borderId="18" xfId="208" applyNumberFormat="1" applyFont="1" applyFill="1" applyBorder="1" applyAlignment="1" applyProtection="1">
      <alignment horizontal="center" vertical="center"/>
    </xf>
    <xf numFmtId="0" fontId="2" fillId="0" borderId="15" xfId="208" applyFont="1" applyBorder="1" applyAlignment="1" applyProtection="1">
      <alignment horizontal="center" vertical="center"/>
    </xf>
    <xf numFmtId="1" fontId="42" fillId="2" borderId="16" xfId="208" applyNumberFormat="1" applyFont="1" applyFill="1" applyBorder="1" applyAlignment="1" applyProtection="1">
      <alignment horizontal="center" vertical="center"/>
    </xf>
    <xf numFmtId="1" fontId="42" fillId="2" borderId="14" xfId="208" applyNumberFormat="1" applyFont="1" applyFill="1" applyBorder="1" applyAlignment="1" applyProtection="1">
      <alignment horizontal="center" vertical="center"/>
    </xf>
    <xf numFmtId="0" fontId="3" fillId="26" borderId="0" xfId="71" applyFont="1" applyFill="1" applyBorder="1" applyAlignment="1" applyProtection="1">
      <alignment horizontal="left" vertical="top" wrapText="1"/>
    </xf>
    <xf numFmtId="0" fontId="2" fillId="26" borderId="0" xfId="71" applyFont="1" applyFill="1" applyBorder="1" applyAlignment="1" applyProtection="1">
      <alignment horizontal="left" vertical="top" wrapText="1"/>
      <protection locked="0"/>
    </xf>
    <xf numFmtId="0" fontId="2" fillId="26" borderId="18" xfId="71" applyFont="1" applyFill="1" applyBorder="1" applyAlignment="1" applyProtection="1">
      <alignment horizontal="left" vertical="top" wrapText="1"/>
      <protection locked="0"/>
    </xf>
    <xf numFmtId="14" fontId="54" fillId="26" borderId="0" xfId="21" applyNumberFormat="1" applyFont="1" applyFill="1" applyBorder="1" applyAlignment="1" applyProtection="1">
      <alignment horizontal="justify" vertical="center" wrapText="1"/>
      <protection locked="0"/>
    </xf>
    <xf numFmtId="0" fontId="3" fillId="42" borderId="0" xfId="71" applyFont="1" applyFill="1" applyBorder="1" applyProtection="1">
      <protection locked="0"/>
    </xf>
    <xf numFmtId="0" fontId="8" fillId="0" borderId="0" xfId="21" applyFont="1" applyFill="1" applyBorder="1" applyAlignment="1" applyProtection="1">
      <alignment horizontal="justify" vertical="center" wrapText="1"/>
    </xf>
    <xf numFmtId="0" fontId="91" fillId="33" borderId="0" xfId="546" applyFont="1" applyFill="1" applyBorder="1" applyAlignment="1">
      <alignment horizontal="center" vertical="center" wrapText="1"/>
    </xf>
    <xf numFmtId="168" fontId="4" fillId="0" borderId="0" xfId="74" applyNumberFormat="1" applyFont="1" applyBorder="1" applyAlignment="1" applyProtection="1">
      <alignment horizontal="left" vertical="center"/>
      <protection locked="0"/>
    </xf>
    <xf numFmtId="0" fontId="110" fillId="25" borderId="0" xfId="70" applyFont="1" applyFill="1" applyBorder="1" applyAlignment="1" applyProtection="1">
      <alignment horizontal="center" vertical="center"/>
    </xf>
    <xf numFmtId="167" fontId="110" fillId="0" borderId="53" xfId="70" applyNumberFormat="1" applyFont="1" applyFill="1" applyBorder="1" applyAlignment="1" applyProtection="1">
      <alignment horizontal="center" vertical="center"/>
    </xf>
    <xf numFmtId="167" fontId="110" fillId="0" borderId="54" xfId="70" applyNumberFormat="1" applyFont="1" applyFill="1" applyBorder="1" applyAlignment="1" applyProtection="1">
      <alignment horizontal="center" vertical="center"/>
    </xf>
    <xf numFmtId="0" fontId="4" fillId="26" borderId="0" xfId="70" applyFont="1" applyFill="1" applyBorder="1" applyAlignment="1" applyProtection="1">
      <alignment horizontal="center" vertical="center"/>
    </xf>
    <xf numFmtId="0" fontId="1" fillId="0" borderId="9" xfId="208" applyFont="1" applyBorder="1" applyProtection="1">
      <protection locked="0"/>
    </xf>
    <xf numFmtId="0" fontId="1" fillId="0" borderId="49" xfId="208" applyFont="1" applyBorder="1" applyProtection="1">
      <protection locked="0"/>
    </xf>
    <xf numFmtId="0" fontId="1" fillId="0" borderId="49" xfId="21" applyFont="1" applyFill="1" applyBorder="1" applyAlignment="1" applyProtection="1">
      <alignment vertical="center"/>
      <protection locked="0"/>
    </xf>
    <xf numFmtId="0" fontId="1" fillId="0" borderId="49" xfId="208" applyFont="1" applyBorder="1" applyAlignment="1" applyProtection="1">
      <alignment wrapText="1"/>
      <protection locked="0"/>
    </xf>
    <xf numFmtId="0" fontId="1" fillId="0" borderId="49" xfId="21" applyFont="1" applyFill="1" applyBorder="1" applyAlignment="1" applyProtection="1">
      <alignment vertical="center" wrapText="1"/>
      <protection locked="0"/>
    </xf>
    <xf numFmtId="0" fontId="1" fillId="26" borderId="19" xfId="21" applyFont="1" applyFill="1" applyBorder="1" applyAlignment="1" applyProtection="1">
      <protection locked="0"/>
    </xf>
    <xf numFmtId="0" fontId="5" fillId="0" borderId="0" xfId="208" applyFont="1" applyBorder="1" applyAlignment="1" applyProtection="1">
      <alignment horizontal="center" vertical="center" wrapText="1"/>
    </xf>
    <xf numFmtId="0" fontId="103" fillId="0" borderId="49" xfId="429" applyFont="1" applyBorder="1" applyAlignment="1" applyProtection="1">
      <alignment vertical="center"/>
    </xf>
    <xf numFmtId="0" fontId="42" fillId="25" borderId="162" xfId="208" applyFont="1" applyFill="1" applyBorder="1" applyAlignment="1" applyProtection="1">
      <alignment horizontal="center" vertical="center"/>
    </xf>
    <xf numFmtId="0" fontId="4" fillId="0" borderId="0" xfId="208" applyFont="1" applyBorder="1" applyAlignment="1" applyProtection="1">
      <alignment horizontal="center"/>
    </xf>
    <xf numFmtId="0" fontId="5" fillId="25" borderId="0" xfId="208" applyFont="1" applyFill="1" applyBorder="1" applyAlignment="1" applyProtection="1">
      <alignment horizontal="center" vertical="center"/>
    </xf>
    <xf numFmtId="0" fontId="1" fillId="26" borderId="0" xfId="1" applyFont="1" applyFill="1" applyBorder="1" applyAlignment="1" applyProtection="1">
      <alignment horizontal="center" vertical="center"/>
      <protection locked="0"/>
    </xf>
    <xf numFmtId="0" fontId="79" fillId="2" borderId="49" xfId="427" applyFont="1" applyFill="1" applyBorder="1" applyAlignment="1" applyProtection="1">
      <alignment horizontal="center" vertical="center"/>
      <protection locked="0"/>
    </xf>
    <xf numFmtId="0" fontId="103" fillId="33" borderId="13" xfId="295" applyFont="1" applyFill="1" applyBorder="1" applyAlignment="1" applyProtection="1">
      <alignment vertical="center"/>
    </xf>
    <xf numFmtId="0" fontId="177" fillId="33" borderId="49" xfId="295" applyFont="1" applyFill="1" applyBorder="1" applyAlignment="1" applyProtection="1">
      <alignment horizontal="center" vertical="center"/>
      <protection locked="0"/>
    </xf>
    <xf numFmtId="0" fontId="109" fillId="33" borderId="49" xfId="431" applyFont="1" applyFill="1" applyBorder="1" applyAlignment="1" applyProtection="1">
      <alignment horizontal="center" vertical="center"/>
      <protection locked="0"/>
    </xf>
    <xf numFmtId="2" fontId="112" fillId="33" borderId="49" xfId="430" applyNumberFormat="1" applyFont="1" applyFill="1" applyBorder="1" applyAlignment="1" applyProtection="1">
      <alignment horizontal="center" vertical="center"/>
    </xf>
    <xf numFmtId="0" fontId="1" fillId="0" borderId="0" xfId="545" applyProtection="1">
      <protection locked="0"/>
    </xf>
    <xf numFmtId="0" fontId="2" fillId="26" borderId="162" xfId="1" applyFont="1" applyFill="1" applyBorder="1" applyAlignment="1" applyProtection="1">
      <alignment vertical="center"/>
      <protection locked="0"/>
    </xf>
    <xf numFmtId="16" fontId="2" fillId="2" borderId="162" xfId="544" applyNumberFormat="1" applyFont="1" applyFill="1" applyBorder="1" applyAlignment="1" applyProtection="1">
      <alignment vertical="center"/>
      <protection locked="0"/>
    </xf>
    <xf numFmtId="0" fontId="2" fillId="26" borderId="0" xfId="1" applyFont="1" applyFill="1" applyBorder="1" applyAlignment="1" applyProtection="1">
      <alignment horizontal="left" vertical="center"/>
      <protection locked="0"/>
    </xf>
    <xf numFmtId="0" fontId="4" fillId="0" borderId="0" xfId="545" applyFont="1" applyProtection="1">
      <protection locked="0"/>
    </xf>
    <xf numFmtId="0" fontId="2" fillId="26" borderId="0" xfId="1" applyFont="1" applyFill="1" applyBorder="1" applyAlignment="1" applyProtection="1">
      <alignment vertical="center" wrapText="1"/>
      <protection locked="0"/>
    </xf>
    <xf numFmtId="0" fontId="2" fillId="26" borderId="0" xfId="1" applyFont="1" applyFill="1" applyBorder="1" applyAlignment="1" applyProtection="1">
      <alignment vertical="center"/>
      <protection locked="0"/>
    </xf>
    <xf numFmtId="0" fontId="42" fillId="0" borderId="0" xfId="1" applyFont="1" applyBorder="1" applyAlignment="1" applyProtection="1"/>
    <xf numFmtId="0" fontId="3" fillId="26" borderId="19" xfId="545" applyFont="1" applyFill="1" applyBorder="1" applyAlignment="1" applyProtection="1">
      <alignment horizontal="center" vertical="center"/>
    </xf>
    <xf numFmtId="0" fontId="3" fillId="26" borderId="0" xfId="545" applyFont="1" applyFill="1" applyBorder="1" applyAlignment="1" applyProtection="1">
      <alignment horizontal="center" vertical="center"/>
    </xf>
    <xf numFmtId="0" fontId="3" fillId="26" borderId="18" xfId="545" applyFont="1" applyFill="1" applyBorder="1" applyAlignment="1" applyProtection="1">
      <alignment horizontal="center" vertical="center"/>
    </xf>
    <xf numFmtId="0" fontId="4" fillId="0" borderId="0" xfId="545" applyFont="1" applyBorder="1" applyAlignment="1" applyProtection="1">
      <alignment horizontal="center"/>
      <protection locked="0"/>
    </xf>
    <xf numFmtId="0" fontId="4" fillId="0" borderId="0" xfId="545" applyFont="1" applyBorder="1" applyAlignment="1" applyProtection="1">
      <alignment horizontal="center"/>
    </xf>
    <xf numFmtId="0" fontId="4" fillId="0" borderId="18" xfId="545" applyFont="1" applyBorder="1" applyAlignment="1" applyProtection="1">
      <alignment horizontal="center"/>
    </xf>
    <xf numFmtId="0" fontId="1" fillId="0" borderId="0" xfId="545" applyFont="1" applyProtection="1">
      <protection locked="0"/>
    </xf>
    <xf numFmtId="0" fontId="4" fillId="0" borderId="0" xfId="545" applyFont="1" applyBorder="1" applyProtection="1"/>
    <xf numFmtId="0" fontId="4" fillId="0" borderId="18" xfId="545" applyFont="1" applyBorder="1" applyProtection="1"/>
    <xf numFmtId="0" fontId="4" fillId="0" borderId="19" xfId="545" applyFont="1" applyBorder="1" applyAlignment="1" applyProtection="1">
      <alignment horizontal="left" vertical="center"/>
    </xf>
    <xf numFmtId="0" fontId="4" fillId="0" borderId="0" xfId="545" applyFont="1" applyBorder="1" applyProtection="1">
      <protection locked="0"/>
    </xf>
    <xf numFmtId="0" fontId="4" fillId="0" borderId="19" xfId="545" applyFont="1" applyBorder="1" applyAlignment="1" applyProtection="1">
      <alignment vertical="center"/>
    </xf>
    <xf numFmtId="0" fontId="4" fillId="0" borderId="0" xfId="545" applyFont="1" applyBorder="1" applyAlignment="1" applyProtection="1">
      <alignment horizontal="left" vertical="center"/>
    </xf>
    <xf numFmtId="0" fontId="4" fillId="0" borderId="0" xfId="545" applyFont="1" applyBorder="1" applyAlignment="1" applyProtection="1">
      <alignment horizontal="center" vertical="center"/>
    </xf>
    <xf numFmtId="0" fontId="1" fillId="0" borderId="0" xfId="545" applyFont="1" applyBorder="1" applyProtection="1">
      <protection locked="0"/>
    </xf>
    <xf numFmtId="0" fontId="4" fillId="0" borderId="0" xfId="545" applyFont="1" applyBorder="1" applyAlignment="1" applyProtection="1">
      <alignment vertical="center"/>
    </xf>
    <xf numFmtId="0" fontId="4" fillId="0" borderId="0" xfId="545" applyFont="1" applyBorder="1" applyAlignment="1" applyProtection="1">
      <alignment horizontal="right" vertical="center"/>
    </xf>
    <xf numFmtId="0" fontId="5" fillId="0" borderId="0" xfId="545" applyFont="1" applyBorder="1" applyAlignment="1" applyProtection="1">
      <alignment horizontal="center" vertical="center"/>
      <protection locked="0"/>
    </xf>
    <xf numFmtId="0" fontId="4" fillId="0" borderId="0" xfId="545" applyFont="1" applyBorder="1" applyAlignment="1" applyProtection="1">
      <alignment horizontal="center" vertical="center"/>
      <protection locked="0"/>
    </xf>
    <xf numFmtId="167" fontId="4" fillId="0" borderId="0" xfId="545" applyNumberFormat="1" applyFont="1" applyBorder="1" applyAlignment="1" applyProtection="1">
      <alignment horizontal="center" vertical="center"/>
    </xf>
    <xf numFmtId="0" fontId="4" fillId="0" borderId="18" xfId="545" applyFont="1" applyBorder="1" applyAlignment="1" applyProtection="1">
      <alignment vertical="center"/>
    </xf>
    <xf numFmtId="0" fontId="1" fillId="25" borderId="0" xfId="545" applyFont="1" applyFill="1" applyAlignment="1" applyProtection="1">
      <alignment vertical="center"/>
      <protection locked="0"/>
    </xf>
    <xf numFmtId="0" fontId="1" fillId="0" borderId="19" xfId="545" applyFont="1" applyBorder="1" applyProtection="1"/>
    <xf numFmtId="0" fontId="1" fillId="0" borderId="0" xfId="545" applyFont="1" applyBorder="1" applyAlignment="1" applyProtection="1">
      <alignment horizontal="left"/>
    </xf>
    <xf numFmtId="0" fontId="1" fillId="0" borderId="0" xfId="545" applyFont="1" applyBorder="1" applyAlignment="1" applyProtection="1">
      <alignment horizontal="center"/>
    </xf>
    <xf numFmtId="0" fontId="1" fillId="0" borderId="0" xfId="545" applyFont="1" applyBorder="1" applyProtection="1"/>
    <xf numFmtId="0" fontId="1" fillId="0" borderId="18" xfId="545" applyFont="1" applyBorder="1" applyAlignment="1" applyProtection="1">
      <alignment horizontal="center"/>
    </xf>
    <xf numFmtId="0" fontId="3" fillId="0" borderId="0" xfId="545" applyFont="1" applyBorder="1" applyAlignment="1" applyProtection="1">
      <alignment vertical="center" wrapText="1"/>
    </xf>
    <xf numFmtId="0" fontId="178" fillId="0" borderId="323" xfId="545" applyFont="1" applyBorder="1" applyAlignment="1" applyProtection="1">
      <alignment vertical="center"/>
    </xf>
    <xf numFmtId="0" fontId="1" fillId="0" borderId="18" xfId="545" applyFont="1" applyBorder="1" applyProtection="1"/>
    <xf numFmtId="167" fontId="1" fillId="0" borderId="0" xfId="545" applyNumberFormat="1" applyFont="1" applyBorder="1" applyProtection="1"/>
    <xf numFmtId="0" fontId="3" fillId="0" borderId="0" xfId="545" applyFont="1" applyBorder="1" applyAlignment="1" applyProtection="1">
      <alignment horizontal="center" vertical="center" wrapText="1"/>
    </xf>
    <xf numFmtId="0" fontId="178" fillId="0" borderId="0" xfId="545" applyFont="1" applyBorder="1" applyAlignment="1" applyProtection="1">
      <alignment horizontal="right" vertical="center"/>
    </xf>
    <xf numFmtId="2" fontId="3" fillId="0" borderId="0" xfId="545" applyNumberFormat="1" applyFont="1" applyBorder="1" applyAlignment="1" applyProtection="1">
      <alignment horizontal="center" vertical="center"/>
    </xf>
    <xf numFmtId="0" fontId="3" fillId="0" borderId="0" xfId="545" applyFont="1" applyFill="1" applyBorder="1" applyAlignment="1" applyProtection="1">
      <alignment horizontal="center" vertical="center" wrapText="1"/>
    </xf>
    <xf numFmtId="0" fontId="1" fillId="0" borderId="0" xfId="545" applyFont="1" applyFill="1" applyBorder="1" applyAlignment="1" applyProtection="1"/>
    <xf numFmtId="0" fontId="178" fillId="0" borderId="0" xfId="545" applyFont="1" applyFill="1" applyBorder="1" applyAlignment="1" applyProtection="1">
      <alignment horizontal="right" vertical="center"/>
    </xf>
    <xf numFmtId="2" fontId="3" fillId="0" borderId="0" xfId="545" applyNumberFormat="1" applyFont="1" applyFill="1" applyBorder="1" applyAlignment="1" applyProtection="1">
      <alignment horizontal="center" vertical="center"/>
    </xf>
    <xf numFmtId="0" fontId="180" fillId="0" borderId="323" xfId="545" applyFont="1" applyBorder="1" applyAlignment="1" applyProtection="1">
      <alignment vertical="center"/>
    </xf>
    <xf numFmtId="0" fontId="180" fillId="0" borderId="0" xfId="545" applyFont="1" applyBorder="1" applyAlignment="1" applyProtection="1">
      <alignment horizontal="center" vertical="center"/>
    </xf>
    <xf numFmtId="0" fontId="1" fillId="25" borderId="0" xfId="545" applyFont="1" applyFill="1" applyProtection="1">
      <protection locked="0"/>
    </xf>
    <xf numFmtId="0" fontId="180" fillId="0" borderId="323" xfId="545" applyFont="1" applyBorder="1" applyAlignment="1" applyProtection="1">
      <alignment vertical="center" wrapText="1"/>
    </xf>
    <xf numFmtId="0" fontId="180" fillId="0" borderId="323" xfId="545" applyFont="1" applyBorder="1" applyAlignment="1" applyProtection="1">
      <alignment vertical="center" wrapText="1" shrinkToFit="1"/>
    </xf>
    <xf numFmtId="0" fontId="1" fillId="0" borderId="15" xfId="545" applyFont="1" applyBorder="1" applyProtection="1"/>
    <xf numFmtId="0" fontId="1" fillId="0" borderId="160" xfId="545" applyFont="1" applyBorder="1" applyProtection="1"/>
    <xf numFmtId="0" fontId="3" fillId="0" borderId="160" xfId="545" applyFont="1" applyBorder="1" applyAlignment="1" applyProtection="1">
      <alignment horizontal="center" vertical="center" wrapText="1"/>
    </xf>
    <xf numFmtId="0" fontId="178" fillId="0" borderId="160" xfId="545" applyFont="1" applyBorder="1" applyAlignment="1" applyProtection="1">
      <alignment horizontal="right" vertical="center"/>
    </xf>
    <xf numFmtId="2" fontId="3" fillId="0" borderId="160" xfId="545" applyNumberFormat="1" applyFont="1" applyBorder="1" applyAlignment="1" applyProtection="1">
      <alignment horizontal="center" vertical="center"/>
    </xf>
    <xf numFmtId="0" fontId="1" fillId="0" borderId="160" xfId="545" applyFont="1" applyBorder="1" applyAlignment="1" applyProtection="1">
      <alignment horizontal="left"/>
    </xf>
    <xf numFmtId="0" fontId="3" fillId="0" borderId="160" xfId="545" applyFont="1" applyFill="1" applyBorder="1" applyAlignment="1" applyProtection="1">
      <alignment horizontal="center" vertical="center" wrapText="1"/>
    </xf>
    <xf numFmtId="0" fontId="1" fillId="0" borderId="160" xfId="545" applyFont="1" applyFill="1" applyBorder="1" applyAlignment="1" applyProtection="1"/>
    <xf numFmtId="0" fontId="178" fillId="0" borderId="160" xfId="545" applyFont="1" applyFill="1" applyBorder="1" applyAlignment="1" applyProtection="1">
      <alignment horizontal="right" vertical="center"/>
    </xf>
    <xf numFmtId="2" fontId="3" fillId="0" borderId="160" xfId="545" applyNumberFormat="1" applyFont="1" applyFill="1" applyBorder="1" applyAlignment="1" applyProtection="1">
      <alignment horizontal="center" vertical="center"/>
    </xf>
    <xf numFmtId="0" fontId="1" fillId="0" borderId="14" xfId="545" applyFont="1" applyBorder="1" applyProtection="1"/>
    <xf numFmtId="0" fontId="1" fillId="0" borderId="0" xfId="545" applyFont="1" applyProtection="1"/>
    <xf numFmtId="2" fontId="3" fillId="0" borderId="18" xfId="545" applyNumberFormat="1" applyFont="1" applyFill="1" applyBorder="1" applyAlignment="1" applyProtection="1">
      <alignment horizontal="center" vertical="center"/>
    </xf>
    <xf numFmtId="0" fontId="180" fillId="0" borderId="0" xfId="545" applyFont="1" applyBorder="1" applyAlignment="1" applyProtection="1">
      <alignment vertical="center" wrapText="1"/>
    </xf>
    <xf numFmtId="0" fontId="4" fillId="0" borderId="0" xfId="545" applyFont="1" applyBorder="1" applyAlignment="1" applyProtection="1">
      <alignment horizontal="right" vertical="center" wrapText="1"/>
    </xf>
    <xf numFmtId="167" fontId="3" fillId="0" borderId="0" xfId="545" applyNumberFormat="1" applyFont="1" applyBorder="1" applyAlignment="1" applyProtection="1">
      <alignment horizontal="center" vertical="center"/>
      <protection locked="0"/>
    </xf>
    <xf numFmtId="0" fontId="3" fillId="26" borderId="164" xfId="71" applyFont="1" applyFill="1" applyBorder="1" applyAlignment="1" applyProtection="1">
      <alignment vertical="top" wrapText="1"/>
    </xf>
    <xf numFmtId="2" fontId="79" fillId="0" borderId="49" xfId="429" applyNumberFormat="1" applyFont="1" applyBorder="1" applyAlignment="1" applyProtection="1">
      <alignment horizontal="center" vertical="center"/>
      <protection locked="0"/>
    </xf>
    <xf numFmtId="0" fontId="16" fillId="0" borderId="0" xfId="21" applyFont="1" applyFill="1" applyBorder="1" applyAlignment="1" applyProtection="1">
      <alignment vertical="center" wrapText="1"/>
    </xf>
    <xf numFmtId="0" fontId="42" fillId="26" borderId="164" xfId="208" applyFont="1" applyFill="1" applyBorder="1" applyAlignment="1" applyProtection="1">
      <alignment vertical="center"/>
    </xf>
    <xf numFmtId="0" fontId="42" fillId="26" borderId="162" xfId="208" applyFont="1" applyFill="1" applyBorder="1" applyAlignment="1" applyProtection="1">
      <alignment vertical="center"/>
    </xf>
    <xf numFmtId="0" fontId="2" fillId="26" borderId="162" xfId="208" applyFont="1" applyFill="1" applyBorder="1" applyAlignment="1" applyProtection="1">
      <alignment vertical="center"/>
      <protection locked="0"/>
    </xf>
    <xf numFmtId="0" fontId="2" fillId="2" borderId="162" xfId="544" applyFont="1" applyFill="1" applyBorder="1" applyAlignment="1" applyProtection="1">
      <alignment vertical="top"/>
      <protection locked="0"/>
    </xf>
    <xf numFmtId="0" fontId="2" fillId="2" borderId="163" xfId="544" applyFont="1" applyFill="1" applyBorder="1" applyAlignment="1" applyProtection="1">
      <alignment vertical="top"/>
      <protection locked="0"/>
    </xf>
    <xf numFmtId="0" fontId="5" fillId="0" borderId="163" xfId="21" applyFont="1" applyFill="1" applyBorder="1" applyAlignment="1" applyProtection="1">
      <protection locked="0"/>
    </xf>
    <xf numFmtId="0" fontId="42" fillId="26" borderId="19" xfId="208" applyFont="1" applyFill="1" applyBorder="1" applyAlignment="1" applyProtection="1">
      <alignment horizontal="left" vertical="center"/>
    </xf>
    <xf numFmtId="0" fontId="42" fillId="26" borderId="0" xfId="208" applyFont="1" applyFill="1" applyBorder="1" applyAlignment="1" applyProtection="1">
      <alignment horizontal="left" vertical="center"/>
    </xf>
    <xf numFmtId="0" fontId="2" fillId="26" borderId="0" xfId="208" applyFont="1" applyFill="1" applyBorder="1" applyAlignment="1" applyProtection="1">
      <alignment horizontal="left" vertical="center"/>
      <protection locked="0"/>
    </xf>
    <xf numFmtId="0" fontId="2" fillId="2" borderId="0" xfId="544" applyFont="1" applyFill="1" applyBorder="1" applyAlignment="1" applyProtection="1">
      <alignment horizontal="left" vertical="top"/>
      <protection locked="0"/>
    </xf>
    <xf numFmtId="0" fontId="2" fillId="2" borderId="18" xfId="544" applyFont="1" applyFill="1" applyBorder="1" applyAlignment="1" applyProtection="1">
      <alignment horizontal="left" vertical="top"/>
      <protection locked="0"/>
    </xf>
    <xf numFmtId="0" fontId="2" fillId="26" borderId="0" xfId="208" applyFont="1" applyFill="1" applyBorder="1" applyAlignment="1" applyProtection="1">
      <alignment vertical="top"/>
      <protection locked="0"/>
    </xf>
    <xf numFmtId="0" fontId="1" fillId="0" borderId="0" xfId="208" applyAlignment="1" applyProtection="1">
      <alignment wrapText="1"/>
    </xf>
    <xf numFmtId="0" fontId="5" fillId="26" borderId="19" xfId="208" applyFont="1" applyFill="1" applyBorder="1" applyAlignment="1" applyProtection="1">
      <alignment horizontal="center" vertical="center"/>
    </xf>
    <xf numFmtId="0" fontId="5" fillId="26" borderId="0" xfId="208" applyFont="1" applyFill="1" applyBorder="1" applyAlignment="1" applyProtection="1">
      <alignment horizontal="center" vertical="center"/>
    </xf>
    <xf numFmtId="0" fontId="5" fillId="26" borderId="18" xfId="208" applyFont="1" applyFill="1" applyBorder="1" applyAlignment="1" applyProtection="1">
      <alignment horizontal="center" vertical="center"/>
    </xf>
    <xf numFmtId="0" fontId="4" fillId="0" borderId="15" xfId="208" applyFont="1" applyBorder="1" applyProtection="1"/>
    <xf numFmtId="0" fontId="4" fillId="0" borderId="160" xfId="208" applyFont="1" applyBorder="1" applyAlignment="1" applyProtection="1">
      <alignment horizontal="left"/>
    </xf>
    <xf numFmtId="0" fontId="4" fillId="0" borderId="160" xfId="208" applyFont="1" applyBorder="1" applyProtection="1"/>
    <xf numFmtId="0" fontId="4" fillId="0" borderId="160" xfId="208" applyFont="1" applyBorder="1" applyAlignment="1" applyProtection="1">
      <alignment horizontal="right"/>
    </xf>
    <xf numFmtId="0" fontId="5" fillId="0" borderId="160" xfId="208" applyFont="1" applyBorder="1" applyAlignment="1" applyProtection="1">
      <alignment horizontal="center"/>
    </xf>
    <xf numFmtId="167" fontId="4" fillId="0" borderId="160" xfId="208" applyNumberFormat="1" applyFont="1" applyBorder="1" applyAlignment="1" applyProtection="1">
      <alignment horizontal="center"/>
    </xf>
    <xf numFmtId="0" fontId="5" fillId="25" borderId="19" xfId="208" applyFont="1" applyFill="1" applyBorder="1" applyAlignment="1" applyProtection="1">
      <alignment horizontal="center" vertical="center"/>
    </xf>
    <xf numFmtId="0" fontId="5" fillId="25" borderId="18" xfId="208" applyFont="1" applyFill="1" applyBorder="1" applyAlignment="1" applyProtection="1">
      <alignment horizontal="center" vertical="center"/>
    </xf>
    <xf numFmtId="0" fontId="5" fillId="0" borderId="0" xfId="208" applyFont="1" applyFill="1" applyBorder="1" applyAlignment="1" applyProtection="1">
      <alignment vertical="center" wrapText="1"/>
    </xf>
    <xf numFmtId="0" fontId="4" fillId="0" borderId="323" xfId="208" applyFont="1" applyBorder="1" applyAlignment="1" applyProtection="1">
      <alignment vertical="center"/>
    </xf>
    <xf numFmtId="167" fontId="4" fillId="0" borderId="0" xfId="208" applyNumberFormat="1" applyFont="1" applyBorder="1" applyProtection="1"/>
    <xf numFmtId="0" fontId="4" fillId="0" borderId="0" xfId="208" applyFont="1" applyBorder="1" applyAlignment="1" applyProtection="1">
      <alignment horizontal="right" vertical="center"/>
    </xf>
    <xf numFmtId="2" fontId="5" fillId="0" borderId="0" xfId="208" applyNumberFormat="1" applyFont="1" applyBorder="1" applyAlignment="1" applyProtection="1">
      <alignment horizontal="center" vertical="center"/>
    </xf>
    <xf numFmtId="0" fontId="4" fillId="0" borderId="0" xfId="208" applyFont="1" applyFill="1" applyBorder="1" applyAlignment="1" applyProtection="1">
      <alignment horizontal="right" vertical="center"/>
    </xf>
    <xf numFmtId="0" fontId="180" fillId="0" borderId="0" xfId="208" applyFont="1" applyFill="1" applyBorder="1" applyAlignment="1" applyProtection="1">
      <alignment horizontal="right" vertical="center"/>
    </xf>
    <xf numFmtId="2" fontId="5" fillId="0" borderId="18" xfId="208" applyNumberFormat="1" applyFont="1" applyFill="1" applyBorder="1" applyAlignment="1" applyProtection="1">
      <alignment horizontal="center" vertical="center"/>
    </xf>
    <xf numFmtId="0" fontId="5" fillId="0" borderId="160" xfId="208" applyFont="1" applyBorder="1" applyAlignment="1" applyProtection="1">
      <alignment horizontal="center" vertical="center" wrapText="1"/>
    </xf>
    <xf numFmtId="0" fontId="4" fillId="0" borderId="160" xfId="208" applyFont="1" applyBorder="1" applyAlignment="1" applyProtection="1">
      <alignment horizontal="right" vertical="center"/>
    </xf>
    <xf numFmtId="2" fontId="5" fillId="0" borderId="160" xfId="208" applyNumberFormat="1" applyFont="1" applyBorder="1" applyAlignment="1" applyProtection="1">
      <alignment horizontal="center" vertical="center"/>
    </xf>
    <xf numFmtId="0" fontId="5" fillId="0" borderId="160" xfId="208" applyFont="1" applyFill="1" applyBorder="1" applyAlignment="1" applyProtection="1">
      <alignment horizontal="center" vertical="center" wrapText="1"/>
    </xf>
    <xf numFmtId="0" fontId="4" fillId="0" borderId="160" xfId="208" applyFont="1" applyFill="1" applyBorder="1" applyAlignment="1" applyProtection="1"/>
    <xf numFmtId="0" fontId="4" fillId="0" borderId="160" xfId="208" applyFont="1" applyFill="1" applyBorder="1" applyAlignment="1" applyProtection="1">
      <alignment horizontal="right" vertical="center"/>
    </xf>
    <xf numFmtId="0" fontId="180" fillId="0" borderId="160" xfId="208" applyFont="1" applyFill="1" applyBorder="1" applyAlignment="1" applyProtection="1">
      <alignment horizontal="right" vertical="center"/>
    </xf>
    <xf numFmtId="2" fontId="5" fillId="0" borderId="14" xfId="208" applyNumberFormat="1" applyFont="1" applyFill="1" applyBorder="1" applyAlignment="1" applyProtection="1">
      <alignment horizontal="center" vertical="center"/>
    </xf>
    <xf numFmtId="0" fontId="4" fillId="0" borderId="19" xfId="208" applyFont="1" applyFill="1" applyBorder="1" applyAlignment="1" applyProtection="1">
      <alignment horizontal="center" vertical="center"/>
    </xf>
    <xf numFmtId="0" fontId="4" fillId="0" borderId="0" xfId="208" applyFont="1" applyFill="1" applyBorder="1" applyAlignment="1" applyProtection="1">
      <alignment horizontal="center" vertical="center"/>
    </xf>
    <xf numFmtId="0" fontId="4" fillId="0" borderId="18" xfId="208" applyFont="1" applyFill="1" applyBorder="1" applyAlignment="1" applyProtection="1">
      <alignment horizontal="center" vertical="center"/>
    </xf>
    <xf numFmtId="0" fontId="4" fillId="0" borderId="0" xfId="208" applyFont="1" applyBorder="1" applyAlignment="1" applyProtection="1">
      <alignment vertical="center" wrapText="1"/>
    </xf>
    <xf numFmtId="0" fontId="4" fillId="0" borderId="323" xfId="208" applyFont="1" applyBorder="1" applyAlignment="1" applyProtection="1">
      <alignment vertical="center" wrapText="1"/>
    </xf>
    <xf numFmtId="0" fontId="4" fillId="0" borderId="0" xfId="208" applyFont="1" applyBorder="1" applyAlignment="1" applyProtection="1">
      <alignment horizontal="center" vertical="center" wrapText="1"/>
    </xf>
    <xf numFmtId="2" fontId="4" fillId="0" borderId="0" xfId="208" applyNumberFormat="1" applyFont="1" applyBorder="1" applyAlignment="1" applyProtection="1">
      <alignment horizontal="center" vertical="center"/>
    </xf>
    <xf numFmtId="0" fontId="4" fillId="0" borderId="0" xfId="208" applyFont="1" applyFill="1" applyBorder="1" applyAlignment="1" applyProtection="1">
      <alignment horizontal="center" vertical="center" wrapText="1"/>
    </xf>
    <xf numFmtId="2" fontId="4" fillId="0" borderId="18" xfId="208" applyNumberFormat="1" applyFont="1" applyFill="1" applyBorder="1" applyAlignment="1" applyProtection="1">
      <alignment horizontal="center" vertical="center"/>
    </xf>
    <xf numFmtId="0" fontId="4" fillId="0" borderId="323" xfId="208" applyFont="1" applyBorder="1" applyAlignment="1" applyProtection="1">
      <alignment vertical="center" wrapText="1" shrinkToFit="1"/>
    </xf>
    <xf numFmtId="0" fontId="180" fillId="0" borderId="0" xfId="208" applyFont="1" applyBorder="1" applyAlignment="1" applyProtection="1">
      <alignment horizontal="center" vertical="center" wrapText="1" shrinkToFit="1"/>
    </xf>
    <xf numFmtId="0" fontId="180" fillId="0" borderId="0" xfId="208" applyFont="1" applyBorder="1" applyAlignment="1" applyProtection="1">
      <alignment vertical="center" wrapText="1" shrinkToFit="1"/>
    </xf>
    <xf numFmtId="1" fontId="5" fillId="0" borderId="0" xfId="208" applyNumberFormat="1" applyFont="1" applyBorder="1" applyAlignment="1" applyProtection="1">
      <alignment horizontal="center" vertical="center"/>
    </xf>
    <xf numFmtId="0" fontId="5" fillId="0" borderId="19" xfId="208" applyFont="1" applyFill="1" applyBorder="1" applyAlignment="1" applyProtection="1">
      <alignment horizontal="center" vertical="center"/>
    </xf>
    <xf numFmtId="0" fontId="5" fillId="0" borderId="0" xfId="208" applyFont="1" applyFill="1" applyBorder="1" applyAlignment="1" applyProtection="1">
      <alignment horizontal="center" vertical="center"/>
    </xf>
    <xf numFmtId="0" fontId="5" fillId="0" borderId="18" xfId="208" applyFont="1" applyFill="1" applyBorder="1" applyAlignment="1" applyProtection="1">
      <alignment horizontal="center" vertical="center"/>
    </xf>
    <xf numFmtId="0" fontId="180" fillId="0" borderId="0" xfId="208" applyFont="1" applyBorder="1" applyAlignment="1" applyProtection="1">
      <alignment horizontal="right" vertical="center"/>
    </xf>
    <xf numFmtId="167" fontId="5" fillId="0" borderId="0" xfId="208" applyNumberFormat="1" applyFont="1" applyBorder="1" applyAlignment="1" applyProtection="1">
      <alignment horizontal="center" vertical="center"/>
    </xf>
    <xf numFmtId="0" fontId="180" fillId="0" borderId="160" xfId="208" applyFont="1" applyBorder="1" applyAlignment="1" applyProtection="1">
      <alignment horizontal="right" vertical="center"/>
    </xf>
    <xf numFmtId="0" fontId="3" fillId="0" borderId="164" xfId="208" applyFont="1" applyBorder="1" applyAlignment="1" applyProtection="1"/>
    <xf numFmtId="2" fontId="89" fillId="33" borderId="49" xfId="295" applyNumberFormat="1" applyFont="1" applyFill="1" applyBorder="1" applyAlignment="1" applyProtection="1">
      <alignment horizontal="center" vertical="center"/>
    </xf>
    <xf numFmtId="167" fontId="112" fillId="26" borderId="49" xfId="430" applyNumberFormat="1" applyFont="1" applyFill="1" applyBorder="1" applyAlignment="1" applyProtection="1">
      <alignment horizontal="center" vertical="center"/>
    </xf>
    <xf numFmtId="0" fontId="1" fillId="0" borderId="49" xfId="1" applyFill="1" applyBorder="1" applyAlignment="1" applyProtection="1">
      <alignment vertical="center"/>
      <protection locked="0"/>
    </xf>
    <xf numFmtId="0" fontId="1" fillId="0" borderId="49" xfId="1" applyFill="1" applyBorder="1" applyAlignment="1" applyProtection="1">
      <alignment vertical="center"/>
    </xf>
    <xf numFmtId="1" fontId="2" fillId="26" borderId="0" xfId="1" applyNumberFormat="1" applyFont="1" applyFill="1" applyBorder="1" applyAlignment="1" applyProtection="1">
      <alignment horizontal="left" vertical="center"/>
    </xf>
    <xf numFmtId="0" fontId="2" fillId="26" borderId="0" xfId="1" applyFont="1" applyFill="1" applyBorder="1" applyAlignment="1" applyProtection="1">
      <alignment horizontal="left" vertical="center"/>
    </xf>
    <xf numFmtId="0" fontId="3" fillId="0" borderId="0" xfId="70" applyFont="1" applyFill="1" applyBorder="1" applyAlignment="1" applyProtection="1">
      <alignment horizontal="center"/>
    </xf>
    <xf numFmtId="0" fontId="48" fillId="0" borderId="0" xfId="217" applyFont="1" applyBorder="1" applyAlignment="1" applyProtection="1">
      <alignment horizontal="center"/>
    </xf>
    <xf numFmtId="0" fontId="94" fillId="0" borderId="18" xfId="73" applyFont="1" applyBorder="1" applyAlignment="1" applyProtection="1">
      <alignment horizontal="left" vertical="top"/>
      <protection locked="0"/>
    </xf>
    <xf numFmtId="0" fontId="1" fillId="0" borderId="163" xfId="21" applyFont="1" applyFill="1" applyBorder="1" applyProtection="1"/>
    <xf numFmtId="0" fontId="5" fillId="0" borderId="163" xfId="21" applyFont="1" applyFill="1" applyBorder="1" applyAlignment="1" applyProtection="1">
      <alignment horizontal="center"/>
      <protection locked="0"/>
    </xf>
    <xf numFmtId="0" fontId="3" fillId="25" borderId="162" xfId="70" applyFont="1" applyFill="1" applyBorder="1" applyAlignment="1" applyProtection="1">
      <alignment horizontal="center" vertical="center" wrapText="1"/>
    </xf>
    <xf numFmtId="0" fontId="1" fillId="0" borderId="54" xfId="21" applyFont="1" applyFill="1" applyBorder="1" applyAlignment="1" applyProtection="1">
      <alignment wrapText="1"/>
    </xf>
    <xf numFmtId="0" fontId="1" fillId="0" borderId="49" xfId="21" applyFont="1" applyFill="1" applyBorder="1" applyProtection="1"/>
    <xf numFmtId="167" fontId="1" fillId="0" borderId="49" xfId="21" applyNumberFormat="1" applyFont="1" applyFill="1" applyBorder="1" applyProtection="1"/>
    <xf numFmtId="0" fontId="5" fillId="26" borderId="160" xfId="70" applyFont="1" applyFill="1" applyBorder="1" applyAlignment="1" applyProtection="1">
      <alignment horizontal="center" vertical="center"/>
    </xf>
    <xf numFmtId="167" fontId="5" fillId="26" borderId="160" xfId="70" applyNumberFormat="1" applyFont="1" applyFill="1" applyBorder="1" applyAlignment="1" applyProtection="1">
      <alignment horizontal="center" vertical="center"/>
    </xf>
    <xf numFmtId="0" fontId="1" fillId="0" borderId="164" xfId="21" applyFont="1" applyFill="1" applyBorder="1" applyAlignment="1" applyProtection="1">
      <alignment vertical="center"/>
    </xf>
    <xf numFmtId="0" fontId="4" fillId="26" borderId="163" xfId="74" applyFont="1" applyFill="1" applyBorder="1" applyAlignment="1" applyProtection="1">
      <alignment horizontal="left" vertical="top" wrapText="1"/>
      <protection locked="0"/>
    </xf>
    <xf numFmtId="0" fontId="1" fillId="0" borderId="50" xfId="74" applyFont="1" applyFill="1" applyBorder="1" applyProtection="1"/>
    <xf numFmtId="0" fontId="1" fillId="0" borderId="0" xfId="544" applyFont="1" applyBorder="1" applyAlignment="1" applyProtection="1">
      <alignment horizontal="center" vertical="center"/>
    </xf>
    <xf numFmtId="167" fontId="39" fillId="0" borderId="29" xfId="70" applyNumberFormat="1" applyFont="1" applyFill="1" applyBorder="1" applyAlignment="1" applyProtection="1">
      <alignment horizontal="center" vertical="center"/>
    </xf>
    <xf numFmtId="0" fontId="1" fillId="0" borderId="0" xfId="208" applyFont="1" applyFill="1" applyBorder="1" applyAlignment="1" applyProtection="1">
      <alignment horizontal="center"/>
    </xf>
    <xf numFmtId="0" fontId="1" fillId="0" borderId="0" xfId="208" applyFill="1" applyBorder="1" applyAlignment="1" applyProtection="1">
      <alignment vertical="top" wrapText="1"/>
    </xf>
    <xf numFmtId="0" fontId="2" fillId="0" borderId="15" xfId="208" applyFont="1" applyBorder="1" applyAlignment="1" applyProtection="1">
      <alignment horizontal="left" vertical="center"/>
    </xf>
    <xf numFmtId="0" fontId="2" fillId="0" borderId="6" xfId="208" applyFont="1" applyBorder="1" applyAlignment="1" applyProtection="1">
      <alignment horizontal="left" vertical="center"/>
    </xf>
    <xf numFmtId="0" fontId="2" fillId="0" borderId="160" xfId="208" applyFont="1" applyBorder="1" applyAlignment="1" applyProtection="1">
      <alignment horizontal="center"/>
    </xf>
    <xf numFmtId="0" fontId="2" fillId="0" borderId="160" xfId="208" applyFont="1" applyFill="1" applyBorder="1" applyProtection="1"/>
    <xf numFmtId="0" fontId="2" fillId="0" borderId="160" xfId="208" applyFont="1" applyFill="1" applyBorder="1" applyAlignment="1" applyProtection="1">
      <alignment horizontal="right"/>
    </xf>
    <xf numFmtId="0" fontId="2" fillId="0" borderId="5" xfId="208" applyFont="1" applyBorder="1" applyAlignment="1" applyProtection="1">
      <alignment horizontal="center"/>
    </xf>
    <xf numFmtId="0" fontId="2" fillId="0" borderId="5" xfId="208" applyFont="1" applyFill="1" applyBorder="1" applyProtection="1"/>
    <xf numFmtId="0" fontId="2" fillId="0" borderId="5" xfId="208" applyFont="1" applyFill="1" applyBorder="1" applyAlignment="1" applyProtection="1">
      <alignment horizontal="right"/>
    </xf>
    <xf numFmtId="0" fontId="2" fillId="0" borderId="3" xfId="208" applyFont="1" applyBorder="1" applyAlignment="1" applyProtection="1">
      <alignment horizontal="center"/>
    </xf>
    <xf numFmtId="0" fontId="2" fillId="0" borderId="3" xfId="208" applyFont="1" applyFill="1" applyBorder="1" applyProtection="1"/>
    <xf numFmtId="0" fontId="2" fillId="0" borderId="19" xfId="208" applyFont="1" applyFill="1" applyBorder="1" applyAlignment="1" applyProtection="1">
      <alignment horizontal="left" vertical="center"/>
    </xf>
    <xf numFmtId="0" fontId="2" fillId="0" borderId="0" xfId="208" applyFont="1" applyFill="1" applyBorder="1" applyAlignment="1" applyProtection="1"/>
    <xf numFmtId="0" fontId="2" fillId="0" borderId="0" xfId="208" applyFont="1" applyBorder="1" applyAlignment="1" applyProtection="1">
      <alignment vertical="center" wrapText="1"/>
    </xf>
    <xf numFmtId="0" fontId="2" fillId="0" borderId="0" xfId="208" applyFont="1" applyFill="1" applyBorder="1" applyAlignment="1" applyProtection="1">
      <alignment horizontal="right"/>
    </xf>
    <xf numFmtId="0" fontId="2" fillId="0" borderId="42" xfId="208" applyFont="1" applyBorder="1" applyAlignment="1" applyProtection="1">
      <alignment horizontal="left" vertical="center"/>
    </xf>
    <xf numFmtId="0" fontId="2" fillId="0" borderId="43" xfId="208" applyFont="1" applyBorder="1" applyProtection="1"/>
    <xf numFmtId="0" fontId="2" fillId="0" borderId="43" xfId="208" applyFont="1" applyBorder="1" applyAlignment="1" applyProtection="1">
      <alignment horizontal="center"/>
    </xf>
    <xf numFmtId="0" fontId="2" fillId="0" borderId="43" xfId="208" applyFont="1" applyFill="1" applyBorder="1" applyProtection="1"/>
    <xf numFmtId="0" fontId="2" fillId="0" borderId="43" xfId="208" applyFont="1" applyFill="1" applyBorder="1" applyAlignment="1" applyProtection="1">
      <alignment horizontal="right"/>
    </xf>
    <xf numFmtId="0" fontId="2" fillId="0" borderId="5" xfId="208" applyFont="1" applyBorder="1" applyProtection="1"/>
    <xf numFmtId="0" fontId="2" fillId="0" borderId="0" xfId="208" applyFont="1" applyFill="1" applyBorder="1" applyAlignment="1" applyProtection="1">
      <alignment vertical="top"/>
    </xf>
    <xf numFmtId="0" fontId="185" fillId="2" borderId="19" xfId="208" applyFont="1" applyFill="1" applyBorder="1" applyProtection="1"/>
    <xf numFmtId="0" fontId="185" fillId="2" borderId="0" xfId="208" applyFont="1" applyFill="1" applyBorder="1" applyProtection="1"/>
    <xf numFmtId="0" fontId="185" fillId="2" borderId="15" xfId="208" applyFont="1" applyFill="1" applyBorder="1" applyProtection="1"/>
    <xf numFmtId="0" fontId="2" fillId="0" borderId="268" xfId="208" applyFont="1" applyFill="1" applyBorder="1" applyAlignment="1" applyProtection="1">
      <alignment horizontal="right"/>
    </xf>
    <xf numFmtId="0" fontId="2" fillId="0" borderId="44" xfId="208" applyFont="1" applyFill="1" applyBorder="1" applyAlignment="1" applyProtection="1">
      <alignment horizontal="right"/>
    </xf>
    <xf numFmtId="0" fontId="2" fillId="0" borderId="327" xfId="208" applyFont="1" applyFill="1" applyBorder="1" applyAlignment="1" applyProtection="1">
      <alignment horizontal="right"/>
    </xf>
    <xf numFmtId="173" fontId="185" fillId="2" borderId="0" xfId="208" applyNumberFormat="1" applyFont="1" applyFill="1" applyBorder="1" applyProtection="1"/>
    <xf numFmtId="0" fontId="2" fillId="0" borderId="127" xfId="208" applyFont="1" applyBorder="1" applyAlignment="1" applyProtection="1">
      <alignment horizontal="center" vertical="center"/>
    </xf>
    <xf numFmtId="0" fontId="2" fillId="0" borderId="128" xfId="208" applyFont="1" applyBorder="1" applyAlignment="1" applyProtection="1">
      <alignment horizontal="center" vertical="center"/>
    </xf>
    <xf numFmtId="1" fontId="2" fillId="0" borderId="127" xfId="208" applyNumberFormat="1" applyFont="1" applyBorder="1" applyAlignment="1" applyProtection="1">
      <alignment horizontal="center" vertical="center"/>
    </xf>
    <xf numFmtId="1" fontId="2" fillId="0" borderId="130" xfId="208" applyNumberFormat="1" applyFont="1" applyBorder="1" applyAlignment="1" applyProtection="1">
      <alignment horizontal="center" vertical="center"/>
    </xf>
    <xf numFmtId="0" fontId="2" fillId="0" borderId="134" xfId="208" applyFont="1" applyBorder="1" applyAlignment="1" applyProtection="1">
      <alignment horizontal="center" vertical="center"/>
    </xf>
    <xf numFmtId="167" fontId="2" fillId="0" borderId="129" xfId="208" applyNumberFormat="1" applyFont="1" applyBorder="1" applyAlignment="1" applyProtection="1">
      <alignment horizontal="center" vertical="center"/>
    </xf>
    <xf numFmtId="0" fontId="2" fillId="0" borderId="138" xfId="208" applyFont="1" applyBorder="1" applyAlignment="1" applyProtection="1">
      <alignment horizontal="center" vertical="center"/>
    </xf>
    <xf numFmtId="167" fontId="2" fillId="0" borderId="128" xfId="208" applyNumberFormat="1" applyFont="1" applyBorder="1" applyAlignment="1" applyProtection="1">
      <alignment horizontal="center" vertical="center"/>
    </xf>
    <xf numFmtId="0" fontId="2" fillId="0" borderId="137" xfId="208" applyFont="1" applyBorder="1" applyAlignment="1" applyProtection="1">
      <alignment horizontal="center" vertical="center" wrapText="1"/>
    </xf>
    <xf numFmtId="167" fontId="2" fillId="0" borderId="129" xfId="208" applyNumberFormat="1" applyFont="1" applyBorder="1" applyAlignment="1" applyProtection="1">
      <alignment horizontal="center" vertical="center" wrapText="1"/>
    </xf>
    <xf numFmtId="167" fontId="2" fillId="0" borderId="128" xfId="208" applyNumberFormat="1" applyFont="1" applyBorder="1" applyAlignment="1" applyProtection="1">
      <alignment horizontal="center" vertical="center" wrapText="1"/>
    </xf>
    <xf numFmtId="167" fontId="2" fillId="39" borderId="129" xfId="208" applyNumberFormat="1" applyFont="1" applyFill="1" applyBorder="1" applyAlignment="1" applyProtection="1">
      <alignment horizontal="center" vertical="center"/>
    </xf>
    <xf numFmtId="167" fontId="2" fillId="39" borderId="128" xfId="208" applyNumberFormat="1" applyFont="1" applyFill="1" applyBorder="1" applyAlignment="1" applyProtection="1">
      <alignment horizontal="center" vertical="center"/>
    </xf>
    <xf numFmtId="167" fontId="2" fillId="0" borderId="132" xfId="208" applyNumberFormat="1" applyFont="1" applyBorder="1" applyAlignment="1" applyProtection="1">
      <alignment horizontal="center" vertical="center"/>
    </xf>
    <xf numFmtId="0" fontId="2" fillId="26" borderId="67" xfId="208" applyFont="1" applyFill="1" applyBorder="1" applyAlignment="1" applyProtection="1">
      <alignment horizontal="center"/>
    </xf>
    <xf numFmtId="0" fontId="2" fillId="26" borderId="29" xfId="208" applyFont="1" applyFill="1" applyBorder="1" applyAlignment="1" applyProtection="1">
      <alignment horizontal="center" vertical="center"/>
    </xf>
    <xf numFmtId="0" fontId="2" fillId="26" borderId="150" xfId="208" applyFont="1" applyFill="1" applyBorder="1" applyAlignment="1" applyProtection="1">
      <alignment horizontal="center" vertical="center"/>
    </xf>
    <xf numFmtId="173" fontId="42" fillId="0" borderId="0" xfId="208" applyNumberFormat="1" applyFont="1" applyBorder="1" applyAlignment="1" applyProtection="1">
      <alignment vertical="center"/>
    </xf>
    <xf numFmtId="167" fontId="2" fillId="0" borderId="0" xfId="208" applyNumberFormat="1" applyFont="1" applyBorder="1" applyAlignment="1" applyProtection="1"/>
    <xf numFmtId="0" fontId="2" fillId="0" borderId="342" xfId="208" applyFont="1" applyBorder="1" applyAlignment="1" applyProtection="1">
      <alignment horizontal="left" vertical="center"/>
    </xf>
    <xf numFmtId="167" fontId="2" fillId="27" borderId="127" xfId="208" applyNumberFormat="1" applyFont="1" applyFill="1" applyBorder="1" applyAlignment="1" applyProtection="1">
      <alignment horizontal="center" vertical="center"/>
    </xf>
    <xf numFmtId="167" fontId="2" fillId="0" borderId="127" xfId="208" applyNumberFormat="1" applyFont="1" applyBorder="1" applyAlignment="1" applyProtection="1">
      <alignment horizontal="center" vertical="center"/>
    </xf>
    <xf numFmtId="2" fontId="109" fillId="0" borderId="53" xfId="208" applyNumberFormat="1" applyFont="1" applyBorder="1" applyAlignment="1" applyProtection="1">
      <alignment horizontal="center"/>
    </xf>
    <xf numFmtId="173" fontId="92" fillId="0" borderId="19" xfId="208" applyNumberFormat="1" applyFont="1" applyBorder="1" applyAlignment="1" applyProtection="1">
      <alignment horizontal="center"/>
    </xf>
    <xf numFmtId="0" fontId="42" fillId="28" borderId="53" xfId="208" applyFont="1" applyFill="1" applyBorder="1" applyAlignment="1" applyProtection="1">
      <alignment horizontal="left" vertical="center"/>
    </xf>
    <xf numFmtId="173" fontId="92" fillId="0" borderId="18" xfId="208" applyNumberFormat="1" applyFont="1" applyBorder="1" applyAlignment="1" applyProtection="1">
      <alignment horizontal="center"/>
    </xf>
    <xf numFmtId="0" fontId="42" fillId="0" borderId="54" xfId="208" applyFont="1" applyBorder="1" applyAlignment="1" applyProtection="1">
      <alignment vertical="center"/>
    </xf>
    <xf numFmtId="173" fontId="42" fillId="28" borderId="29" xfId="208" applyNumberFormat="1" applyFont="1" applyFill="1" applyBorder="1" applyAlignment="1" applyProtection="1">
      <alignment horizontal="left" vertical="center"/>
    </xf>
    <xf numFmtId="173" fontId="42" fillId="28" borderId="54" xfId="208" applyNumberFormat="1" applyFont="1" applyFill="1" applyBorder="1" applyAlignment="1" applyProtection="1">
      <alignment horizontal="left" vertical="center"/>
    </xf>
    <xf numFmtId="2" fontId="109" fillId="0" borderId="148" xfId="208" applyNumberFormat="1" applyFont="1" applyBorder="1" applyAlignment="1" applyProtection="1">
      <alignment horizontal="center" vertical="center"/>
    </xf>
    <xf numFmtId="2" fontId="2" fillId="0" borderId="149" xfId="208" applyNumberFormat="1" applyFont="1" applyBorder="1" applyAlignment="1" applyProtection="1">
      <alignment horizontal="center" vertical="center"/>
    </xf>
    <xf numFmtId="167" fontId="2" fillId="0" borderId="155" xfId="208" applyNumberFormat="1" applyFont="1" applyBorder="1" applyAlignment="1" applyProtection="1">
      <alignment horizontal="center" vertical="center"/>
    </xf>
    <xf numFmtId="0" fontId="2" fillId="0" borderId="150" xfId="208" applyFont="1" applyBorder="1" applyAlignment="1" applyProtection="1">
      <alignment horizontal="center" vertical="center"/>
    </xf>
    <xf numFmtId="0" fontId="2" fillId="0" borderId="158" xfId="208" applyFont="1" applyBorder="1" applyAlignment="1" applyProtection="1">
      <alignment horizontal="center" vertical="center" wrapText="1"/>
    </xf>
    <xf numFmtId="0" fontId="2" fillId="0" borderId="33" xfId="208" applyFont="1" applyBorder="1" applyAlignment="1" applyProtection="1">
      <alignment horizontal="center" vertical="center"/>
    </xf>
    <xf numFmtId="0" fontId="2" fillId="0" borderId="154" xfId="208" applyFont="1" applyBorder="1" applyAlignment="1" applyProtection="1">
      <alignment horizontal="center" vertical="center"/>
    </xf>
    <xf numFmtId="0" fontId="2" fillId="0" borderId="67" xfId="208" applyFont="1" applyBorder="1" applyAlignment="1" applyProtection="1">
      <alignment horizontal="center" vertical="center"/>
    </xf>
    <xf numFmtId="173" fontId="2" fillId="0" borderId="66" xfId="208" applyNumberFormat="1" applyFont="1" applyBorder="1" applyAlignment="1" applyProtection="1">
      <alignment horizontal="center" vertical="center"/>
    </xf>
    <xf numFmtId="173" fontId="2" fillId="0" borderId="62" xfId="208" applyNumberFormat="1" applyFont="1" applyBorder="1" applyAlignment="1" applyProtection="1">
      <alignment horizontal="center" vertical="center"/>
    </xf>
    <xf numFmtId="173" fontId="2" fillId="0" borderId="151" xfId="208" applyNumberFormat="1" applyFont="1" applyBorder="1" applyAlignment="1" applyProtection="1">
      <alignment horizontal="center" vertical="center"/>
    </xf>
    <xf numFmtId="173" fontId="2" fillId="0" borderId="150" xfId="208" applyNumberFormat="1" applyFont="1" applyBorder="1" applyAlignment="1" applyProtection="1">
      <alignment horizontal="center" vertical="center"/>
    </xf>
    <xf numFmtId="173" fontId="2" fillId="0" borderId="149" xfId="208" applyNumberFormat="1" applyFont="1" applyBorder="1" applyAlignment="1" applyProtection="1">
      <alignment horizontal="center" vertical="center"/>
    </xf>
    <xf numFmtId="173" fontId="2" fillId="0" borderId="148" xfId="208" applyNumberFormat="1" applyFont="1" applyBorder="1" applyAlignment="1" applyProtection="1">
      <alignment horizontal="center" vertical="center"/>
    </xf>
    <xf numFmtId="167" fontId="42" fillId="0" borderId="79" xfId="208" applyNumberFormat="1" applyFont="1" applyBorder="1" applyAlignment="1" applyProtection="1">
      <alignment horizontal="center" vertical="center"/>
    </xf>
    <xf numFmtId="167" fontId="42" fillId="0" borderId="153" xfId="208" applyNumberFormat="1" applyFont="1" applyBorder="1" applyAlignment="1" applyProtection="1">
      <alignment horizontal="center" vertical="center"/>
    </xf>
    <xf numFmtId="167" fontId="42" fillId="0" borderId="121" xfId="208" applyNumberFormat="1" applyFont="1" applyBorder="1" applyAlignment="1" applyProtection="1">
      <alignment horizontal="center" vertical="center"/>
    </xf>
    <xf numFmtId="173" fontId="109" fillId="0" borderId="148" xfId="208" applyNumberFormat="1" applyFont="1" applyBorder="1" applyAlignment="1" applyProtection="1">
      <alignment horizontal="center" vertical="center"/>
    </xf>
    <xf numFmtId="0" fontId="42" fillId="28" borderId="29" xfId="208" applyFont="1" applyFill="1" applyBorder="1" applyAlignment="1" applyProtection="1">
      <alignment horizontal="center" vertical="center"/>
    </xf>
    <xf numFmtId="2" fontId="109" fillId="0" borderId="152" xfId="208" applyNumberFormat="1" applyFont="1" applyBorder="1" applyAlignment="1" applyProtection="1">
      <alignment horizontal="center" vertical="center"/>
    </xf>
    <xf numFmtId="0" fontId="2" fillId="0" borderId="135" xfId="208" applyFont="1" applyBorder="1" applyAlignment="1" applyProtection="1">
      <alignment horizontal="center" vertical="center"/>
    </xf>
    <xf numFmtId="0" fontId="2" fillId="0" borderId="63" xfId="208" applyFont="1" applyBorder="1" applyAlignment="1" applyProtection="1">
      <alignment horizontal="center" vertical="center"/>
    </xf>
    <xf numFmtId="167" fontId="2" fillId="0" borderId="14" xfId="208" applyNumberFormat="1" applyFont="1" applyBorder="1" applyAlignment="1" applyProtection="1">
      <alignment horizontal="center" vertical="center"/>
    </xf>
    <xf numFmtId="167" fontId="2" fillId="0" borderId="139" xfId="208" applyNumberFormat="1" applyFont="1" applyBorder="1" applyAlignment="1" applyProtection="1">
      <alignment horizontal="center" vertical="center"/>
    </xf>
    <xf numFmtId="167" fontId="2" fillId="0" borderId="54" xfId="208" applyNumberFormat="1" applyFont="1" applyBorder="1" applyAlignment="1" applyProtection="1">
      <alignment horizontal="center" vertical="center"/>
    </xf>
    <xf numFmtId="167" fontId="2" fillId="0" borderId="127" xfId="208" applyNumberFormat="1" applyFont="1" applyBorder="1" applyAlignment="1" applyProtection="1">
      <alignment horizontal="center" vertical="center" wrapText="1"/>
    </xf>
    <xf numFmtId="167" fontId="2" fillId="39" borderId="127" xfId="208" applyNumberFormat="1" applyFont="1" applyFill="1" applyBorder="1" applyAlignment="1" applyProtection="1">
      <alignment horizontal="center" vertical="center"/>
    </xf>
    <xf numFmtId="0" fontId="2" fillId="0" borderId="349" xfId="208" applyFont="1" applyBorder="1" applyAlignment="1" applyProtection="1">
      <alignment horizontal="center" vertical="center"/>
    </xf>
    <xf numFmtId="167" fontId="2" fillId="39" borderId="350" xfId="208" applyNumberFormat="1" applyFont="1" applyFill="1" applyBorder="1" applyAlignment="1" applyProtection="1">
      <alignment horizontal="center" vertical="center"/>
    </xf>
    <xf numFmtId="167" fontId="2" fillId="39" borderId="139" xfId="208" applyNumberFormat="1" applyFont="1" applyFill="1" applyBorder="1" applyAlignment="1" applyProtection="1">
      <alignment horizontal="center" vertical="center"/>
    </xf>
    <xf numFmtId="167" fontId="2" fillId="39" borderId="351" xfId="208" applyNumberFormat="1" applyFont="1" applyFill="1" applyBorder="1" applyAlignment="1" applyProtection="1">
      <alignment horizontal="center" vertical="center"/>
    </xf>
    <xf numFmtId="0" fontId="109" fillId="0" borderId="0" xfId="208" applyFont="1" applyBorder="1" applyProtection="1"/>
    <xf numFmtId="0" fontId="2" fillId="0" borderId="0" xfId="208" applyFont="1" applyBorder="1" applyAlignment="1" applyProtection="1">
      <alignment horizontal="center"/>
    </xf>
    <xf numFmtId="0" fontId="2" fillId="0" borderId="35" xfId="208" applyFont="1" applyBorder="1" applyAlignment="1" applyProtection="1">
      <alignment horizontal="center" vertical="center"/>
    </xf>
    <xf numFmtId="0" fontId="2" fillId="0" borderId="47" xfId="208" applyFont="1" applyBorder="1" applyAlignment="1" applyProtection="1">
      <alignment horizontal="left" vertical="center"/>
    </xf>
    <xf numFmtId="0" fontId="2" fillId="0" borderId="55" xfId="208" applyFont="1" applyBorder="1" applyAlignment="1" applyProtection="1">
      <alignment horizontal="center" vertical="center" wrapText="1"/>
    </xf>
    <xf numFmtId="0" fontId="2" fillId="0" borderId="19" xfId="208" applyFont="1" applyBorder="1" applyAlignment="1" applyProtection="1">
      <alignment horizontal="left" vertical="center" wrapText="1"/>
    </xf>
    <xf numFmtId="0" fontId="2" fillId="0" borderId="0" xfId="208" applyFont="1" applyBorder="1" applyAlignment="1" applyProtection="1">
      <alignment horizontal="left" vertical="center" wrapText="1"/>
    </xf>
    <xf numFmtId="0" fontId="2" fillId="0" borderId="163" xfId="208" applyFont="1" applyFill="1" applyBorder="1" applyAlignment="1" applyProtection="1">
      <alignment vertical="top"/>
    </xf>
    <xf numFmtId="0" fontId="2" fillId="0" borderId="0" xfId="208" applyFont="1" applyFill="1" applyBorder="1" applyAlignment="1" applyProtection="1">
      <alignment vertical="center"/>
    </xf>
    <xf numFmtId="0" fontId="2" fillId="0" borderId="18" xfId="208" applyFont="1" applyFill="1" applyBorder="1" applyAlignment="1" applyProtection="1">
      <alignment horizontal="right"/>
    </xf>
    <xf numFmtId="0" fontId="78" fillId="25" borderId="0" xfId="208" applyFont="1" applyFill="1" applyBorder="1" applyAlignment="1" applyProtection="1">
      <alignment vertical="center" wrapText="1"/>
    </xf>
    <xf numFmtId="0" fontId="2" fillId="0" borderId="352" xfId="208" applyFont="1" applyBorder="1" applyAlignment="1" applyProtection="1">
      <alignment horizontal="center" vertical="center" wrapText="1"/>
    </xf>
    <xf numFmtId="0" fontId="2" fillId="0" borderId="275" xfId="208" applyFont="1" applyBorder="1" applyAlignment="1" applyProtection="1">
      <alignment horizontal="center" vertical="center" wrapText="1"/>
    </xf>
    <xf numFmtId="167" fontId="2" fillId="0" borderId="91" xfId="208" applyNumberFormat="1" applyFont="1" applyBorder="1" applyAlignment="1" applyProtection="1">
      <alignment horizontal="center" vertical="center" wrapText="1"/>
    </xf>
    <xf numFmtId="167" fontId="2" fillId="0" borderId="90" xfId="208" applyNumberFormat="1" applyFont="1" applyBorder="1" applyAlignment="1" applyProtection="1">
      <alignment horizontal="center" vertical="center"/>
    </xf>
    <xf numFmtId="0" fontId="78" fillId="28" borderId="10" xfId="208" applyFont="1" applyFill="1" applyBorder="1" applyAlignment="1" applyProtection="1">
      <alignment horizontal="center"/>
    </xf>
    <xf numFmtId="0" fontId="78" fillId="28" borderId="9" xfId="208" applyFont="1" applyFill="1" applyBorder="1" applyAlignment="1" applyProtection="1">
      <alignment horizontal="center"/>
    </xf>
    <xf numFmtId="167" fontId="42" fillId="0" borderId="221" xfId="208" applyNumberFormat="1" applyFont="1" applyBorder="1" applyAlignment="1" applyProtection="1">
      <alignment horizontal="center" vertical="center" wrapText="1"/>
    </xf>
    <xf numFmtId="167" fontId="42" fillId="0" borderId="333" xfId="208" applyNumberFormat="1" applyFont="1" applyBorder="1" applyAlignment="1" applyProtection="1">
      <alignment horizontal="center" vertical="center" wrapText="1"/>
    </xf>
    <xf numFmtId="167" fontId="42" fillId="0" borderId="353" xfId="208" applyNumberFormat="1" applyFont="1" applyBorder="1" applyAlignment="1" applyProtection="1">
      <alignment horizontal="center" vertical="center"/>
    </xf>
    <xf numFmtId="0" fontId="185" fillId="2" borderId="13" xfId="208" applyFont="1" applyFill="1" applyBorder="1" applyProtection="1"/>
    <xf numFmtId="0" fontId="189" fillId="2" borderId="0" xfId="208" applyFont="1" applyFill="1" applyBorder="1" applyProtection="1"/>
    <xf numFmtId="0" fontId="189" fillId="2" borderId="0" xfId="208" applyFont="1" applyFill="1" applyBorder="1" applyAlignment="1" applyProtection="1">
      <alignment horizontal="center"/>
    </xf>
    <xf numFmtId="0" fontId="78" fillId="2" borderId="0" xfId="208" applyFont="1" applyFill="1" applyBorder="1" applyAlignment="1" applyProtection="1">
      <alignment vertical="center" wrapText="1"/>
    </xf>
    <xf numFmtId="167" fontId="81" fillId="2" borderId="0" xfId="208" applyNumberFormat="1" applyFont="1" applyFill="1" applyBorder="1" applyAlignment="1" applyProtection="1">
      <alignment horizontal="center"/>
    </xf>
    <xf numFmtId="0" fontId="81" fillId="2" borderId="19" xfId="208" applyFont="1" applyFill="1" applyBorder="1" applyAlignment="1" applyProtection="1">
      <alignment horizontal="center"/>
    </xf>
    <xf numFmtId="167" fontId="81" fillId="34" borderId="18" xfId="208" applyNumberFormat="1" applyFont="1" applyFill="1" applyBorder="1" applyAlignment="1" applyProtection="1">
      <alignment horizontal="center"/>
    </xf>
    <xf numFmtId="0" fontId="81" fillId="2" borderId="15" xfId="208" applyFont="1" applyFill="1" applyBorder="1" applyAlignment="1" applyProtection="1">
      <alignment horizontal="center"/>
    </xf>
    <xf numFmtId="167" fontId="81" fillId="2" borderId="160" xfId="208" applyNumberFormat="1" applyFont="1" applyFill="1" applyBorder="1" applyAlignment="1" applyProtection="1">
      <alignment horizontal="center"/>
    </xf>
    <xf numFmtId="167" fontId="81" fillId="34" borderId="14" xfId="208" applyNumberFormat="1" applyFont="1" applyFill="1" applyBorder="1" applyAlignment="1" applyProtection="1">
      <alignment horizontal="center"/>
    </xf>
    <xf numFmtId="0" fontId="42" fillId="0" borderId="11" xfId="208" applyFont="1" applyBorder="1" applyAlignment="1" applyProtection="1">
      <alignment horizontal="center" vertical="center"/>
    </xf>
    <xf numFmtId="2" fontId="2" fillId="0" borderId="42" xfId="208" applyNumberFormat="1" applyFont="1" applyBorder="1" applyAlignment="1" applyProtection="1">
      <alignment horizontal="center" vertical="center"/>
    </xf>
    <xf numFmtId="2" fontId="2" fillId="0" borderId="8" xfId="208" applyNumberFormat="1" applyFont="1" applyBorder="1" applyAlignment="1" applyProtection="1">
      <alignment horizontal="center" vertical="center"/>
    </xf>
    <xf numFmtId="2" fontId="2" fillId="0" borderId="7" xfId="208" applyNumberFormat="1" applyFont="1" applyBorder="1" applyAlignment="1" applyProtection="1">
      <alignment horizontal="center" vertical="center"/>
    </xf>
    <xf numFmtId="2" fontId="2" fillId="0" borderId="15" xfId="208" applyNumberFormat="1" applyFont="1" applyBorder="1" applyAlignment="1" applyProtection="1">
      <alignment horizontal="center" vertical="center"/>
    </xf>
    <xf numFmtId="2" fontId="2" fillId="0" borderId="54" xfId="208" applyNumberFormat="1" applyFont="1" applyBorder="1" applyAlignment="1" applyProtection="1">
      <alignment horizontal="center" vertical="center"/>
    </xf>
    <xf numFmtId="0" fontId="44" fillId="32" borderId="49" xfId="208" applyFont="1" applyFill="1" applyBorder="1" applyAlignment="1" applyProtection="1">
      <alignment horizontal="center" vertical="center"/>
    </xf>
    <xf numFmtId="168" fontId="10" fillId="0" borderId="0" xfId="208" applyNumberFormat="1" applyFont="1" applyBorder="1" applyProtection="1">
      <protection locked="0"/>
    </xf>
    <xf numFmtId="2" fontId="2" fillId="0" borderId="2" xfId="208" applyNumberFormat="1" applyFont="1" applyBorder="1" applyAlignment="1" applyProtection="1">
      <alignment horizontal="center" vertical="center"/>
    </xf>
    <xf numFmtId="0" fontId="2" fillId="0" borderId="0" xfId="208" applyFont="1" applyBorder="1" applyAlignment="1" applyProtection="1">
      <alignment vertical="center" wrapText="1"/>
      <protection locked="0"/>
    </xf>
    <xf numFmtId="0" fontId="1" fillId="0" borderId="18" xfId="21" applyFont="1" applyFill="1" applyBorder="1" applyAlignment="1" applyProtection="1">
      <alignment horizontal="center"/>
    </xf>
    <xf numFmtId="0" fontId="3" fillId="0" borderId="0" xfId="208" applyFont="1" applyBorder="1" applyAlignment="1" applyProtection="1">
      <alignment horizontal="center" vertical="center" wrapText="1"/>
    </xf>
    <xf numFmtId="0" fontId="42" fillId="28" borderId="10" xfId="208" applyFont="1" applyFill="1" applyBorder="1" applyAlignment="1" applyProtection="1">
      <alignment horizontal="center" vertical="center"/>
    </xf>
    <xf numFmtId="167" fontId="2" fillId="0" borderId="116" xfId="208" applyNumberFormat="1" applyFont="1" applyBorder="1" applyAlignment="1" applyProtection="1">
      <alignment horizontal="center" vertical="center" wrapText="1"/>
    </xf>
    <xf numFmtId="0" fontId="46" fillId="0" borderId="0" xfId="70" applyFont="1" applyFill="1" applyBorder="1" applyAlignment="1" applyProtection="1">
      <alignment horizontal="center" vertical="center" wrapText="1"/>
    </xf>
    <xf numFmtId="0" fontId="46" fillId="0" borderId="0" xfId="69" applyFont="1" applyBorder="1" applyAlignment="1" applyProtection="1">
      <alignment horizontal="center" vertical="center" wrapText="1"/>
    </xf>
    <xf numFmtId="0" fontId="2" fillId="0" borderId="5" xfId="208" applyFont="1" applyBorder="1" applyAlignment="1" applyProtection="1">
      <alignment horizontal="center" vertical="center" wrapText="1"/>
    </xf>
    <xf numFmtId="0" fontId="44" fillId="32" borderId="11" xfId="208" applyFont="1" applyFill="1" applyBorder="1" applyAlignment="1" applyProtection="1">
      <alignment horizontal="center" vertical="center"/>
    </xf>
    <xf numFmtId="0" fontId="2" fillId="0" borderId="1" xfId="208" applyFont="1" applyBorder="1" applyAlignment="1" applyProtection="1">
      <alignment horizontal="left" vertical="center"/>
    </xf>
    <xf numFmtId="2" fontId="2" fillId="0" borderId="6" xfId="208" applyNumberFormat="1" applyFont="1" applyBorder="1" applyAlignment="1" applyProtection="1">
      <alignment horizontal="center" vertical="center"/>
    </xf>
    <xf numFmtId="0" fontId="2" fillId="0" borderId="11" xfId="208" applyFont="1" applyBorder="1" applyAlignment="1" applyProtection="1">
      <alignment horizontal="center" vertical="center"/>
    </xf>
    <xf numFmtId="2" fontId="2" fillId="0" borderId="1" xfId="208" applyNumberFormat="1" applyFont="1" applyBorder="1" applyAlignment="1" applyProtection="1">
      <alignment horizontal="center" vertical="center"/>
    </xf>
    <xf numFmtId="0" fontId="2" fillId="0" borderId="0" xfId="208" applyFont="1" applyFill="1" applyBorder="1" applyAlignment="1" applyProtection="1">
      <alignment vertical="top" wrapText="1"/>
    </xf>
    <xf numFmtId="0" fontId="2" fillId="0" borderId="162" xfId="208" applyFont="1" applyFill="1" applyBorder="1" applyAlignment="1" applyProtection="1">
      <alignment vertical="top"/>
    </xf>
    <xf numFmtId="2" fontId="2" fillId="0" borderId="45" xfId="208" applyNumberFormat="1" applyFont="1" applyBorder="1" applyAlignment="1" applyProtection="1">
      <alignment horizontal="center" vertical="center"/>
    </xf>
    <xf numFmtId="0" fontId="42" fillId="28" borderId="76" xfId="208" applyFont="1" applyFill="1" applyBorder="1" applyAlignment="1" applyProtection="1">
      <alignment horizontal="center" vertical="center"/>
    </xf>
    <xf numFmtId="0" fontId="1" fillId="26" borderId="0" xfId="208" applyFill="1" applyBorder="1" applyProtection="1"/>
    <xf numFmtId="0" fontId="1" fillId="26" borderId="0" xfId="208" applyFill="1" applyBorder="1" applyAlignment="1" applyProtection="1">
      <alignment horizontal="center"/>
    </xf>
    <xf numFmtId="0" fontId="2" fillId="26" borderId="49" xfId="208" applyFont="1" applyFill="1" applyBorder="1" applyAlignment="1" applyProtection="1">
      <alignment horizontal="center" vertical="center"/>
    </xf>
    <xf numFmtId="0" fontId="42" fillId="0" borderId="11" xfId="208" applyFont="1" applyFill="1" applyBorder="1" applyAlignment="1" applyProtection="1">
      <alignment horizontal="center" vertical="center" wrapText="1"/>
    </xf>
    <xf numFmtId="0" fontId="42" fillId="0" borderId="49" xfId="208" applyFont="1" applyFill="1" applyBorder="1" applyAlignment="1" applyProtection="1">
      <alignment horizontal="center" vertical="center" wrapText="1"/>
    </xf>
    <xf numFmtId="167" fontId="109" fillId="0" borderId="49" xfId="0" applyNumberFormat="1" applyFont="1" applyBorder="1" applyAlignment="1" applyProtection="1">
      <alignment horizontal="center" vertical="center"/>
    </xf>
    <xf numFmtId="0" fontId="109" fillId="0" borderId="49" xfId="0" applyFont="1" applyBorder="1" applyAlignment="1" applyProtection="1">
      <alignment horizontal="center" vertical="center"/>
    </xf>
    <xf numFmtId="2" fontId="2" fillId="26" borderId="49" xfId="208" applyNumberFormat="1" applyFont="1" applyFill="1" applyBorder="1" applyAlignment="1" applyProtection="1">
      <alignment horizontal="center" vertical="center"/>
    </xf>
    <xf numFmtId="173" fontId="2" fillId="26" borderId="0" xfId="208" applyNumberFormat="1" applyFont="1" applyFill="1" applyBorder="1" applyAlignment="1" applyProtection="1">
      <alignment horizontal="center" vertical="center"/>
    </xf>
    <xf numFmtId="173" fontId="2" fillId="29" borderId="11" xfId="208" applyNumberFormat="1" applyFont="1" applyFill="1" applyBorder="1" applyAlignment="1" applyProtection="1">
      <alignment horizontal="center" vertical="center" wrapText="1"/>
    </xf>
    <xf numFmtId="173" fontId="2" fillId="29" borderId="49" xfId="208" applyNumberFormat="1" applyFont="1" applyFill="1" applyBorder="1" applyAlignment="1" applyProtection="1">
      <alignment horizontal="center" vertical="center" wrapText="1"/>
    </xf>
    <xf numFmtId="173" fontId="2" fillId="26" borderId="49" xfId="208" applyNumberFormat="1" applyFont="1" applyFill="1" applyBorder="1" applyAlignment="1" applyProtection="1">
      <alignment horizontal="center" vertical="center"/>
    </xf>
    <xf numFmtId="0" fontId="3" fillId="26" borderId="0" xfId="208" applyFont="1" applyFill="1" applyBorder="1" applyAlignment="1" applyProtection="1">
      <alignment horizontal="center" vertical="center" wrapText="1"/>
    </xf>
    <xf numFmtId="0" fontId="2" fillId="2" borderId="163" xfId="544" applyFont="1" applyFill="1" applyBorder="1" applyAlignment="1" applyProtection="1">
      <alignment horizontal="left" vertical="center"/>
    </xf>
    <xf numFmtId="0" fontId="4" fillId="26" borderId="0" xfId="208" applyFont="1" applyFill="1" applyBorder="1" applyAlignment="1" applyProtection="1">
      <alignment horizontal="center"/>
    </xf>
    <xf numFmtId="0" fontId="1" fillId="0" borderId="18" xfId="21" applyFont="1" applyFill="1" applyBorder="1" applyAlignment="1" applyProtection="1"/>
    <xf numFmtId="0" fontId="121" fillId="0" borderId="343" xfId="208" applyFont="1" applyBorder="1" applyAlignment="1" applyProtection="1">
      <alignment horizontal="center" vertical="center"/>
    </xf>
    <xf numFmtId="0" fontId="43" fillId="0" borderId="14" xfId="21" applyFont="1" applyFill="1" applyBorder="1" applyAlignment="1" applyProtection="1"/>
    <xf numFmtId="0" fontId="1" fillId="26" borderId="0" xfId="208" applyFill="1" applyBorder="1" applyAlignment="1" applyProtection="1">
      <alignment horizontal="left" vertical="top"/>
    </xf>
    <xf numFmtId="0" fontId="42" fillId="26" borderId="53" xfId="208" applyFont="1" applyFill="1" applyBorder="1" applyAlignment="1" applyProtection="1">
      <alignment vertical="center"/>
    </xf>
    <xf numFmtId="0" fontId="1" fillId="26" borderId="0" xfId="208" applyFill="1" applyBorder="1" applyAlignment="1" applyProtection="1">
      <alignment vertical="top"/>
    </xf>
    <xf numFmtId="0" fontId="186" fillId="0" borderId="0" xfId="208" applyFont="1" applyBorder="1" applyAlignment="1" applyProtection="1">
      <alignment vertical="center"/>
    </xf>
    <xf numFmtId="1" fontId="1" fillId="26" borderId="0" xfId="208" applyNumberFormat="1" applyFill="1" applyBorder="1" applyProtection="1"/>
    <xf numFmtId="0" fontId="2" fillId="26" borderId="0" xfId="208" applyFont="1" applyFill="1" applyBorder="1" applyProtection="1"/>
    <xf numFmtId="0" fontId="2" fillId="0" borderId="0" xfId="208" applyFont="1" applyProtection="1"/>
    <xf numFmtId="2" fontId="109" fillId="0" borderId="49" xfId="0" applyNumberFormat="1" applyFont="1" applyBorder="1" applyAlignment="1" applyProtection="1">
      <alignment horizontal="center" vertical="center"/>
    </xf>
    <xf numFmtId="0" fontId="42" fillId="0" borderId="0" xfId="208" applyFont="1" applyFill="1" applyBorder="1" applyAlignment="1" applyProtection="1">
      <alignment horizontal="center" vertical="center"/>
    </xf>
    <xf numFmtId="0" fontId="42" fillId="0" borderId="0" xfId="208" applyFont="1" applyBorder="1" applyAlignment="1" applyProtection="1">
      <alignment horizontal="center" vertical="center" wrapText="1"/>
    </xf>
    <xf numFmtId="0" fontId="42" fillId="0" borderId="18" xfId="208" applyFont="1" applyBorder="1" applyAlignment="1" applyProtection="1">
      <alignment horizontal="center" vertical="center"/>
    </xf>
    <xf numFmtId="0" fontId="42" fillId="26" borderId="19" xfId="208" applyFont="1" applyFill="1" applyBorder="1" applyAlignment="1" applyProtection="1">
      <alignment horizontal="center" vertical="center"/>
    </xf>
    <xf numFmtId="0" fontId="42" fillId="26" borderId="18" xfId="208" applyFont="1" applyFill="1" applyBorder="1" applyAlignment="1" applyProtection="1">
      <alignment horizontal="center" vertical="center"/>
    </xf>
    <xf numFmtId="173" fontId="2" fillId="26" borderId="18" xfId="208" applyNumberFormat="1" applyFont="1" applyFill="1" applyBorder="1" applyAlignment="1" applyProtection="1">
      <alignment horizontal="center" vertical="center"/>
    </xf>
    <xf numFmtId="2" fontId="2" fillId="26" borderId="15" xfId="208" applyNumberFormat="1" applyFont="1" applyFill="1" applyBorder="1" applyAlignment="1" applyProtection="1">
      <alignment horizontal="center"/>
    </xf>
    <xf numFmtId="2" fontId="2" fillId="26" borderId="14" xfId="208" applyNumberFormat="1" applyFont="1" applyFill="1" applyBorder="1" applyAlignment="1" applyProtection="1">
      <alignment horizontal="center"/>
    </xf>
    <xf numFmtId="0" fontId="183" fillId="25" borderId="49" xfId="0" applyFont="1" applyFill="1" applyBorder="1" applyAlignment="1" applyProtection="1">
      <alignment horizontal="center" vertical="center" wrapText="1"/>
    </xf>
    <xf numFmtId="0" fontId="1" fillId="31" borderId="0" xfId="208" applyFill="1" applyBorder="1" applyAlignment="1" applyProtection="1">
      <alignment horizontal="left" vertical="top"/>
    </xf>
    <xf numFmtId="0" fontId="183" fillId="0" borderId="49" xfId="0" applyFont="1" applyBorder="1" applyAlignment="1" applyProtection="1">
      <alignment horizontal="center"/>
    </xf>
    <xf numFmtId="173" fontId="2" fillId="26" borderId="160" xfId="208" applyNumberFormat="1" applyFont="1" applyFill="1" applyBorder="1" applyAlignment="1" applyProtection="1">
      <alignment horizontal="center" vertical="center"/>
    </xf>
    <xf numFmtId="173" fontId="2" fillId="26" borderId="14" xfId="208" applyNumberFormat="1" applyFont="1" applyFill="1" applyBorder="1" applyAlignment="1" applyProtection="1">
      <alignment horizontal="center" vertical="center"/>
    </xf>
    <xf numFmtId="0" fontId="1" fillId="31" borderId="0" xfId="208" applyFill="1" applyBorder="1" applyAlignment="1" applyProtection="1">
      <alignment horizontal="left" vertical="center"/>
    </xf>
    <xf numFmtId="2" fontId="183" fillId="0" borderId="49" xfId="0" applyNumberFormat="1" applyFont="1" applyBorder="1" applyAlignment="1" applyProtection="1">
      <alignment horizontal="center"/>
    </xf>
    <xf numFmtId="0" fontId="2" fillId="0" borderId="0" xfId="208" applyFont="1" applyAlignment="1" applyProtection="1">
      <alignment vertical="center"/>
    </xf>
    <xf numFmtId="0" fontId="2" fillId="0" borderId="0" xfId="208" applyFont="1" applyAlignment="1" applyProtection="1">
      <alignment wrapText="1"/>
    </xf>
    <xf numFmtId="0" fontId="1" fillId="31" borderId="0" xfId="208" applyFill="1" applyBorder="1" applyAlignment="1" applyProtection="1">
      <alignment horizontal="left" vertical="top" wrapText="1"/>
    </xf>
    <xf numFmtId="0" fontId="1" fillId="31" borderId="0" xfId="208" applyFill="1" applyBorder="1" applyProtection="1"/>
    <xf numFmtId="0" fontId="2" fillId="26" borderId="10" xfId="208" applyFont="1" applyFill="1" applyBorder="1" applyAlignment="1" applyProtection="1">
      <alignment vertical="top"/>
    </xf>
    <xf numFmtId="0" fontId="2" fillId="26" borderId="9" xfId="208" applyFont="1" applyFill="1" applyBorder="1" applyAlignment="1" applyProtection="1">
      <alignment vertical="top"/>
    </xf>
    <xf numFmtId="175" fontId="2" fillId="26" borderId="160" xfId="208" applyNumberFormat="1" applyFont="1" applyFill="1" applyBorder="1" applyAlignment="1" applyProtection="1">
      <alignment horizontal="center" vertical="center"/>
    </xf>
    <xf numFmtId="192" fontId="2" fillId="26" borderId="160" xfId="208" applyNumberFormat="1" applyFont="1" applyFill="1" applyBorder="1" applyAlignment="1" applyProtection="1">
      <alignment horizontal="center" vertical="center"/>
    </xf>
    <xf numFmtId="0" fontId="2" fillId="0" borderId="19" xfId="208" applyFont="1" applyBorder="1" applyAlignment="1" applyProtection="1">
      <alignment horizontal="center"/>
    </xf>
    <xf numFmtId="0" fontId="2" fillId="0" borderId="0" xfId="208" applyFont="1" applyFill="1" applyBorder="1" applyAlignment="1" applyProtection="1">
      <alignment horizontal="center"/>
    </xf>
    <xf numFmtId="0" fontId="2" fillId="0" borderId="53" xfId="208" applyFont="1" applyFill="1" applyBorder="1" applyAlignment="1" applyProtection="1">
      <alignment horizontal="center"/>
    </xf>
    <xf numFmtId="0" fontId="109" fillId="0" borderId="0" xfId="208" applyFont="1" applyFill="1" applyBorder="1" applyAlignment="1" applyProtection="1">
      <alignment vertical="top" wrapText="1"/>
    </xf>
    <xf numFmtId="167" fontId="2" fillId="0" borderId="19" xfId="208" applyNumberFormat="1" applyFont="1" applyBorder="1" applyAlignment="1" applyProtection="1">
      <alignment horizontal="center"/>
    </xf>
    <xf numFmtId="167" fontId="2" fillId="0" borderId="0" xfId="208" applyNumberFormat="1" applyFont="1" applyFill="1" applyBorder="1" applyAlignment="1" applyProtection="1">
      <alignment horizontal="center"/>
    </xf>
    <xf numFmtId="167" fontId="2" fillId="0" borderId="53" xfId="208" applyNumberFormat="1" applyFont="1" applyFill="1" applyBorder="1" applyAlignment="1" applyProtection="1">
      <alignment horizontal="center"/>
    </xf>
    <xf numFmtId="167" fontId="2" fillId="0" borderId="15" xfId="208" applyNumberFormat="1" applyFont="1" applyBorder="1" applyAlignment="1" applyProtection="1">
      <alignment horizontal="center"/>
    </xf>
    <xf numFmtId="167" fontId="2" fillId="0" borderId="160" xfId="208" applyNumberFormat="1" applyFont="1" applyFill="1" applyBorder="1" applyAlignment="1" applyProtection="1">
      <alignment horizontal="center"/>
    </xf>
    <xf numFmtId="167" fontId="2" fillId="0" borderId="54" xfId="208" applyNumberFormat="1" applyFont="1" applyFill="1" applyBorder="1" applyAlignment="1" applyProtection="1">
      <alignment horizontal="center"/>
    </xf>
    <xf numFmtId="0" fontId="42" fillId="0" borderId="162" xfId="208" applyFont="1" applyFill="1" applyBorder="1" applyAlignment="1" applyProtection="1">
      <alignment horizontal="center" vertical="center"/>
    </xf>
    <xf numFmtId="0" fontId="42" fillId="0" borderId="162" xfId="208" applyFont="1" applyBorder="1" applyAlignment="1" applyProtection="1">
      <alignment horizontal="center" vertical="center" wrapText="1"/>
    </xf>
    <xf numFmtId="0" fontId="42" fillId="0" borderId="163" xfId="208" applyFont="1" applyBorder="1" applyAlignment="1" applyProtection="1">
      <alignment horizontal="center" vertical="center"/>
    </xf>
    <xf numFmtId="167" fontId="2" fillId="0" borderId="0" xfId="208" applyNumberFormat="1" applyFont="1" applyBorder="1" applyAlignment="1" applyProtection="1">
      <alignment horizontal="center"/>
    </xf>
    <xf numFmtId="173" fontId="2" fillId="0" borderId="0" xfId="208" applyNumberFormat="1" applyFont="1" applyBorder="1" applyAlignment="1" applyProtection="1">
      <alignment horizontal="center"/>
    </xf>
    <xf numFmtId="173" fontId="2" fillId="0" borderId="18" xfId="208" applyNumberFormat="1" applyFont="1" applyBorder="1" applyAlignment="1" applyProtection="1">
      <alignment horizontal="center"/>
    </xf>
    <xf numFmtId="0" fontId="1" fillId="0" borderId="0" xfId="208" applyAlignment="1" applyProtection="1">
      <alignment vertical="center" wrapText="1"/>
    </xf>
    <xf numFmtId="0" fontId="1" fillId="31" borderId="0" xfId="208" applyFill="1" applyBorder="1" applyAlignment="1" applyProtection="1"/>
    <xf numFmtId="173" fontId="2" fillId="0" borderId="160" xfId="208" applyNumberFormat="1" applyFont="1" applyBorder="1" applyAlignment="1" applyProtection="1">
      <alignment horizontal="center"/>
    </xf>
    <xf numFmtId="173" fontId="2" fillId="0" borderId="14" xfId="208" applyNumberFormat="1" applyFont="1" applyBorder="1" applyAlignment="1" applyProtection="1">
      <alignment horizontal="center"/>
    </xf>
    <xf numFmtId="0" fontId="42" fillId="0" borderId="15" xfId="208" applyFont="1" applyBorder="1" applyProtection="1"/>
    <xf numFmtId="0" fontId="42" fillId="0" borderId="160" xfId="208" applyFont="1" applyBorder="1" applyAlignment="1" applyProtection="1">
      <alignment horizontal="center" vertical="center"/>
    </xf>
    <xf numFmtId="0" fontId="42" fillId="0" borderId="14" xfId="208" applyFont="1" applyBorder="1" applyAlignment="1" applyProtection="1">
      <alignment horizontal="center" vertical="center"/>
    </xf>
    <xf numFmtId="0" fontId="42" fillId="0" borderId="19" xfId="208" applyFont="1" applyBorder="1" applyAlignment="1" applyProtection="1">
      <alignment horizontal="center"/>
    </xf>
    <xf numFmtId="0" fontId="2" fillId="0" borderId="18" xfId="208" applyFont="1" applyBorder="1" applyAlignment="1" applyProtection="1">
      <alignment horizontal="center" vertical="center" wrapText="1"/>
    </xf>
    <xf numFmtId="0" fontId="110" fillId="0" borderId="0" xfId="208" applyFont="1" applyProtection="1"/>
    <xf numFmtId="0" fontId="42" fillId="0" borderId="19" xfId="208" applyFont="1" applyBorder="1" applyAlignment="1" applyProtection="1">
      <alignment horizontal="center" vertical="center" wrapText="1"/>
    </xf>
    <xf numFmtId="0" fontId="110" fillId="0" borderId="0" xfId="208" applyFont="1" applyAlignment="1" applyProtection="1">
      <alignment vertical="center" wrapText="1"/>
    </xf>
    <xf numFmtId="0" fontId="1" fillId="31" borderId="0" xfId="208" applyFill="1" applyBorder="1" applyAlignment="1" applyProtection="1">
      <alignment vertical="center" wrapText="1"/>
    </xf>
    <xf numFmtId="0" fontId="42" fillId="0" borderId="15" xfId="208" applyFont="1" applyBorder="1" applyAlignment="1" applyProtection="1">
      <alignment horizontal="center"/>
    </xf>
    <xf numFmtId="0" fontId="2" fillId="0" borderId="160" xfId="208" applyFont="1" applyBorder="1" applyAlignment="1" applyProtection="1">
      <alignment vertical="center" wrapText="1"/>
    </xf>
    <xf numFmtId="0" fontId="2" fillId="0" borderId="14" xfId="208" applyFont="1" applyBorder="1" applyAlignment="1" applyProtection="1">
      <alignment horizontal="center" vertical="center" wrapText="1"/>
    </xf>
    <xf numFmtId="0" fontId="2" fillId="0" borderId="19" xfId="208" applyFont="1" applyBorder="1" applyProtection="1"/>
    <xf numFmtId="0" fontId="2" fillId="0" borderId="0" xfId="208" applyFont="1" applyBorder="1" applyProtection="1"/>
    <xf numFmtId="0" fontId="2" fillId="0" borderId="0" xfId="208" applyFont="1" applyFill="1" applyBorder="1" applyProtection="1"/>
    <xf numFmtId="0" fontId="2" fillId="0" borderId="18" xfId="208" applyFont="1" applyFill="1" applyBorder="1" applyProtection="1"/>
    <xf numFmtId="0" fontId="0" fillId="0" borderId="0" xfId="0" applyProtection="1"/>
    <xf numFmtId="0" fontId="2" fillId="0" borderId="15" xfId="208" applyFont="1" applyBorder="1" applyProtection="1"/>
    <xf numFmtId="0" fontId="2" fillId="0" borderId="160" xfId="208" applyFont="1" applyFill="1" applyBorder="1" applyAlignment="1" applyProtection="1">
      <alignment vertical="center" wrapText="1"/>
    </xf>
    <xf numFmtId="0" fontId="2" fillId="0" borderId="14" xfId="208" applyFont="1" applyFill="1" applyBorder="1" applyProtection="1"/>
    <xf numFmtId="0" fontId="3" fillId="0" borderId="0" xfId="208" applyFont="1" applyBorder="1" applyAlignment="1" applyProtection="1">
      <alignment horizontal="center" vertical="center"/>
    </xf>
    <xf numFmtId="167" fontId="0" fillId="0" borderId="0" xfId="0" applyNumberFormat="1" applyProtection="1"/>
    <xf numFmtId="0" fontId="0" fillId="0" borderId="0" xfId="0" applyNumberFormat="1" applyProtection="1"/>
    <xf numFmtId="0" fontId="1" fillId="0" borderId="0" xfId="208" applyBorder="1" applyAlignment="1" applyProtection="1">
      <alignment vertical="center" wrapText="1"/>
    </xf>
    <xf numFmtId="0" fontId="76" fillId="26" borderId="0" xfId="295" applyFont="1" applyFill="1" applyBorder="1" applyAlignment="1" applyProtection="1">
      <alignment vertical="center" wrapText="1"/>
    </xf>
    <xf numFmtId="0" fontId="2" fillId="26" borderId="17" xfId="544" applyFont="1" applyFill="1" applyBorder="1" applyAlignment="1" applyProtection="1">
      <alignment horizontal="left" vertical="center"/>
    </xf>
    <xf numFmtId="0" fontId="5" fillId="0" borderId="17" xfId="21" applyFont="1" applyFill="1" applyBorder="1" applyAlignment="1" applyProtection="1">
      <alignment horizontal="center"/>
    </xf>
    <xf numFmtId="0" fontId="1" fillId="0" borderId="0" xfId="208" applyFont="1" applyAlignment="1" applyProtection="1">
      <alignment vertical="center"/>
    </xf>
    <xf numFmtId="0" fontId="1" fillId="0" borderId="0" xfId="208" applyBorder="1" applyAlignment="1" applyProtection="1">
      <alignment wrapText="1"/>
    </xf>
    <xf numFmtId="167" fontId="0" fillId="0" borderId="0" xfId="0" applyNumberFormat="1" applyAlignment="1" applyProtection="1">
      <alignment horizontal="left"/>
    </xf>
    <xf numFmtId="0" fontId="1" fillId="0" borderId="0" xfId="208" applyFont="1" applyBorder="1" applyAlignment="1" applyProtection="1"/>
    <xf numFmtId="0" fontId="1" fillId="0" borderId="18" xfId="208" applyFont="1" applyBorder="1" applyAlignment="1" applyProtection="1"/>
    <xf numFmtId="0" fontId="0" fillId="0" borderId="0" xfId="0" applyBorder="1" applyProtection="1"/>
    <xf numFmtId="0" fontId="1" fillId="0" borderId="160" xfId="208" applyFont="1" applyBorder="1" applyAlignment="1" applyProtection="1"/>
    <xf numFmtId="0" fontId="1" fillId="0" borderId="14" xfId="208" applyFont="1" applyBorder="1" applyAlignment="1" applyProtection="1"/>
    <xf numFmtId="0" fontId="1" fillId="0" borderId="19" xfId="208" applyFont="1" applyBorder="1" applyProtection="1"/>
    <xf numFmtId="0" fontId="3" fillId="33" borderId="12" xfId="295" applyFont="1" applyFill="1" applyBorder="1" applyAlignment="1" applyProtection="1">
      <alignment vertical="center"/>
    </xf>
    <xf numFmtId="0" fontId="3" fillId="33" borderId="17" xfId="295" applyFont="1" applyFill="1" applyBorder="1" applyAlignment="1" applyProtection="1">
      <alignment vertical="center"/>
    </xf>
    <xf numFmtId="167" fontId="120" fillId="0" borderId="159" xfId="208" applyNumberFormat="1" applyFont="1" applyBorder="1" applyAlignment="1" applyProtection="1">
      <alignment horizontal="center" vertical="center" wrapText="1"/>
    </xf>
    <xf numFmtId="167" fontId="120" fillId="0" borderId="156" xfId="208" applyNumberFormat="1" applyFont="1" applyBorder="1" applyAlignment="1" applyProtection="1">
      <alignment horizontal="center" vertical="center" wrapText="1"/>
    </xf>
    <xf numFmtId="167" fontId="120" fillId="0" borderId="155" xfId="208" applyNumberFormat="1" applyFont="1" applyBorder="1" applyAlignment="1" applyProtection="1">
      <alignment horizontal="center" vertical="center"/>
    </xf>
    <xf numFmtId="2" fontId="120" fillId="0" borderId="18" xfId="208" applyNumberFormat="1" applyFont="1" applyBorder="1" applyAlignment="1" applyProtection="1">
      <alignment horizontal="center" vertical="center"/>
    </xf>
    <xf numFmtId="2" fontId="120" fillId="0" borderId="19" xfId="208" applyNumberFormat="1" applyFont="1" applyBorder="1" applyAlignment="1" applyProtection="1">
      <alignment horizontal="center" vertical="center"/>
    </xf>
    <xf numFmtId="2" fontId="120" fillId="0" borderId="53" xfId="208" applyNumberFormat="1" applyFont="1" applyBorder="1" applyAlignment="1" applyProtection="1">
      <alignment horizontal="center" vertical="center"/>
    </xf>
    <xf numFmtId="0" fontId="3" fillId="0" borderId="0" xfId="208" applyFont="1" applyBorder="1" applyAlignment="1" applyProtection="1"/>
    <xf numFmtId="0" fontId="46" fillId="0" borderId="167" xfId="71" applyFont="1" applyFill="1" applyBorder="1" applyAlignment="1" applyProtection="1">
      <alignment horizontal="center" wrapText="1"/>
    </xf>
    <xf numFmtId="0" fontId="46" fillId="0" borderId="0" xfId="71" applyFont="1" applyFill="1" applyBorder="1" applyAlignment="1" applyProtection="1">
      <alignment horizontal="center" wrapText="1"/>
    </xf>
    <xf numFmtId="0" fontId="140" fillId="0" borderId="0" xfId="21" applyFont="1" applyFill="1" applyBorder="1" applyAlignment="1" applyProtection="1">
      <alignment horizontal="center"/>
    </xf>
    <xf numFmtId="0" fontId="140" fillId="0" borderId="160" xfId="21" applyFont="1" applyFill="1" applyBorder="1" applyAlignment="1" applyProtection="1">
      <alignment horizontal="center"/>
    </xf>
    <xf numFmtId="0" fontId="1" fillId="26" borderId="19" xfId="71" applyFont="1" applyFill="1" applyBorder="1" applyAlignment="1" applyProtection="1">
      <alignment horizontal="center"/>
      <protection locked="0"/>
    </xf>
    <xf numFmtId="0" fontId="1" fillId="26" borderId="0" xfId="71" applyFont="1" applyFill="1" applyBorder="1" applyAlignment="1" applyProtection="1">
      <alignment horizontal="center"/>
      <protection locked="0"/>
    </xf>
    <xf numFmtId="0" fontId="1" fillId="26" borderId="18" xfId="71" applyFont="1" applyFill="1" applyBorder="1" applyAlignment="1" applyProtection="1">
      <alignment horizontal="center"/>
      <protection locked="0"/>
    </xf>
    <xf numFmtId="0" fontId="1" fillId="0" borderId="19" xfId="71" applyFont="1" applyFill="1" applyBorder="1" applyAlignment="1" applyProtection="1">
      <alignment horizontal="center" vertical="center"/>
    </xf>
    <xf numFmtId="0" fontId="1" fillId="0" borderId="0" xfId="71" applyFont="1" applyFill="1" applyBorder="1" applyAlignment="1" applyProtection="1">
      <alignment horizontal="center" vertical="center"/>
    </xf>
    <xf numFmtId="0" fontId="1" fillId="0" borderId="18" xfId="71" applyFont="1" applyFill="1" applyBorder="1" applyAlignment="1" applyProtection="1">
      <alignment horizontal="center" vertical="center"/>
    </xf>
    <xf numFmtId="0" fontId="3" fillId="26" borderId="164" xfId="21" applyFont="1" applyFill="1" applyBorder="1" applyAlignment="1" applyProtection="1">
      <alignment horizontal="center"/>
    </xf>
    <xf numFmtId="0" fontId="3" fillId="26" borderId="163" xfId="21" applyFont="1" applyFill="1" applyBorder="1" applyAlignment="1" applyProtection="1">
      <alignment horizontal="center"/>
    </xf>
    <xf numFmtId="0" fontId="3" fillId="26" borderId="0" xfId="21" applyFont="1" applyFill="1" applyBorder="1" applyAlignment="1" applyProtection="1">
      <alignment horizontal="center"/>
    </xf>
    <xf numFmtId="0" fontId="43" fillId="0" borderId="0" xfId="21" applyFont="1" applyFill="1" applyBorder="1" applyAlignment="1" applyProtection="1">
      <alignment horizontal="justify" wrapText="1"/>
    </xf>
    <xf numFmtId="1" fontId="54" fillId="26" borderId="0" xfId="21" applyNumberFormat="1" applyFont="1" applyFill="1" applyBorder="1" applyAlignment="1" applyProtection="1">
      <alignment horizontal="left" vertical="center"/>
    </xf>
    <xf numFmtId="0" fontId="8" fillId="25" borderId="19" xfId="21" applyFont="1" applyFill="1" applyBorder="1" applyAlignment="1" applyProtection="1">
      <alignment horizontal="center" vertical="center"/>
    </xf>
    <xf numFmtId="0" fontId="8" fillId="25" borderId="0" xfId="21" applyFont="1" applyFill="1" applyBorder="1" applyAlignment="1" applyProtection="1">
      <alignment horizontal="center" vertical="center"/>
    </xf>
    <xf numFmtId="0" fontId="8" fillId="25" borderId="18" xfId="21" applyFont="1" applyFill="1" applyBorder="1" applyAlignment="1" applyProtection="1">
      <alignment horizontal="center" vertical="center"/>
    </xf>
    <xf numFmtId="0" fontId="1" fillId="0" borderId="19" xfId="21" quotePrefix="1" applyFont="1" applyFill="1" applyBorder="1" applyAlignment="1" applyProtection="1">
      <alignment horizontal="center" vertical="center"/>
    </xf>
    <xf numFmtId="0" fontId="1" fillId="0" borderId="19" xfId="21" applyFont="1" applyFill="1" applyBorder="1" applyAlignment="1" applyProtection="1">
      <alignment horizontal="center" vertical="center"/>
    </xf>
    <xf numFmtId="0" fontId="1" fillId="0" borderId="15" xfId="21" applyFont="1" applyFill="1" applyBorder="1" applyAlignment="1" applyProtection="1">
      <alignment horizontal="center" vertical="center"/>
    </xf>
    <xf numFmtId="0" fontId="1" fillId="0" borderId="0" xfId="21" quotePrefix="1" applyFont="1" applyFill="1" applyBorder="1" applyAlignment="1" applyProtection="1">
      <alignment horizontal="center" vertical="center"/>
    </xf>
    <xf numFmtId="0" fontId="1" fillId="0" borderId="0" xfId="21" applyFont="1" applyFill="1" applyBorder="1" applyAlignment="1" applyProtection="1">
      <alignment horizontal="center" vertical="center"/>
    </xf>
    <xf numFmtId="0" fontId="1" fillId="0" borderId="160" xfId="21" applyFont="1" applyFill="1" applyBorder="1" applyAlignment="1" applyProtection="1">
      <alignment horizontal="center" vertical="center"/>
    </xf>
    <xf numFmtId="0" fontId="1" fillId="0" borderId="18" xfId="21" applyFont="1" applyFill="1" applyBorder="1" applyAlignment="1" applyProtection="1">
      <alignment horizontal="center"/>
    </xf>
    <xf numFmtId="0" fontId="1" fillId="0" borderId="14" xfId="21" applyFont="1" applyFill="1" applyBorder="1" applyAlignment="1" applyProtection="1">
      <alignment horizontal="center"/>
    </xf>
    <xf numFmtId="168" fontId="1" fillId="26" borderId="0" xfId="21" applyNumberFormat="1" applyFont="1" applyFill="1" applyBorder="1" applyAlignment="1" applyProtection="1">
      <alignment horizontal="left" vertical="center"/>
      <protection locked="0"/>
    </xf>
    <xf numFmtId="0" fontId="139" fillId="26" borderId="0" xfId="21" applyFont="1" applyFill="1" applyBorder="1" applyAlignment="1" applyProtection="1">
      <alignment horizontal="left" vertical="center"/>
      <protection locked="0"/>
    </xf>
    <xf numFmtId="0" fontId="135" fillId="26" borderId="0" xfId="21" applyFont="1" applyFill="1" applyBorder="1" applyAlignment="1" applyProtection="1"/>
    <xf numFmtId="0" fontId="139" fillId="26" borderId="0" xfId="21" applyFont="1" applyFill="1" applyBorder="1" applyAlignment="1" applyProtection="1">
      <alignment horizontal="left" vertical="center"/>
    </xf>
    <xf numFmtId="0" fontId="3" fillId="25" borderId="164" xfId="21" applyFont="1" applyFill="1" applyBorder="1" applyAlignment="1" applyProtection="1">
      <alignment horizontal="center"/>
    </xf>
    <xf numFmtId="0" fontId="3" fillId="25" borderId="162" xfId="21" applyFont="1" applyFill="1" applyBorder="1" applyAlignment="1" applyProtection="1">
      <alignment horizontal="center"/>
    </xf>
    <xf numFmtId="0" fontId="3" fillId="25" borderId="163" xfId="21" applyFont="1" applyFill="1" applyBorder="1" applyAlignment="1" applyProtection="1">
      <alignment horizontal="center"/>
    </xf>
    <xf numFmtId="168" fontId="139" fillId="26" borderId="0" xfId="21" applyNumberFormat="1" applyFont="1" applyFill="1" applyBorder="1" applyAlignment="1" applyProtection="1">
      <alignment horizontal="left" vertical="center"/>
    </xf>
    <xf numFmtId="1" fontId="139" fillId="26" borderId="0" xfId="21" applyNumberFormat="1" applyFont="1" applyFill="1" applyBorder="1" applyAlignment="1" applyProtection="1">
      <alignment horizontal="right" vertical="center"/>
      <protection locked="0"/>
    </xf>
    <xf numFmtId="2" fontId="139" fillId="26" borderId="0" xfId="21" applyNumberFormat="1" applyFont="1" applyFill="1" applyBorder="1" applyAlignment="1" applyProtection="1">
      <alignment horizontal="right" vertical="center"/>
    </xf>
    <xf numFmtId="0" fontId="1" fillId="26" borderId="0" xfId="21" applyFont="1" applyFill="1" applyBorder="1" applyAlignment="1" applyProtection="1">
      <alignment horizontal="left" vertical="center"/>
      <protection locked="0"/>
    </xf>
    <xf numFmtId="0" fontId="3" fillId="26" borderId="0" xfId="21" applyFont="1" applyFill="1" applyBorder="1" applyAlignment="1" applyProtection="1">
      <alignment horizontal="left" vertical="center"/>
    </xf>
    <xf numFmtId="49" fontId="139" fillId="26" borderId="0" xfId="21" applyNumberFormat="1" applyFont="1" applyFill="1" applyBorder="1" applyAlignment="1" applyProtection="1">
      <alignment horizontal="left" vertical="center"/>
      <protection locked="0"/>
    </xf>
    <xf numFmtId="0" fontId="135" fillId="26" borderId="0" xfId="21" applyFont="1" applyFill="1" applyBorder="1" applyAlignment="1" applyProtection="1">
      <alignment horizontal="left"/>
    </xf>
    <xf numFmtId="0" fontId="135" fillId="26" borderId="0" xfId="21" applyFont="1" applyFill="1" applyBorder="1" applyProtection="1"/>
    <xf numFmtId="0" fontId="139" fillId="26" borderId="0" xfId="21" applyFont="1" applyFill="1" applyBorder="1" applyAlignment="1" applyProtection="1">
      <alignment horizontal="justify" vertical="top" wrapText="1"/>
    </xf>
    <xf numFmtId="0" fontId="3" fillId="25" borderId="164" xfId="21" applyFont="1" applyFill="1" applyBorder="1" applyAlignment="1" applyProtection="1">
      <alignment horizontal="center" vertical="center"/>
    </xf>
    <xf numFmtId="0" fontId="3" fillId="25" borderId="162" xfId="21" applyFont="1" applyFill="1" applyBorder="1" applyAlignment="1" applyProtection="1">
      <alignment horizontal="center" vertical="center"/>
    </xf>
    <xf numFmtId="0" fontId="3" fillId="25" borderId="163" xfId="21" applyFont="1" applyFill="1" applyBorder="1" applyAlignment="1" applyProtection="1">
      <alignment horizontal="center" vertical="center"/>
    </xf>
    <xf numFmtId="0" fontId="50" fillId="26" borderId="0" xfId="21" applyFont="1" applyFill="1" applyBorder="1" applyAlignment="1" applyProtection="1">
      <alignment horizontal="right"/>
      <protection locked="0"/>
    </xf>
    <xf numFmtId="0" fontId="43" fillId="26" borderId="0" xfId="21" applyFont="1" applyFill="1" applyBorder="1" applyAlignment="1" applyProtection="1">
      <alignment horizontal="center"/>
    </xf>
    <xf numFmtId="0" fontId="3" fillId="26" borderId="0" xfId="21" applyFont="1" applyFill="1" applyBorder="1" applyAlignment="1" applyProtection="1">
      <alignment horizontal="left"/>
    </xf>
    <xf numFmtId="0" fontId="1" fillId="26" borderId="0" xfId="21" applyFont="1" applyFill="1" applyBorder="1" applyAlignment="1" applyProtection="1">
      <alignment horizontal="center"/>
    </xf>
    <xf numFmtId="0" fontId="1" fillId="26" borderId="18" xfId="21" applyFont="1" applyFill="1" applyBorder="1" applyAlignment="1" applyProtection="1">
      <alignment horizontal="center"/>
    </xf>
    <xf numFmtId="0" fontId="5" fillId="25" borderId="162" xfId="21" applyFont="1" applyFill="1" applyBorder="1" applyAlignment="1" applyProtection="1">
      <alignment horizontal="center" vertical="center"/>
    </xf>
    <xf numFmtId="0" fontId="5" fillId="25" borderId="0" xfId="21" applyFont="1" applyFill="1" applyBorder="1" applyAlignment="1" applyProtection="1">
      <alignment horizontal="center" vertical="center"/>
    </xf>
    <xf numFmtId="0" fontId="5" fillId="25" borderId="163" xfId="21" applyFont="1" applyFill="1" applyBorder="1" applyAlignment="1" applyProtection="1">
      <alignment horizontal="center" vertical="center"/>
    </xf>
    <xf numFmtId="0" fontId="5" fillId="25" borderId="18" xfId="21" applyFont="1" applyFill="1" applyBorder="1" applyAlignment="1" applyProtection="1">
      <alignment horizontal="center" vertical="center"/>
    </xf>
    <xf numFmtId="0" fontId="135" fillId="0" borderId="49" xfId="71" applyFont="1" applyBorder="1" applyAlignment="1" applyProtection="1">
      <alignment horizontal="left"/>
    </xf>
    <xf numFmtId="0" fontId="5" fillId="25" borderId="164" xfId="21" applyFont="1" applyFill="1" applyBorder="1" applyAlignment="1" applyProtection="1">
      <alignment horizontal="center"/>
    </xf>
    <xf numFmtId="0" fontId="5" fillId="25" borderId="162" xfId="21" applyFont="1" applyFill="1" applyBorder="1" applyAlignment="1" applyProtection="1">
      <alignment horizontal="center"/>
    </xf>
    <xf numFmtId="0" fontId="1" fillId="0" borderId="164" xfId="71" applyFont="1" applyBorder="1" applyAlignment="1" applyProtection="1">
      <alignment horizontal="center"/>
    </xf>
    <xf numFmtId="0" fontId="1" fillId="0" borderId="162" xfId="71" applyFont="1" applyBorder="1" applyAlignment="1" applyProtection="1">
      <alignment horizontal="center"/>
    </xf>
    <xf numFmtId="0" fontId="1" fillId="0" borderId="163" xfId="71" applyFont="1" applyBorder="1" applyAlignment="1" applyProtection="1">
      <alignment horizontal="center"/>
    </xf>
    <xf numFmtId="0" fontId="1" fillId="0" borderId="19" xfId="71" applyFont="1" applyBorder="1" applyAlignment="1" applyProtection="1">
      <alignment horizontal="center"/>
    </xf>
    <xf numFmtId="0" fontId="1" fillId="0" borderId="0" xfId="71" applyFont="1" applyBorder="1" applyAlignment="1" applyProtection="1">
      <alignment horizontal="center"/>
    </xf>
    <xf numFmtId="0" fontId="1" fillId="0" borderId="18" xfId="71" applyFont="1" applyBorder="1" applyAlignment="1" applyProtection="1">
      <alignment horizontal="center"/>
    </xf>
    <xf numFmtId="0" fontId="1" fillId="0" borderId="15" xfId="71" applyFont="1" applyBorder="1" applyAlignment="1" applyProtection="1">
      <alignment horizontal="center"/>
    </xf>
    <xf numFmtId="0" fontId="1" fillId="0" borderId="160" xfId="71" applyFont="1" applyBorder="1" applyAlignment="1" applyProtection="1">
      <alignment horizontal="center"/>
    </xf>
    <xf numFmtId="0" fontId="1" fillId="0" borderId="14" xfId="71" applyFont="1" applyBorder="1" applyAlignment="1" applyProtection="1">
      <alignment horizontal="center"/>
    </xf>
    <xf numFmtId="0" fontId="50" fillId="0" borderId="164" xfId="71" applyFont="1" applyBorder="1" applyAlignment="1" applyProtection="1">
      <alignment horizontal="center" vertical="center"/>
    </xf>
    <xf numFmtId="0" fontId="50" fillId="0" borderId="162" xfId="71" applyFont="1" applyBorder="1" applyAlignment="1" applyProtection="1">
      <alignment horizontal="center" vertical="center"/>
    </xf>
    <xf numFmtId="0" fontId="50" fillId="0" borderId="163" xfId="71" applyFont="1" applyBorder="1" applyAlignment="1" applyProtection="1">
      <alignment horizontal="center" vertical="center"/>
    </xf>
    <xf numFmtId="0" fontId="50" fillId="0" borderId="19" xfId="71" applyFont="1" applyBorder="1" applyAlignment="1" applyProtection="1">
      <alignment horizontal="center" vertical="center"/>
    </xf>
    <xf numFmtId="0" fontId="50" fillId="0" borderId="0" xfId="71" applyFont="1" applyBorder="1" applyAlignment="1" applyProtection="1">
      <alignment horizontal="center" vertical="center"/>
    </xf>
    <xf numFmtId="0" fontId="50" fillId="0" borderId="18" xfId="71" applyFont="1" applyBorder="1" applyAlignment="1" applyProtection="1">
      <alignment horizontal="center" vertical="center"/>
    </xf>
    <xf numFmtId="0" fontId="5" fillId="25" borderId="164" xfId="21" applyFont="1" applyFill="1" applyBorder="1" applyAlignment="1" applyProtection="1">
      <alignment horizontal="center" vertical="center" wrapText="1"/>
    </xf>
    <xf numFmtId="0" fontId="5" fillId="25" borderId="19" xfId="21" applyFont="1" applyFill="1" applyBorder="1" applyAlignment="1" applyProtection="1">
      <alignment horizontal="center" vertical="center" wrapText="1"/>
    </xf>
    <xf numFmtId="0" fontId="5" fillId="25" borderId="162" xfId="21" applyFont="1" applyFill="1" applyBorder="1" applyAlignment="1" applyProtection="1">
      <alignment horizontal="center" vertical="center" wrapText="1"/>
    </xf>
    <xf numFmtId="0" fontId="5" fillId="25" borderId="0" xfId="21" applyFont="1" applyFill="1" applyBorder="1" applyAlignment="1" applyProtection="1">
      <alignment horizontal="center" vertical="center" wrapText="1"/>
    </xf>
    <xf numFmtId="0" fontId="1" fillId="0" borderId="0" xfId="21" applyFont="1" applyFill="1" applyBorder="1" applyAlignment="1" applyProtection="1">
      <alignment horizontal="left" vertical="center"/>
      <protection locked="0"/>
    </xf>
    <xf numFmtId="0" fontId="50" fillId="26" borderId="0" xfId="0" applyFont="1" applyFill="1" applyBorder="1" applyAlignment="1" applyProtection="1">
      <alignment horizontal="right" vertical="center"/>
    </xf>
    <xf numFmtId="0" fontId="1" fillId="26" borderId="164" xfId="544" applyFont="1" applyFill="1" applyBorder="1" applyAlignment="1" applyProtection="1">
      <alignment horizontal="center"/>
    </xf>
    <xf numFmtId="0" fontId="1" fillId="26" borderId="162" xfId="544" applyFont="1" applyFill="1" applyBorder="1" applyAlignment="1" applyProtection="1">
      <alignment horizontal="center"/>
    </xf>
    <xf numFmtId="0" fontId="1" fillId="26" borderId="163" xfId="544" applyFont="1" applyFill="1" applyBorder="1" applyAlignment="1" applyProtection="1">
      <alignment horizontal="center"/>
    </xf>
    <xf numFmtId="0" fontId="1" fillId="26" borderId="19" xfId="544" applyFont="1" applyFill="1" applyBorder="1" applyAlignment="1" applyProtection="1">
      <alignment horizontal="center"/>
    </xf>
    <xf numFmtId="0" fontId="1" fillId="26" borderId="0" xfId="544" applyFont="1" applyFill="1" applyBorder="1" applyAlignment="1" applyProtection="1">
      <alignment horizontal="center"/>
    </xf>
    <xf numFmtId="0" fontId="1" fillId="26" borderId="18" xfId="544" applyFont="1" applyFill="1" applyBorder="1" applyAlignment="1" applyProtection="1">
      <alignment horizontal="center"/>
    </xf>
    <xf numFmtId="0" fontId="1" fillId="26" borderId="15" xfId="544" applyFont="1" applyFill="1" applyBorder="1" applyAlignment="1" applyProtection="1">
      <alignment horizontal="center"/>
    </xf>
    <xf numFmtId="0" fontId="1" fillId="26" borderId="160" xfId="544" applyFont="1" applyFill="1" applyBorder="1" applyAlignment="1" applyProtection="1">
      <alignment horizontal="center"/>
    </xf>
    <xf numFmtId="0" fontId="1" fillId="26" borderId="14" xfId="544" applyFont="1" applyFill="1" applyBorder="1" applyAlignment="1" applyProtection="1">
      <alignment horizontal="center"/>
    </xf>
    <xf numFmtId="0" fontId="3" fillId="26" borderId="49" xfId="544" applyFont="1" applyFill="1" applyBorder="1" applyAlignment="1" applyProtection="1">
      <alignment horizontal="center" vertical="center" wrapText="1"/>
    </xf>
    <xf numFmtId="0" fontId="131" fillId="26" borderId="49" xfId="544" applyFont="1" applyFill="1" applyBorder="1" applyAlignment="1" applyProtection="1">
      <alignment horizontal="left" vertical="center"/>
    </xf>
    <xf numFmtId="0" fontId="131" fillId="26" borderId="11" xfId="544" applyFont="1" applyFill="1" applyBorder="1" applyAlignment="1" applyProtection="1">
      <alignment horizontal="left" vertical="center"/>
    </xf>
    <xf numFmtId="0" fontId="131" fillId="26" borderId="10" xfId="544" applyFont="1" applyFill="1" applyBorder="1" applyAlignment="1" applyProtection="1">
      <alignment horizontal="left" vertical="center"/>
    </xf>
    <xf numFmtId="0" fontId="131" fillId="26" borderId="9" xfId="544" applyFont="1" applyFill="1" applyBorder="1" applyAlignment="1" applyProtection="1">
      <alignment horizontal="left" vertical="center"/>
    </xf>
    <xf numFmtId="0" fontId="5" fillId="25" borderId="168" xfId="544" applyFont="1" applyFill="1" applyBorder="1" applyAlignment="1" applyProtection="1">
      <alignment horizontal="center" vertical="center" wrapText="1"/>
    </xf>
    <xf numFmtId="0" fontId="5" fillId="25" borderId="10" xfId="544" applyFont="1" applyFill="1" applyBorder="1" applyAlignment="1" applyProtection="1">
      <alignment horizontal="center" vertical="center" wrapText="1"/>
    </xf>
    <xf numFmtId="0" fontId="43" fillId="26" borderId="0" xfId="0" applyFont="1" applyFill="1" applyBorder="1" applyAlignment="1" applyProtection="1">
      <alignment horizontal="right" vertical="center"/>
    </xf>
    <xf numFmtId="0" fontId="5" fillId="28" borderId="168" xfId="544" applyFont="1" applyFill="1" applyBorder="1" applyAlignment="1" applyProtection="1">
      <alignment horizontal="center" vertical="center" wrapText="1"/>
    </xf>
    <xf numFmtId="0" fontId="5" fillId="28" borderId="10" xfId="544" applyFont="1" applyFill="1" applyBorder="1" applyAlignment="1" applyProtection="1">
      <alignment horizontal="center" vertical="center" wrapText="1"/>
    </xf>
    <xf numFmtId="0" fontId="5" fillId="28" borderId="65" xfId="544" applyFont="1" applyFill="1" applyBorder="1" applyAlignment="1" applyProtection="1">
      <alignment horizontal="center" vertical="center" wrapText="1"/>
    </xf>
    <xf numFmtId="0" fontId="5" fillId="28" borderId="162" xfId="544" applyFont="1" applyFill="1" applyBorder="1" applyAlignment="1" applyProtection="1">
      <alignment horizontal="center" vertical="center" wrapText="1"/>
    </xf>
    <xf numFmtId="0" fontId="5" fillId="28" borderId="169" xfId="544" applyFont="1" applyFill="1" applyBorder="1" applyAlignment="1" applyProtection="1">
      <alignment horizontal="center" vertical="center" wrapText="1"/>
    </xf>
    <xf numFmtId="0" fontId="5" fillId="28" borderId="160" xfId="544" applyFont="1" applyFill="1" applyBorder="1" applyAlignment="1" applyProtection="1">
      <alignment horizontal="center" vertical="center" wrapText="1"/>
    </xf>
    <xf numFmtId="0" fontId="42" fillId="28" borderId="162" xfId="544" applyFont="1" applyFill="1" applyBorder="1" applyAlignment="1" applyProtection="1">
      <alignment horizontal="center" vertical="center" wrapText="1"/>
    </xf>
    <xf numFmtId="0" fontId="42" fillId="28" borderId="160" xfId="544" applyFont="1" applyFill="1" applyBorder="1" applyAlignment="1" applyProtection="1">
      <alignment horizontal="center" vertical="center" wrapText="1"/>
    </xf>
    <xf numFmtId="0" fontId="5" fillId="25" borderId="9" xfId="544" applyFont="1" applyFill="1" applyBorder="1" applyAlignment="1" applyProtection="1">
      <alignment horizontal="center" vertical="center" wrapText="1"/>
    </xf>
    <xf numFmtId="0" fontId="94" fillId="0" borderId="168" xfId="544" applyFont="1" applyBorder="1" applyAlignment="1" applyProtection="1">
      <alignment horizontal="left" vertical="center"/>
    </xf>
    <xf numFmtId="0" fontId="94" fillId="0" borderId="10" xfId="544" applyFont="1" applyBorder="1" applyAlignment="1" applyProtection="1">
      <alignment horizontal="left" vertical="center"/>
    </xf>
    <xf numFmtId="0" fontId="95" fillId="0" borderId="170" xfId="544" applyFont="1" applyBorder="1" applyAlignment="1" applyProtection="1">
      <alignment horizontal="center" vertical="center"/>
    </xf>
    <xf numFmtId="0" fontId="95" fillId="0" borderId="9" xfId="544" applyFont="1" applyBorder="1" applyAlignment="1" applyProtection="1">
      <alignment horizontal="center" vertical="center"/>
    </xf>
    <xf numFmtId="0" fontId="5" fillId="0" borderId="11" xfId="544" applyFont="1" applyBorder="1" applyAlignment="1" applyProtection="1">
      <alignment horizontal="center" vertical="center"/>
    </xf>
    <xf numFmtId="0" fontId="5" fillId="0" borderId="10" xfId="544" applyFont="1" applyBorder="1" applyAlignment="1" applyProtection="1">
      <alignment horizontal="center" vertical="center"/>
    </xf>
    <xf numFmtId="0" fontId="5" fillId="0" borderId="171" xfId="544" applyFont="1" applyBorder="1" applyAlignment="1" applyProtection="1">
      <alignment horizontal="center" vertical="center"/>
    </xf>
    <xf numFmtId="0" fontId="5" fillId="28" borderId="163" xfId="544" applyFont="1" applyFill="1" applyBorder="1" applyAlignment="1" applyProtection="1">
      <alignment horizontal="center" vertical="center" wrapText="1"/>
    </xf>
    <xf numFmtId="0" fontId="5" fillId="28" borderId="14" xfId="544" applyFont="1" applyFill="1" applyBorder="1" applyAlignment="1" applyProtection="1">
      <alignment horizontal="center" vertical="center" wrapText="1"/>
    </xf>
    <xf numFmtId="1" fontId="5" fillId="0" borderId="187" xfId="544" applyNumberFormat="1" applyFont="1" applyBorder="1" applyAlignment="1" applyProtection="1">
      <alignment horizontal="center" vertical="center"/>
    </xf>
    <xf numFmtId="1" fontId="5" fillId="0" borderId="184" xfId="544" applyNumberFormat="1" applyFont="1" applyBorder="1" applyAlignment="1" applyProtection="1">
      <alignment horizontal="center" vertical="center"/>
    </xf>
    <xf numFmtId="1" fontId="5" fillId="0" borderId="185" xfId="544" applyNumberFormat="1" applyFont="1" applyBorder="1" applyAlignment="1" applyProtection="1">
      <alignment horizontal="center" vertical="center"/>
    </xf>
    <xf numFmtId="0" fontId="4" fillId="0" borderId="200" xfId="544" applyFont="1" applyBorder="1" applyAlignment="1" applyProtection="1">
      <alignment horizontal="left" vertical="center"/>
    </xf>
    <xf numFmtId="0" fontId="4" fillId="0" borderId="201" xfId="544" applyFont="1" applyBorder="1" applyAlignment="1" applyProtection="1">
      <alignment horizontal="left" vertical="center"/>
    </xf>
    <xf numFmtId="0" fontId="4" fillId="0" borderId="202" xfId="544" applyFont="1" applyBorder="1" applyAlignment="1" applyProtection="1">
      <alignment horizontal="center" vertical="center"/>
    </xf>
    <xf numFmtId="0" fontId="4" fillId="0" borderId="203" xfId="544" applyFont="1" applyBorder="1" applyAlignment="1" applyProtection="1">
      <alignment horizontal="center" vertical="center"/>
    </xf>
    <xf numFmtId="1" fontId="5" fillId="0" borderId="205" xfId="544" applyNumberFormat="1" applyFont="1" applyBorder="1" applyAlignment="1" applyProtection="1">
      <alignment horizontal="center" vertical="center"/>
    </xf>
    <xf numFmtId="1" fontId="5" fillId="0" borderId="201" xfId="544" applyNumberFormat="1" applyFont="1" applyBorder="1" applyAlignment="1" applyProtection="1">
      <alignment horizontal="center" vertical="center"/>
    </xf>
    <xf numFmtId="1" fontId="5" fillId="0" borderId="206" xfId="544" applyNumberFormat="1" applyFont="1" applyBorder="1" applyAlignment="1" applyProtection="1">
      <alignment horizontal="center" vertical="center"/>
    </xf>
    <xf numFmtId="0" fontId="4" fillId="0" borderId="175" xfId="544" applyFont="1" applyBorder="1" applyAlignment="1" applyProtection="1">
      <alignment horizontal="left" vertical="center"/>
    </xf>
    <xf numFmtId="0" fontId="4" fillId="0" borderId="176" xfId="544" applyFont="1" applyBorder="1" applyAlignment="1" applyProtection="1">
      <alignment horizontal="left" vertical="center"/>
    </xf>
    <xf numFmtId="0" fontId="4" fillId="0" borderId="176" xfId="544" applyFont="1" applyBorder="1" applyAlignment="1" applyProtection="1">
      <alignment horizontal="center" vertical="center"/>
    </xf>
    <xf numFmtId="0" fontId="4" fillId="0" borderId="177" xfId="544" applyFont="1" applyBorder="1" applyAlignment="1" applyProtection="1">
      <alignment horizontal="center" vertical="center"/>
    </xf>
    <xf numFmtId="0" fontId="95" fillId="0" borderId="176" xfId="544" applyFont="1" applyBorder="1" applyAlignment="1" applyProtection="1">
      <alignment horizontal="center" vertical="center"/>
    </xf>
    <xf numFmtId="0" fontId="95" fillId="0" borderId="178" xfId="544" applyFont="1" applyBorder="1" applyAlignment="1" applyProtection="1">
      <alignment horizontal="center" vertical="center"/>
    </xf>
    <xf numFmtId="1" fontId="5" fillId="0" borderId="179" xfId="544" applyNumberFormat="1" applyFont="1" applyBorder="1" applyAlignment="1" applyProtection="1">
      <alignment horizontal="center" vertical="center"/>
    </xf>
    <xf numFmtId="1" fontId="5" fillId="0" borderId="176" xfId="544" applyNumberFormat="1" applyFont="1" applyBorder="1" applyAlignment="1" applyProtection="1">
      <alignment horizontal="center" vertical="center"/>
    </xf>
    <xf numFmtId="1" fontId="5" fillId="0" borderId="177" xfId="544" applyNumberFormat="1" applyFont="1" applyBorder="1" applyAlignment="1" applyProtection="1">
      <alignment horizontal="center" vertical="center"/>
    </xf>
    <xf numFmtId="0" fontId="4" fillId="0" borderId="183" xfId="544" applyFont="1" applyBorder="1" applyAlignment="1" applyProtection="1">
      <alignment horizontal="left" vertical="center"/>
    </xf>
    <xf numFmtId="0" fontId="4" fillId="0" borderId="184" xfId="544" applyFont="1" applyBorder="1" applyAlignment="1" applyProtection="1">
      <alignment horizontal="left" vertical="center"/>
    </xf>
    <xf numFmtId="49" fontId="4" fillId="0" borderId="184" xfId="544" applyNumberFormat="1" applyFont="1" applyBorder="1" applyAlignment="1" applyProtection="1">
      <alignment horizontal="center" vertical="center"/>
    </xf>
    <xf numFmtId="49" fontId="4" fillId="0" borderId="185" xfId="544" applyNumberFormat="1" applyFont="1" applyBorder="1" applyAlignment="1" applyProtection="1">
      <alignment horizontal="center" vertical="center"/>
    </xf>
    <xf numFmtId="0" fontId="95" fillId="0" borderId="184" xfId="544" applyFont="1" applyBorder="1" applyAlignment="1" applyProtection="1">
      <alignment horizontal="center" vertical="center"/>
    </xf>
    <xf numFmtId="0" fontId="95" fillId="0" borderId="186" xfId="544" applyFont="1" applyBorder="1" applyAlignment="1" applyProtection="1">
      <alignment horizontal="center" vertical="center"/>
    </xf>
    <xf numFmtId="167" fontId="5" fillId="0" borderId="187" xfId="544" applyNumberFormat="1" applyFont="1" applyBorder="1" applyAlignment="1" applyProtection="1">
      <alignment horizontal="center" vertical="center"/>
    </xf>
    <xf numFmtId="167" fontId="5" fillId="0" borderId="184" xfId="544" applyNumberFormat="1" applyFont="1" applyBorder="1" applyAlignment="1" applyProtection="1">
      <alignment horizontal="center" vertical="center"/>
    </xf>
    <xf numFmtId="167" fontId="5" fillId="0" borderId="185" xfId="544" applyNumberFormat="1" applyFont="1" applyBorder="1" applyAlignment="1" applyProtection="1">
      <alignment horizontal="center" vertical="center"/>
    </xf>
    <xf numFmtId="0" fontId="4" fillId="0" borderId="190" xfId="544" applyFont="1" applyBorder="1" applyAlignment="1" applyProtection="1">
      <alignment horizontal="left" vertical="center"/>
    </xf>
    <xf numFmtId="0" fontId="4" fillId="0" borderId="191" xfId="544" applyFont="1" applyBorder="1" applyAlignment="1" applyProtection="1">
      <alignment horizontal="left" vertical="center"/>
    </xf>
    <xf numFmtId="0" fontId="4" fillId="0" borderId="192" xfId="544" applyFont="1" applyBorder="1" applyAlignment="1" applyProtection="1">
      <alignment horizontal="left" vertical="center"/>
    </xf>
    <xf numFmtId="0" fontId="4" fillId="0" borderId="169" xfId="544" applyFont="1" applyBorder="1" applyAlignment="1" applyProtection="1">
      <alignment horizontal="left" vertical="center"/>
    </xf>
    <xf numFmtId="0" fontId="4" fillId="0" borderId="160" xfId="544" applyFont="1" applyBorder="1" applyAlignment="1" applyProtection="1">
      <alignment horizontal="left" vertical="center"/>
    </xf>
    <xf numFmtId="0" fontId="4" fillId="0" borderId="199" xfId="544" applyFont="1" applyBorder="1" applyAlignment="1" applyProtection="1">
      <alignment horizontal="left" vertical="center"/>
    </xf>
    <xf numFmtId="49" fontId="4" fillId="0" borderId="184" xfId="544" applyNumberFormat="1" applyFont="1" applyBorder="1" applyAlignment="1" applyProtection="1">
      <alignment horizontal="left" vertical="center"/>
    </xf>
    <xf numFmtId="49" fontId="4" fillId="0" borderId="69" xfId="544" applyNumberFormat="1" applyFont="1" applyBorder="1" applyAlignment="1" applyProtection="1">
      <alignment horizontal="center" vertical="center"/>
    </xf>
    <xf numFmtId="49" fontId="4" fillId="0" borderId="193" xfId="544" applyNumberFormat="1" applyFont="1" applyBorder="1" applyAlignment="1" applyProtection="1">
      <alignment horizontal="center" vertical="center"/>
    </xf>
    <xf numFmtId="0" fontId="95" fillId="0" borderId="194" xfId="544" applyFont="1" applyBorder="1" applyAlignment="1" applyProtection="1">
      <alignment horizontal="center" vertical="center"/>
    </xf>
    <xf numFmtId="0" fontId="95" fillId="0" borderId="195" xfId="544" applyFont="1" applyBorder="1" applyAlignment="1" applyProtection="1">
      <alignment horizontal="center" vertical="center"/>
    </xf>
    <xf numFmtId="0" fontId="95" fillId="0" borderId="204" xfId="544" applyFont="1" applyBorder="1" applyAlignment="1" applyProtection="1">
      <alignment horizontal="center" vertical="center"/>
    </xf>
    <xf numFmtId="0" fontId="95" fillId="0" borderId="14" xfId="544" applyFont="1" applyBorder="1" applyAlignment="1" applyProtection="1">
      <alignment horizontal="center" vertical="center"/>
    </xf>
    <xf numFmtId="1" fontId="5" fillId="0" borderId="11" xfId="544" applyNumberFormat="1" applyFont="1" applyBorder="1" applyAlignment="1" applyProtection="1">
      <alignment horizontal="center" vertical="center"/>
    </xf>
    <xf numFmtId="1" fontId="5" fillId="0" borderId="10" xfId="544" applyNumberFormat="1" applyFont="1" applyBorder="1" applyAlignment="1" applyProtection="1">
      <alignment horizontal="center" vertical="center"/>
    </xf>
    <xf numFmtId="0" fontId="4" fillId="0" borderId="168" xfId="544" applyFont="1" applyBorder="1" applyAlignment="1" applyProtection="1">
      <alignment horizontal="left" vertical="center"/>
    </xf>
    <xf numFmtId="0" fontId="4" fillId="0" borderId="10" xfId="544" applyFont="1" applyBorder="1" applyAlignment="1" applyProtection="1">
      <alignment horizontal="left" vertical="center"/>
    </xf>
    <xf numFmtId="0" fontId="4" fillId="0" borderId="10" xfId="544" applyFont="1" applyBorder="1" applyAlignment="1" applyProtection="1">
      <alignment horizontal="center" vertical="center"/>
    </xf>
    <xf numFmtId="0" fontId="4" fillId="0" borderId="184" xfId="544" applyFont="1" applyBorder="1" applyAlignment="1" applyProtection="1">
      <alignment horizontal="center" vertical="center"/>
    </xf>
    <xf numFmtId="0" fontId="4" fillId="0" borderId="185" xfId="544" applyFont="1" applyBorder="1" applyAlignment="1" applyProtection="1">
      <alignment horizontal="center" vertical="center"/>
    </xf>
    <xf numFmtId="1" fontId="5" fillId="0" borderId="68" xfId="544" applyNumberFormat="1" applyFont="1" applyBorder="1" applyAlignment="1" applyProtection="1">
      <alignment horizontal="center" vertical="center"/>
    </xf>
    <xf numFmtId="1" fontId="5" fillId="0" borderId="69" xfId="544" applyNumberFormat="1" applyFont="1" applyBorder="1" applyAlignment="1" applyProtection="1">
      <alignment horizontal="center" vertical="center"/>
    </xf>
    <xf numFmtId="1" fontId="5" fillId="0" borderId="193" xfId="544" applyNumberFormat="1" applyFont="1" applyBorder="1" applyAlignment="1" applyProtection="1">
      <alignment horizontal="center" vertical="center"/>
    </xf>
    <xf numFmtId="0" fontId="4" fillId="0" borderId="212" xfId="544" applyFont="1" applyBorder="1" applyAlignment="1" applyProtection="1">
      <alignment horizontal="left" vertical="center"/>
    </xf>
    <xf numFmtId="0" fontId="4" fillId="0" borderId="213" xfId="544" applyFont="1" applyBorder="1" applyAlignment="1" applyProtection="1">
      <alignment horizontal="left" vertical="center"/>
    </xf>
    <xf numFmtId="0" fontId="4" fillId="0" borderId="213" xfId="544" applyFont="1" applyBorder="1" applyAlignment="1" applyProtection="1">
      <alignment horizontal="center" vertical="center"/>
    </xf>
    <xf numFmtId="0" fontId="4" fillId="0" borderId="214" xfId="544" applyFont="1" applyBorder="1" applyAlignment="1" applyProtection="1">
      <alignment horizontal="center" vertical="center"/>
    </xf>
    <xf numFmtId="0" fontId="95" fillId="0" borderId="213" xfId="544" applyFont="1" applyBorder="1" applyAlignment="1" applyProtection="1">
      <alignment horizontal="center" vertical="center"/>
    </xf>
    <xf numFmtId="0" fontId="95" fillId="0" borderId="215" xfId="544" applyFont="1" applyBorder="1" applyAlignment="1" applyProtection="1">
      <alignment horizontal="center" vertical="center"/>
    </xf>
    <xf numFmtId="0" fontId="4" fillId="0" borderId="229" xfId="544" applyFont="1" applyBorder="1" applyAlignment="1" applyProtection="1">
      <alignment horizontal="left" vertical="center"/>
    </xf>
    <xf numFmtId="1" fontId="5" fillId="0" borderId="216" xfId="544" applyNumberFormat="1" applyFont="1" applyBorder="1" applyAlignment="1" applyProtection="1">
      <alignment horizontal="center" vertical="center"/>
    </xf>
    <xf numFmtId="1" fontId="5" fillId="0" borderId="213" xfId="544" applyNumberFormat="1" applyFont="1" applyBorder="1" applyAlignment="1" applyProtection="1">
      <alignment horizontal="center" vertical="center"/>
    </xf>
    <xf numFmtId="1" fontId="5" fillId="0" borderId="214" xfId="544" applyNumberFormat="1" applyFont="1" applyBorder="1" applyAlignment="1" applyProtection="1">
      <alignment horizontal="center" vertical="center"/>
    </xf>
    <xf numFmtId="0" fontId="4" fillId="0" borderId="219" xfId="544" applyFont="1" applyBorder="1" applyAlignment="1" applyProtection="1">
      <alignment horizontal="left" vertical="center"/>
    </xf>
    <xf numFmtId="0" fontId="95" fillId="0" borderId="220" xfId="544" applyFont="1" applyBorder="1" applyAlignment="1" applyProtection="1">
      <alignment horizontal="center" vertical="center"/>
    </xf>
    <xf numFmtId="0" fontId="95" fillId="0" borderId="221" xfId="544" applyFont="1" applyBorder="1" applyAlignment="1" applyProtection="1">
      <alignment horizontal="center" vertical="center"/>
    </xf>
    <xf numFmtId="167" fontId="5" fillId="0" borderId="205" xfId="544" applyNumberFormat="1" applyFont="1" applyBorder="1" applyAlignment="1" applyProtection="1">
      <alignment horizontal="center" vertical="center"/>
    </xf>
    <xf numFmtId="167" fontId="5" fillId="0" borderId="201" xfId="544" applyNumberFormat="1" applyFont="1" applyBorder="1" applyAlignment="1" applyProtection="1">
      <alignment horizontal="center" vertical="center"/>
    </xf>
    <xf numFmtId="167" fontId="5" fillId="0" borderId="206" xfId="544" applyNumberFormat="1" applyFont="1" applyBorder="1" applyAlignment="1" applyProtection="1">
      <alignment horizontal="center" vertical="center"/>
    </xf>
    <xf numFmtId="0" fontId="4" fillId="0" borderId="65" xfId="544" applyFont="1" applyBorder="1" applyAlignment="1" applyProtection="1">
      <alignment horizontal="left" vertical="center" wrapText="1"/>
    </xf>
    <xf numFmtId="0" fontId="4" fillId="0" borderId="162" xfId="544" applyFont="1" applyBorder="1" applyAlignment="1" applyProtection="1">
      <alignment horizontal="left" vertical="center" wrapText="1"/>
    </xf>
    <xf numFmtId="0" fontId="4" fillId="0" borderId="224" xfId="544" applyFont="1" applyBorder="1" applyAlignment="1" applyProtection="1">
      <alignment horizontal="left" vertical="center" wrapText="1"/>
    </xf>
    <xf numFmtId="0" fontId="4" fillId="0" borderId="212" xfId="544" applyFont="1" applyBorder="1" applyAlignment="1" applyProtection="1">
      <alignment horizontal="left" vertical="center" wrapText="1"/>
    </xf>
    <xf numFmtId="0" fontId="4" fillId="0" borderId="213" xfId="544" applyFont="1" applyBorder="1" applyAlignment="1" applyProtection="1">
      <alignment horizontal="left" vertical="center" wrapText="1"/>
    </xf>
    <xf numFmtId="0" fontId="4" fillId="0" borderId="214" xfId="544" applyFont="1" applyBorder="1" applyAlignment="1" applyProtection="1">
      <alignment horizontal="left" vertical="center" wrapText="1"/>
    </xf>
    <xf numFmtId="49" fontId="4" fillId="0" borderId="162" xfId="544" applyNumberFormat="1" applyFont="1" applyBorder="1" applyAlignment="1" applyProtection="1">
      <alignment horizontal="left" vertical="center"/>
    </xf>
    <xf numFmtId="49" fontId="4" fillId="0" borderId="176" xfId="544" applyNumberFormat="1" applyFont="1" applyBorder="1" applyAlignment="1" applyProtection="1">
      <alignment horizontal="center" vertical="center"/>
    </xf>
    <xf numFmtId="49" fontId="4" fillId="0" borderId="177" xfId="544" applyNumberFormat="1" applyFont="1" applyBorder="1" applyAlignment="1" applyProtection="1">
      <alignment horizontal="center" vertical="center"/>
    </xf>
    <xf numFmtId="0" fontId="95" fillId="0" borderId="225" xfId="544" applyFont="1" applyBorder="1" applyAlignment="1" applyProtection="1">
      <alignment horizontal="center" vertical="center"/>
    </xf>
    <xf numFmtId="0" fontId="95" fillId="0" borderId="163" xfId="544" applyFont="1" applyBorder="1" applyAlignment="1" applyProtection="1">
      <alignment horizontal="center" vertical="center"/>
    </xf>
    <xf numFmtId="0" fontId="95" fillId="0" borderId="230" xfId="544" applyFont="1" applyBorder="1" applyAlignment="1" applyProtection="1">
      <alignment horizontal="center" vertical="center"/>
    </xf>
    <xf numFmtId="0" fontId="4" fillId="0" borderId="231" xfId="544" applyFont="1" applyBorder="1" applyAlignment="1" applyProtection="1">
      <alignment horizontal="left" vertical="center"/>
    </xf>
    <xf numFmtId="0" fontId="4" fillId="0" borderId="232" xfId="544" applyFont="1" applyBorder="1" applyAlignment="1" applyProtection="1">
      <alignment horizontal="left" vertical="center"/>
    </xf>
    <xf numFmtId="0" fontId="4" fillId="0" borderId="69" xfId="544" applyFont="1" applyBorder="1" applyAlignment="1" applyProtection="1">
      <alignment horizontal="center" vertical="center"/>
    </xf>
    <xf numFmtId="0" fontId="4" fillId="0" borderId="193" xfId="544" applyFont="1" applyBorder="1" applyAlignment="1" applyProtection="1">
      <alignment horizontal="center" vertical="center"/>
    </xf>
    <xf numFmtId="0" fontId="95" fillId="0" borderId="0" xfId="544" applyFont="1" applyBorder="1" applyAlignment="1" applyProtection="1">
      <alignment horizontal="center" vertical="center"/>
    </xf>
    <xf numFmtId="0" fontId="95" fillId="0" borderId="18" xfId="544" applyFont="1" applyBorder="1" applyAlignment="1" applyProtection="1">
      <alignment horizontal="center" vertical="center"/>
    </xf>
    <xf numFmtId="0" fontId="95" fillId="0" borderId="69" xfId="544" applyFont="1" applyBorder="1" applyAlignment="1" applyProtection="1">
      <alignment horizontal="center" vertical="center"/>
    </xf>
    <xf numFmtId="0" fontId="95" fillId="0" borderId="70" xfId="544" applyFont="1" applyBorder="1" applyAlignment="1" applyProtection="1">
      <alignment horizontal="center" vertical="center"/>
    </xf>
    <xf numFmtId="0" fontId="4" fillId="0" borderId="234" xfId="544" applyFont="1" applyBorder="1" applyAlignment="1" applyProtection="1">
      <alignment horizontal="left" vertical="center"/>
    </xf>
    <xf numFmtId="0" fontId="4" fillId="0" borderId="67" xfId="544" applyFont="1" applyBorder="1" applyAlignment="1" applyProtection="1">
      <alignment horizontal="left" vertical="center"/>
    </xf>
    <xf numFmtId="0" fontId="4" fillId="0" borderId="67" xfId="544" applyFont="1" applyBorder="1" applyAlignment="1" applyProtection="1">
      <alignment horizontal="center" vertical="center"/>
    </xf>
    <xf numFmtId="0" fontId="4" fillId="0" borderId="235" xfId="544" applyFont="1" applyBorder="1" applyAlignment="1" applyProtection="1">
      <alignment horizontal="center" vertical="center"/>
    </xf>
    <xf numFmtId="0" fontId="4" fillId="0" borderId="236" xfId="544" applyFont="1" applyBorder="1" applyAlignment="1" applyProtection="1">
      <alignment horizontal="left" vertical="center"/>
    </xf>
    <xf numFmtId="0" fontId="4" fillId="0" borderId="202" xfId="544" applyFont="1" applyBorder="1" applyAlignment="1" applyProtection="1">
      <alignment horizontal="left" vertical="center"/>
    </xf>
    <xf numFmtId="0" fontId="95" fillId="0" borderId="160" xfId="544" applyFont="1" applyBorder="1" applyAlignment="1" applyProtection="1">
      <alignment horizontal="center" vertical="center"/>
    </xf>
    <xf numFmtId="0" fontId="5" fillId="26" borderId="0" xfId="544" applyFont="1" applyFill="1" applyBorder="1" applyAlignment="1" applyProtection="1">
      <alignment horizontal="center" vertical="top"/>
    </xf>
    <xf numFmtId="0" fontId="5" fillId="26" borderId="35" xfId="544" applyFont="1" applyFill="1" applyBorder="1" applyAlignment="1" applyProtection="1">
      <alignment horizontal="center" vertical="top"/>
    </xf>
    <xf numFmtId="0" fontId="5" fillId="26" borderId="160" xfId="544" applyFont="1" applyFill="1" applyBorder="1" applyAlignment="1" applyProtection="1">
      <alignment horizontal="center" vertical="top"/>
    </xf>
    <xf numFmtId="0" fontId="5" fillId="26" borderId="63" xfId="544" applyFont="1" applyFill="1" applyBorder="1" applyAlignment="1" applyProtection="1">
      <alignment horizontal="center" vertical="top"/>
    </xf>
    <xf numFmtId="0" fontId="46" fillId="0" borderId="0" xfId="70" applyFont="1" applyFill="1" applyBorder="1" applyAlignment="1" applyProtection="1">
      <alignment horizontal="center" wrapText="1"/>
    </xf>
    <xf numFmtId="0" fontId="4" fillId="0" borderId="201" xfId="544" applyFont="1" applyBorder="1" applyAlignment="1" applyProtection="1">
      <alignment horizontal="center" vertical="center"/>
    </xf>
    <xf numFmtId="0" fontId="4" fillId="0" borderId="160" xfId="544" applyFont="1" applyBorder="1" applyAlignment="1" applyProtection="1">
      <alignment horizontal="center" vertical="center"/>
    </xf>
    <xf numFmtId="0" fontId="4" fillId="0" borderId="199" xfId="544" applyFont="1" applyBorder="1" applyAlignment="1" applyProtection="1">
      <alignment horizontal="center" vertical="center"/>
    </xf>
    <xf numFmtId="1" fontId="142" fillId="0" borderId="15" xfId="544" applyNumberFormat="1" applyFont="1" applyBorder="1" applyAlignment="1" applyProtection="1">
      <alignment horizontal="center" vertical="center"/>
    </xf>
    <xf numFmtId="1" fontId="142" fillId="0" borderId="160" xfId="544" applyNumberFormat="1" applyFont="1" applyBorder="1" applyAlignment="1" applyProtection="1">
      <alignment horizontal="center" vertical="center"/>
    </xf>
    <xf numFmtId="1" fontId="142" fillId="0" borderId="199" xfId="544" applyNumberFormat="1" applyFont="1" applyBorder="1" applyAlignment="1" applyProtection="1">
      <alignment horizontal="center" vertical="center"/>
    </xf>
    <xf numFmtId="0" fontId="3" fillId="26" borderId="31" xfId="544" applyFont="1" applyFill="1" applyBorder="1" applyAlignment="1" applyProtection="1">
      <alignment horizontal="center" vertical="center"/>
    </xf>
    <xf numFmtId="0" fontId="3" fillId="26" borderId="32" xfId="544" applyFont="1" applyFill="1" applyBorder="1" applyAlignment="1" applyProtection="1">
      <alignment horizontal="center" vertical="center"/>
    </xf>
    <xf numFmtId="0" fontId="5" fillId="26" borderId="32" xfId="544" applyFont="1" applyFill="1" applyBorder="1" applyAlignment="1" applyProtection="1">
      <alignment horizontal="center" vertical="top"/>
    </xf>
    <xf numFmtId="0" fontId="5" fillId="26" borderId="66" xfId="544" applyFont="1" applyFill="1" applyBorder="1" applyAlignment="1" applyProtection="1">
      <alignment horizontal="center" vertical="top"/>
    </xf>
    <xf numFmtId="0" fontId="130" fillId="2" borderId="49" xfId="21" applyFont="1" applyFill="1" applyBorder="1" applyAlignment="1" applyProtection="1"/>
    <xf numFmtId="0" fontId="1" fillId="2" borderId="0" xfId="21" applyFill="1" applyProtection="1"/>
    <xf numFmtId="0" fontId="1" fillId="2" borderId="18" xfId="21" applyFill="1" applyBorder="1" applyProtection="1"/>
    <xf numFmtId="1" fontId="2" fillId="2" borderId="11" xfId="21" applyNumberFormat="1" applyFont="1" applyFill="1" applyBorder="1" applyAlignment="1" applyProtection="1">
      <alignment horizontal="center" vertical="center"/>
    </xf>
    <xf numFmtId="1" fontId="2" fillId="2" borderId="10" xfId="21" applyNumberFormat="1" applyFont="1" applyFill="1" applyBorder="1" applyAlignment="1" applyProtection="1">
      <alignment horizontal="center" vertical="center"/>
    </xf>
    <xf numFmtId="1" fontId="2" fillId="2" borderId="9" xfId="21" applyNumberFormat="1" applyFont="1" applyFill="1" applyBorder="1" applyAlignment="1" applyProtection="1">
      <alignment horizontal="center" vertical="center"/>
    </xf>
    <xf numFmtId="0" fontId="1" fillId="2" borderId="49" xfId="21" applyFill="1" applyBorder="1" applyProtection="1">
      <protection locked="0"/>
    </xf>
    <xf numFmtId="0" fontId="1" fillId="2" borderId="11" xfId="21" applyFill="1" applyBorder="1" applyProtection="1"/>
    <xf numFmtId="0" fontId="1" fillId="2" borderId="10" xfId="21" applyFill="1" applyBorder="1" applyProtection="1"/>
    <xf numFmtId="0" fontId="1" fillId="2" borderId="9" xfId="21" applyFill="1" applyBorder="1" applyProtection="1"/>
    <xf numFmtId="0" fontId="1" fillId="2" borderId="11" xfId="21" applyFill="1" applyBorder="1" applyAlignment="1" applyProtection="1">
      <alignment horizontal="center"/>
    </xf>
    <xf numFmtId="0" fontId="1" fillId="2" borderId="10" xfId="21" applyFill="1" applyBorder="1" applyAlignment="1" applyProtection="1">
      <alignment horizontal="center"/>
    </xf>
    <xf numFmtId="0" fontId="1" fillId="2" borderId="9" xfId="21" applyFill="1" applyBorder="1" applyAlignment="1" applyProtection="1">
      <alignment horizontal="center"/>
    </xf>
    <xf numFmtId="2" fontId="129" fillId="2" borderId="49" xfId="21" applyNumberFormat="1" applyFont="1" applyFill="1" applyBorder="1" applyAlignment="1" applyProtection="1">
      <alignment vertical="center"/>
    </xf>
    <xf numFmtId="0" fontId="1" fillId="2" borderId="49" xfId="21" applyFill="1" applyBorder="1" applyAlignment="1" applyProtection="1">
      <alignment horizontal="center"/>
    </xf>
    <xf numFmtId="2" fontId="1" fillId="2" borderId="49" xfId="21" applyNumberFormat="1" applyFill="1" applyBorder="1" applyAlignment="1" applyProtection="1">
      <alignment horizontal="center"/>
    </xf>
    <xf numFmtId="1" fontId="1" fillId="2" borderId="49" xfId="21" applyNumberFormat="1" applyFill="1" applyBorder="1" applyProtection="1">
      <protection locked="0"/>
    </xf>
    <xf numFmtId="1" fontId="1" fillId="2" borderId="11" xfId="21" applyNumberFormat="1" applyFill="1" applyBorder="1" applyAlignment="1" applyProtection="1">
      <alignment horizontal="center"/>
    </xf>
    <xf numFmtId="0" fontId="123" fillId="27" borderId="0" xfId="21" applyFont="1" applyFill="1" applyBorder="1" applyAlignment="1" applyProtection="1">
      <alignment horizontal="center"/>
    </xf>
    <xf numFmtId="0" fontId="42" fillId="25" borderId="164" xfId="21" applyFont="1" applyFill="1" applyBorder="1" applyAlignment="1" applyProtection="1">
      <alignment horizontal="center" vertical="center" wrapText="1"/>
    </xf>
    <xf numFmtId="0" fontId="42" fillId="25" borderId="162" xfId="21" applyFont="1" applyFill="1" applyBorder="1" applyAlignment="1" applyProtection="1">
      <alignment horizontal="center" vertical="center" wrapText="1"/>
    </xf>
    <xf numFmtId="0" fontId="42" fillId="25" borderId="163" xfId="21" applyFont="1" applyFill="1" applyBorder="1" applyAlignment="1" applyProtection="1">
      <alignment horizontal="center" vertical="center" wrapText="1"/>
    </xf>
    <xf numFmtId="0" fontId="42" fillId="25" borderId="15" xfId="21" applyFont="1" applyFill="1" applyBorder="1" applyAlignment="1" applyProtection="1">
      <alignment horizontal="center" vertical="center" wrapText="1"/>
    </xf>
    <xf numFmtId="0" fontId="42" fillId="25" borderId="160" xfId="21" applyFont="1" applyFill="1" applyBorder="1" applyAlignment="1" applyProtection="1">
      <alignment horizontal="center" vertical="center" wrapText="1"/>
    </xf>
    <xf numFmtId="0" fontId="42" fillId="25" borderId="14" xfId="21" applyFont="1" applyFill="1" applyBorder="1" applyAlignment="1" applyProtection="1">
      <alignment horizontal="center" vertical="center" wrapText="1"/>
    </xf>
    <xf numFmtId="0" fontId="42" fillId="25" borderId="164" xfId="21" applyFont="1" applyFill="1" applyBorder="1" applyAlignment="1" applyProtection="1">
      <alignment horizontal="center" vertical="center"/>
    </xf>
    <xf numFmtId="0" fontId="42" fillId="25" borderId="162" xfId="21" applyFont="1" applyFill="1" applyBorder="1" applyAlignment="1" applyProtection="1">
      <alignment horizontal="center" vertical="center"/>
    </xf>
    <xf numFmtId="0" fontId="42" fillId="25" borderId="163" xfId="21" applyFont="1" applyFill="1" applyBorder="1" applyAlignment="1" applyProtection="1">
      <alignment horizontal="center" vertical="center"/>
    </xf>
    <xf numFmtId="0" fontId="42" fillId="25" borderId="15" xfId="21" applyFont="1" applyFill="1" applyBorder="1" applyAlignment="1" applyProtection="1">
      <alignment horizontal="center" vertical="center"/>
    </xf>
    <xf numFmtId="0" fontId="42" fillId="25" borderId="160" xfId="21" applyFont="1" applyFill="1" applyBorder="1" applyAlignment="1" applyProtection="1">
      <alignment horizontal="center" vertical="center"/>
    </xf>
    <xf numFmtId="0" fontId="42" fillId="25" borderId="14" xfId="21" applyFont="1" applyFill="1" applyBorder="1" applyAlignment="1" applyProtection="1">
      <alignment horizontal="center" vertical="center"/>
    </xf>
    <xf numFmtId="0" fontId="42" fillId="2" borderId="164" xfId="21" applyFont="1" applyFill="1" applyBorder="1" applyAlignment="1" applyProtection="1">
      <alignment horizontal="center" vertical="center"/>
      <protection locked="0"/>
    </xf>
    <xf numFmtId="0" fontId="42" fillId="2" borderId="162" xfId="21" applyFont="1" applyFill="1" applyBorder="1" applyAlignment="1" applyProtection="1">
      <alignment horizontal="center" vertical="center"/>
      <protection locked="0"/>
    </xf>
    <xf numFmtId="0" fontId="42" fillId="2" borderId="163" xfId="21" applyFont="1" applyFill="1" applyBorder="1" applyAlignment="1" applyProtection="1">
      <alignment horizontal="center" vertical="center"/>
      <protection locked="0"/>
    </xf>
    <xf numFmtId="0" fontId="42" fillId="2" borderId="15" xfId="21" applyFont="1" applyFill="1" applyBorder="1" applyAlignment="1" applyProtection="1">
      <alignment horizontal="center" vertical="center"/>
      <protection locked="0"/>
    </xf>
    <xf numFmtId="0" fontId="42" fillId="2" borderId="160" xfId="21" applyFont="1" applyFill="1" applyBorder="1" applyAlignment="1" applyProtection="1">
      <alignment horizontal="center" vertical="center"/>
      <protection locked="0"/>
    </xf>
    <xf numFmtId="0" fontId="42" fillId="2" borderId="14" xfId="21" applyFont="1" applyFill="1" applyBorder="1" applyAlignment="1" applyProtection="1">
      <alignment horizontal="center" vertical="center"/>
      <protection locked="0"/>
    </xf>
    <xf numFmtId="0" fontId="42" fillId="25" borderId="49" xfId="21" applyFont="1" applyFill="1" applyBorder="1" applyAlignment="1" applyProtection="1">
      <alignment horizontal="center" vertical="center" wrapText="1"/>
    </xf>
    <xf numFmtId="0" fontId="46" fillId="0" borderId="165" xfId="69" applyFont="1" applyBorder="1" applyAlignment="1" applyProtection="1">
      <alignment horizontal="center" vertical="center" wrapText="1"/>
    </xf>
    <xf numFmtId="12" fontId="92" fillId="26" borderId="106" xfId="71" applyNumberFormat="1" applyFont="1" applyFill="1" applyBorder="1" applyAlignment="1" applyProtection="1">
      <alignment horizontal="center" vertical="center" wrapText="1"/>
    </xf>
    <xf numFmtId="12" fontId="92" fillId="26" borderId="0" xfId="71" applyNumberFormat="1" applyFont="1" applyFill="1" applyBorder="1" applyAlignment="1" applyProtection="1">
      <alignment horizontal="center" vertical="center" wrapText="1"/>
    </xf>
    <xf numFmtId="0" fontId="4" fillId="2" borderId="11" xfId="21" applyFont="1" applyFill="1" applyBorder="1" applyAlignment="1" applyProtection="1">
      <alignment horizontal="left" vertical="center"/>
    </xf>
    <xf numFmtId="0" fontId="4" fillId="2" borderId="10" xfId="21" applyFont="1" applyFill="1" applyBorder="1" applyAlignment="1" applyProtection="1">
      <alignment horizontal="left" vertical="center"/>
    </xf>
    <xf numFmtId="0" fontId="0" fillId="0" borderId="10" xfId="0" applyBorder="1" applyAlignment="1" applyProtection="1">
      <alignment horizontal="center"/>
      <protection locked="0"/>
    </xf>
    <xf numFmtId="0" fontId="0" fillId="0" borderId="9" xfId="0" applyBorder="1" applyAlignment="1" applyProtection="1">
      <alignment horizontal="center"/>
      <protection locked="0"/>
    </xf>
    <xf numFmtId="167" fontId="4" fillId="2" borderId="10" xfId="21" applyNumberFormat="1" applyFont="1" applyFill="1" applyBorder="1" applyAlignment="1" applyProtection="1">
      <alignment horizontal="center" vertical="center"/>
      <protection locked="0"/>
    </xf>
    <xf numFmtId="167" fontId="4" fillId="2" borderId="9" xfId="21" applyNumberFormat="1" applyFont="1" applyFill="1" applyBorder="1" applyAlignment="1" applyProtection="1">
      <alignment horizontal="center" vertical="center"/>
      <protection locked="0"/>
    </xf>
    <xf numFmtId="0" fontId="0" fillId="2" borderId="54" xfId="0" applyFill="1" applyBorder="1" applyAlignment="1" applyProtection="1">
      <alignment horizontal="center"/>
      <protection locked="0"/>
    </xf>
    <xf numFmtId="0" fontId="0" fillId="2" borderId="54" xfId="0" applyFill="1" applyBorder="1" applyAlignment="1" applyProtection="1">
      <alignment horizontal="center" wrapText="1"/>
      <protection locked="0"/>
    </xf>
    <xf numFmtId="0" fontId="1" fillId="2" borderId="54" xfId="0" applyFont="1" applyFill="1" applyBorder="1" applyAlignment="1" applyProtection="1">
      <alignment horizontal="center"/>
      <protection locked="0"/>
    </xf>
    <xf numFmtId="172" fontId="92" fillId="26" borderId="106" xfId="71" applyNumberFormat="1" applyFont="1" applyFill="1" applyBorder="1" applyAlignment="1" applyProtection="1">
      <alignment horizontal="center" vertical="center" wrapText="1"/>
    </xf>
    <xf numFmtId="172" fontId="92" fillId="26" borderId="0" xfId="71" applyNumberFormat="1" applyFont="1" applyFill="1" applyBorder="1" applyAlignment="1" applyProtection="1">
      <alignment horizontal="center" vertical="center" wrapText="1"/>
    </xf>
    <xf numFmtId="0" fontId="132" fillId="25" borderId="144" xfId="68" applyFont="1" applyFill="1" applyBorder="1" applyAlignment="1" applyProtection="1">
      <alignment horizontal="center" vertical="center"/>
    </xf>
    <xf numFmtId="1" fontId="12" fillId="2" borderId="160" xfId="21" applyNumberFormat="1" applyFont="1" applyFill="1" applyBorder="1" applyAlignment="1" applyProtection="1">
      <alignment horizontal="center" vertical="center"/>
      <protection locked="0"/>
    </xf>
    <xf numFmtId="0" fontId="109" fillId="26" borderId="15" xfId="71" applyFont="1" applyFill="1" applyBorder="1" applyAlignment="1" applyProtection="1">
      <alignment horizontal="center" vertical="center"/>
    </xf>
    <xf numFmtId="0" fontId="109" fillId="26" borderId="160" xfId="71" applyFont="1" applyFill="1" applyBorder="1" applyAlignment="1" applyProtection="1">
      <alignment horizontal="center" vertical="center"/>
    </xf>
    <xf numFmtId="0" fontId="109" fillId="26" borderId="160" xfId="71" applyFont="1" applyFill="1" applyBorder="1" applyAlignment="1" applyProtection="1">
      <alignment horizontal="center"/>
    </xf>
    <xf numFmtId="0" fontId="109" fillId="0" borderId="160" xfId="71" applyFont="1" applyBorder="1" applyAlignment="1" applyProtection="1">
      <alignment horizontal="center"/>
      <protection locked="0"/>
    </xf>
    <xf numFmtId="0" fontId="109" fillId="0" borderId="14" xfId="71" applyFont="1" applyBorder="1" applyAlignment="1" applyProtection="1">
      <alignment horizontal="center"/>
      <protection locked="0"/>
    </xf>
    <xf numFmtId="0" fontId="3" fillId="26" borderId="32" xfId="71" applyFont="1" applyFill="1" applyBorder="1" applyAlignment="1" applyProtection="1">
      <alignment horizontal="left" vertical="top" wrapText="1"/>
    </xf>
    <xf numFmtId="0" fontId="1" fillId="2" borderId="0" xfId="21" applyFont="1" applyFill="1" applyBorder="1" applyAlignment="1" applyProtection="1">
      <alignment horizontal="left"/>
      <protection locked="0"/>
    </xf>
    <xf numFmtId="168" fontId="1" fillId="2" borderId="0" xfId="21" applyNumberFormat="1" applyFont="1" applyFill="1" applyBorder="1" applyAlignment="1" applyProtection="1">
      <alignment horizontal="center"/>
      <protection locked="0"/>
    </xf>
    <xf numFmtId="0" fontId="109" fillId="26" borderId="32" xfId="71" applyFont="1" applyFill="1" applyBorder="1" applyAlignment="1" applyProtection="1">
      <alignment horizontal="center" vertical="top" wrapText="1"/>
      <protection locked="0"/>
    </xf>
    <xf numFmtId="0" fontId="92" fillId="2" borderId="15" xfId="21" applyNumberFormat="1" applyFont="1" applyFill="1" applyBorder="1" applyAlignment="1" applyProtection="1">
      <alignment horizontal="center" vertical="center"/>
    </xf>
    <xf numFmtId="0" fontId="92" fillId="2" borderId="160" xfId="21" applyNumberFormat="1" applyFont="1" applyFill="1" applyBorder="1" applyAlignment="1" applyProtection="1">
      <alignment horizontal="center" vertical="center"/>
    </xf>
    <xf numFmtId="0" fontId="92" fillId="2" borderId="14" xfId="21" applyNumberFormat="1" applyFont="1" applyFill="1" applyBorder="1" applyAlignment="1" applyProtection="1">
      <alignment horizontal="center" vertical="center"/>
    </xf>
    <xf numFmtId="2" fontId="4" fillId="2" borderId="19" xfId="21" applyNumberFormat="1" applyFont="1" applyFill="1" applyBorder="1" applyAlignment="1" applyProtection="1">
      <alignment horizontal="center" vertical="center"/>
      <protection locked="0"/>
    </xf>
    <xf numFmtId="2" fontId="4" fillId="2" borderId="0" xfId="21" applyNumberFormat="1" applyFont="1" applyFill="1" applyBorder="1" applyAlignment="1" applyProtection="1">
      <alignment horizontal="center" vertical="center"/>
      <protection locked="0"/>
    </xf>
    <xf numFmtId="1" fontId="4" fillId="2" borderId="0" xfId="21" applyNumberFormat="1" applyFont="1" applyFill="1" applyBorder="1" applyAlignment="1" applyProtection="1">
      <alignment horizontal="center" vertical="center"/>
      <protection locked="0"/>
    </xf>
    <xf numFmtId="167" fontId="4" fillId="2" borderId="0" xfId="21" applyNumberFormat="1" applyFont="1" applyFill="1" applyBorder="1" applyAlignment="1" applyProtection="1">
      <alignment horizontal="center" vertical="center"/>
      <protection locked="0"/>
    </xf>
    <xf numFmtId="167" fontId="2" fillId="2" borderId="12" xfId="21" applyNumberFormat="1" applyFont="1" applyFill="1" applyBorder="1" applyAlignment="1" applyProtection="1">
      <alignment horizontal="center" vertical="center"/>
      <protection locked="0"/>
    </xf>
    <xf numFmtId="0" fontId="92" fillId="2" borderId="0" xfId="21" applyNumberFormat="1" applyFont="1" applyFill="1" applyBorder="1" applyAlignment="1" applyProtection="1">
      <alignment horizontal="center" vertical="center"/>
    </xf>
    <xf numFmtId="0" fontId="92" fillId="2" borderId="18" xfId="21" applyNumberFormat="1" applyFont="1" applyFill="1" applyBorder="1" applyAlignment="1" applyProtection="1">
      <alignment horizontal="center" vertical="center"/>
    </xf>
    <xf numFmtId="0" fontId="92" fillId="2" borderId="19" xfId="21" applyNumberFormat="1" applyFont="1" applyFill="1" applyBorder="1" applyAlignment="1" applyProtection="1">
      <alignment horizontal="center" vertical="center"/>
    </xf>
    <xf numFmtId="2" fontId="124" fillId="2" borderId="15" xfId="21" applyNumberFormat="1" applyFont="1" applyFill="1" applyBorder="1" applyAlignment="1" applyProtection="1">
      <alignment horizontal="center" vertical="center"/>
    </xf>
    <xf numFmtId="2" fontId="124" fillId="2" borderId="160" xfId="21" applyNumberFormat="1" applyFont="1" applyFill="1" applyBorder="1" applyAlignment="1" applyProtection="1">
      <alignment horizontal="center" vertical="center"/>
    </xf>
    <xf numFmtId="1" fontId="92" fillId="2" borderId="160" xfId="21" applyNumberFormat="1" applyFont="1" applyFill="1" applyBorder="1" applyAlignment="1" applyProtection="1">
      <alignment horizontal="center" vertical="center"/>
    </xf>
    <xf numFmtId="1" fontId="92" fillId="2" borderId="14" xfId="21" applyNumberFormat="1" applyFont="1" applyFill="1" applyBorder="1" applyAlignment="1" applyProtection="1">
      <alignment horizontal="center" vertical="center"/>
    </xf>
    <xf numFmtId="167" fontId="92" fillId="2" borderId="15" xfId="21" applyNumberFormat="1" applyFont="1" applyFill="1" applyBorder="1" applyAlignment="1" applyProtection="1">
      <alignment horizontal="center" vertical="center"/>
    </xf>
    <xf numFmtId="167" fontId="92" fillId="2" borderId="160" xfId="21" applyNumberFormat="1" applyFont="1" applyFill="1" applyBorder="1" applyAlignment="1" applyProtection="1">
      <alignment horizontal="center" vertical="center"/>
    </xf>
    <xf numFmtId="167" fontId="92" fillId="2" borderId="14" xfId="21" applyNumberFormat="1" applyFont="1" applyFill="1" applyBorder="1" applyAlignment="1" applyProtection="1">
      <alignment horizontal="center" vertical="center"/>
    </xf>
    <xf numFmtId="167" fontId="109" fillId="2" borderId="15" xfId="21" applyNumberFormat="1" applyFont="1" applyFill="1" applyBorder="1" applyAlignment="1" applyProtection="1">
      <alignment horizontal="center" vertical="center"/>
    </xf>
    <xf numFmtId="167" fontId="109" fillId="2" borderId="16" xfId="21" applyNumberFormat="1" applyFont="1" applyFill="1" applyBorder="1" applyAlignment="1" applyProtection="1">
      <alignment horizontal="center" vertical="center"/>
    </xf>
    <xf numFmtId="167" fontId="109" fillId="2" borderId="14" xfId="21" applyNumberFormat="1" applyFont="1" applyFill="1" applyBorder="1" applyAlignment="1" applyProtection="1">
      <alignment horizontal="center" vertical="center"/>
    </xf>
    <xf numFmtId="167" fontId="2" fillId="2" borderId="15" xfId="21" applyNumberFormat="1" applyFont="1" applyFill="1" applyBorder="1" applyAlignment="1" applyProtection="1">
      <alignment horizontal="center" vertical="center"/>
    </xf>
    <xf numFmtId="167" fontId="2" fillId="2" borderId="16" xfId="21" applyNumberFormat="1" applyFont="1" applyFill="1" applyBorder="1" applyAlignment="1" applyProtection="1">
      <alignment horizontal="center" vertical="center"/>
    </xf>
    <xf numFmtId="167" fontId="2" fillId="2" borderId="14" xfId="21" applyNumberFormat="1" applyFont="1" applyFill="1" applyBorder="1" applyAlignment="1" applyProtection="1">
      <alignment horizontal="center" vertical="center"/>
    </xf>
    <xf numFmtId="167" fontId="2" fillId="2" borderId="160" xfId="21" applyNumberFormat="1" applyFont="1" applyFill="1" applyBorder="1" applyAlignment="1" applyProtection="1">
      <alignment horizontal="center" vertical="center"/>
    </xf>
    <xf numFmtId="1" fontId="2" fillId="2" borderId="19" xfId="21" applyNumberFormat="1" applyFont="1" applyFill="1" applyBorder="1" applyAlignment="1" applyProtection="1">
      <alignment horizontal="center" vertical="center"/>
    </xf>
    <xf numFmtId="1" fontId="2" fillId="2" borderId="0" xfId="21" applyNumberFormat="1" applyFont="1" applyFill="1" applyBorder="1" applyAlignment="1" applyProtection="1">
      <alignment horizontal="center" vertical="center"/>
    </xf>
    <xf numFmtId="1" fontId="2" fillId="2" borderId="18" xfId="21" applyNumberFormat="1" applyFont="1" applyFill="1" applyBorder="1" applyAlignment="1" applyProtection="1">
      <alignment horizontal="center" vertical="center"/>
    </xf>
    <xf numFmtId="2" fontId="124" fillId="2" borderId="19" xfId="21" applyNumberFormat="1" applyFont="1" applyFill="1" applyBorder="1" applyAlignment="1" applyProtection="1">
      <alignment horizontal="center" vertical="center"/>
    </xf>
    <xf numFmtId="2" fontId="124" fillId="2" borderId="0" xfId="21" applyNumberFormat="1" applyFont="1" applyFill="1" applyBorder="1" applyAlignment="1" applyProtection="1">
      <alignment horizontal="center" vertical="center"/>
    </xf>
    <xf numFmtId="1" fontId="92" fillId="2" borderId="0" xfId="21" applyNumberFormat="1" applyFont="1" applyFill="1" applyBorder="1" applyAlignment="1" applyProtection="1">
      <alignment horizontal="center" vertical="center"/>
    </xf>
    <xf numFmtId="1" fontId="92" fillId="2" borderId="18" xfId="21" applyNumberFormat="1" applyFont="1" applyFill="1" applyBorder="1" applyAlignment="1" applyProtection="1">
      <alignment horizontal="center" vertical="center"/>
    </xf>
    <xf numFmtId="167" fontId="92" fillId="2" borderId="19" xfId="21" applyNumberFormat="1" applyFont="1" applyFill="1" applyBorder="1" applyAlignment="1" applyProtection="1">
      <alignment horizontal="center" vertical="center"/>
    </xf>
    <xf numFmtId="167" fontId="92" fillId="2" borderId="0" xfId="21" applyNumberFormat="1" applyFont="1" applyFill="1" applyBorder="1" applyAlignment="1" applyProtection="1">
      <alignment horizontal="center" vertical="center"/>
    </xf>
    <xf numFmtId="167" fontId="92" fillId="2" borderId="18" xfId="21" applyNumberFormat="1" applyFont="1" applyFill="1" applyBorder="1" applyAlignment="1" applyProtection="1">
      <alignment horizontal="center" vertical="center"/>
    </xf>
    <xf numFmtId="1" fontId="109" fillId="2" borderId="19" xfId="21" applyNumberFormat="1" applyFont="1" applyFill="1" applyBorder="1" applyAlignment="1" applyProtection="1">
      <alignment horizontal="center" vertical="center"/>
    </xf>
    <xf numFmtId="1" fontId="109" fillId="2" borderId="0" xfId="21" applyNumberFormat="1" applyFont="1" applyFill="1" applyBorder="1" applyAlignment="1" applyProtection="1">
      <alignment horizontal="center" vertical="center"/>
    </xf>
    <xf numFmtId="1" fontId="109" fillId="2" borderId="18" xfId="21" applyNumberFormat="1" applyFont="1" applyFill="1" applyBorder="1" applyAlignment="1" applyProtection="1">
      <alignment horizontal="center" vertical="center"/>
    </xf>
    <xf numFmtId="2" fontId="124" fillId="2" borderId="164" xfId="21" applyNumberFormat="1" applyFont="1" applyFill="1" applyBorder="1" applyAlignment="1" applyProtection="1">
      <alignment horizontal="center" vertical="center"/>
    </xf>
    <xf numFmtId="2" fontId="124" fillId="2" borderId="162" xfId="21" applyNumberFormat="1" applyFont="1" applyFill="1" applyBorder="1" applyAlignment="1" applyProtection="1">
      <alignment horizontal="center" vertical="center"/>
    </xf>
    <xf numFmtId="167" fontId="92" fillId="2" borderId="164" xfId="21" applyNumberFormat="1" applyFont="1" applyFill="1" applyBorder="1" applyAlignment="1" applyProtection="1">
      <alignment horizontal="center" vertical="center"/>
    </xf>
    <xf numFmtId="167" fontId="92" fillId="2" borderId="162" xfId="21" applyNumberFormat="1" applyFont="1" applyFill="1" applyBorder="1" applyAlignment="1" applyProtection="1">
      <alignment horizontal="center" vertical="center"/>
    </xf>
    <xf numFmtId="167" fontId="92" fillId="2" borderId="163" xfId="21" applyNumberFormat="1" applyFont="1" applyFill="1" applyBorder="1" applyAlignment="1" applyProtection="1">
      <alignment horizontal="center" vertical="center"/>
    </xf>
    <xf numFmtId="1" fontId="109" fillId="2" borderId="13" xfId="21" applyNumberFormat="1" applyFont="1" applyFill="1" applyBorder="1" applyAlignment="1" applyProtection="1">
      <alignment horizontal="center" vertical="center"/>
    </xf>
    <xf numFmtId="1" fontId="109" fillId="2" borderId="12" xfId="21" applyNumberFormat="1" applyFont="1" applyFill="1" applyBorder="1" applyAlignment="1" applyProtection="1">
      <alignment horizontal="center" vertical="center"/>
    </xf>
    <xf numFmtId="1" fontId="109" fillId="2" borderId="17" xfId="21" applyNumberFormat="1" applyFont="1" applyFill="1" applyBorder="1" applyAlignment="1" applyProtection="1">
      <alignment horizontal="center" vertical="center"/>
    </xf>
    <xf numFmtId="1" fontId="2" fillId="2" borderId="13" xfId="21" applyNumberFormat="1" applyFont="1" applyFill="1" applyBorder="1" applyAlignment="1" applyProtection="1">
      <alignment horizontal="center" vertical="center"/>
    </xf>
    <xf numFmtId="1" fontId="2" fillId="2" borderId="12" xfId="21" applyNumberFormat="1" applyFont="1" applyFill="1" applyBorder="1" applyAlignment="1" applyProtection="1">
      <alignment horizontal="center" vertical="center"/>
    </xf>
    <xf numFmtId="1" fontId="2" fillId="2" borderId="17" xfId="21" applyNumberFormat="1" applyFont="1" applyFill="1" applyBorder="1" applyAlignment="1" applyProtection="1">
      <alignment horizontal="center" vertical="center"/>
    </xf>
    <xf numFmtId="1" fontId="2" fillId="2" borderId="164" xfId="21" applyNumberFormat="1" applyFont="1" applyFill="1" applyBorder="1" applyAlignment="1" applyProtection="1">
      <alignment horizontal="center" vertical="center"/>
    </xf>
    <xf numFmtId="1" fontId="2" fillId="2" borderId="162" xfId="21" applyNumberFormat="1" applyFont="1" applyFill="1" applyBorder="1" applyAlignment="1" applyProtection="1">
      <alignment horizontal="center" vertical="center"/>
    </xf>
    <xf numFmtId="0" fontId="121" fillId="2" borderId="11" xfId="21" applyFont="1" applyFill="1" applyBorder="1" applyAlignment="1" applyProtection="1">
      <alignment horizontal="center" vertical="center"/>
    </xf>
    <xf numFmtId="0" fontId="121" fillId="2" borderId="10" xfId="21" applyFont="1" applyFill="1" applyBorder="1" applyAlignment="1" applyProtection="1">
      <alignment horizontal="center" vertical="center"/>
    </xf>
    <xf numFmtId="0" fontId="121" fillId="2" borderId="162" xfId="21" applyFont="1" applyFill="1" applyBorder="1" applyAlignment="1" applyProtection="1">
      <alignment horizontal="center" vertical="center"/>
    </xf>
    <xf numFmtId="0" fontId="121" fillId="2" borderId="9" xfId="21" applyFont="1" applyFill="1" applyBorder="1" applyAlignment="1" applyProtection="1">
      <alignment horizontal="center" vertical="center"/>
    </xf>
    <xf numFmtId="0" fontId="42" fillId="25" borderId="117" xfId="21" applyFont="1" applyFill="1" applyBorder="1" applyAlignment="1" applyProtection="1">
      <alignment horizontal="center" vertical="center" wrapText="1"/>
    </xf>
    <xf numFmtId="0" fontId="42" fillId="25" borderId="110" xfId="21" applyFont="1" applyFill="1" applyBorder="1" applyAlignment="1" applyProtection="1">
      <alignment horizontal="center" vertical="center" wrapText="1"/>
    </xf>
    <xf numFmtId="0" fontId="42" fillId="25" borderId="111" xfId="21" applyFont="1" applyFill="1" applyBorder="1" applyAlignment="1" applyProtection="1">
      <alignment horizontal="center" vertical="center" wrapText="1"/>
    </xf>
    <xf numFmtId="0" fontId="42" fillId="25" borderId="84" xfId="21" applyFont="1" applyFill="1" applyBorder="1" applyAlignment="1" applyProtection="1">
      <alignment horizontal="center" vertical="center"/>
    </xf>
    <xf numFmtId="0" fontId="42" fillId="25" borderId="83" xfId="21" applyFont="1" applyFill="1" applyBorder="1" applyAlignment="1" applyProtection="1">
      <alignment horizontal="center" vertical="center"/>
    </xf>
    <xf numFmtId="0" fontId="42" fillId="25" borderId="85" xfId="21" applyFont="1" applyFill="1" applyBorder="1" applyAlignment="1" applyProtection="1">
      <alignment horizontal="center" vertical="center"/>
    </xf>
    <xf numFmtId="0" fontId="42" fillId="25" borderId="319" xfId="21" applyFont="1" applyFill="1" applyBorder="1" applyAlignment="1" applyProtection="1">
      <alignment horizontal="center" vertical="center" wrapText="1"/>
    </xf>
    <xf numFmtId="0" fontId="42" fillId="25" borderId="71" xfId="21" applyFont="1" applyFill="1" applyBorder="1" applyAlignment="1" applyProtection="1">
      <alignment horizontal="center" vertical="center" wrapText="1"/>
    </xf>
    <xf numFmtId="0" fontId="42" fillId="25" borderId="73" xfId="21" applyFont="1" applyFill="1" applyBorder="1" applyAlignment="1" applyProtection="1">
      <alignment horizontal="center" vertical="center" wrapText="1"/>
    </xf>
    <xf numFmtId="0" fontId="42" fillId="25" borderId="126" xfId="21" applyFont="1" applyFill="1" applyBorder="1" applyAlignment="1" applyProtection="1">
      <alignment horizontal="center" vertical="center" wrapText="1"/>
    </xf>
    <xf numFmtId="0" fontId="42" fillId="25" borderId="29" xfId="21" applyFont="1" applyFill="1" applyBorder="1" applyAlignment="1" applyProtection="1">
      <alignment horizontal="center" vertical="center" wrapText="1"/>
    </xf>
    <xf numFmtId="0" fontId="42" fillId="25" borderId="32" xfId="21" applyFont="1" applyFill="1" applyBorder="1" applyAlignment="1" applyProtection="1">
      <alignment horizontal="center" vertical="center"/>
    </xf>
    <xf numFmtId="0" fontId="42" fillId="25" borderId="66" xfId="21" applyFont="1" applyFill="1" applyBorder="1" applyAlignment="1" applyProtection="1">
      <alignment horizontal="center" vertical="center"/>
    </xf>
    <xf numFmtId="0" fontId="42" fillId="25" borderId="101" xfId="21" applyFont="1" applyFill="1" applyBorder="1" applyAlignment="1" applyProtection="1">
      <alignment horizontal="center" vertical="center"/>
    </xf>
    <xf numFmtId="0" fontId="42" fillId="25" borderId="102" xfId="21" applyFont="1" applyFill="1" applyBorder="1" applyAlignment="1" applyProtection="1">
      <alignment horizontal="center" vertical="center"/>
    </xf>
    <xf numFmtId="0" fontId="42" fillId="25" borderId="103" xfId="21" applyFont="1" applyFill="1" applyBorder="1" applyAlignment="1" applyProtection="1">
      <alignment horizontal="center" vertical="center"/>
    </xf>
    <xf numFmtId="0" fontId="42" fillId="25" borderId="19" xfId="21" applyFont="1" applyFill="1" applyBorder="1" applyAlignment="1" applyProtection="1">
      <alignment horizontal="center" vertical="center" wrapText="1"/>
    </xf>
    <xf numFmtId="0" fontId="42" fillId="25" borderId="0" xfId="21" applyFont="1" applyFill="1" applyBorder="1" applyAlignment="1" applyProtection="1">
      <alignment horizontal="center" vertical="center" wrapText="1"/>
    </xf>
    <xf numFmtId="0" fontId="42" fillId="25" borderId="35" xfId="21" applyFont="1" applyFill="1" applyBorder="1" applyAlignment="1" applyProtection="1">
      <alignment horizontal="center" vertical="center" wrapText="1"/>
    </xf>
    <xf numFmtId="0" fontId="42" fillId="25" borderId="320" xfId="21" applyFont="1" applyFill="1" applyBorder="1" applyAlignment="1" applyProtection="1">
      <alignment horizontal="center" vertical="center" wrapText="1"/>
    </xf>
    <xf numFmtId="0" fontId="42" fillId="25" borderId="75" xfId="21" applyFont="1" applyFill="1" applyBorder="1" applyAlignment="1" applyProtection="1">
      <alignment horizontal="center" vertical="center" wrapText="1"/>
    </xf>
    <xf numFmtId="0" fontId="42" fillId="25" borderId="77" xfId="21" applyFont="1" applyFill="1" applyBorder="1" applyAlignment="1" applyProtection="1">
      <alignment horizontal="center" vertical="center" wrapText="1"/>
    </xf>
    <xf numFmtId="0" fontId="42" fillId="25" borderId="37" xfId="21" applyFont="1" applyFill="1" applyBorder="1" applyAlignment="1" applyProtection="1">
      <alignment horizontal="center" vertical="center" wrapText="1"/>
    </xf>
    <xf numFmtId="0" fontId="42" fillId="25" borderId="79" xfId="21" applyFont="1" applyFill="1" applyBorder="1" applyAlignment="1" applyProtection="1">
      <alignment horizontal="center" vertical="center" wrapText="1"/>
    </xf>
    <xf numFmtId="1" fontId="12" fillId="2" borderId="10" xfId="21" applyNumberFormat="1" applyFont="1" applyFill="1" applyBorder="1" applyAlignment="1" applyProtection="1">
      <alignment horizontal="center" vertical="center"/>
    </xf>
    <xf numFmtId="1" fontId="12" fillId="2" borderId="162" xfId="21" applyNumberFormat="1" applyFont="1" applyFill="1" applyBorder="1" applyAlignment="1" applyProtection="1">
      <alignment horizontal="center" vertical="center"/>
    </xf>
    <xf numFmtId="1" fontId="12" fillId="2" borderId="9" xfId="21" applyNumberFormat="1" applyFont="1" applyFill="1" applyBorder="1" applyAlignment="1" applyProtection="1">
      <alignment horizontal="center" vertical="center"/>
    </xf>
    <xf numFmtId="0" fontId="13" fillId="0" borderId="49" xfId="21" applyFont="1" applyBorder="1" applyAlignment="1" applyProtection="1">
      <alignment horizontal="center" vertical="center"/>
      <protection locked="0"/>
    </xf>
    <xf numFmtId="0" fontId="7" fillId="0" borderId="164" xfId="0" applyFont="1" applyFill="1" applyBorder="1" applyAlignment="1" applyProtection="1">
      <alignment horizontal="center"/>
    </xf>
    <xf numFmtId="0" fontId="7" fillId="0" borderId="162" xfId="0" applyFont="1" applyFill="1" applyBorder="1" applyAlignment="1" applyProtection="1">
      <alignment horizontal="center"/>
    </xf>
    <xf numFmtId="0" fontId="7" fillId="0" borderId="163" xfId="0" applyFont="1" applyFill="1" applyBorder="1" applyAlignment="1" applyProtection="1">
      <alignment horizontal="center"/>
    </xf>
    <xf numFmtId="0" fontId="7" fillId="0" borderId="19" xfId="0" applyFont="1" applyFill="1" applyBorder="1" applyAlignment="1" applyProtection="1">
      <alignment horizontal="center"/>
    </xf>
    <xf numFmtId="0" fontId="7" fillId="0" borderId="0" xfId="0" applyFont="1" applyFill="1" applyBorder="1" applyAlignment="1" applyProtection="1">
      <alignment horizontal="center"/>
    </xf>
    <xf numFmtId="0" fontId="7" fillId="0" borderId="18" xfId="0" applyFont="1" applyFill="1" applyBorder="1" applyAlignment="1" applyProtection="1">
      <alignment horizontal="center"/>
    </xf>
    <xf numFmtId="0" fontId="7" fillId="0" borderId="15" xfId="0" applyFont="1" applyFill="1" applyBorder="1" applyAlignment="1" applyProtection="1">
      <alignment horizontal="center"/>
    </xf>
    <xf numFmtId="0" fontId="7" fillId="0" borderId="160" xfId="0" applyFont="1" applyFill="1" applyBorder="1" applyAlignment="1" applyProtection="1">
      <alignment horizontal="center"/>
    </xf>
    <xf numFmtId="0" fontId="7" fillId="0" borderId="14" xfId="0" applyFont="1" applyFill="1" applyBorder="1" applyAlignment="1" applyProtection="1">
      <alignment horizontal="center"/>
    </xf>
    <xf numFmtId="0" fontId="131" fillId="26" borderId="122" xfId="0" applyFont="1" applyFill="1" applyBorder="1" applyAlignment="1" applyProtection="1">
      <alignment horizontal="left" vertical="center" wrapText="1"/>
    </xf>
    <xf numFmtId="0" fontId="131" fillId="26" borderId="39" xfId="0" applyFont="1" applyFill="1" applyBorder="1" applyAlignment="1" applyProtection="1">
      <alignment horizontal="left" vertical="center" wrapText="1"/>
    </xf>
    <xf numFmtId="0" fontId="131" fillId="26" borderId="40" xfId="0" applyFont="1" applyFill="1" applyBorder="1" applyAlignment="1" applyProtection="1">
      <alignment horizontal="left" vertical="center" wrapText="1"/>
    </xf>
    <xf numFmtId="0" fontId="131" fillId="2" borderId="30" xfId="0" applyFont="1" applyFill="1" applyBorder="1" applyAlignment="1" applyProtection="1">
      <alignment horizontal="left" vertical="center" wrapText="1"/>
    </xf>
    <xf numFmtId="0" fontId="131" fillId="2" borderId="39" xfId="0" applyFont="1" applyFill="1" applyBorder="1" applyAlignment="1" applyProtection="1">
      <alignment horizontal="left" vertical="center" wrapText="1"/>
    </xf>
    <xf numFmtId="0" fontId="131" fillId="2" borderId="125" xfId="0" applyFont="1" applyFill="1" applyBorder="1" applyAlignment="1" applyProtection="1">
      <alignment horizontal="left" vertical="center" wrapText="1"/>
    </xf>
    <xf numFmtId="0" fontId="131" fillId="2" borderId="122" xfId="21" applyFont="1" applyFill="1" applyBorder="1" applyAlignment="1" applyProtection="1">
      <alignment horizontal="left" vertical="center"/>
    </xf>
    <xf numFmtId="0" fontId="131" fillId="2" borderId="39" xfId="21" applyFont="1" applyFill="1" applyBorder="1" applyAlignment="1" applyProtection="1">
      <alignment horizontal="left" vertical="center"/>
    </xf>
    <xf numFmtId="0" fontId="131" fillId="2" borderId="125" xfId="21" applyFont="1" applyFill="1" applyBorder="1" applyAlignment="1" applyProtection="1">
      <alignment horizontal="left" vertical="center"/>
    </xf>
    <xf numFmtId="0" fontId="5" fillId="26" borderId="72" xfId="0" applyFont="1" applyFill="1" applyBorder="1" applyAlignment="1" applyProtection="1">
      <alignment horizontal="left" vertical="center"/>
    </xf>
    <xf numFmtId="0" fontId="5" fillId="26" borderId="71" xfId="0" applyFont="1" applyFill="1" applyBorder="1" applyAlignment="1" applyProtection="1">
      <alignment horizontal="left" vertical="center"/>
    </xf>
    <xf numFmtId="0" fontId="5" fillId="26" borderId="71" xfId="0" applyFont="1" applyFill="1" applyBorder="1" applyAlignment="1" applyProtection="1">
      <alignment horizontal="center" vertical="center"/>
    </xf>
    <xf numFmtId="0" fontId="5" fillId="26" borderId="71" xfId="0" applyFont="1" applyFill="1" applyBorder="1" applyAlignment="1" applyProtection="1">
      <alignment horizontal="center" vertical="center"/>
      <protection locked="0"/>
    </xf>
    <xf numFmtId="0" fontId="5" fillId="26" borderId="126" xfId="0" applyFont="1" applyFill="1" applyBorder="1" applyAlignment="1" applyProtection="1">
      <alignment horizontal="center" vertical="center"/>
      <protection locked="0"/>
    </xf>
    <xf numFmtId="0" fontId="1" fillId="0" borderId="0" xfId="21" applyFont="1" applyFill="1" applyBorder="1" applyAlignment="1" applyProtection="1">
      <alignment horizontal="center"/>
      <protection locked="0"/>
    </xf>
    <xf numFmtId="0" fontId="50" fillId="2" borderId="0" xfId="21" applyFont="1" applyFill="1" applyAlignment="1" applyProtection="1">
      <alignment horizontal="right"/>
    </xf>
    <xf numFmtId="0" fontId="3" fillId="2" borderId="164" xfId="0" applyFont="1" applyFill="1" applyBorder="1" applyAlignment="1" applyProtection="1">
      <alignment horizontal="center" vertical="center" wrapText="1"/>
    </xf>
    <xf numFmtId="0" fontId="3" fillId="2" borderId="162" xfId="0" applyFont="1" applyFill="1" applyBorder="1" applyAlignment="1" applyProtection="1">
      <alignment horizontal="center" vertical="center" wrapText="1"/>
    </xf>
    <xf numFmtId="0" fontId="3" fillId="2" borderId="163" xfId="0" applyFont="1" applyFill="1" applyBorder="1" applyAlignment="1" applyProtection="1">
      <alignment horizontal="center" vertical="center" wrapText="1"/>
    </xf>
    <xf numFmtId="0" fontId="3" fillId="2" borderId="19" xfId="0"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xf>
    <xf numFmtId="0" fontId="3" fillId="2" borderId="18" xfId="0" applyFont="1" applyFill="1" applyBorder="1" applyAlignment="1" applyProtection="1">
      <alignment horizontal="center" vertical="center" wrapText="1"/>
    </xf>
    <xf numFmtId="0" fontId="3" fillId="2" borderId="78" xfId="0" applyFont="1" applyFill="1" applyBorder="1" applyAlignment="1" applyProtection="1">
      <alignment horizontal="center" vertical="center" wrapText="1"/>
    </xf>
    <xf numFmtId="0" fontId="3" fillId="2" borderId="37" xfId="0" applyFont="1" applyFill="1" applyBorder="1" applyAlignment="1" applyProtection="1">
      <alignment horizontal="center" vertical="center" wrapText="1"/>
    </xf>
    <xf numFmtId="0" fontId="3" fillId="2" borderId="79" xfId="0" applyFont="1" applyFill="1" applyBorder="1" applyAlignment="1" applyProtection="1">
      <alignment horizontal="center" vertical="center" wrapText="1"/>
    </xf>
    <xf numFmtId="0" fontId="14" fillId="2" borderId="11" xfId="21" applyFont="1" applyFill="1" applyBorder="1" applyAlignment="1" applyProtection="1">
      <alignment horizontal="center"/>
      <protection locked="0"/>
    </xf>
    <xf numFmtId="0" fontId="14" fillId="2" borderId="9" xfId="21" applyFont="1" applyFill="1" applyBorder="1" applyAlignment="1" applyProtection="1">
      <alignment horizontal="center"/>
      <protection locked="0"/>
    </xf>
    <xf numFmtId="0" fontId="94" fillId="0" borderId="10" xfId="0" applyFont="1" applyBorder="1" applyAlignment="1" applyProtection="1">
      <alignment horizontal="center" vertical="center"/>
    </xf>
    <xf numFmtId="0" fontId="94" fillId="0" borderId="9" xfId="0" applyFont="1" applyBorder="1" applyAlignment="1" applyProtection="1">
      <alignment horizontal="center" vertical="center"/>
    </xf>
    <xf numFmtId="167" fontId="4" fillId="2" borderId="10" xfId="21" applyNumberFormat="1" applyFont="1" applyFill="1" applyBorder="1" applyAlignment="1" applyProtection="1">
      <alignment horizontal="center" vertical="center"/>
    </xf>
    <xf numFmtId="167" fontId="4" fillId="2" borderId="9" xfId="21" applyNumberFormat="1" applyFont="1" applyFill="1" applyBorder="1" applyAlignment="1" applyProtection="1">
      <alignment horizontal="center" vertical="center"/>
    </xf>
    <xf numFmtId="1" fontId="2" fillId="2" borderId="163" xfId="21" applyNumberFormat="1" applyFont="1" applyFill="1" applyBorder="1" applyAlignment="1" applyProtection="1">
      <alignment horizontal="center" vertical="center"/>
    </xf>
    <xf numFmtId="0" fontId="92" fillId="2" borderId="162" xfId="21" applyNumberFormat="1" applyFont="1" applyFill="1" applyBorder="1" applyAlignment="1" applyProtection="1">
      <alignment horizontal="center" vertical="center"/>
    </xf>
    <xf numFmtId="0" fontId="92" fillId="2" borderId="164" xfId="21" applyNumberFormat="1" applyFont="1" applyFill="1" applyBorder="1" applyAlignment="1" applyProtection="1">
      <alignment horizontal="center" vertical="center"/>
    </xf>
    <xf numFmtId="0" fontId="92" fillId="2" borderId="163" xfId="21" applyNumberFormat="1" applyFont="1" applyFill="1" applyBorder="1" applyAlignment="1" applyProtection="1">
      <alignment horizontal="center" vertical="center"/>
    </xf>
    <xf numFmtId="0" fontId="46" fillId="0" borderId="0" xfId="70" applyFont="1" applyBorder="1" applyAlignment="1">
      <alignment horizontal="center" vertical="center" wrapText="1"/>
    </xf>
    <xf numFmtId="0" fontId="91" fillId="33" borderId="19" xfId="546" applyFont="1" applyFill="1" applyBorder="1" applyAlignment="1">
      <alignment horizontal="left" vertical="center"/>
    </xf>
    <xf numFmtId="0" fontId="91" fillId="33" borderId="0" xfId="546" applyFont="1" applyFill="1" applyBorder="1" applyAlignment="1">
      <alignment horizontal="left" vertical="center"/>
    </xf>
    <xf numFmtId="167" fontId="91" fillId="33" borderId="166" xfId="546" quotePrefix="1" applyNumberFormat="1" applyFont="1" applyFill="1" applyBorder="1" applyAlignment="1" applyProtection="1">
      <alignment horizontal="center" vertical="center"/>
    </xf>
    <xf numFmtId="167" fontId="91" fillId="33" borderId="18" xfId="546" quotePrefix="1" applyNumberFormat="1" applyFont="1" applyFill="1" applyBorder="1" applyAlignment="1" applyProtection="1">
      <alignment horizontal="center" vertical="center"/>
    </xf>
    <xf numFmtId="0" fontId="91" fillId="33" borderId="19" xfId="546" applyFont="1" applyFill="1" applyBorder="1" applyAlignment="1">
      <alignment horizontal="left" vertical="center" wrapText="1"/>
    </xf>
    <xf numFmtId="0" fontId="91" fillId="33" borderId="0" xfId="546" applyFont="1" applyFill="1" applyBorder="1" applyAlignment="1">
      <alignment horizontal="left" vertical="center" wrapText="1"/>
    </xf>
    <xf numFmtId="0" fontId="91" fillId="33" borderId="15" xfId="546" applyFont="1" applyFill="1" applyBorder="1" applyAlignment="1">
      <alignment horizontal="left" vertical="center" wrapText="1"/>
    </xf>
    <xf numFmtId="0" fontId="91" fillId="33" borderId="160" xfId="546" applyFont="1" applyFill="1" applyBorder="1" applyAlignment="1">
      <alignment horizontal="left" vertical="center" wrapText="1"/>
    </xf>
    <xf numFmtId="1" fontId="133" fillId="33" borderId="15" xfId="546" applyNumberFormat="1" applyFont="1" applyFill="1" applyBorder="1" applyAlignment="1">
      <alignment horizontal="center" vertical="center"/>
    </xf>
    <xf numFmtId="1" fontId="133" fillId="33" borderId="14" xfId="546" applyNumberFormat="1" applyFont="1" applyFill="1" applyBorder="1" applyAlignment="1">
      <alignment horizontal="center" vertical="center"/>
    </xf>
    <xf numFmtId="0" fontId="3" fillId="26" borderId="32" xfId="71" applyFont="1" applyFill="1" applyBorder="1" applyAlignment="1">
      <alignment horizontal="left" vertical="top" wrapText="1"/>
    </xf>
    <xf numFmtId="0" fontId="4" fillId="26" borderId="32" xfId="71" applyFont="1" applyFill="1" applyBorder="1" applyAlignment="1" applyProtection="1">
      <alignment horizontal="center" vertical="top" wrapText="1"/>
      <protection locked="0"/>
    </xf>
    <xf numFmtId="0" fontId="5" fillId="26" borderId="0" xfId="71" applyFont="1" applyFill="1" applyBorder="1" applyAlignment="1">
      <alignment horizontal="center" vertical="top" wrapText="1"/>
    </xf>
    <xf numFmtId="0" fontId="5" fillId="26" borderId="41" xfId="71" applyFont="1" applyFill="1" applyBorder="1" applyAlignment="1">
      <alignment horizontal="center" vertical="top" wrapText="1"/>
    </xf>
    <xf numFmtId="0" fontId="134" fillId="25" borderId="81" xfId="68" applyFont="1" applyFill="1" applyBorder="1" applyAlignment="1">
      <alignment horizontal="center" vertical="center"/>
    </xf>
    <xf numFmtId="0" fontId="46" fillId="0" borderId="167" xfId="69" applyFont="1" applyBorder="1" applyAlignment="1">
      <alignment horizontal="center" wrapText="1"/>
    </xf>
    <xf numFmtId="0" fontId="50" fillId="26" borderId="0" xfId="71" applyFont="1" applyFill="1" applyBorder="1" applyAlignment="1" applyProtection="1">
      <alignment horizontal="right" vertical="center"/>
    </xf>
    <xf numFmtId="168" fontId="91" fillId="33" borderId="0" xfId="546" applyNumberFormat="1" applyFont="1" applyFill="1" applyBorder="1" applyAlignment="1" applyProtection="1">
      <alignment horizontal="right" vertical="center" wrapText="1"/>
      <protection locked="0"/>
    </xf>
    <xf numFmtId="168" fontId="91" fillId="33" borderId="0" xfId="546" applyNumberFormat="1" applyFont="1" applyFill="1" applyBorder="1" applyAlignment="1" applyProtection="1">
      <alignment horizontal="left" vertical="center" wrapText="1"/>
      <protection locked="0"/>
    </xf>
    <xf numFmtId="0" fontId="4" fillId="0" borderId="164" xfId="71" applyFont="1" applyBorder="1" applyAlignment="1">
      <alignment horizontal="center" vertical="center"/>
    </xf>
    <xf numFmtId="0" fontId="4" fillId="0" borderId="162" xfId="71" applyFont="1" applyBorder="1" applyAlignment="1">
      <alignment horizontal="center" vertical="center"/>
    </xf>
    <xf numFmtId="0" fontId="4" fillId="0" borderId="163" xfId="71" applyFont="1" applyBorder="1" applyAlignment="1">
      <alignment horizontal="center" vertical="center"/>
    </xf>
    <xf numFmtId="0" fontId="4" fillId="0" borderId="19" xfId="71" applyFont="1" applyBorder="1" applyAlignment="1">
      <alignment horizontal="center" vertical="center"/>
    </xf>
    <xf numFmtId="0" fontId="4" fillId="0" borderId="0" xfId="71" applyFont="1" applyBorder="1" applyAlignment="1">
      <alignment horizontal="center" vertical="center"/>
    </xf>
    <xf numFmtId="0" fontId="4" fillId="0" borderId="18" xfId="71" applyFont="1" applyBorder="1" applyAlignment="1">
      <alignment horizontal="center" vertical="center"/>
    </xf>
    <xf numFmtId="0" fontId="4" fillId="0" borderId="15" xfId="71" applyFont="1" applyBorder="1" applyAlignment="1">
      <alignment horizontal="center" vertical="center"/>
    </xf>
    <xf numFmtId="0" fontId="4" fillId="0" borderId="160" xfId="71" applyFont="1" applyBorder="1" applyAlignment="1">
      <alignment horizontal="center" vertical="center"/>
    </xf>
    <xf numFmtId="0" fontId="4" fillId="0" borderId="14" xfId="71" applyFont="1" applyBorder="1" applyAlignment="1">
      <alignment horizontal="center" vertical="center"/>
    </xf>
    <xf numFmtId="0" fontId="3" fillId="0" borderId="164" xfId="71" applyFont="1" applyBorder="1" applyAlignment="1">
      <alignment horizontal="center" vertical="center" wrapText="1"/>
    </xf>
    <xf numFmtId="0" fontId="3" fillId="0" borderId="162" xfId="71" applyFont="1" applyBorder="1" applyAlignment="1">
      <alignment horizontal="center" vertical="center" wrapText="1"/>
    </xf>
    <xf numFmtId="0" fontId="3" fillId="0" borderId="163" xfId="71" applyFont="1" applyBorder="1" applyAlignment="1">
      <alignment horizontal="center" vertical="center" wrapText="1"/>
    </xf>
    <xf numFmtId="0" fontId="3" fillId="0" borderId="19" xfId="71" applyFont="1" applyBorder="1" applyAlignment="1">
      <alignment horizontal="center" vertical="center" wrapText="1"/>
    </xf>
    <xf numFmtId="0" fontId="3" fillId="0" borderId="0" xfId="71" applyFont="1" applyBorder="1" applyAlignment="1">
      <alignment horizontal="center" vertical="center" wrapText="1"/>
    </xf>
    <xf numFmtId="0" fontId="3" fillId="0" borderId="18" xfId="71" applyFont="1" applyBorder="1" applyAlignment="1">
      <alignment horizontal="center" vertical="center" wrapText="1"/>
    </xf>
    <xf numFmtId="0" fontId="3" fillId="0" borderId="15" xfId="71" applyFont="1" applyBorder="1" applyAlignment="1">
      <alignment horizontal="center" vertical="center" wrapText="1"/>
    </xf>
    <xf numFmtId="0" fontId="3" fillId="0" borderId="160" xfId="71" applyFont="1" applyBorder="1" applyAlignment="1">
      <alignment horizontal="center" vertical="center" wrapText="1"/>
    </xf>
    <xf numFmtId="0" fontId="3" fillId="0" borderId="14" xfId="71" applyFont="1" applyBorder="1" applyAlignment="1">
      <alignment horizontal="center" vertical="center" wrapText="1"/>
    </xf>
    <xf numFmtId="0" fontId="131" fillId="0" borderId="11" xfId="71" applyFont="1" applyBorder="1" applyAlignment="1">
      <alignment horizontal="left" vertical="center"/>
    </xf>
    <xf numFmtId="0" fontId="131" fillId="0" borderId="10" xfId="71" applyFont="1" applyBorder="1" applyAlignment="1">
      <alignment horizontal="left" vertical="center"/>
    </xf>
    <xf numFmtId="0" fontId="131" fillId="0" borderId="9" xfId="71" applyFont="1" applyBorder="1" applyAlignment="1">
      <alignment horizontal="left" vertical="center"/>
    </xf>
    <xf numFmtId="0" fontId="131" fillId="0" borderId="11" xfId="71" applyFont="1" applyBorder="1" applyAlignment="1">
      <alignment vertical="center"/>
    </xf>
    <xf numFmtId="0" fontId="131" fillId="0" borderId="10" xfId="71" applyFont="1" applyBorder="1" applyAlignment="1">
      <alignment vertical="center"/>
    </xf>
    <xf numFmtId="0" fontId="131" fillId="0" borderId="9" xfId="71" applyFont="1" applyBorder="1" applyAlignment="1">
      <alignment vertical="center"/>
    </xf>
    <xf numFmtId="0" fontId="43" fillId="26" borderId="0" xfId="71" applyFont="1" applyFill="1" applyBorder="1" applyAlignment="1" applyProtection="1">
      <alignment horizontal="right" vertical="center" wrapText="1"/>
    </xf>
    <xf numFmtId="0" fontId="133" fillId="25" borderId="11" xfId="546" applyFont="1" applyFill="1" applyBorder="1" applyAlignment="1">
      <alignment horizontal="center" vertical="center"/>
    </xf>
    <xf numFmtId="0" fontId="133" fillId="25" borderId="10" xfId="546" applyFont="1" applyFill="1" applyBorder="1" applyAlignment="1">
      <alignment horizontal="center" vertical="center"/>
    </xf>
    <xf numFmtId="0" fontId="133" fillId="25" borderId="9" xfId="546" applyFont="1" applyFill="1" applyBorder="1" applyAlignment="1">
      <alignment horizontal="center" vertical="center"/>
    </xf>
    <xf numFmtId="0" fontId="91" fillId="26" borderId="19" xfId="546" applyFont="1" applyFill="1" applyBorder="1" applyAlignment="1">
      <alignment vertical="center"/>
    </xf>
    <xf numFmtId="0" fontId="91" fillId="26" borderId="0" xfId="546" applyFont="1" applyFill="1" applyBorder="1" applyAlignment="1">
      <alignment vertical="center"/>
    </xf>
    <xf numFmtId="0" fontId="91" fillId="26" borderId="19" xfId="546" applyFont="1" applyFill="1" applyBorder="1" applyAlignment="1" applyProtection="1">
      <alignment horizontal="center" vertical="center" wrapText="1"/>
      <protection locked="0"/>
    </xf>
    <xf numFmtId="0" fontId="91" fillId="26" borderId="18" xfId="546" applyFont="1" applyFill="1" applyBorder="1" applyAlignment="1" applyProtection="1">
      <alignment horizontal="center" vertical="center" wrapText="1"/>
      <protection locked="0"/>
    </xf>
    <xf numFmtId="0" fontId="91" fillId="26" borderId="19" xfId="546" applyFont="1" applyFill="1" applyBorder="1" applyAlignment="1" applyProtection="1">
      <alignment horizontal="center" vertical="center" wrapText="1"/>
    </xf>
    <xf numFmtId="0" fontId="91" fillId="26" borderId="18" xfId="546" applyFont="1" applyFill="1" applyBorder="1" applyAlignment="1" applyProtection="1">
      <alignment horizontal="center" vertical="center" wrapText="1"/>
    </xf>
    <xf numFmtId="0" fontId="1" fillId="0" borderId="164" xfId="71" applyFont="1" applyBorder="1" applyAlignment="1" applyProtection="1">
      <alignment horizontal="center" vertical="center"/>
    </xf>
    <xf numFmtId="0" fontId="1" fillId="0" borderId="162" xfId="71" applyFont="1" applyBorder="1" applyAlignment="1" applyProtection="1">
      <alignment horizontal="center" vertical="center"/>
    </xf>
    <xf numFmtId="0" fontId="1" fillId="0" borderId="163" xfId="71" applyFont="1" applyBorder="1" applyAlignment="1" applyProtection="1">
      <alignment horizontal="center" vertical="center"/>
    </xf>
    <xf numFmtId="0" fontId="1" fillId="0" borderId="19" xfId="71" applyFont="1" applyBorder="1" applyAlignment="1" applyProtection="1">
      <alignment horizontal="center" vertical="center"/>
    </xf>
    <xf numFmtId="0" fontId="1" fillId="0" borderId="0" xfId="71" applyFont="1" applyBorder="1" applyAlignment="1" applyProtection="1">
      <alignment horizontal="center" vertical="center"/>
    </xf>
    <xf numFmtId="0" fontId="1" fillId="0" borderId="18" xfId="71" applyFont="1" applyBorder="1" applyAlignment="1" applyProtection="1">
      <alignment horizontal="center" vertical="center"/>
    </xf>
    <xf numFmtId="0" fontId="1" fillId="0" borderId="15" xfId="71" applyFont="1" applyBorder="1" applyAlignment="1" applyProtection="1">
      <alignment horizontal="center" vertical="center"/>
    </xf>
    <xf numFmtId="0" fontId="1" fillId="0" borderId="160" xfId="71" applyFont="1" applyBorder="1" applyAlignment="1" applyProtection="1">
      <alignment horizontal="center" vertical="center"/>
    </xf>
    <xf numFmtId="0" fontId="1" fillId="0" borderId="14" xfId="71" applyFont="1" applyBorder="1" applyAlignment="1" applyProtection="1">
      <alignment horizontal="center" vertical="center"/>
    </xf>
    <xf numFmtId="0" fontId="3" fillId="0" borderId="164" xfId="71" applyFont="1" applyBorder="1" applyAlignment="1" applyProtection="1">
      <alignment horizontal="center" vertical="center" wrapText="1"/>
    </xf>
    <xf numFmtId="0" fontId="3" fillId="0" borderId="162" xfId="71" applyFont="1" applyBorder="1" applyAlignment="1" applyProtection="1">
      <alignment horizontal="center" vertical="center" wrapText="1"/>
    </xf>
    <xf numFmtId="0" fontId="3" fillId="0" borderId="163" xfId="71" applyFont="1" applyBorder="1" applyAlignment="1" applyProtection="1">
      <alignment horizontal="center" vertical="center" wrapText="1"/>
    </xf>
    <xf numFmtId="0" fontId="3" fillId="0" borderId="19" xfId="71" applyFont="1" applyBorder="1" applyAlignment="1" applyProtection="1">
      <alignment horizontal="center" vertical="center" wrapText="1"/>
    </xf>
    <xf numFmtId="0" fontId="3" fillId="0" borderId="0" xfId="71" applyFont="1" applyBorder="1" applyAlignment="1" applyProtection="1">
      <alignment horizontal="center" vertical="center" wrapText="1"/>
    </xf>
    <xf numFmtId="0" fontId="3" fillId="0" borderId="18" xfId="71" applyFont="1" applyBorder="1" applyAlignment="1" applyProtection="1">
      <alignment horizontal="center" vertical="center" wrapText="1"/>
    </xf>
    <xf numFmtId="0" fontId="3" fillId="0" borderId="15" xfId="71" applyFont="1" applyBorder="1" applyAlignment="1" applyProtection="1">
      <alignment horizontal="center" vertical="center" wrapText="1"/>
    </xf>
    <xf numFmtId="0" fontId="3" fillId="0" borderId="160" xfId="71" applyFont="1" applyBorder="1" applyAlignment="1" applyProtection="1">
      <alignment horizontal="center" vertical="center" wrapText="1"/>
    </xf>
    <xf numFmtId="0" fontId="3" fillId="0" borderId="14" xfId="71" applyFont="1" applyBorder="1" applyAlignment="1" applyProtection="1">
      <alignment horizontal="center" vertical="center" wrapText="1"/>
    </xf>
    <xf numFmtId="0" fontId="131" fillId="0" borderId="11" xfId="71" applyFont="1" applyBorder="1" applyAlignment="1" applyProtection="1">
      <alignment horizontal="left" vertical="center"/>
    </xf>
    <xf numFmtId="0" fontId="131" fillId="0" borderId="10" xfId="71" applyFont="1" applyBorder="1" applyAlignment="1" applyProtection="1">
      <alignment horizontal="left" vertical="center"/>
    </xf>
    <xf numFmtId="0" fontId="131" fillId="0" borderId="9" xfId="71" applyFont="1" applyBorder="1" applyAlignment="1" applyProtection="1">
      <alignment horizontal="left" vertical="center"/>
    </xf>
    <xf numFmtId="0" fontId="131" fillId="0" borderId="15" xfId="71" applyFont="1" applyBorder="1" applyAlignment="1" applyProtection="1">
      <alignment horizontal="left" vertical="center"/>
    </xf>
    <xf numFmtId="0" fontId="131" fillId="0" borderId="160" xfId="71" applyFont="1" applyBorder="1" applyAlignment="1" applyProtection="1">
      <alignment horizontal="left" vertical="center"/>
    </xf>
    <xf numFmtId="0" fontId="131" fillId="0" borderId="14" xfId="71" applyFont="1" applyBorder="1" applyAlignment="1" applyProtection="1">
      <alignment horizontal="left" vertical="center"/>
    </xf>
    <xf numFmtId="0" fontId="3" fillId="2" borderId="49" xfId="150" applyFont="1" applyFill="1" applyBorder="1" applyAlignment="1" applyProtection="1">
      <alignment horizontal="center" vertical="center"/>
    </xf>
    <xf numFmtId="0" fontId="145" fillId="2" borderId="11" xfId="150" applyFont="1" applyFill="1" applyBorder="1" applyAlignment="1" applyProtection="1">
      <alignment horizontal="center" vertical="center"/>
    </xf>
    <xf numFmtId="0" fontId="145" fillId="2" borderId="10" xfId="150" applyFont="1" applyFill="1" applyBorder="1" applyAlignment="1" applyProtection="1">
      <alignment horizontal="center" vertical="center"/>
    </xf>
    <xf numFmtId="0" fontId="145" fillId="2" borderId="9" xfId="150" applyFont="1" applyFill="1" applyBorder="1" applyAlignment="1" applyProtection="1">
      <alignment horizontal="center" vertical="center"/>
    </xf>
    <xf numFmtId="0" fontId="4" fillId="0" borderId="19" xfId="21" applyFont="1" applyBorder="1" applyAlignment="1" applyProtection="1">
      <alignment horizontal="center"/>
    </xf>
    <xf numFmtId="0" fontId="4" fillId="0" borderId="0" xfId="21" applyFont="1" applyAlignment="1" applyProtection="1">
      <alignment horizontal="center"/>
    </xf>
    <xf numFmtId="0" fontId="4" fillId="0" borderId="18" xfId="21" applyFont="1" applyBorder="1" applyAlignment="1" applyProtection="1">
      <alignment horizontal="center"/>
    </xf>
    <xf numFmtId="0" fontId="5" fillId="0" borderId="164" xfId="21" applyFont="1" applyBorder="1" applyAlignment="1" applyProtection="1">
      <alignment horizontal="center"/>
    </xf>
    <xf numFmtId="0" fontId="5" fillId="0" borderId="162" xfId="21" applyFont="1" applyBorder="1" applyAlignment="1" applyProtection="1">
      <alignment horizontal="center"/>
    </xf>
    <xf numFmtId="0" fontId="5" fillId="0" borderId="163" xfId="21" applyFont="1" applyBorder="1" applyAlignment="1" applyProtection="1">
      <alignment horizontal="center"/>
    </xf>
    <xf numFmtId="0" fontId="1" fillId="26" borderId="0" xfId="71" applyFont="1" applyFill="1" applyBorder="1" applyAlignment="1" applyProtection="1">
      <alignment horizontal="left" vertical="center" wrapText="1"/>
    </xf>
    <xf numFmtId="0" fontId="1" fillId="26" borderId="0" xfId="71" applyFont="1" applyFill="1" applyBorder="1" applyAlignment="1" applyProtection="1">
      <alignment horizontal="center" vertical="center" wrapText="1"/>
    </xf>
    <xf numFmtId="0" fontId="147" fillId="2" borderId="164" xfId="150" applyFont="1" applyFill="1" applyBorder="1" applyAlignment="1" applyProtection="1">
      <alignment horizontal="center"/>
    </xf>
    <xf numFmtId="0" fontId="147" fillId="2" borderId="162" xfId="150" applyFont="1" applyFill="1" applyBorder="1" applyAlignment="1" applyProtection="1">
      <alignment horizontal="center"/>
    </xf>
    <xf numFmtId="0" fontId="147" fillId="2" borderId="163" xfId="150" applyFont="1" applyFill="1" applyBorder="1" applyAlignment="1" applyProtection="1">
      <alignment horizontal="center"/>
    </xf>
    <xf numFmtId="0" fontId="3" fillId="2" borderId="49" xfId="150" applyFont="1" applyFill="1" applyBorder="1" applyAlignment="1" applyProtection="1">
      <alignment horizontal="center"/>
    </xf>
    <xf numFmtId="0" fontId="3" fillId="2" borderId="11" xfId="150" applyFont="1" applyFill="1" applyBorder="1" applyAlignment="1" applyProtection="1">
      <alignment horizontal="center"/>
    </xf>
    <xf numFmtId="0" fontId="65" fillId="28" borderId="11" xfId="150" applyFont="1" applyFill="1" applyBorder="1" applyAlignment="1" applyProtection="1">
      <alignment horizontal="center" vertical="center"/>
    </xf>
    <xf numFmtId="0" fontId="65" fillId="28" borderId="10" xfId="150" applyFont="1" applyFill="1" applyBorder="1" applyAlignment="1" applyProtection="1">
      <alignment horizontal="center" vertical="center"/>
    </xf>
    <xf numFmtId="0" fontId="65" fillId="28" borderId="9" xfId="150" applyFont="1" applyFill="1" applyBorder="1" applyAlignment="1" applyProtection="1">
      <alignment horizontal="center" vertical="center"/>
    </xf>
    <xf numFmtId="0" fontId="5" fillId="28" borderId="11" xfId="150" applyFont="1" applyFill="1" applyBorder="1" applyAlignment="1" applyProtection="1">
      <alignment horizontal="center" vertical="center" wrapText="1"/>
    </xf>
    <xf numFmtId="0" fontId="5" fillId="28" borderId="10" xfId="150" applyFont="1" applyFill="1" applyBorder="1" applyAlignment="1" applyProtection="1">
      <alignment horizontal="center" vertical="center" wrapText="1"/>
    </xf>
    <xf numFmtId="0" fontId="5" fillId="28" borderId="9" xfId="150" applyFont="1" applyFill="1" applyBorder="1" applyAlignment="1" applyProtection="1">
      <alignment horizontal="center" vertical="center" wrapText="1"/>
    </xf>
    <xf numFmtId="0" fontId="4" fillId="2" borderId="19" xfId="150" applyFont="1" applyFill="1" applyBorder="1" applyAlignment="1" applyProtection="1">
      <alignment horizontal="left" vertical="center"/>
    </xf>
    <xf numFmtId="0" fontId="4" fillId="2" borderId="0" xfId="150" applyFont="1" applyFill="1" applyBorder="1" applyAlignment="1" applyProtection="1">
      <alignment horizontal="left" vertical="center"/>
    </xf>
    <xf numFmtId="0" fontId="4" fillId="2" borderId="18" xfId="150" applyFont="1" applyFill="1" applyBorder="1" applyAlignment="1" applyProtection="1">
      <alignment horizontal="left" vertical="center"/>
    </xf>
    <xf numFmtId="0" fontId="5" fillId="26" borderId="19" xfId="150" applyFont="1" applyFill="1" applyBorder="1" applyAlignment="1" applyProtection="1">
      <alignment horizontal="center" vertical="center"/>
      <protection locked="0"/>
    </xf>
    <xf numFmtId="0" fontId="5" fillId="26" borderId="0" xfId="150" applyFont="1" applyFill="1" applyBorder="1" applyAlignment="1" applyProtection="1">
      <alignment horizontal="center" vertical="center"/>
      <protection locked="0"/>
    </xf>
    <xf numFmtId="0" fontId="5" fillId="26" borderId="18" xfId="150" applyFont="1" applyFill="1" applyBorder="1" applyAlignment="1" applyProtection="1">
      <alignment horizontal="center" vertical="center"/>
      <protection locked="0"/>
    </xf>
    <xf numFmtId="0" fontId="1" fillId="2" borderId="164" xfId="150" applyFont="1" applyFill="1" applyBorder="1" applyAlignment="1" applyProtection="1">
      <alignment horizontal="center" vertical="center"/>
    </xf>
    <xf numFmtId="0" fontId="1" fillId="2" borderId="162" xfId="150" applyFont="1" applyFill="1" applyBorder="1" applyAlignment="1" applyProtection="1">
      <alignment horizontal="center" vertical="center"/>
    </xf>
    <xf numFmtId="0" fontId="5" fillId="26" borderId="19" xfId="150" applyFont="1" applyFill="1" applyBorder="1" applyAlignment="1" applyProtection="1">
      <alignment horizontal="center"/>
    </xf>
    <xf numFmtId="0" fontId="5" fillId="26" borderId="0" xfId="150" applyFont="1" applyFill="1" applyBorder="1" applyAlignment="1" applyProtection="1">
      <alignment horizontal="center"/>
    </xf>
    <xf numFmtId="0" fontId="5" fillId="26" borderId="18" xfId="150" applyFont="1" applyFill="1" applyBorder="1" applyAlignment="1" applyProtection="1">
      <alignment horizontal="center"/>
    </xf>
    <xf numFmtId="0" fontId="1" fillId="2" borderId="15" xfId="150" applyFont="1" applyFill="1" applyBorder="1" applyAlignment="1" applyProtection="1">
      <alignment horizontal="center" vertical="center"/>
    </xf>
    <xf numFmtId="0" fontId="1" fillId="2" borderId="160" xfId="150" applyFont="1" applyFill="1" applyBorder="1" applyAlignment="1" applyProtection="1">
      <alignment horizontal="center" vertical="center"/>
    </xf>
    <xf numFmtId="2" fontId="92" fillId="26" borderId="19" xfId="150" applyNumberFormat="1" applyFont="1" applyFill="1" applyBorder="1" applyAlignment="1" applyProtection="1">
      <alignment horizontal="center" vertical="center"/>
      <protection locked="0"/>
    </xf>
    <xf numFmtId="2" fontId="92" fillId="26" borderId="0" xfId="150" applyNumberFormat="1" applyFont="1" applyFill="1" applyBorder="1" applyAlignment="1" applyProtection="1">
      <alignment horizontal="center" vertical="center"/>
      <protection locked="0"/>
    </xf>
    <xf numFmtId="2" fontId="92" fillId="26" borderId="18" xfId="150" applyNumberFormat="1" applyFont="1" applyFill="1" applyBorder="1" applyAlignment="1" applyProtection="1">
      <alignment horizontal="center" vertical="center"/>
      <protection locked="0"/>
    </xf>
    <xf numFmtId="0" fontId="92" fillId="26" borderId="19" xfId="150" applyFont="1" applyFill="1" applyBorder="1" applyAlignment="1" applyProtection="1">
      <alignment horizontal="center" vertical="center"/>
      <protection locked="0"/>
    </xf>
    <xf numFmtId="0" fontId="92" fillId="26" borderId="0" xfId="150" applyFont="1" applyFill="1" applyBorder="1" applyAlignment="1" applyProtection="1">
      <alignment horizontal="center" vertical="center"/>
      <protection locked="0"/>
    </xf>
    <xf numFmtId="0" fontId="92" fillId="26" borderId="18" xfId="150" applyFont="1" applyFill="1" applyBorder="1" applyAlignment="1" applyProtection="1">
      <alignment horizontal="center" vertical="center"/>
      <protection locked="0"/>
    </xf>
    <xf numFmtId="0" fontId="150" fillId="35" borderId="19" xfId="150" quotePrefix="1" applyFont="1" applyFill="1" applyBorder="1" applyAlignment="1" applyProtection="1">
      <alignment horizontal="center" vertical="center"/>
    </xf>
    <xf numFmtId="0" fontId="150" fillId="35" borderId="0" xfId="150" quotePrefix="1" applyFont="1" applyFill="1" applyBorder="1" applyAlignment="1" applyProtection="1">
      <alignment horizontal="center" vertical="center"/>
    </xf>
    <xf numFmtId="0" fontId="150" fillId="35" borderId="18" xfId="150" quotePrefix="1" applyFont="1" applyFill="1" applyBorder="1" applyAlignment="1" applyProtection="1">
      <alignment horizontal="center" vertical="center"/>
    </xf>
    <xf numFmtId="0" fontId="152" fillId="2" borderId="0" xfId="150" applyFont="1" applyFill="1" applyBorder="1" applyAlignment="1" applyProtection="1">
      <alignment horizontal="center"/>
    </xf>
    <xf numFmtId="0" fontId="65" fillId="44" borderId="0" xfId="150" applyFont="1" applyFill="1" applyBorder="1" applyAlignment="1" applyProtection="1">
      <alignment horizontal="center" vertical="center" wrapText="1"/>
    </xf>
    <xf numFmtId="173" fontId="1" fillId="2" borderId="0" xfId="150" applyNumberFormat="1" applyFont="1" applyFill="1" applyBorder="1" applyAlignment="1" applyProtection="1">
      <alignment horizontal="center"/>
    </xf>
    <xf numFmtId="173" fontId="1" fillId="2" borderId="18" xfId="150" applyNumberFormat="1" applyFont="1" applyFill="1" applyBorder="1" applyAlignment="1" applyProtection="1">
      <alignment horizontal="center"/>
    </xf>
    <xf numFmtId="0" fontId="1" fillId="2" borderId="164" xfId="150" applyFont="1" applyFill="1" applyBorder="1" applyAlignment="1" applyProtection="1">
      <alignment vertical="center"/>
    </xf>
    <xf numFmtId="0" fontId="1" fillId="2" borderId="162" xfId="150" applyFont="1" applyFill="1" applyBorder="1" applyAlignment="1" applyProtection="1">
      <alignment vertical="center"/>
    </xf>
    <xf numFmtId="1" fontId="3" fillId="26" borderId="162" xfId="150" applyNumberFormat="1" applyFont="1" applyFill="1" applyBorder="1" applyAlignment="1" applyProtection="1">
      <alignment horizontal="right" vertical="center"/>
    </xf>
    <xf numFmtId="167" fontId="1" fillId="26" borderId="162" xfId="150" applyNumberFormat="1" applyFont="1" applyFill="1" applyBorder="1" applyAlignment="1" applyProtection="1">
      <alignment horizontal="left" vertical="center"/>
    </xf>
    <xf numFmtId="167" fontId="1" fillId="26" borderId="163" xfId="150" applyNumberFormat="1" applyFont="1" applyFill="1" applyBorder="1" applyAlignment="1" applyProtection="1">
      <alignment horizontal="left" vertical="center"/>
    </xf>
    <xf numFmtId="0" fontId="1" fillId="2" borderId="19" xfId="150" applyFont="1" applyFill="1" applyBorder="1" applyAlignment="1" applyProtection="1">
      <alignment vertical="center"/>
    </xf>
    <xf numFmtId="0" fontId="1" fillId="2" borderId="0" xfId="150" applyFont="1" applyFill="1" applyBorder="1" applyAlignment="1" applyProtection="1">
      <alignment vertical="center"/>
    </xf>
    <xf numFmtId="1" fontId="3" fillId="26" borderId="0" xfId="150" applyNumberFormat="1" applyFont="1" applyFill="1" applyBorder="1" applyAlignment="1" applyProtection="1">
      <alignment horizontal="right" vertical="center"/>
    </xf>
    <xf numFmtId="0" fontId="1" fillId="26" borderId="0" xfId="150" applyFont="1" applyFill="1" applyBorder="1" applyAlignment="1" applyProtection="1">
      <alignment horizontal="left" vertical="center"/>
    </xf>
    <xf numFmtId="0" fontId="1" fillId="26" borderId="18" xfId="150" applyFont="1" applyFill="1" applyBorder="1" applyAlignment="1" applyProtection="1">
      <alignment horizontal="left" vertical="center"/>
    </xf>
    <xf numFmtId="0" fontId="1" fillId="2" borderId="15" xfId="150" applyFont="1" applyFill="1" applyBorder="1" applyAlignment="1" applyProtection="1"/>
    <xf numFmtId="0" fontId="1" fillId="2" borderId="160" xfId="150" applyFont="1" applyFill="1" applyBorder="1" applyAlignment="1" applyProtection="1"/>
    <xf numFmtId="1" fontId="3" fillId="26" borderId="160" xfId="150" applyNumberFormat="1" applyFont="1" applyFill="1" applyBorder="1" applyAlignment="1" applyProtection="1">
      <alignment horizontal="right"/>
    </xf>
    <xf numFmtId="173" fontId="1" fillId="2" borderId="160" xfId="150" applyNumberFormat="1" applyFont="1" applyFill="1" applyBorder="1" applyAlignment="1" applyProtection="1">
      <alignment horizontal="left" vertical="center"/>
    </xf>
    <xf numFmtId="173" fontId="1" fillId="2" borderId="14" xfId="150" applyNumberFormat="1" applyFont="1" applyFill="1" applyBorder="1" applyAlignment="1" applyProtection="1">
      <alignment horizontal="left" vertical="center"/>
    </xf>
    <xf numFmtId="2" fontId="92" fillId="0" borderId="15" xfId="150" applyNumberFormat="1" applyFont="1" applyFill="1" applyBorder="1" applyAlignment="1" applyProtection="1">
      <alignment horizontal="center" vertical="center"/>
    </xf>
    <xf numFmtId="2" fontId="92" fillId="0" borderId="160" xfId="150" applyNumberFormat="1" applyFont="1" applyFill="1" applyBorder="1" applyAlignment="1" applyProtection="1">
      <alignment horizontal="center" vertical="center"/>
    </xf>
    <xf numFmtId="2" fontId="92" fillId="0" borderId="14" xfId="150" applyNumberFormat="1" applyFont="1" applyFill="1" applyBorder="1" applyAlignment="1" applyProtection="1">
      <alignment horizontal="center" vertical="center"/>
    </xf>
    <xf numFmtId="173" fontId="155" fillId="2" borderId="0" xfId="150" applyNumberFormat="1" applyFont="1" applyFill="1" applyBorder="1" applyAlignment="1" applyProtection="1">
      <alignment horizontal="center"/>
    </xf>
    <xf numFmtId="0" fontId="1" fillId="2" borderId="0" xfId="150" applyFont="1" applyFill="1" applyBorder="1" applyAlignment="1" applyProtection="1">
      <alignment horizontal="center" vertical="center"/>
    </xf>
    <xf numFmtId="0" fontId="42" fillId="26" borderId="0" xfId="71" applyFont="1" applyFill="1" applyBorder="1" applyAlignment="1" applyProtection="1">
      <alignment horizontal="justify" vertical="top" wrapText="1"/>
      <protection locked="0"/>
    </xf>
    <xf numFmtId="0" fontId="42" fillId="26" borderId="51" xfId="71" applyFont="1" applyFill="1" applyBorder="1" applyAlignment="1" applyProtection="1">
      <alignment horizontal="justify" vertical="top" wrapText="1"/>
      <protection locked="0"/>
    </xf>
    <xf numFmtId="0" fontId="134" fillId="25" borderId="51" xfId="68" applyFont="1" applyFill="1" applyBorder="1" applyAlignment="1" applyProtection="1">
      <alignment horizontal="center" vertical="center"/>
    </xf>
    <xf numFmtId="0" fontId="44" fillId="26" borderId="167" xfId="68" applyFont="1" applyFill="1" applyBorder="1" applyAlignment="1" applyProtection="1">
      <alignment horizontal="center"/>
    </xf>
    <xf numFmtId="0" fontId="46" fillId="0" borderId="0" xfId="68" applyFont="1" applyBorder="1" applyAlignment="1" applyProtection="1">
      <alignment horizontal="center" wrapText="1"/>
    </xf>
    <xf numFmtId="0" fontId="1" fillId="2" borderId="0" xfId="150" applyFont="1" applyFill="1" applyBorder="1" applyAlignment="1" applyProtection="1">
      <alignment horizontal="center" wrapText="1"/>
    </xf>
    <xf numFmtId="0" fontId="1" fillId="2" borderId="0" xfId="150" applyFont="1" applyFill="1" applyBorder="1" applyAlignment="1" applyProtection="1">
      <alignment horizontal="center"/>
    </xf>
    <xf numFmtId="0" fontId="1" fillId="2" borderId="0" xfId="150" applyFont="1" applyFill="1" applyBorder="1" applyAlignment="1" applyProtection="1">
      <alignment horizontal="left" vertical="center"/>
    </xf>
    <xf numFmtId="168" fontId="1" fillId="26" borderId="0" xfId="150" applyNumberFormat="1" applyFont="1" applyFill="1" applyBorder="1" applyAlignment="1" applyProtection="1">
      <alignment horizontal="right" vertical="center"/>
      <protection locked="0"/>
    </xf>
    <xf numFmtId="168" fontId="1" fillId="26" borderId="0" xfId="150" applyNumberFormat="1" applyFont="1" applyFill="1" applyBorder="1" applyAlignment="1" applyProtection="1">
      <alignment horizontal="left" vertical="center"/>
      <protection locked="0"/>
    </xf>
    <xf numFmtId="0" fontId="3" fillId="0" borderId="162" xfId="71" applyFont="1" applyFill="1" applyBorder="1" applyAlignment="1" applyProtection="1">
      <alignment horizontal="left" vertical="center" wrapText="1"/>
    </xf>
    <xf numFmtId="0" fontId="42" fillId="26" borderId="162" xfId="71" applyFont="1" applyFill="1" applyBorder="1" applyAlignment="1" applyProtection="1">
      <alignment horizontal="justify" vertical="center" wrapText="1"/>
      <protection locked="0"/>
    </xf>
    <xf numFmtId="0" fontId="131" fillId="26" borderId="11" xfId="71" applyFont="1" applyFill="1" applyBorder="1" applyAlignment="1" applyProtection="1">
      <alignment horizontal="left" vertical="center"/>
    </xf>
    <xf numFmtId="0" fontId="131" fillId="26" borderId="10" xfId="71" applyFont="1" applyFill="1" applyBorder="1" applyAlignment="1" applyProtection="1">
      <alignment horizontal="left" vertical="center"/>
    </xf>
    <xf numFmtId="0" fontId="131" fillId="26" borderId="9" xfId="71" applyFont="1" applyFill="1" applyBorder="1" applyAlignment="1" applyProtection="1">
      <alignment horizontal="left" vertical="center"/>
    </xf>
    <xf numFmtId="0" fontId="147" fillId="0" borderId="29" xfId="210" applyFont="1" applyFill="1" applyBorder="1" applyAlignment="1" applyProtection="1">
      <alignment horizontal="center" vertical="center" wrapText="1"/>
    </xf>
    <xf numFmtId="0" fontId="147" fillId="0" borderId="53" xfId="210" applyFont="1" applyFill="1" applyBorder="1" applyAlignment="1" applyProtection="1">
      <alignment horizontal="center" vertical="center" wrapText="1"/>
    </xf>
    <xf numFmtId="0" fontId="3" fillId="2" borderId="15" xfId="150" applyFont="1" applyFill="1" applyBorder="1" applyAlignment="1" applyProtection="1">
      <alignment vertical="center"/>
    </xf>
    <xf numFmtId="0" fontId="3" fillId="2" borderId="160" xfId="150" applyFont="1" applyFill="1" applyBorder="1" applyAlignment="1" applyProtection="1">
      <alignment vertical="center"/>
    </xf>
    <xf numFmtId="0" fontId="1" fillId="26" borderId="160" xfId="150" applyFont="1" applyFill="1" applyBorder="1" applyAlignment="1" applyProtection="1">
      <alignment vertical="center"/>
      <protection locked="0"/>
    </xf>
    <xf numFmtId="0" fontId="1" fillId="26" borderId="14" xfId="150" applyFont="1" applyFill="1" applyBorder="1" applyAlignment="1" applyProtection="1">
      <alignment vertical="center"/>
      <protection locked="0"/>
    </xf>
    <xf numFmtId="0" fontId="3" fillId="44" borderId="164" xfId="150" applyFont="1" applyFill="1" applyBorder="1" applyAlignment="1" applyProtection="1">
      <alignment horizontal="center" vertical="center" wrapText="1"/>
    </xf>
    <xf numFmtId="0" fontId="3" fillId="44" borderId="162" xfId="150" applyFont="1" applyFill="1" applyBorder="1" applyAlignment="1" applyProtection="1">
      <alignment horizontal="center" vertical="center" wrapText="1"/>
    </xf>
    <xf numFmtId="0" fontId="3" fillId="44" borderId="163" xfId="150" applyFont="1" applyFill="1" applyBorder="1" applyAlignment="1" applyProtection="1">
      <alignment horizontal="center" vertical="center" wrapText="1"/>
    </xf>
    <xf numFmtId="0" fontId="3" fillId="44" borderId="19" xfId="150" applyFont="1" applyFill="1" applyBorder="1" applyAlignment="1" applyProtection="1">
      <alignment horizontal="center" vertical="center" wrapText="1"/>
    </xf>
    <xf numFmtId="0" fontId="3" fillId="44" borderId="0" xfId="150" applyFont="1" applyFill="1" applyBorder="1" applyAlignment="1" applyProtection="1">
      <alignment horizontal="center" vertical="center" wrapText="1"/>
    </xf>
    <xf numFmtId="0" fontId="3" fillId="44" borderId="18" xfId="150" applyFont="1" applyFill="1" applyBorder="1" applyAlignment="1" applyProtection="1">
      <alignment horizontal="center" vertical="center" wrapText="1"/>
    </xf>
    <xf numFmtId="0" fontId="50" fillId="2" borderId="0" xfId="150" applyFont="1" applyFill="1" applyBorder="1" applyAlignment="1" applyProtection="1">
      <alignment horizontal="right" vertical="center"/>
    </xf>
    <xf numFmtId="0" fontId="4" fillId="0" borderId="0" xfId="21" applyFont="1" applyBorder="1" applyAlignment="1" applyProtection="1">
      <alignment horizontal="center" vertical="center"/>
    </xf>
    <xf numFmtId="0" fontId="4" fillId="0" borderId="0" xfId="21" applyFont="1" applyAlignment="1" applyProtection="1">
      <alignment horizontal="center" vertical="center"/>
    </xf>
    <xf numFmtId="0" fontId="1" fillId="2" borderId="19" xfId="210" applyFont="1" applyFill="1" applyBorder="1" applyAlignment="1" applyProtection="1">
      <alignment horizontal="left"/>
    </xf>
    <xf numFmtId="0" fontId="1" fillId="2" borderId="0" xfId="210" applyFont="1" applyFill="1" applyBorder="1" applyAlignment="1" applyProtection="1">
      <alignment horizontal="left"/>
    </xf>
    <xf numFmtId="0" fontId="1" fillId="2" borderId="0" xfId="210" applyFont="1" applyFill="1" applyBorder="1" applyAlignment="1" applyProtection="1">
      <alignment horizontal="center"/>
    </xf>
    <xf numFmtId="0" fontId="3" fillId="2" borderId="164" xfId="210" applyFont="1" applyFill="1" applyBorder="1" applyAlignment="1" applyProtection="1">
      <alignment vertical="center"/>
    </xf>
    <xf numFmtId="0" fontId="3" fillId="2" borderId="162" xfId="210" applyFont="1" applyFill="1" applyBorder="1" applyAlignment="1" applyProtection="1">
      <alignment vertical="center"/>
    </xf>
    <xf numFmtId="0" fontId="1" fillId="26" borderId="162" xfId="210" applyFont="1" applyFill="1" applyBorder="1" applyAlignment="1" applyProtection="1">
      <alignment vertical="center"/>
      <protection locked="0"/>
    </xf>
    <xf numFmtId="0" fontId="1" fillId="26" borderId="163" xfId="210" applyFont="1" applyFill="1" applyBorder="1" applyAlignment="1" applyProtection="1">
      <alignment vertical="center"/>
      <protection locked="0"/>
    </xf>
    <xf numFmtId="167" fontId="1" fillId="26" borderId="15" xfId="210" applyNumberFormat="1" applyFont="1" applyFill="1" applyBorder="1" applyAlignment="1" applyProtection="1">
      <alignment horizontal="left" vertical="center"/>
    </xf>
    <xf numFmtId="167" fontId="1" fillId="26" borderId="160" xfId="210" applyNumberFormat="1" applyFont="1" applyFill="1" applyBorder="1" applyAlignment="1" applyProtection="1">
      <alignment horizontal="left" vertical="center"/>
    </xf>
    <xf numFmtId="0" fontId="3" fillId="2" borderId="19" xfId="150" applyFont="1" applyFill="1" applyBorder="1" applyAlignment="1" applyProtection="1">
      <alignment vertical="center"/>
    </xf>
    <xf numFmtId="0" fontId="3" fillId="2" borderId="0" xfId="150" applyFont="1" applyFill="1" applyBorder="1" applyAlignment="1" applyProtection="1">
      <alignment vertical="center"/>
    </xf>
    <xf numFmtId="0" fontId="1" fillId="26" borderId="0" xfId="150" applyFont="1" applyFill="1" applyBorder="1" applyAlignment="1" applyProtection="1">
      <alignment vertical="center"/>
      <protection locked="0"/>
    </xf>
    <xf numFmtId="0" fontId="1" fillId="26" borderId="18" xfId="150" applyFont="1" applyFill="1" applyBorder="1" applyAlignment="1" applyProtection="1">
      <alignment vertical="center"/>
      <protection locked="0"/>
    </xf>
    <xf numFmtId="0" fontId="5" fillId="25" borderId="11" xfId="210" applyFont="1" applyFill="1" applyBorder="1" applyAlignment="1" applyProtection="1">
      <alignment horizontal="center" vertical="center"/>
    </xf>
    <xf numFmtId="0" fontId="5" fillId="25" borderId="10" xfId="210" applyFont="1" applyFill="1" applyBorder="1" applyAlignment="1" applyProtection="1">
      <alignment horizontal="center" vertical="center"/>
    </xf>
    <xf numFmtId="0" fontId="5" fillId="25" borderId="9" xfId="210" applyFont="1" applyFill="1" applyBorder="1" applyAlignment="1" applyProtection="1">
      <alignment horizontal="center" vertical="center"/>
    </xf>
    <xf numFmtId="0" fontId="1" fillId="26" borderId="243" xfId="210" applyFont="1" applyFill="1" applyBorder="1" applyAlignment="1" applyProtection="1">
      <alignment horizontal="left" vertical="center"/>
    </xf>
    <xf numFmtId="0" fontId="1" fillId="26" borderId="244" xfId="210" applyFont="1" applyFill="1" applyBorder="1" applyAlignment="1" applyProtection="1">
      <alignment horizontal="left" vertical="center"/>
    </xf>
    <xf numFmtId="0" fontId="3" fillId="26" borderId="246" xfId="210" applyFont="1" applyFill="1" applyBorder="1" applyAlignment="1" applyProtection="1">
      <alignment horizontal="center" vertical="center"/>
    </xf>
    <xf numFmtId="0" fontId="3" fillId="26" borderId="247" xfId="210" applyFont="1" applyFill="1" applyBorder="1" applyAlignment="1" applyProtection="1">
      <alignment horizontal="center" vertical="center"/>
    </xf>
    <xf numFmtId="0" fontId="147" fillId="2" borderId="162" xfId="210" applyFont="1" applyFill="1" applyBorder="1" applyAlignment="1" applyProtection="1">
      <alignment horizontal="center" vertical="center"/>
    </xf>
    <xf numFmtId="0" fontId="147" fillId="2" borderId="163" xfId="210" applyFont="1" applyFill="1" applyBorder="1" applyAlignment="1" applyProtection="1">
      <alignment horizontal="center" vertical="center"/>
    </xf>
    <xf numFmtId="167" fontId="1" fillId="26" borderId="256" xfId="210" applyNumberFormat="1" applyFont="1" applyFill="1" applyBorder="1" applyAlignment="1" applyProtection="1">
      <alignment horizontal="center" vertical="center"/>
      <protection locked="0"/>
    </xf>
    <xf numFmtId="167" fontId="1" fillId="26" borderId="257" xfId="210" applyNumberFormat="1" applyFont="1" applyFill="1" applyBorder="1" applyAlignment="1" applyProtection="1">
      <alignment horizontal="center" vertical="center"/>
      <protection locked="0"/>
    </xf>
    <xf numFmtId="0" fontId="1" fillId="26" borderId="258" xfId="210" applyFont="1" applyFill="1" applyBorder="1" applyAlignment="1" applyProtection="1">
      <alignment horizontal="left" vertical="center"/>
    </xf>
    <xf numFmtId="0" fontId="1" fillId="26" borderId="259" xfId="210" applyFont="1" applyFill="1" applyBorder="1" applyAlignment="1" applyProtection="1">
      <alignment horizontal="left" vertical="center"/>
    </xf>
    <xf numFmtId="167" fontId="1" fillId="26" borderId="261" xfId="210" applyNumberFormat="1" applyFont="1" applyFill="1" applyBorder="1" applyAlignment="1" applyProtection="1">
      <alignment horizontal="center" vertical="center"/>
    </xf>
    <xf numFmtId="167" fontId="1" fillId="26" borderId="262" xfId="210" applyNumberFormat="1" applyFont="1" applyFill="1" applyBorder="1" applyAlignment="1" applyProtection="1">
      <alignment horizontal="center" vertical="center"/>
    </xf>
    <xf numFmtId="0" fontId="1" fillId="26" borderId="248" xfId="210" applyFont="1" applyFill="1" applyBorder="1" applyAlignment="1" applyProtection="1">
      <alignment horizontal="left" vertical="center" wrapText="1"/>
    </xf>
    <xf numFmtId="0" fontId="1" fillId="26" borderId="249" xfId="210" applyFont="1" applyFill="1" applyBorder="1" applyAlignment="1" applyProtection="1">
      <alignment horizontal="left" vertical="center" wrapText="1"/>
    </xf>
    <xf numFmtId="0" fontId="1" fillId="26" borderId="253" xfId="210" applyFont="1" applyFill="1" applyBorder="1" applyAlignment="1" applyProtection="1">
      <alignment horizontal="left" vertical="center" wrapText="1"/>
    </xf>
    <xf numFmtId="0" fontId="1" fillId="26" borderId="254" xfId="210" applyFont="1" applyFill="1" applyBorder="1" applyAlignment="1" applyProtection="1">
      <alignment horizontal="left" vertical="center" wrapText="1"/>
    </xf>
    <xf numFmtId="0" fontId="1" fillId="26" borderId="250" xfId="210" applyFont="1" applyFill="1" applyBorder="1" applyAlignment="1" applyProtection="1">
      <alignment horizontal="center" vertical="center"/>
    </xf>
    <xf numFmtId="0" fontId="1" fillId="26" borderId="255" xfId="210" applyFont="1" applyFill="1" applyBorder="1" applyAlignment="1" applyProtection="1">
      <alignment horizontal="center" vertical="center"/>
    </xf>
    <xf numFmtId="167" fontId="1" fillId="26" borderId="251" xfId="210" applyNumberFormat="1" applyFont="1" applyFill="1" applyBorder="1" applyAlignment="1" applyProtection="1">
      <alignment horizontal="center" vertical="center"/>
    </xf>
    <xf numFmtId="167" fontId="1" fillId="26" borderId="252" xfId="210" applyNumberFormat="1" applyFont="1" applyFill="1" applyBorder="1" applyAlignment="1" applyProtection="1">
      <alignment horizontal="center" vertical="center"/>
    </xf>
    <xf numFmtId="167" fontId="1" fillId="26" borderId="255" xfId="210" applyNumberFormat="1" applyFont="1" applyFill="1" applyBorder="1" applyAlignment="1" applyProtection="1">
      <alignment horizontal="center" vertical="center"/>
      <protection locked="0"/>
    </xf>
    <xf numFmtId="1" fontId="1" fillId="26" borderId="261" xfId="547" applyNumberFormat="1" applyFont="1" applyFill="1" applyBorder="1" applyAlignment="1" applyProtection="1">
      <alignment horizontal="center" vertical="center"/>
    </xf>
    <xf numFmtId="1" fontId="1" fillId="26" borderId="262" xfId="547" applyNumberFormat="1" applyFont="1" applyFill="1" applyBorder="1" applyAlignment="1" applyProtection="1">
      <alignment horizontal="center" vertical="center"/>
    </xf>
    <xf numFmtId="0" fontId="1" fillId="26" borderId="263" xfId="210" applyFont="1" applyFill="1" applyBorder="1" applyAlignment="1" applyProtection="1">
      <alignment horizontal="left" vertical="center" wrapText="1"/>
    </xf>
    <xf numFmtId="0" fontId="1" fillId="26" borderId="264" xfId="210" applyFont="1" applyFill="1" applyBorder="1" applyAlignment="1" applyProtection="1">
      <alignment horizontal="left" vertical="center" wrapText="1"/>
    </xf>
    <xf numFmtId="1" fontId="3" fillId="26" borderId="264" xfId="210" applyNumberFormat="1" applyFont="1" applyFill="1" applyBorder="1" applyAlignment="1" applyProtection="1">
      <alignment horizontal="center" vertical="center"/>
    </xf>
    <xf numFmtId="0" fontId="1" fillId="0" borderId="0" xfId="21" applyFont="1" applyFill="1" applyBorder="1" applyAlignment="1" applyProtection="1">
      <alignment horizontal="left" vertical="center"/>
    </xf>
    <xf numFmtId="168" fontId="1" fillId="26" borderId="0" xfId="210" applyNumberFormat="1" applyFont="1" applyFill="1" applyBorder="1" applyAlignment="1" applyProtection="1">
      <alignment horizontal="left" vertical="center" wrapText="1"/>
      <protection locked="0"/>
    </xf>
    <xf numFmtId="0" fontId="3" fillId="26" borderId="162" xfId="71" applyFont="1" applyFill="1" applyBorder="1" applyAlignment="1" applyProtection="1">
      <alignment horizontal="left" vertical="top" wrapText="1"/>
    </xf>
    <xf numFmtId="0" fontId="4" fillId="26" borderId="162" xfId="210" applyFont="1" applyFill="1" applyBorder="1" applyAlignment="1" applyProtection="1">
      <alignment horizontal="justify" vertical="center" wrapText="1"/>
      <protection locked="0"/>
    </xf>
    <xf numFmtId="0" fontId="5" fillId="26" borderId="0" xfId="71" applyFont="1" applyFill="1" applyBorder="1" applyAlignment="1" applyProtection="1">
      <alignment horizontal="justify" vertical="top" wrapText="1"/>
      <protection locked="0"/>
    </xf>
    <xf numFmtId="0" fontId="134" fillId="25" borderId="124" xfId="68" applyFont="1" applyFill="1" applyBorder="1" applyAlignment="1" applyProtection="1">
      <alignment horizontal="center" vertical="center"/>
    </xf>
    <xf numFmtId="0" fontId="46" fillId="0" borderId="167" xfId="68" applyFont="1" applyBorder="1" applyAlignment="1" applyProtection="1">
      <alignment horizontal="center" vertical="center" wrapText="1"/>
    </xf>
    <xf numFmtId="167" fontId="1" fillId="0" borderId="49" xfId="21" applyNumberFormat="1" applyFont="1" applyFill="1" applyBorder="1" applyProtection="1"/>
    <xf numFmtId="0" fontId="1" fillId="0" borderId="49" xfId="21" applyFont="1" applyFill="1" applyBorder="1" applyProtection="1"/>
    <xf numFmtId="0" fontId="134" fillId="28" borderId="313" xfId="68" applyFont="1" applyFill="1" applyBorder="1" applyAlignment="1" applyProtection="1">
      <alignment horizontal="center" vertical="center"/>
    </xf>
    <xf numFmtId="0" fontId="48" fillId="0" borderId="0" xfId="217" applyFont="1" applyBorder="1" applyAlignment="1" applyProtection="1">
      <alignment horizontal="center"/>
    </xf>
    <xf numFmtId="0" fontId="1" fillId="26" borderId="0" xfId="70" applyFont="1" applyFill="1" applyBorder="1" applyAlignment="1" applyProtection="1">
      <alignment horizontal="left" vertical="center"/>
    </xf>
    <xf numFmtId="168" fontId="4" fillId="26" borderId="0" xfId="70" applyNumberFormat="1" applyFont="1" applyFill="1" applyBorder="1" applyAlignment="1" applyProtection="1">
      <alignment horizontal="right" vertical="center"/>
      <protection locked="0"/>
    </xf>
    <xf numFmtId="168" fontId="4" fillId="26" borderId="0" xfId="70" applyNumberFormat="1" applyFont="1" applyFill="1" applyBorder="1" applyAlignment="1" applyProtection="1">
      <alignment horizontal="left" vertical="center"/>
      <protection locked="0"/>
    </xf>
    <xf numFmtId="0" fontId="3" fillId="26" borderId="162" xfId="74" applyFont="1" applyFill="1" applyBorder="1" applyAlignment="1" applyProtection="1">
      <alignment horizontal="left" vertical="top" wrapText="1"/>
    </xf>
    <xf numFmtId="0" fontId="4" fillId="26" borderId="162" xfId="74" applyFont="1" applyFill="1" applyBorder="1" applyAlignment="1" applyProtection="1">
      <alignment horizontal="left" vertical="top" wrapText="1"/>
      <protection locked="0"/>
    </xf>
    <xf numFmtId="0" fontId="5" fillId="26" borderId="0" xfId="74" applyFont="1" applyFill="1" applyBorder="1" applyAlignment="1" applyProtection="1">
      <alignment horizontal="justify" vertical="top" wrapText="1"/>
    </xf>
    <xf numFmtId="0" fontId="5" fillId="26" borderId="311" xfId="74" applyFont="1" applyFill="1" applyBorder="1" applyAlignment="1" applyProtection="1">
      <alignment horizontal="justify" vertical="top" wrapText="1"/>
    </xf>
    <xf numFmtId="0" fontId="3" fillId="26" borderId="19" xfId="70" applyFont="1" applyFill="1" applyBorder="1" applyAlignment="1" applyProtection="1">
      <alignment horizontal="center" vertical="center"/>
    </xf>
    <xf numFmtId="0" fontId="3" fillId="26" borderId="0" xfId="70" applyFont="1" applyFill="1" applyBorder="1" applyAlignment="1" applyProtection="1">
      <alignment horizontal="center" vertical="center"/>
    </xf>
    <xf numFmtId="0" fontId="3" fillId="26" borderId="78" xfId="70" applyFont="1" applyFill="1" applyBorder="1" applyAlignment="1" applyProtection="1">
      <alignment horizontal="center" vertical="center"/>
    </xf>
    <xf numFmtId="0" fontId="3" fillId="26" borderId="37" xfId="70" applyFont="1" applyFill="1" applyBorder="1" applyAlignment="1" applyProtection="1">
      <alignment horizontal="center" vertical="center"/>
    </xf>
    <xf numFmtId="167" fontId="3" fillId="26" borderId="162" xfId="70" applyNumberFormat="1" applyFont="1" applyFill="1" applyBorder="1" applyAlignment="1" applyProtection="1">
      <alignment horizontal="right" vertical="center"/>
    </xf>
    <xf numFmtId="167" fontId="3" fillId="26" borderId="37" xfId="70" applyNumberFormat="1" applyFont="1" applyFill="1" applyBorder="1" applyAlignment="1" applyProtection="1">
      <alignment horizontal="right" vertical="center"/>
    </xf>
    <xf numFmtId="167" fontId="3" fillId="26" borderId="0" xfId="70" applyNumberFormat="1" applyFont="1" applyFill="1" applyBorder="1" applyAlignment="1" applyProtection="1">
      <alignment horizontal="left" vertical="center"/>
    </xf>
    <xf numFmtId="167" fontId="3" fillId="26" borderId="18" xfId="70" applyNumberFormat="1" applyFont="1" applyFill="1" applyBorder="1" applyAlignment="1" applyProtection="1">
      <alignment horizontal="left" vertical="center"/>
    </xf>
    <xf numFmtId="167" fontId="3" fillId="26" borderId="37" xfId="70" applyNumberFormat="1" applyFont="1" applyFill="1" applyBorder="1" applyAlignment="1" applyProtection="1">
      <alignment horizontal="left" vertical="center"/>
    </xf>
    <xf numFmtId="167" fontId="3" fillId="26" borderId="79" xfId="70" applyNumberFormat="1" applyFont="1" applyFill="1" applyBorder="1" applyAlignment="1" applyProtection="1">
      <alignment horizontal="left" vertical="center"/>
    </xf>
    <xf numFmtId="167" fontId="110" fillId="26" borderId="160" xfId="70" applyNumberFormat="1" applyFont="1" applyFill="1" applyBorder="1" applyAlignment="1" applyProtection="1">
      <alignment horizontal="center" vertical="center"/>
    </xf>
    <xf numFmtId="167" fontId="110" fillId="26" borderId="14" xfId="70" applyNumberFormat="1" applyFont="1" applyFill="1" applyBorder="1" applyAlignment="1" applyProtection="1">
      <alignment horizontal="center" vertical="center"/>
    </xf>
    <xf numFmtId="0" fontId="131" fillId="0" borderId="11" xfId="70" applyFont="1" applyFill="1" applyBorder="1" applyAlignment="1" applyProtection="1">
      <alignment horizontal="center" vertical="center"/>
    </xf>
    <xf numFmtId="0" fontId="131" fillId="0" borderId="9" xfId="70" applyFont="1" applyFill="1" applyBorder="1" applyAlignment="1" applyProtection="1">
      <alignment horizontal="center" vertical="center"/>
    </xf>
    <xf numFmtId="0" fontId="176" fillId="0" borderId="11" xfId="0" applyFont="1" applyBorder="1" applyAlignment="1">
      <alignment horizontal="center" vertical="center"/>
    </xf>
    <xf numFmtId="0" fontId="176" fillId="0" borderId="9" xfId="0" applyFont="1" applyBorder="1" applyAlignment="1">
      <alignment horizontal="center" vertical="center"/>
    </xf>
    <xf numFmtId="167" fontId="1" fillId="0" borderId="11" xfId="70" applyNumberFormat="1" applyFont="1" applyFill="1" applyBorder="1" applyAlignment="1" applyProtection="1">
      <alignment horizontal="center" vertical="center"/>
      <protection locked="0"/>
    </xf>
    <xf numFmtId="167" fontId="1" fillId="0" borderId="9" xfId="70" applyNumberFormat="1" applyFont="1" applyFill="1" applyBorder="1" applyAlignment="1" applyProtection="1">
      <alignment horizontal="center" vertical="center"/>
      <protection locked="0"/>
    </xf>
    <xf numFmtId="167" fontId="1" fillId="0" borderId="11" xfId="70" applyNumberFormat="1" applyFont="1" applyFill="1" applyBorder="1" applyAlignment="1" applyProtection="1">
      <alignment horizontal="center" vertical="center"/>
    </xf>
    <xf numFmtId="167" fontId="1" fillId="0" borderId="9" xfId="70" applyNumberFormat="1" applyFont="1" applyFill="1" applyBorder="1" applyAlignment="1" applyProtection="1">
      <alignment horizontal="center" vertical="center"/>
    </xf>
    <xf numFmtId="0" fontId="3" fillId="28" borderId="19" xfId="70" applyFont="1" applyFill="1" applyBorder="1" applyAlignment="1" applyProtection="1">
      <alignment horizontal="center" vertical="center"/>
    </xf>
    <xf numFmtId="0" fontId="3" fillId="28" borderId="0" xfId="70" applyFont="1" applyFill="1" applyBorder="1" applyAlignment="1" applyProtection="1">
      <alignment horizontal="center" vertical="center"/>
    </xf>
    <xf numFmtId="0" fontId="3" fillId="28" borderId="18" xfId="70" applyFont="1" applyFill="1" applyBorder="1" applyAlignment="1" applyProtection="1">
      <alignment horizontal="center" vertical="center"/>
    </xf>
    <xf numFmtId="0" fontId="131" fillId="0" borderId="19" xfId="70" applyFont="1" applyFill="1" applyBorder="1" applyAlignment="1" applyProtection="1">
      <alignment horizontal="center" vertical="center"/>
    </xf>
    <xf numFmtId="0" fontId="131" fillId="0" borderId="35" xfId="70" applyFont="1" applyFill="1" applyBorder="1" applyAlignment="1" applyProtection="1">
      <alignment horizontal="center" vertical="center"/>
    </xf>
    <xf numFmtId="0" fontId="131" fillId="0" borderId="34" xfId="70" applyFont="1" applyFill="1" applyBorder="1" applyAlignment="1" applyProtection="1">
      <alignment horizontal="center" vertical="center"/>
    </xf>
    <xf numFmtId="167" fontId="110" fillId="0" borderId="34" xfId="70" applyNumberFormat="1" applyFont="1" applyFill="1" applyBorder="1" applyAlignment="1" applyProtection="1">
      <alignment horizontal="center" vertical="center"/>
      <protection locked="0"/>
    </xf>
    <xf numFmtId="167" fontId="110" fillId="0" borderId="0" xfId="70" applyNumberFormat="1" applyFont="1" applyFill="1" applyBorder="1" applyAlignment="1" applyProtection="1">
      <alignment horizontal="center" vertical="center"/>
      <protection locked="0"/>
    </xf>
    <xf numFmtId="167" fontId="110" fillId="26" borderId="0" xfId="70" applyNumberFormat="1" applyFont="1" applyFill="1" applyBorder="1" applyAlignment="1" applyProtection="1">
      <alignment horizontal="center" vertical="center"/>
    </xf>
    <xf numFmtId="167" fontId="110" fillId="26" borderId="18" xfId="70" applyNumberFormat="1" applyFont="1" applyFill="1" applyBorder="1" applyAlignment="1" applyProtection="1">
      <alignment horizontal="center" vertical="center"/>
    </xf>
    <xf numFmtId="0" fontId="131" fillId="0" borderId="15" xfId="70" applyFont="1" applyFill="1" applyBorder="1" applyAlignment="1" applyProtection="1">
      <alignment horizontal="center" vertical="center"/>
    </xf>
    <xf numFmtId="0" fontId="131" fillId="0" borderId="63" xfId="70" applyFont="1" applyFill="1" applyBorder="1" applyAlignment="1" applyProtection="1">
      <alignment horizontal="center" vertical="center"/>
    </xf>
    <xf numFmtId="0" fontId="131" fillId="0" borderId="169" xfId="70" applyFont="1" applyFill="1" applyBorder="1" applyAlignment="1" applyProtection="1">
      <alignment horizontal="center" vertical="center"/>
    </xf>
    <xf numFmtId="167" fontId="110" fillId="0" borderId="169" xfId="70" applyNumberFormat="1" applyFont="1" applyFill="1" applyBorder="1" applyAlignment="1" applyProtection="1">
      <alignment horizontal="center" vertical="center"/>
      <protection locked="0"/>
    </xf>
    <xf numFmtId="167" fontId="110" fillId="0" borderId="160" xfId="70" applyNumberFormat="1" applyFont="1" applyFill="1" applyBorder="1" applyAlignment="1" applyProtection="1">
      <alignment horizontal="center" vertical="center"/>
      <protection locked="0"/>
    </xf>
    <xf numFmtId="0" fontId="3" fillId="25" borderId="49" xfId="70" applyFont="1" applyFill="1" applyBorder="1" applyAlignment="1" applyProtection="1">
      <alignment horizontal="center" vertical="center" wrapText="1"/>
    </xf>
    <xf numFmtId="0" fontId="131" fillId="0" borderId="164" xfId="70" applyFont="1" applyFill="1" applyBorder="1" applyAlignment="1" applyProtection="1">
      <alignment horizontal="center" vertical="center"/>
    </xf>
    <xf numFmtId="0" fontId="131" fillId="0" borderId="326" xfId="70" applyFont="1" applyFill="1" applyBorder="1" applyAlignment="1" applyProtection="1">
      <alignment horizontal="center" vertical="center"/>
    </xf>
    <xf numFmtId="0" fontId="131" fillId="0" borderId="65" xfId="70" applyFont="1" applyFill="1" applyBorder="1" applyAlignment="1" applyProtection="1">
      <alignment horizontal="center" vertical="center"/>
    </xf>
    <xf numFmtId="0" fontId="3" fillId="25" borderId="164" xfId="70" applyFont="1" applyFill="1" applyBorder="1" applyAlignment="1" applyProtection="1">
      <alignment horizontal="center" vertical="center" wrapText="1"/>
    </xf>
    <xf numFmtId="0" fontId="3" fillId="25" borderId="162" xfId="70" applyFont="1" applyFill="1" applyBorder="1" applyAlignment="1" applyProtection="1">
      <alignment horizontal="center" vertical="center" wrapText="1"/>
    </xf>
    <xf numFmtId="0" fontId="3" fillId="25" borderId="160" xfId="70" applyFont="1" applyFill="1" applyBorder="1" applyAlignment="1" applyProtection="1">
      <alignment horizontal="center" vertical="center" wrapText="1"/>
    </xf>
    <xf numFmtId="0" fontId="3" fillId="25" borderId="163" xfId="70" applyFont="1" applyFill="1" applyBorder="1" applyAlignment="1" applyProtection="1">
      <alignment horizontal="center" vertical="center" wrapText="1"/>
    </xf>
    <xf numFmtId="167" fontId="1" fillId="0" borderId="49" xfId="21" applyNumberFormat="1" applyFont="1" applyFill="1" applyBorder="1" applyAlignment="1" applyProtection="1">
      <alignment vertical="center"/>
    </xf>
    <xf numFmtId="0" fontId="110" fillId="25" borderId="15" xfId="70" applyFont="1" applyFill="1" applyBorder="1" applyAlignment="1" applyProtection="1">
      <alignment horizontal="center" vertical="center"/>
    </xf>
    <xf numFmtId="0" fontId="110" fillId="25" borderId="160" xfId="70" applyFont="1" applyFill="1" applyBorder="1" applyAlignment="1" applyProtection="1">
      <alignment horizontal="center" vertical="center"/>
    </xf>
    <xf numFmtId="0" fontId="110" fillId="25" borderId="14" xfId="70" applyFont="1" applyFill="1" applyBorder="1" applyAlignment="1" applyProtection="1">
      <alignment horizontal="center" vertical="center"/>
    </xf>
    <xf numFmtId="0" fontId="1" fillId="0" borderId="164" xfId="21" applyFont="1" applyFill="1" applyBorder="1" applyAlignment="1" applyProtection="1">
      <alignment horizontal="center"/>
    </xf>
    <xf numFmtId="0" fontId="1" fillId="0" borderId="163" xfId="21" applyFont="1" applyFill="1" applyBorder="1" applyAlignment="1" applyProtection="1">
      <alignment horizontal="center"/>
    </xf>
    <xf numFmtId="0" fontId="1" fillId="0" borderId="19" xfId="21" applyFont="1" applyFill="1" applyBorder="1" applyAlignment="1" applyProtection="1">
      <alignment horizontal="center"/>
    </xf>
    <xf numFmtId="0" fontId="1" fillId="0" borderId="15" xfId="21" applyFont="1" applyFill="1" applyBorder="1" applyAlignment="1" applyProtection="1">
      <alignment horizontal="center"/>
    </xf>
    <xf numFmtId="0" fontId="3" fillId="0" borderId="164" xfId="21" applyFont="1" applyFill="1" applyBorder="1" applyAlignment="1" applyProtection="1">
      <alignment horizontal="center" vertical="center" wrapText="1"/>
    </xf>
    <xf numFmtId="0" fontId="3" fillId="0" borderId="162" xfId="21" applyFont="1" applyFill="1" applyBorder="1" applyAlignment="1" applyProtection="1">
      <alignment horizontal="center" vertical="center" wrapText="1"/>
    </xf>
    <xf numFmtId="0" fontId="3" fillId="0" borderId="163" xfId="21" applyFont="1" applyFill="1" applyBorder="1" applyAlignment="1" applyProtection="1">
      <alignment horizontal="center" vertical="center" wrapText="1"/>
    </xf>
    <xf numFmtId="0" fontId="3" fillId="0" borderId="19" xfId="21" applyFont="1" applyFill="1" applyBorder="1" applyAlignment="1" applyProtection="1">
      <alignment horizontal="center" vertical="center" wrapText="1"/>
    </xf>
    <xf numFmtId="0" fontId="3" fillId="0" borderId="0" xfId="21" applyFont="1" applyFill="1" applyBorder="1" applyAlignment="1" applyProtection="1">
      <alignment horizontal="center" vertical="center" wrapText="1"/>
    </xf>
    <xf numFmtId="0" fontId="3" fillId="0" borderId="18" xfId="21" applyFont="1" applyFill="1" applyBorder="1" applyAlignment="1" applyProtection="1">
      <alignment horizontal="center" vertical="center" wrapText="1"/>
    </xf>
    <xf numFmtId="0" fontId="131" fillId="0" borderId="49" xfId="21" applyFont="1" applyFill="1" applyBorder="1" applyAlignment="1" applyProtection="1">
      <alignment horizontal="left" vertical="center" wrapText="1"/>
    </xf>
    <xf numFmtId="0" fontId="131" fillId="0" borderId="49" xfId="21" applyFont="1" applyFill="1" applyBorder="1" applyAlignment="1" applyProtection="1">
      <alignment horizontal="left" vertical="center"/>
    </xf>
    <xf numFmtId="0" fontId="1" fillId="0" borderId="164" xfId="21" applyFont="1" applyFill="1" applyBorder="1" applyProtection="1"/>
    <xf numFmtId="0" fontId="1" fillId="0" borderId="162" xfId="21" applyFont="1" applyFill="1" applyBorder="1" applyProtection="1"/>
    <xf numFmtId="0" fontId="1" fillId="0" borderId="0" xfId="21" applyFont="1" applyFill="1" applyBorder="1" applyAlignment="1" applyProtection="1">
      <alignment horizontal="right"/>
      <protection locked="0"/>
    </xf>
    <xf numFmtId="0" fontId="50" fillId="26" borderId="0" xfId="74" applyFont="1" applyFill="1" applyBorder="1" applyAlignment="1" applyProtection="1">
      <alignment horizontal="right" vertical="center"/>
    </xf>
    <xf numFmtId="0" fontId="43" fillId="26" borderId="0" xfId="150" applyFont="1" applyFill="1" applyBorder="1" applyAlignment="1" applyProtection="1">
      <alignment horizontal="right" vertical="center"/>
    </xf>
    <xf numFmtId="0" fontId="3" fillId="0" borderId="0" xfId="70" applyFont="1" applyFill="1" applyBorder="1" applyAlignment="1" applyProtection="1">
      <alignment horizontal="center"/>
    </xf>
    <xf numFmtId="0" fontId="3" fillId="28" borderId="309" xfId="70" applyFont="1" applyFill="1" applyBorder="1" applyAlignment="1" applyProtection="1">
      <alignment horizontal="center" vertical="center"/>
    </xf>
    <xf numFmtId="0" fontId="3" fillId="28" borderId="56" xfId="70" applyFont="1" applyFill="1" applyBorder="1" applyAlignment="1" applyProtection="1">
      <alignment horizontal="center" vertical="center"/>
    </xf>
    <xf numFmtId="0" fontId="3" fillId="28" borderId="145" xfId="70" applyFont="1" applyFill="1" applyBorder="1" applyAlignment="1" applyProtection="1">
      <alignment horizontal="center" vertical="center"/>
    </xf>
    <xf numFmtId="0" fontId="1" fillId="0" borderId="13" xfId="208" applyFont="1" applyBorder="1" applyAlignment="1" applyProtection="1">
      <alignment horizontal="center"/>
    </xf>
    <xf numFmtId="0" fontId="1" fillId="0" borderId="12" xfId="208" applyFont="1" applyBorder="1" applyAlignment="1" applyProtection="1">
      <alignment horizontal="center"/>
    </xf>
    <xf numFmtId="0" fontId="1" fillId="0" borderId="17" xfId="208" applyFont="1" applyBorder="1" applyAlignment="1" applyProtection="1">
      <alignment horizontal="center"/>
    </xf>
    <xf numFmtId="0" fontId="1" fillId="0" borderId="19" xfId="208" applyFont="1" applyBorder="1" applyAlignment="1" applyProtection="1">
      <alignment horizontal="center"/>
    </xf>
    <xf numFmtId="0" fontId="1" fillId="0" borderId="0" xfId="208" applyFont="1" applyBorder="1" applyAlignment="1" applyProtection="1">
      <alignment horizontal="center"/>
    </xf>
    <xf numFmtId="0" fontId="1" fillId="0" borderId="18" xfId="208" applyFont="1" applyBorder="1" applyAlignment="1" applyProtection="1">
      <alignment horizontal="center"/>
    </xf>
    <xf numFmtId="0" fontId="1" fillId="0" borderId="15" xfId="208" applyFont="1" applyBorder="1" applyAlignment="1" applyProtection="1">
      <alignment horizontal="center"/>
    </xf>
    <xf numFmtId="0" fontId="1" fillId="0" borderId="16" xfId="208" applyFont="1" applyBorder="1" applyAlignment="1" applyProtection="1">
      <alignment horizontal="center"/>
    </xf>
    <xf numFmtId="0" fontId="1" fillId="0" borderId="14" xfId="208" applyFont="1" applyBorder="1" applyAlignment="1" applyProtection="1">
      <alignment horizontal="center"/>
    </xf>
    <xf numFmtId="0" fontId="3" fillId="0" borderId="13" xfId="208" applyFont="1" applyBorder="1" applyAlignment="1" applyProtection="1">
      <alignment horizontal="center" vertical="center" wrapText="1"/>
    </xf>
    <xf numFmtId="0" fontId="3" fillId="0" borderId="12" xfId="208" applyFont="1" applyBorder="1" applyAlignment="1" applyProtection="1">
      <alignment horizontal="center" vertical="center" wrapText="1"/>
    </xf>
    <xf numFmtId="0" fontId="3" fillId="0" borderId="17" xfId="208" applyFont="1" applyBorder="1" applyAlignment="1" applyProtection="1">
      <alignment horizontal="center" vertical="center" wrapText="1"/>
    </xf>
    <xf numFmtId="0" fontId="3" fillId="0" borderId="19" xfId="208" applyFont="1" applyBorder="1" applyAlignment="1" applyProtection="1">
      <alignment horizontal="center" vertical="center" wrapText="1"/>
    </xf>
    <xf numFmtId="0" fontId="3" fillId="0" borderId="0" xfId="208" applyFont="1" applyBorder="1" applyAlignment="1" applyProtection="1">
      <alignment horizontal="center" vertical="center" wrapText="1"/>
    </xf>
    <xf numFmtId="0" fontId="3" fillId="0" borderId="18" xfId="208" applyFont="1" applyBorder="1" applyAlignment="1" applyProtection="1">
      <alignment horizontal="center" vertical="center" wrapText="1"/>
    </xf>
    <xf numFmtId="0" fontId="3" fillId="0" borderId="15" xfId="208" applyFont="1" applyBorder="1" applyAlignment="1" applyProtection="1">
      <alignment horizontal="center" vertical="center" wrapText="1"/>
    </xf>
    <xf numFmtId="0" fontId="3" fillId="0" borderId="16" xfId="208" applyFont="1" applyBorder="1" applyAlignment="1" applyProtection="1">
      <alignment horizontal="center" vertical="center" wrapText="1"/>
    </xf>
    <xf numFmtId="0" fontId="3" fillId="0" borderId="14" xfId="208" applyFont="1" applyBorder="1" applyAlignment="1" applyProtection="1">
      <alignment horizontal="center" vertical="center" wrapText="1"/>
    </xf>
    <xf numFmtId="0" fontId="131" fillId="0" borderId="49" xfId="208" applyFont="1" applyBorder="1" applyAlignment="1" applyProtection="1">
      <alignment horizontal="left" vertical="center" wrapText="1"/>
    </xf>
    <xf numFmtId="0" fontId="131" fillId="0" borderId="49" xfId="208" applyFont="1" applyBorder="1" applyAlignment="1" applyProtection="1">
      <alignment horizontal="left" vertical="center"/>
    </xf>
    <xf numFmtId="0" fontId="1" fillId="0" borderId="0" xfId="21" applyFont="1" applyFill="1" applyBorder="1" applyAlignment="1" applyProtection="1">
      <alignment horizontal="left"/>
      <protection locked="0"/>
    </xf>
    <xf numFmtId="0" fontId="92" fillId="0" borderId="34" xfId="208" applyFont="1" applyBorder="1" applyAlignment="1" applyProtection="1">
      <alignment horizontal="center" vertical="center" wrapText="1"/>
      <protection locked="0"/>
    </xf>
    <xf numFmtId="0" fontId="92" fillId="0" borderId="0" xfId="208" applyFont="1" applyBorder="1" applyAlignment="1" applyProtection="1">
      <alignment horizontal="center" vertical="center" wrapText="1"/>
      <protection locked="0"/>
    </xf>
    <xf numFmtId="0" fontId="92" fillId="0" borderId="18" xfId="208" applyFont="1" applyBorder="1" applyAlignment="1" applyProtection="1">
      <alignment horizontal="center" vertical="center" wrapText="1"/>
      <protection locked="0"/>
    </xf>
    <xf numFmtId="0" fontId="2" fillId="0" borderId="122" xfId="208" applyFont="1" applyBorder="1" applyAlignment="1" applyProtection="1">
      <alignment horizontal="center" vertical="center" wrapText="1"/>
    </xf>
    <xf numFmtId="0" fontId="2" fillId="0" borderId="39" xfId="208" applyFont="1" applyBorder="1" applyAlignment="1" applyProtection="1">
      <alignment horizontal="center" vertical="center" wrapText="1"/>
    </xf>
    <xf numFmtId="1" fontId="42" fillId="0" borderId="30" xfId="208" applyNumberFormat="1" applyFont="1" applyBorder="1" applyAlignment="1" applyProtection="1">
      <alignment horizontal="center" vertical="center" wrapText="1"/>
    </xf>
    <xf numFmtId="1" fontId="42" fillId="0" borderId="39" xfId="208" applyNumberFormat="1" applyFont="1" applyBorder="1" applyAlignment="1" applyProtection="1">
      <alignment horizontal="center" vertical="center" wrapText="1"/>
    </xf>
    <xf numFmtId="1" fontId="42" fillId="0" borderId="40" xfId="208" applyNumberFormat="1" applyFont="1" applyBorder="1" applyAlignment="1" applyProtection="1">
      <alignment horizontal="center" vertical="center" wrapText="1"/>
    </xf>
    <xf numFmtId="167" fontId="2" fillId="36" borderId="30" xfId="208" applyNumberFormat="1" applyFont="1" applyFill="1" applyBorder="1" applyAlignment="1" applyProtection="1">
      <alignment horizontal="center" vertical="center" wrapText="1"/>
    </xf>
    <xf numFmtId="167" fontId="2" fillId="36" borderId="39" xfId="208" applyNumberFormat="1" applyFont="1" applyFill="1" applyBorder="1" applyAlignment="1" applyProtection="1">
      <alignment horizontal="center" vertical="center" wrapText="1"/>
    </xf>
    <xf numFmtId="167" fontId="2" fillId="36" borderId="125" xfId="208" applyNumberFormat="1" applyFont="1" applyFill="1" applyBorder="1" applyAlignment="1" applyProtection="1">
      <alignment horizontal="center" vertical="center" wrapText="1"/>
    </xf>
    <xf numFmtId="0" fontId="42" fillId="28" borderId="11" xfId="208" applyFont="1" applyFill="1" applyBorder="1" applyAlignment="1" applyProtection="1">
      <alignment horizontal="center" vertical="center"/>
    </xf>
    <xf numFmtId="0" fontId="42" fillId="28" borderId="10" xfId="208" applyFont="1" applyFill="1" applyBorder="1" applyAlignment="1" applyProtection="1">
      <alignment horizontal="center" vertical="center"/>
    </xf>
    <xf numFmtId="0" fontId="42" fillId="28" borderId="9" xfId="208" applyFont="1" applyFill="1" applyBorder="1" applyAlignment="1" applyProtection="1">
      <alignment horizontal="center" vertical="center"/>
    </xf>
    <xf numFmtId="0" fontId="42" fillId="25" borderId="19" xfId="208" applyFont="1" applyFill="1" applyBorder="1" applyAlignment="1" applyProtection="1">
      <alignment horizontal="center" vertical="center"/>
    </xf>
    <xf numFmtId="0" fontId="42" fillId="25" borderId="0" xfId="208" applyFont="1" applyFill="1" applyBorder="1" applyAlignment="1" applyProtection="1">
      <alignment horizontal="center" vertical="center"/>
    </xf>
    <xf numFmtId="0" fontId="42" fillId="25" borderId="18" xfId="208" applyFont="1" applyFill="1" applyBorder="1" applyAlignment="1" applyProtection="1">
      <alignment horizontal="center" vertical="center"/>
    </xf>
    <xf numFmtId="0" fontId="95" fillId="0" borderId="62" xfId="208" applyFont="1" applyBorder="1" applyAlignment="1" applyProtection="1">
      <alignment horizontal="center" vertical="center" wrapText="1"/>
    </xf>
    <xf numFmtId="0" fontId="95" fillId="0" borderId="32" xfId="208" applyFont="1" applyBorder="1" applyAlignment="1" applyProtection="1">
      <alignment horizontal="center" vertical="center" wrapText="1"/>
    </xf>
    <xf numFmtId="0" fontId="95" fillId="0" borderId="78" xfId="208" applyFont="1" applyBorder="1" applyAlignment="1" applyProtection="1">
      <alignment horizontal="center" vertical="center" wrapText="1"/>
    </xf>
    <xf numFmtId="0" fontId="95" fillId="0" borderId="37" xfId="208" applyFont="1" applyBorder="1" applyAlignment="1" applyProtection="1">
      <alignment horizontal="center" vertical="center" wrapText="1"/>
    </xf>
    <xf numFmtId="0" fontId="92" fillId="0" borderId="31" xfId="208" applyFont="1" applyBorder="1" applyAlignment="1" applyProtection="1">
      <alignment horizontal="center" vertical="center" wrapText="1"/>
    </xf>
    <xf numFmtId="0" fontId="92" fillId="0" borderId="32" xfId="208" applyFont="1" applyBorder="1" applyAlignment="1" applyProtection="1">
      <alignment horizontal="center" vertical="center" wrapText="1"/>
    </xf>
    <xf numFmtId="0" fontId="92" fillId="0" borderId="66" xfId="208" applyFont="1" applyBorder="1" applyAlignment="1" applyProtection="1">
      <alignment horizontal="center" vertical="center" wrapText="1"/>
    </xf>
    <xf numFmtId="0" fontId="92" fillId="0" borderId="36" xfId="208" applyFont="1" applyBorder="1" applyAlignment="1" applyProtection="1">
      <alignment horizontal="center" vertical="center" wrapText="1"/>
      <protection locked="0"/>
    </xf>
    <xf numFmtId="0" fontId="92" fillId="0" borderId="37" xfId="208" applyFont="1" applyBorder="1" applyAlignment="1" applyProtection="1">
      <alignment horizontal="center" vertical="center" wrapText="1"/>
      <protection locked="0"/>
    </xf>
    <xf numFmtId="0" fontId="42" fillId="25" borderId="62" xfId="208" applyFont="1" applyFill="1" applyBorder="1" applyAlignment="1" applyProtection="1">
      <alignment horizontal="center" vertical="center"/>
    </xf>
    <xf numFmtId="0" fontId="42" fillId="25" borderId="32" xfId="208" applyFont="1" applyFill="1" applyBorder="1" applyAlignment="1" applyProtection="1">
      <alignment horizontal="center" vertical="center"/>
    </xf>
    <xf numFmtId="167" fontId="2" fillId="0" borderId="34" xfId="208" applyNumberFormat="1" applyFont="1" applyBorder="1" applyAlignment="1" applyProtection="1">
      <alignment horizontal="left" vertical="center"/>
      <protection locked="0"/>
    </xf>
    <xf numFmtId="167" fontId="2" fillId="0" borderId="0" xfId="208" applyNumberFormat="1" applyFont="1" applyBorder="1" applyAlignment="1" applyProtection="1">
      <alignment horizontal="left" vertical="center"/>
      <protection locked="0"/>
    </xf>
    <xf numFmtId="167" fontId="2" fillId="0" borderId="35" xfId="208" applyNumberFormat="1" applyFont="1" applyBorder="1" applyAlignment="1" applyProtection="1">
      <alignment horizontal="left" vertical="center"/>
      <protection locked="0"/>
    </xf>
    <xf numFmtId="0" fontId="92" fillId="0" borderId="62" xfId="208" applyFont="1" applyBorder="1" applyAlignment="1" applyProtection="1">
      <alignment horizontal="center" vertical="center" wrapText="1"/>
    </xf>
    <xf numFmtId="0" fontId="92" fillId="0" borderId="33" xfId="208" applyFont="1" applyBorder="1" applyAlignment="1" applyProtection="1">
      <alignment horizontal="center" vertical="center" wrapText="1"/>
    </xf>
    <xf numFmtId="1" fontId="92" fillId="0" borderId="31" xfId="208" applyNumberFormat="1" applyFont="1" applyBorder="1" applyAlignment="1" applyProtection="1">
      <alignment horizontal="center" vertical="center" wrapText="1"/>
    </xf>
    <xf numFmtId="1" fontId="92" fillId="0" borderId="32" xfId="208" applyNumberFormat="1" applyFont="1" applyBorder="1" applyAlignment="1" applyProtection="1">
      <alignment horizontal="center" vertical="center" wrapText="1"/>
    </xf>
    <xf numFmtId="1" fontId="92" fillId="0" borderId="33" xfId="208" applyNumberFormat="1" applyFont="1" applyBorder="1" applyAlignment="1" applyProtection="1">
      <alignment horizontal="center" vertical="center" wrapText="1"/>
    </xf>
    <xf numFmtId="1" fontId="92" fillId="0" borderId="31" xfId="208" applyNumberFormat="1" applyFont="1" applyBorder="1" applyAlignment="1" applyProtection="1">
      <alignment horizontal="center" vertical="center"/>
    </xf>
    <xf numFmtId="1" fontId="92" fillId="0" borderId="32" xfId="208" applyNumberFormat="1" applyFont="1" applyBorder="1" applyAlignment="1" applyProtection="1">
      <alignment horizontal="center" vertical="center"/>
    </xf>
    <xf numFmtId="1" fontId="92" fillId="0" borderId="33" xfId="208" applyNumberFormat="1" applyFont="1" applyBorder="1" applyAlignment="1" applyProtection="1">
      <alignment horizontal="center" vertical="center"/>
    </xf>
    <xf numFmtId="167" fontId="2" fillId="0" borderId="62" xfId="208" applyNumberFormat="1" applyFont="1" applyBorder="1" applyAlignment="1" applyProtection="1">
      <alignment horizontal="left" vertical="center"/>
    </xf>
    <xf numFmtId="167" fontId="2" fillId="0" borderId="32" xfId="208" applyNumberFormat="1" applyFont="1" applyBorder="1" applyAlignment="1" applyProtection="1">
      <alignment horizontal="left" vertical="center"/>
    </xf>
    <xf numFmtId="167" fontId="2" fillId="0" borderId="33" xfId="208" applyNumberFormat="1" applyFont="1" applyBorder="1" applyAlignment="1" applyProtection="1">
      <alignment horizontal="left" vertical="center"/>
    </xf>
    <xf numFmtId="0" fontId="4" fillId="0" borderId="30" xfId="208" applyFont="1" applyFill="1" applyBorder="1" applyAlignment="1" applyProtection="1">
      <alignment horizontal="center" vertical="center"/>
      <protection locked="0"/>
    </xf>
    <xf numFmtId="0" fontId="4" fillId="0" borderId="39" xfId="208" applyFont="1" applyFill="1" applyBorder="1" applyAlignment="1" applyProtection="1">
      <alignment horizontal="center" vertical="center"/>
      <protection locked="0"/>
    </xf>
    <xf numFmtId="0" fontId="4" fillId="0" borderId="125" xfId="208" applyFont="1" applyFill="1" applyBorder="1" applyAlignment="1" applyProtection="1">
      <alignment horizontal="center" vertical="center"/>
      <protection locked="0"/>
    </xf>
    <xf numFmtId="167" fontId="2" fillId="0" borderId="31" xfId="208" applyNumberFormat="1" applyFont="1" applyBorder="1" applyAlignment="1" applyProtection="1">
      <alignment horizontal="left" vertical="center"/>
      <protection locked="0"/>
    </xf>
    <xf numFmtId="167" fontId="2" fillId="0" borderId="32" xfId="208" applyNumberFormat="1" applyFont="1" applyBorder="1" applyAlignment="1" applyProtection="1">
      <alignment horizontal="left" vertical="center"/>
      <protection locked="0"/>
    </xf>
    <xf numFmtId="167" fontId="2" fillId="0" borderId="33" xfId="208" applyNumberFormat="1" applyFont="1" applyBorder="1" applyAlignment="1" applyProtection="1">
      <alignment horizontal="left" vertical="center"/>
      <protection locked="0"/>
    </xf>
    <xf numFmtId="167" fontId="2" fillId="0" borderId="19" xfId="208" applyNumberFormat="1" applyFont="1" applyBorder="1" applyAlignment="1" applyProtection="1">
      <alignment horizontal="left" vertical="center"/>
    </xf>
    <xf numFmtId="167" fontId="2" fillId="0" borderId="0" xfId="208" applyNumberFormat="1" applyFont="1" applyBorder="1" applyAlignment="1" applyProtection="1">
      <alignment horizontal="left" vertical="center"/>
    </xf>
    <xf numFmtId="167" fontId="2" fillId="0" borderId="35" xfId="208" applyNumberFormat="1" applyFont="1" applyBorder="1" applyAlignment="1" applyProtection="1">
      <alignment horizontal="left" vertical="center"/>
    </xf>
    <xf numFmtId="0" fontId="4" fillId="0" borderId="30" xfId="208" applyFont="1" applyBorder="1" applyAlignment="1" applyProtection="1">
      <alignment horizontal="center" vertical="center"/>
      <protection locked="0"/>
    </xf>
    <xf numFmtId="0" fontId="4" fillId="0" borderId="39" xfId="208" applyFont="1" applyBorder="1" applyAlignment="1" applyProtection="1">
      <alignment horizontal="center" vertical="center"/>
      <protection locked="0"/>
    </xf>
    <xf numFmtId="0" fontId="4" fillId="0" borderId="125" xfId="208" applyFont="1" applyBorder="1" applyAlignment="1" applyProtection="1">
      <alignment horizontal="center" vertical="center"/>
      <protection locked="0"/>
    </xf>
    <xf numFmtId="0" fontId="42" fillId="28" borderId="122" xfId="208" applyFont="1" applyFill="1" applyBorder="1" applyAlignment="1" applyProtection="1">
      <alignment horizontal="center" vertical="center"/>
    </xf>
    <xf numFmtId="0" fontId="42" fillId="28" borderId="39" xfId="208" applyFont="1" applyFill="1" applyBorder="1" applyAlignment="1" applyProtection="1">
      <alignment horizontal="center" vertical="center"/>
    </xf>
    <xf numFmtId="0" fontId="42" fillId="28" borderId="125" xfId="208" applyFont="1" applyFill="1" applyBorder="1" applyAlignment="1" applyProtection="1">
      <alignment horizontal="center" vertical="center"/>
    </xf>
    <xf numFmtId="1" fontId="97" fillId="0" borderId="10" xfId="208" applyNumberFormat="1" applyFont="1" applyBorder="1" applyAlignment="1" applyProtection="1">
      <alignment horizontal="center" vertical="center" wrapText="1"/>
      <protection locked="0"/>
    </xf>
    <xf numFmtId="0" fontId="92" fillId="0" borderId="78" xfId="208" applyFont="1" applyBorder="1" applyAlignment="1" applyProtection="1">
      <alignment horizontal="center" vertical="center" wrapText="1"/>
    </xf>
    <xf numFmtId="0" fontId="92" fillId="0" borderId="37" xfId="208" applyFont="1" applyBorder="1" applyAlignment="1" applyProtection="1">
      <alignment horizontal="center" vertical="center" wrapText="1"/>
    </xf>
    <xf numFmtId="0" fontId="92" fillId="0" borderId="38" xfId="208" applyFont="1" applyBorder="1" applyAlignment="1" applyProtection="1">
      <alignment horizontal="center" vertical="center" wrapText="1"/>
    </xf>
    <xf numFmtId="1" fontId="92" fillId="0" borderId="36" xfId="208" applyNumberFormat="1" applyFont="1" applyBorder="1" applyAlignment="1" applyProtection="1">
      <alignment horizontal="center" vertical="center" wrapText="1"/>
    </xf>
    <xf numFmtId="1" fontId="92" fillId="0" borderId="37" xfId="208" applyNumberFormat="1" applyFont="1" applyBorder="1" applyAlignment="1" applyProtection="1">
      <alignment horizontal="center" vertical="center" wrapText="1"/>
    </xf>
    <xf numFmtId="1" fontId="92" fillId="0" borderId="38" xfId="208" applyNumberFormat="1" applyFont="1" applyBorder="1" applyAlignment="1" applyProtection="1">
      <alignment horizontal="center" vertical="center" wrapText="1"/>
    </xf>
    <xf numFmtId="12" fontId="92" fillId="0" borderId="36" xfId="208" applyNumberFormat="1" applyFont="1" applyBorder="1" applyAlignment="1" applyProtection="1">
      <alignment horizontal="center" vertical="center" wrapText="1"/>
      <protection locked="0"/>
    </xf>
    <xf numFmtId="12" fontId="92" fillId="0" borderId="37" xfId="208" applyNumberFormat="1" applyFont="1" applyBorder="1" applyAlignment="1" applyProtection="1">
      <alignment horizontal="center" vertical="center" wrapText="1"/>
      <protection locked="0"/>
    </xf>
    <xf numFmtId="12" fontId="92" fillId="0" borderId="79" xfId="208" applyNumberFormat="1" applyFont="1" applyBorder="1" applyAlignment="1" applyProtection="1">
      <alignment horizontal="center" vertical="center" wrapText="1"/>
      <protection locked="0"/>
    </xf>
    <xf numFmtId="1" fontId="2" fillId="0" borderId="0" xfId="208" applyNumberFormat="1" applyFont="1" applyBorder="1" applyAlignment="1" applyProtection="1">
      <alignment horizontal="center" vertical="center" wrapText="1"/>
      <protection locked="0"/>
    </xf>
    <xf numFmtId="0" fontId="2" fillId="38" borderId="15" xfId="208" applyFont="1" applyFill="1" applyBorder="1" applyAlignment="1" applyProtection="1">
      <alignment horizontal="left"/>
    </xf>
    <xf numFmtId="0" fontId="2" fillId="38" borderId="16" xfId="208" applyFont="1" applyFill="1" applyBorder="1" applyAlignment="1" applyProtection="1">
      <alignment horizontal="left"/>
    </xf>
    <xf numFmtId="0" fontId="2" fillId="0" borderId="37" xfId="208" applyFont="1" applyBorder="1" applyAlignment="1" applyProtection="1">
      <alignment horizontal="left" vertical="center"/>
    </xf>
    <xf numFmtId="1" fontId="181" fillId="0" borderId="0" xfId="208" applyNumberFormat="1" applyFont="1" applyBorder="1" applyAlignment="1" applyProtection="1">
      <alignment horizontal="center" vertical="center"/>
      <protection locked="0"/>
    </xf>
    <xf numFmtId="0" fontId="181" fillId="0" borderId="0" xfId="208" applyFont="1" applyBorder="1" applyAlignment="1" applyProtection="1">
      <alignment horizontal="center" vertical="center"/>
      <protection locked="0"/>
    </xf>
    <xf numFmtId="0" fontId="181" fillId="0" borderId="18" xfId="208" applyFont="1" applyBorder="1" applyAlignment="1" applyProtection="1">
      <alignment horizontal="center" vertical="center"/>
      <protection locked="0"/>
    </xf>
    <xf numFmtId="0" fontId="42" fillId="25" borderId="13" xfId="208" applyFont="1" applyFill="1" applyBorder="1" applyAlignment="1" applyProtection="1">
      <alignment horizontal="center" vertical="center"/>
    </xf>
    <xf numFmtId="0" fontId="42" fillId="25" borderId="12" xfId="208" applyFont="1" applyFill="1" applyBorder="1" applyAlignment="1" applyProtection="1">
      <alignment horizontal="center" vertical="center"/>
    </xf>
    <xf numFmtId="0" fontId="42" fillId="25" borderId="64" xfId="208" applyFont="1" applyFill="1" applyBorder="1" applyAlignment="1" applyProtection="1">
      <alignment horizontal="center" vertical="center"/>
    </xf>
    <xf numFmtId="0" fontId="42" fillId="25" borderId="31" xfId="208" applyFont="1" applyFill="1" applyBorder="1" applyAlignment="1" applyProtection="1">
      <alignment horizontal="center" vertical="center"/>
    </xf>
    <xf numFmtId="0" fontId="42" fillId="25" borderId="66" xfId="208" applyFont="1" applyFill="1" applyBorder="1" applyAlignment="1" applyProtection="1">
      <alignment horizontal="center" vertical="center"/>
    </xf>
    <xf numFmtId="0" fontId="2" fillId="0" borderId="62" xfId="208" applyFont="1" applyBorder="1" applyAlignment="1" applyProtection="1">
      <alignment horizontal="left" vertical="center"/>
    </xf>
    <xf numFmtId="0" fontId="2" fillId="0" borderId="32" xfId="208" applyFont="1" applyBorder="1" applyAlignment="1" applyProtection="1">
      <alignment horizontal="left" vertical="center"/>
    </xf>
    <xf numFmtId="1" fontId="42" fillId="0" borderId="146" xfId="208" applyNumberFormat="1" applyFont="1" applyBorder="1" applyAlignment="1" applyProtection="1">
      <alignment horizontal="center" vertical="center"/>
      <protection locked="0"/>
    </xf>
    <xf numFmtId="1" fontId="120" fillId="0" borderId="146" xfId="208" applyNumberFormat="1" applyFont="1" applyBorder="1" applyAlignment="1" applyProtection="1">
      <alignment horizontal="center"/>
      <protection locked="0"/>
    </xf>
    <xf numFmtId="0" fontId="120" fillId="0" borderId="146" xfId="208" applyFont="1" applyBorder="1" applyAlignment="1" applyProtection="1">
      <alignment horizontal="center"/>
      <protection locked="0"/>
    </xf>
    <xf numFmtId="0" fontId="120" fillId="0" borderId="147" xfId="208" applyFont="1" applyBorder="1" applyAlignment="1" applyProtection="1">
      <alignment horizontal="center"/>
      <protection locked="0"/>
    </xf>
    <xf numFmtId="0" fontId="2" fillId="0" borderId="19" xfId="208" applyFont="1" applyBorder="1" applyAlignment="1" applyProtection="1">
      <alignment horizontal="left" vertical="center"/>
    </xf>
    <xf numFmtId="0" fontId="2" fillId="0" borderId="0" xfId="208" applyFont="1" applyBorder="1" applyAlignment="1" applyProtection="1">
      <alignment horizontal="left" vertical="center"/>
    </xf>
    <xf numFmtId="0" fontId="42" fillId="0" borderId="5" xfId="208" applyFont="1" applyBorder="1" applyAlignment="1" applyProtection="1">
      <alignment horizontal="center" vertical="center"/>
      <protection locked="0"/>
    </xf>
    <xf numFmtId="0" fontId="120" fillId="0" borderId="46" xfId="208" applyFont="1" applyBorder="1" applyAlignment="1" applyProtection="1">
      <alignment horizontal="center" vertical="center"/>
      <protection locked="0"/>
    </xf>
    <xf numFmtId="0" fontId="120" fillId="0" borderId="48" xfId="208" applyFont="1" applyBorder="1" applyAlignment="1" applyProtection="1">
      <alignment horizontal="center" vertical="center"/>
      <protection locked="0"/>
    </xf>
    <xf numFmtId="0" fontId="2" fillId="25" borderId="34" xfId="208" applyFont="1" applyFill="1" applyBorder="1" applyAlignment="1" applyProtection="1">
      <alignment horizontal="center" vertical="center" wrapText="1"/>
    </xf>
    <xf numFmtId="0" fontId="2" fillId="25" borderId="0" xfId="208" applyFont="1" applyFill="1" applyBorder="1" applyAlignment="1" applyProtection="1">
      <alignment horizontal="center" vertical="center" wrapText="1"/>
    </xf>
    <xf numFmtId="0" fontId="2" fillId="25" borderId="36" xfId="208" applyFont="1" applyFill="1" applyBorder="1" applyAlignment="1" applyProtection="1">
      <alignment horizontal="center" vertical="center" wrapText="1"/>
    </xf>
    <xf numFmtId="0" fontId="2" fillId="25" borderId="37" xfId="208" applyFont="1" applyFill="1" applyBorder="1" applyAlignment="1" applyProtection="1">
      <alignment horizontal="center" vertical="center" wrapText="1"/>
    </xf>
    <xf numFmtId="0" fontId="2" fillId="25" borderId="18" xfId="208" applyFont="1" applyFill="1" applyBorder="1" applyAlignment="1" applyProtection="1">
      <alignment horizontal="center" vertical="center" wrapText="1"/>
    </xf>
    <xf numFmtId="0" fontId="2" fillId="25" borderId="79" xfId="208" applyFont="1" applyFill="1" applyBorder="1" applyAlignment="1" applyProtection="1">
      <alignment horizontal="center" vertical="center" wrapText="1"/>
    </xf>
    <xf numFmtId="0" fontId="1" fillId="0" borderId="0" xfId="208" applyAlignment="1" applyProtection="1">
      <alignment horizontal="center"/>
      <protection locked="0"/>
    </xf>
    <xf numFmtId="0" fontId="92" fillId="0" borderId="87" xfId="208" applyFont="1" applyBorder="1" applyAlignment="1" applyProtection="1">
      <alignment horizontal="center" vertical="center" wrapText="1"/>
    </xf>
    <xf numFmtId="0" fontId="92" fillId="0" borderId="88" xfId="208" applyFont="1" applyBorder="1" applyAlignment="1" applyProtection="1">
      <alignment horizontal="center" vertical="center" wrapText="1"/>
    </xf>
    <xf numFmtId="0" fontId="92" fillId="0" borderId="119" xfId="208" applyFont="1" applyBorder="1" applyAlignment="1" applyProtection="1">
      <alignment horizontal="center" vertical="center" wrapText="1"/>
    </xf>
    <xf numFmtId="0" fontId="92" fillId="0" borderId="114" xfId="208" applyFont="1" applyBorder="1" applyAlignment="1" applyProtection="1">
      <alignment horizontal="center" vertical="center" wrapText="1"/>
      <protection locked="0"/>
    </xf>
    <xf numFmtId="0" fontId="92" fillId="0" borderId="107" xfId="208" applyFont="1" applyBorder="1" applyAlignment="1" applyProtection="1">
      <alignment horizontal="center" vertical="center" wrapText="1"/>
      <protection locked="0"/>
    </xf>
    <xf numFmtId="0" fontId="2" fillId="26" borderId="112" xfId="208" applyFont="1" applyFill="1" applyBorder="1" applyAlignment="1" applyProtection="1">
      <alignment horizontal="center" vertical="center" wrapText="1"/>
    </xf>
    <xf numFmtId="0" fontId="2" fillId="26" borderId="116" xfId="208" applyFont="1" applyFill="1" applyBorder="1" applyAlignment="1" applyProtection="1">
      <alignment horizontal="center" vertical="center" wrapText="1"/>
    </xf>
    <xf numFmtId="0" fontId="2" fillId="0" borderId="19" xfId="208" applyFont="1" applyBorder="1" applyAlignment="1" applyProtection="1">
      <alignment horizontal="center" vertical="center" wrapText="1"/>
      <protection locked="0"/>
    </xf>
    <xf numFmtId="0" fontId="2" fillId="0" borderId="0" xfId="208" applyFont="1" applyBorder="1" applyAlignment="1" applyProtection="1">
      <alignment horizontal="center" vertical="center" wrapText="1"/>
      <protection locked="0"/>
    </xf>
    <xf numFmtId="0" fontId="2" fillId="0" borderId="108" xfId="208" applyFont="1" applyBorder="1" applyAlignment="1" applyProtection="1">
      <alignment horizontal="center" vertical="center" wrapText="1"/>
      <protection locked="0"/>
    </xf>
    <xf numFmtId="167" fontId="2" fillId="0" borderId="112" xfId="208" applyNumberFormat="1" applyFont="1" applyBorder="1" applyAlignment="1" applyProtection="1">
      <alignment horizontal="center" vertical="center" wrapText="1"/>
    </xf>
    <xf numFmtId="167" fontId="2" fillId="0" borderId="92" xfId="208" applyNumberFormat="1" applyFont="1" applyBorder="1" applyAlignment="1" applyProtection="1">
      <alignment horizontal="center" vertical="center" wrapText="1"/>
    </xf>
    <xf numFmtId="167" fontId="2" fillId="0" borderId="116" xfId="208" applyNumberFormat="1" applyFont="1" applyBorder="1" applyAlignment="1" applyProtection="1">
      <alignment horizontal="center" vertical="center" wrapText="1"/>
    </xf>
    <xf numFmtId="0" fontId="2" fillId="25" borderId="19" xfId="208" applyFont="1" applyFill="1" applyBorder="1" applyAlignment="1" applyProtection="1">
      <alignment horizontal="center" vertical="center" wrapText="1"/>
    </xf>
    <xf numFmtId="0" fontId="2" fillId="25" borderId="78" xfId="208" applyFont="1" applyFill="1" applyBorder="1" applyAlignment="1" applyProtection="1">
      <alignment horizontal="center" vertical="center" wrapText="1"/>
    </xf>
    <xf numFmtId="0" fontId="16" fillId="25" borderId="0" xfId="208" applyFont="1" applyFill="1" applyBorder="1" applyAlignment="1" applyProtection="1">
      <alignment horizontal="center" vertical="center" wrapText="1"/>
    </xf>
    <xf numFmtId="0" fontId="16" fillId="25" borderId="35" xfId="208" applyFont="1" applyFill="1" applyBorder="1" applyAlignment="1" applyProtection="1">
      <alignment horizontal="center" vertical="center" wrapText="1"/>
    </xf>
    <xf numFmtId="0" fontId="16" fillId="25" borderId="37" xfId="208" applyFont="1" applyFill="1" applyBorder="1" applyAlignment="1" applyProtection="1">
      <alignment horizontal="center" vertical="center" wrapText="1"/>
    </xf>
    <xf numFmtId="0" fontId="16" fillId="25" borderId="38" xfId="208" applyFont="1" applyFill="1" applyBorder="1" applyAlignment="1" applyProtection="1">
      <alignment horizontal="center" vertical="center" wrapText="1"/>
    </xf>
    <xf numFmtId="167" fontId="2" fillId="0" borderId="19" xfId="208" applyNumberFormat="1" applyFont="1" applyBorder="1" applyAlignment="1" applyProtection="1">
      <alignment horizontal="center" vertical="center" wrapText="1"/>
      <protection locked="0"/>
    </xf>
    <xf numFmtId="167" fontId="2" fillId="0" borderId="0" xfId="208" applyNumberFormat="1" applyFont="1" applyBorder="1" applyAlignment="1" applyProtection="1">
      <alignment horizontal="center" vertical="center" wrapText="1"/>
      <protection locked="0"/>
    </xf>
    <xf numFmtId="167" fontId="2" fillId="0" borderId="108" xfId="208" applyNumberFormat="1" applyFont="1" applyBorder="1" applyAlignment="1" applyProtection="1">
      <alignment horizontal="center" vertical="center" wrapText="1"/>
      <protection locked="0"/>
    </xf>
    <xf numFmtId="167" fontId="2" fillId="0" borderId="113" xfId="208" applyNumberFormat="1" applyFont="1" applyBorder="1" applyAlignment="1" applyProtection="1">
      <alignment horizontal="center" vertical="center" wrapText="1"/>
    </xf>
    <xf numFmtId="0" fontId="92" fillId="0" borderId="94" xfId="208" applyFont="1" applyBorder="1" applyAlignment="1" applyProtection="1">
      <alignment horizontal="center" vertical="center" wrapText="1"/>
    </xf>
    <xf numFmtId="0" fontId="92" fillId="0" borderId="95" xfId="208" applyFont="1" applyBorder="1" applyAlignment="1" applyProtection="1">
      <alignment horizontal="center" vertical="center" wrapText="1"/>
    </xf>
    <xf numFmtId="0" fontId="92" fillId="0" borderId="105" xfId="208" applyFont="1" applyBorder="1" applyAlignment="1" applyProtection="1">
      <alignment horizontal="center" vertical="center" wrapText="1"/>
    </xf>
    <xf numFmtId="0" fontId="92" fillId="0" borderId="161" xfId="208" applyFont="1" applyBorder="1" applyAlignment="1" applyProtection="1">
      <alignment horizontal="center" vertical="center" wrapText="1"/>
      <protection locked="0"/>
    </xf>
    <xf numFmtId="0" fontId="2" fillId="0" borderId="94" xfId="208" applyFont="1" applyBorder="1" applyAlignment="1" applyProtection="1">
      <alignment horizontal="center" vertical="center" wrapText="1"/>
      <protection locked="0"/>
    </xf>
    <xf numFmtId="0" fontId="2" fillId="0" borderId="95" xfId="208" applyFont="1" applyBorder="1" applyAlignment="1" applyProtection="1">
      <alignment horizontal="center" vertical="center" wrapText="1"/>
      <protection locked="0"/>
    </xf>
    <xf numFmtId="0" fontId="2" fillId="0" borderId="105" xfId="208" applyFont="1" applyBorder="1" applyAlignment="1" applyProtection="1">
      <alignment horizontal="center" vertical="center" wrapText="1"/>
      <protection locked="0"/>
    </xf>
    <xf numFmtId="167" fontId="2" fillId="0" borderId="94" xfId="208" applyNumberFormat="1" applyFont="1" applyBorder="1" applyAlignment="1" applyProtection="1">
      <alignment horizontal="center" vertical="center" wrapText="1"/>
      <protection locked="0"/>
    </xf>
    <xf numFmtId="167" fontId="2" fillId="0" borderId="95" xfId="208" applyNumberFormat="1" applyFont="1" applyBorder="1" applyAlignment="1" applyProtection="1">
      <alignment horizontal="center" vertical="center" wrapText="1"/>
      <protection locked="0"/>
    </xf>
    <xf numFmtId="167" fontId="2" fillId="0" borderId="105" xfId="208" applyNumberFormat="1" applyFont="1" applyBorder="1" applyAlignment="1" applyProtection="1">
      <alignment horizontal="center" vertical="center" wrapText="1"/>
      <protection locked="0"/>
    </xf>
    <xf numFmtId="167" fontId="92" fillId="0" borderId="161" xfId="208" applyNumberFormat="1" applyFont="1" applyBorder="1" applyAlignment="1" applyProtection="1">
      <alignment horizontal="center" vertical="center" wrapText="1"/>
      <protection locked="0"/>
    </xf>
    <xf numFmtId="167" fontId="92" fillId="0" borderId="112" xfId="208" applyNumberFormat="1" applyFont="1" applyBorder="1" applyAlignment="1" applyProtection="1">
      <alignment horizontal="center" vertical="center" wrapText="1"/>
      <protection locked="0"/>
    </xf>
    <xf numFmtId="167" fontId="92" fillId="0" borderId="113" xfId="208" applyNumberFormat="1" applyFont="1" applyBorder="1" applyAlignment="1" applyProtection="1">
      <alignment horizontal="center" vertical="center" wrapText="1"/>
      <protection locked="0"/>
    </xf>
    <xf numFmtId="0" fontId="2" fillId="0" borderId="91" xfId="208" applyFont="1" applyBorder="1" applyAlignment="1" applyProtection="1">
      <alignment horizontal="center" vertical="center" wrapText="1"/>
      <protection locked="0"/>
    </xf>
    <xf numFmtId="0" fontId="2" fillId="0" borderId="92" xfId="208" applyFont="1" applyBorder="1" applyAlignment="1" applyProtection="1">
      <alignment horizontal="center" vertical="center" wrapText="1"/>
      <protection locked="0"/>
    </xf>
    <xf numFmtId="0" fontId="2" fillId="0" borderId="113" xfId="208" applyFont="1" applyBorder="1" applyAlignment="1" applyProtection="1">
      <alignment horizontal="center" vertical="center" wrapText="1"/>
      <protection locked="0"/>
    </xf>
    <xf numFmtId="167" fontId="2" fillId="0" borderId="91" xfId="208" applyNumberFormat="1" applyFont="1" applyBorder="1" applyAlignment="1" applyProtection="1">
      <alignment horizontal="center" vertical="center" wrapText="1"/>
      <protection locked="0"/>
    </xf>
    <xf numFmtId="167" fontId="2" fillId="0" borderId="92" xfId="208" applyNumberFormat="1" applyFont="1" applyBorder="1" applyAlignment="1" applyProtection="1">
      <alignment horizontal="center" vertical="center" wrapText="1"/>
      <protection locked="0"/>
    </xf>
    <xf numFmtId="167" fontId="2" fillId="0" borderId="113" xfId="208" applyNumberFormat="1" applyFont="1" applyBorder="1" applyAlignment="1" applyProtection="1">
      <alignment horizontal="center" vertical="center" wrapText="1"/>
      <protection locked="0"/>
    </xf>
    <xf numFmtId="0" fontId="2" fillId="0" borderId="143" xfId="208" applyFont="1" applyBorder="1" applyAlignment="1" applyProtection="1">
      <alignment horizontal="center"/>
    </xf>
    <xf numFmtId="0" fontId="2" fillId="0" borderId="141" xfId="208" applyFont="1" applyBorder="1" applyAlignment="1" applyProtection="1">
      <alignment horizontal="center"/>
    </xf>
    <xf numFmtId="0" fontId="2" fillId="0" borderId="140" xfId="208" applyFont="1" applyBorder="1" applyAlignment="1" applyProtection="1">
      <alignment horizontal="center"/>
    </xf>
    <xf numFmtId="167" fontId="42" fillId="2" borderId="141" xfId="208" applyNumberFormat="1" applyFont="1" applyFill="1" applyBorder="1" applyAlignment="1" applyProtection="1">
      <alignment horizontal="center" vertical="center" wrapText="1"/>
    </xf>
    <xf numFmtId="167" fontId="42" fillId="2" borderId="140" xfId="208" applyNumberFormat="1" applyFont="1" applyFill="1" applyBorder="1" applyAlignment="1" applyProtection="1">
      <alignment horizontal="center" vertical="center" wrapText="1"/>
    </xf>
    <xf numFmtId="0" fontId="42" fillId="2" borderId="0" xfId="208" applyFont="1" applyFill="1" applyBorder="1" applyAlignment="1" applyProtection="1">
      <alignment horizontal="center" vertical="center" wrapText="1"/>
    </xf>
    <xf numFmtId="0" fontId="42" fillId="2" borderId="18" xfId="208" applyFont="1" applyFill="1" applyBorder="1" applyAlignment="1" applyProtection="1">
      <alignment horizontal="center" vertical="center" wrapText="1"/>
    </xf>
    <xf numFmtId="0" fontId="42" fillId="2" borderId="19" xfId="208" applyFont="1" applyFill="1" applyBorder="1" applyAlignment="1" applyProtection="1">
      <alignment horizontal="center" vertical="center" wrapText="1"/>
    </xf>
    <xf numFmtId="0" fontId="42" fillId="2" borderId="108" xfId="208" applyFont="1" applyFill="1" applyBorder="1" applyAlignment="1" applyProtection="1">
      <alignment horizontal="center" vertical="center" wrapText="1"/>
    </xf>
    <xf numFmtId="0" fontId="42" fillId="37" borderId="0" xfId="208" applyFont="1" applyFill="1" applyBorder="1" applyAlignment="1" applyProtection="1">
      <alignment horizontal="center" vertical="center" wrapText="1"/>
    </xf>
    <xf numFmtId="167" fontId="42" fillId="2" borderId="19" xfId="208" applyNumberFormat="1" applyFont="1" applyFill="1" applyBorder="1" applyAlignment="1" applyProtection="1">
      <alignment horizontal="center" vertical="center" wrapText="1"/>
    </xf>
    <xf numFmtId="167" fontId="42" fillId="2" borderId="0" xfId="208" applyNumberFormat="1" applyFont="1" applyFill="1" applyBorder="1" applyAlignment="1" applyProtection="1">
      <alignment horizontal="center" vertical="center" wrapText="1"/>
    </xf>
    <xf numFmtId="167" fontId="42" fillId="2" borderId="108" xfId="208" applyNumberFormat="1" applyFont="1" applyFill="1" applyBorder="1" applyAlignment="1" applyProtection="1">
      <alignment horizontal="center" vertical="center" wrapText="1"/>
    </xf>
    <xf numFmtId="0" fontId="42" fillId="37" borderId="18" xfId="208" applyFont="1" applyFill="1" applyBorder="1" applyAlignment="1" applyProtection="1">
      <alignment horizontal="center" vertical="center" wrapText="1"/>
    </xf>
    <xf numFmtId="0" fontId="3" fillId="30" borderId="49" xfId="208" applyFont="1" applyFill="1" applyBorder="1" applyAlignment="1" applyProtection="1">
      <alignment horizontal="center"/>
      <protection locked="0"/>
    </xf>
    <xf numFmtId="0" fontId="93" fillId="30" borderId="49" xfId="208" applyFont="1" applyFill="1" applyBorder="1" applyAlignment="1" applyProtection="1">
      <alignment horizontal="left" vertical="top" wrapText="1"/>
      <protection locked="0"/>
    </xf>
    <xf numFmtId="0" fontId="2" fillId="26" borderId="19" xfId="71" applyFont="1" applyFill="1" applyBorder="1" applyAlignment="1" applyProtection="1">
      <alignment horizontal="center" vertical="top" wrapText="1"/>
      <protection locked="0"/>
    </xf>
    <xf numFmtId="0" fontId="2" fillId="26" borderId="0" xfId="71" applyFont="1" applyFill="1" applyBorder="1" applyAlignment="1" applyProtection="1">
      <alignment horizontal="center" vertical="top" wrapText="1"/>
      <protection locked="0"/>
    </xf>
    <xf numFmtId="0" fontId="2" fillId="26" borderId="18" xfId="71" applyFont="1" applyFill="1" applyBorder="1" applyAlignment="1" applyProtection="1">
      <alignment horizontal="center" vertical="top" wrapText="1"/>
      <protection locked="0"/>
    </xf>
    <xf numFmtId="0" fontId="46" fillId="0" borderId="167" xfId="69" applyFont="1" applyBorder="1" applyAlignment="1" applyProtection="1">
      <alignment horizontal="center" wrapText="1"/>
    </xf>
    <xf numFmtId="168" fontId="1" fillId="0" borderId="0" xfId="208" applyNumberFormat="1" applyFont="1" applyBorder="1" applyAlignment="1" applyProtection="1">
      <alignment horizontal="center" vertical="center"/>
      <protection locked="0"/>
    </xf>
    <xf numFmtId="0" fontId="57" fillId="30" borderId="49" xfId="208" applyFont="1" applyFill="1" applyBorder="1" applyAlignment="1" applyProtection="1">
      <alignment horizontal="left" vertical="top" wrapText="1"/>
      <protection locked="0"/>
    </xf>
    <xf numFmtId="0" fontId="2" fillId="0" borderId="62" xfId="208" applyFont="1" applyBorder="1" applyAlignment="1" applyProtection="1">
      <alignment horizontal="center" vertical="center"/>
    </xf>
    <xf numFmtId="0" fontId="2" fillId="0" borderId="32" xfId="208" applyFont="1" applyBorder="1" applyAlignment="1" applyProtection="1">
      <alignment horizontal="center" vertical="center"/>
    </xf>
    <xf numFmtId="1" fontId="42" fillId="2" borderId="32" xfId="208" applyNumberFormat="1" applyFont="1" applyFill="1" applyBorder="1" applyAlignment="1" applyProtection="1">
      <alignment horizontal="center" vertical="center"/>
    </xf>
    <xf numFmtId="1" fontId="42" fillId="2" borderId="33" xfId="208" applyNumberFormat="1" applyFont="1" applyFill="1" applyBorder="1" applyAlignment="1" applyProtection="1">
      <alignment horizontal="center" vertical="center"/>
    </xf>
    <xf numFmtId="0" fontId="2" fillId="0" borderId="31" xfId="208" applyFont="1" applyBorder="1" applyAlignment="1" applyProtection="1">
      <alignment horizontal="center" vertical="center"/>
    </xf>
    <xf numFmtId="1" fontId="42" fillId="2" borderId="66" xfId="208" applyNumberFormat="1" applyFont="1" applyFill="1" applyBorder="1" applyAlignment="1" applyProtection="1">
      <alignment horizontal="center" vertical="center"/>
    </xf>
    <xf numFmtId="0" fontId="1" fillId="0" borderId="0" xfId="208" applyFont="1" applyBorder="1" applyAlignment="1" applyProtection="1">
      <alignment horizontal="center" vertical="center"/>
    </xf>
    <xf numFmtId="0" fontId="3" fillId="26" borderId="12" xfId="71" applyFont="1" applyFill="1" applyBorder="1" applyAlignment="1" applyProtection="1">
      <alignment horizontal="left" vertical="top" wrapText="1"/>
    </xf>
    <xf numFmtId="0" fontId="2" fillId="26" borderId="0" xfId="71" applyFont="1" applyFill="1" applyBorder="1" applyAlignment="1" applyProtection="1">
      <alignment horizontal="left" vertical="top" wrapText="1"/>
      <protection locked="0"/>
    </xf>
    <xf numFmtId="0" fontId="2" fillId="26" borderId="18" xfId="71" applyFont="1" applyFill="1" applyBorder="1" applyAlignment="1" applyProtection="1">
      <alignment horizontal="left" vertical="top" wrapText="1"/>
      <protection locked="0"/>
    </xf>
    <xf numFmtId="0" fontId="5" fillId="25" borderId="15" xfId="208" applyFont="1" applyFill="1" applyBorder="1" applyAlignment="1" applyProtection="1">
      <alignment horizontal="center" vertical="center"/>
    </xf>
    <xf numFmtId="0" fontId="5" fillId="25" borderId="16" xfId="208" applyFont="1" applyFill="1" applyBorder="1" applyAlignment="1" applyProtection="1">
      <alignment horizontal="center" vertical="center"/>
    </xf>
    <xf numFmtId="0" fontId="5" fillId="25" borderId="14" xfId="208" applyFont="1" applyFill="1" applyBorder="1" applyAlignment="1" applyProtection="1">
      <alignment horizontal="center" vertical="center"/>
    </xf>
    <xf numFmtId="0" fontId="4" fillId="0" borderId="19" xfId="208" applyFont="1" applyBorder="1" applyAlignment="1" applyProtection="1">
      <alignment horizontal="left" vertical="center"/>
    </xf>
    <xf numFmtId="0" fontId="4" fillId="0" borderId="0" xfId="208" applyFont="1" applyBorder="1" applyAlignment="1" applyProtection="1">
      <alignment horizontal="left" vertical="center"/>
    </xf>
    <xf numFmtId="0" fontId="5" fillId="0" borderId="0" xfId="208" applyFont="1" applyBorder="1" applyAlignment="1" applyProtection="1">
      <alignment horizontal="center" vertical="center"/>
    </xf>
    <xf numFmtId="0" fontId="4" fillId="0" borderId="0" xfId="208" applyFont="1" applyBorder="1" applyAlignment="1" applyProtection="1">
      <alignment horizontal="center" vertical="center"/>
    </xf>
    <xf numFmtId="167" fontId="4" fillId="0" borderId="46" xfId="208" applyNumberFormat="1" applyFont="1" applyBorder="1" applyAlignment="1" applyProtection="1">
      <alignment horizontal="center" vertical="center"/>
      <protection locked="0"/>
    </xf>
    <xf numFmtId="0" fontId="1" fillId="2" borderId="13" xfId="208" applyFont="1" applyFill="1" applyBorder="1" applyAlignment="1" applyProtection="1">
      <alignment horizontal="center"/>
    </xf>
    <xf numFmtId="0" fontId="1" fillId="2" borderId="12" xfId="208" applyFont="1" applyFill="1" applyBorder="1" applyAlignment="1" applyProtection="1">
      <alignment horizontal="center"/>
    </xf>
    <xf numFmtId="0" fontId="1" fillId="2" borderId="17" xfId="208" applyFont="1" applyFill="1" applyBorder="1" applyAlignment="1" applyProtection="1">
      <alignment horizontal="center"/>
    </xf>
    <xf numFmtId="0" fontId="1" fillId="2" borderId="19" xfId="208" applyFont="1" applyFill="1" applyBorder="1" applyAlignment="1" applyProtection="1">
      <alignment horizontal="center"/>
    </xf>
    <xf numFmtId="0" fontId="1" fillId="2" borderId="0" xfId="208" applyFont="1" applyFill="1" applyBorder="1" applyAlignment="1" applyProtection="1">
      <alignment horizontal="center"/>
    </xf>
    <xf numFmtId="0" fontId="1" fillId="2" borderId="18" xfId="208" applyFont="1" applyFill="1" applyBorder="1" applyAlignment="1" applyProtection="1">
      <alignment horizontal="center"/>
    </xf>
    <xf numFmtId="0" fontId="1" fillId="2" borderId="15" xfId="208" applyFont="1" applyFill="1" applyBorder="1" applyAlignment="1" applyProtection="1">
      <alignment horizontal="center"/>
    </xf>
    <xf numFmtId="0" fontId="1" fillId="2" borderId="16" xfId="208" applyFont="1" applyFill="1" applyBorder="1" applyAlignment="1" applyProtection="1">
      <alignment horizontal="center"/>
    </xf>
    <xf numFmtId="0" fontId="1" fillId="2" borderId="14" xfId="208" applyFont="1" applyFill="1" applyBorder="1" applyAlignment="1" applyProtection="1">
      <alignment horizontal="center"/>
    </xf>
    <xf numFmtId="0" fontId="3" fillId="2" borderId="49" xfId="208" applyFont="1" applyFill="1" applyBorder="1" applyAlignment="1" applyProtection="1">
      <alignment horizontal="center" vertical="center" wrapText="1"/>
    </xf>
    <xf numFmtId="0" fontId="131" fillId="2" borderId="49" xfId="208" applyFont="1" applyFill="1" applyBorder="1" applyAlignment="1" applyProtection="1">
      <alignment horizontal="left" vertical="center" wrapText="1"/>
    </xf>
    <xf numFmtId="0" fontId="5" fillId="0" borderId="0" xfId="208" applyFont="1" applyBorder="1" applyAlignment="1" applyProtection="1">
      <alignment horizontal="center" vertical="center" wrapText="1"/>
    </xf>
    <xf numFmtId="0" fontId="67" fillId="0" borderId="0" xfId="208" applyFont="1" applyBorder="1" applyAlignment="1" applyProtection="1">
      <alignment horizontal="center" vertical="center" wrapText="1"/>
    </xf>
    <xf numFmtId="2" fontId="5" fillId="0" borderId="58" xfId="208" applyNumberFormat="1" applyFont="1" applyBorder="1" applyAlignment="1" applyProtection="1">
      <alignment horizontal="center" vertical="center"/>
    </xf>
    <xf numFmtId="2" fontId="5" fillId="0" borderId="55" xfId="208" applyNumberFormat="1" applyFont="1" applyBorder="1" applyAlignment="1" applyProtection="1">
      <alignment horizontal="center" vertical="center"/>
    </xf>
    <xf numFmtId="2" fontId="5" fillId="0" borderId="59" xfId="208" applyNumberFormat="1" applyFont="1" applyBorder="1" applyAlignment="1" applyProtection="1">
      <alignment horizontal="center" vertical="center"/>
    </xf>
    <xf numFmtId="2" fontId="5" fillId="0" borderId="60" xfId="208" applyNumberFormat="1" applyFont="1" applyBorder="1" applyAlignment="1" applyProtection="1">
      <alignment horizontal="center" vertical="center"/>
    </xf>
    <xf numFmtId="2" fontId="5" fillId="0" borderId="46" xfId="208" applyNumberFormat="1" applyFont="1" applyBorder="1" applyAlignment="1" applyProtection="1">
      <alignment horizontal="center" vertical="center"/>
    </xf>
    <xf numFmtId="2" fontId="5" fillId="0" borderId="61" xfId="208" applyNumberFormat="1" applyFont="1" applyBorder="1" applyAlignment="1" applyProtection="1">
      <alignment horizontal="center" vertical="center"/>
    </xf>
    <xf numFmtId="0" fontId="67" fillId="0" borderId="0" xfId="208" applyFont="1" applyFill="1" applyBorder="1" applyAlignment="1" applyProtection="1">
      <alignment horizontal="right" vertical="center"/>
    </xf>
    <xf numFmtId="2" fontId="5" fillId="0" borderId="0" xfId="208" applyNumberFormat="1" applyFont="1" applyFill="1" applyBorder="1" applyAlignment="1" applyProtection="1">
      <alignment horizontal="center" vertical="center"/>
    </xf>
    <xf numFmtId="0" fontId="5" fillId="25" borderId="13" xfId="208" applyFont="1" applyFill="1" applyBorder="1" applyAlignment="1" applyProtection="1">
      <alignment horizontal="center" vertical="center" wrapText="1"/>
    </xf>
    <xf numFmtId="0" fontId="5" fillId="25" borderId="12" xfId="208" applyFont="1" applyFill="1" applyBorder="1" applyAlignment="1" applyProtection="1">
      <alignment horizontal="center" vertical="center" wrapText="1"/>
    </xf>
    <xf numFmtId="0" fontId="5" fillId="25" borderId="17" xfId="208" applyFont="1" applyFill="1" applyBorder="1" applyAlignment="1" applyProtection="1">
      <alignment horizontal="center" vertical="center" wrapText="1"/>
    </xf>
    <xf numFmtId="0" fontId="5" fillId="25" borderId="19" xfId="208" applyFont="1" applyFill="1" applyBorder="1" applyAlignment="1" applyProtection="1">
      <alignment horizontal="center" vertical="center" wrapText="1"/>
    </xf>
    <xf numFmtId="0" fontId="5" fillId="25" borderId="0" xfId="208" applyFont="1" applyFill="1" applyBorder="1" applyAlignment="1" applyProtection="1">
      <alignment horizontal="center" vertical="center" wrapText="1"/>
    </xf>
    <xf numFmtId="0" fontId="5" fillId="25" borderId="18" xfId="208" applyFont="1" applyFill="1" applyBorder="1" applyAlignment="1" applyProtection="1">
      <alignment horizontal="center" vertical="center" wrapText="1"/>
    </xf>
    <xf numFmtId="0" fontId="5" fillId="25" borderId="15" xfId="208" applyFont="1" applyFill="1" applyBorder="1" applyAlignment="1" applyProtection="1">
      <alignment horizontal="center" vertical="center" wrapText="1"/>
    </xf>
    <xf numFmtId="0" fontId="5" fillId="25" borderId="16" xfId="208" applyFont="1" applyFill="1" applyBorder="1" applyAlignment="1" applyProtection="1">
      <alignment horizontal="center" vertical="center" wrapText="1"/>
    </xf>
    <xf numFmtId="0" fontId="5" fillId="25" borderId="14" xfId="208" applyFont="1" applyFill="1" applyBorder="1" applyAlignment="1" applyProtection="1">
      <alignment horizontal="center" vertical="center" wrapText="1"/>
    </xf>
    <xf numFmtId="0" fontId="4" fillId="2" borderId="314" xfId="208" applyFont="1" applyFill="1" applyBorder="1" applyAlignment="1" applyProtection="1">
      <alignment horizontal="center" vertical="center"/>
      <protection locked="0"/>
    </xf>
    <xf numFmtId="0" fontId="4" fillId="2" borderId="246" xfId="208" applyFont="1" applyFill="1" applyBorder="1" applyAlignment="1" applyProtection="1">
      <alignment horizontal="center" vertical="center"/>
      <protection locked="0"/>
    </xf>
    <xf numFmtId="0" fontId="4" fillId="2" borderId="247" xfId="208" applyFont="1" applyFill="1" applyBorder="1" applyAlignment="1" applyProtection="1">
      <alignment horizontal="center" vertical="center"/>
      <protection locked="0"/>
    </xf>
    <xf numFmtId="0" fontId="5" fillId="2" borderId="315" xfId="208" applyFont="1" applyFill="1" applyBorder="1" applyAlignment="1" applyProtection="1">
      <alignment horizontal="left" vertical="center" wrapText="1"/>
    </xf>
    <xf numFmtId="0" fontId="4" fillId="2" borderId="261" xfId="208" applyFont="1" applyFill="1" applyBorder="1" applyAlignment="1" applyProtection="1">
      <alignment horizontal="left" vertical="center" wrapText="1"/>
    </xf>
    <xf numFmtId="0" fontId="4" fillId="2" borderId="322" xfId="208" applyFont="1" applyFill="1" applyBorder="1" applyAlignment="1" applyProtection="1">
      <alignment horizontal="left" vertical="center" wrapText="1"/>
    </xf>
    <xf numFmtId="0" fontId="1" fillId="0" borderId="260" xfId="208" applyFont="1" applyBorder="1" applyAlignment="1" applyProtection="1">
      <alignment horizontal="center" vertical="center"/>
    </xf>
    <xf numFmtId="0" fontId="1" fillId="0" borderId="262" xfId="208" applyFont="1" applyBorder="1" applyAlignment="1" applyProtection="1">
      <alignment horizontal="center" vertical="center"/>
    </xf>
    <xf numFmtId="0" fontId="4" fillId="2" borderId="315" xfId="208" applyFont="1" applyFill="1" applyBorder="1" applyAlignment="1" applyProtection="1">
      <alignment horizontal="center" vertical="center"/>
    </xf>
    <xf numFmtId="0" fontId="4" fillId="2" borderId="261" xfId="208" applyFont="1" applyFill="1" applyBorder="1" applyAlignment="1" applyProtection="1">
      <alignment horizontal="center" vertical="center"/>
    </xf>
    <xf numFmtId="0" fontId="4" fillId="2" borderId="262" xfId="208" applyFont="1" applyFill="1" applyBorder="1" applyAlignment="1" applyProtection="1">
      <alignment horizontal="center" vertical="center"/>
    </xf>
    <xf numFmtId="0" fontId="4" fillId="2" borderId="260" xfId="208" applyFont="1" applyFill="1" applyBorder="1" applyAlignment="1" applyProtection="1">
      <alignment horizontal="center" vertical="center"/>
      <protection locked="0"/>
    </xf>
    <xf numFmtId="0" fontId="4" fillId="2" borderId="261" xfId="208" applyFont="1" applyFill="1" applyBorder="1" applyAlignment="1" applyProtection="1">
      <alignment horizontal="center" vertical="center"/>
      <protection locked="0"/>
    </xf>
    <xf numFmtId="0" fontId="4" fillId="2" borderId="322" xfId="208" applyFont="1" applyFill="1" applyBorder="1" applyAlignment="1" applyProtection="1">
      <alignment horizontal="center" vertical="center"/>
      <protection locked="0"/>
    </xf>
    <xf numFmtId="167" fontId="4" fillId="2" borderId="315" xfId="208" applyNumberFormat="1" applyFont="1" applyFill="1" applyBorder="1" applyAlignment="1" applyProtection="1">
      <alignment horizontal="center" vertical="center"/>
      <protection locked="0"/>
    </xf>
    <xf numFmtId="167" fontId="4" fillId="2" borderId="261" xfId="208" applyNumberFormat="1" applyFont="1" applyFill="1" applyBorder="1" applyAlignment="1" applyProtection="1">
      <alignment horizontal="center" vertical="center"/>
      <protection locked="0"/>
    </xf>
    <xf numFmtId="167" fontId="4" fillId="2" borderId="262" xfId="208" applyNumberFormat="1" applyFont="1" applyFill="1" applyBorder="1" applyAlignment="1" applyProtection="1">
      <alignment horizontal="center" vertical="center"/>
      <protection locked="0"/>
    </xf>
    <xf numFmtId="0" fontId="4" fillId="2" borderId="314" xfId="208" applyFont="1" applyFill="1" applyBorder="1" applyAlignment="1" applyProtection="1">
      <alignment horizontal="left" vertical="center"/>
    </xf>
    <xf numFmtId="0" fontId="4" fillId="2" borderId="246" xfId="208" applyFont="1" applyFill="1" applyBorder="1" applyAlignment="1" applyProtection="1">
      <alignment horizontal="left" vertical="center"/>
    </xf>
    <xf numFmtId="0" fontId="4" fillId="2" borderId="321" xfId="208" applyFont="1" applyFill="1" applyBorder="1" applyAlignment="1" applyProtection="1">
      <alignment horizontal="left" vertical="center"/>
    </xf>
    <xf numFmtId="0" fontId="1" fillId="0" borderId="245" xfId="208" applyFont="1" applyBorder="1" applyAlignment="1" applyProtection="1">
      <alignment horizontal="center" vertical="center"/>
    </xf>
    <xf numFmtId="0" fontId="1" fillId="0" borderId="247" xfId="208" applyFont="1" applyBorder="1" applyAlignment="1" applyProtection="1">
      <alignment horizontal="center" vertical="center"/>
    </xf>
    <xf numFmtId="0" fontId="4" fillId="2" borderId="245" xfId="208" applyFont="1" applyFill="1" applyBorder="1" applyAlignment="1" applyProtection="1">
      <alignment horizontal="center" vertical="center"/>
      <protection locked="0"/>
    </xf>
    <xf numFmtId="0" fontId="4" fillId="2" borderId="321" xfId="208" applyFont="1" applyFill="1" applyBorder="1" applyAlignment="1" applyProtection="1">
      <alignment horizontal="center" vertical="center"/>
      <protection locked="0"/>
    </xf>
    <xf numFmtId="0" fontId="46" fillId="0" borderId="0" xfId="70" applyFont="1" applyFill="1" applyBorder="1" applyAlignment="1" applyProtection="1">
      <alignment horizontal="center" vertical="center" wrapText="1"/>
    </xf>
    <xf numFmtId="0" fontId="5" fillId="2" borderId="316" xfId="208" applyFont="1" applyFill="1" applyBorder="1" applyAlignment="1" applyProtection="1">
      <alignment horizontal="left" vertical="center" wrapText="1"/>
    </xf>
    <xf numFmtId="0" fontId="4" fillId="2" borderId="317" xfId="208" applyFont="1" applyFill="1" applyBorder="1" applyAlignment="1" applyProtection="1">
      <alignment horizontal="left" vertical="center" wrapText="1"/>
    </xf>
    <xf numFmtId="0" fontId="4" fillId="2" borderId="266" xfId="208" applyFont="1" applyFill="1" applyBorder="1" applyAlignment="1" applyProtection="1">
      <alignment horizontal="left" vertical="center" wrapText="1"/>
    </xf>
    <xf numFmtId="0" fontId="1" fillId="0" borderId="265" xfId="208" applyFont="1" applyBorder="1" applyAlignment="1" applyProtection="1">
      <alignment horizontal="center" vertical="center"/>
    </xf>
    <xf numFmtId="0" fontId="1" fillId="0" borderId="318" xfId="208" applyFont="1" applyBorder="1" applyAlignment="1" applyProtection="1">
      <alignment horizontal="center" vertical="center"/>
    </xf>
    <xf numFmtId="167" fontId="4" fillId="0" borderId="316" xfId="208" applyNumberFormat="1" applyFont="1" applyBorder="1" applyAlignment="1" applyProtection="1">
      <alignment horizontal="center" vertical="center"/>
    </xf>
    <xf numFmtId="167" fontId="4" fillId="0" borderId="317" xfId="208" applyNumberFormat="1" applyFont="1" applyBorder="1" applyAlignment="1" applyProtection="1">
      <alignment horizontal="center" vertical="center"/>
    </xf>
    <xf numFmtId="167" fontId="4" fillId="0" borderId="318" xfId="208" applyNumberFormat="1" applyFont="1" applyBorder="1" applyAlignment="1" applyProtection="1">
      <alignment horizontal="center" vertical="center"/>
    </xf>
    <xf numFmtId="0" fontId="4" fillId="2" borderId="265" xfId="208" applyFont="1" applyFill="1" applyBorder="1" applyAlignment="1" applyProtection="1">
      <alignment horizontal="center" vertical="center"/>
      <protection locked="0"/>
    </xf>
    <xf numFmtId="0" fontId="4" fillId="2" borderId="317" xfId="208" applyFont="1" applyFill="1" applyBorder="1" applyAlignment="1" applyProtection="1">
      <alignment horizontal="center" vertical="center"/>
      <protection locked="0"/>
    </xf>
    <xf numFmtId="0" fontId="4" fillId="2" borderId="266" xfId="208" applyFont="1" applyFill="1" applyBorder="1" applyAlignment="1" applyProtection="1">
      <alignment horizontal="center" vertical="center"/>
      <protection locked="0"/>
    </xf>
    <xf numFmtId="167" fontId="4" fillId="0" borderId="316" xfId="208" applyNumberFormat="1" applyFont="1" applyBorder="1" applyAlignment="1" applyProtection="1">
      <alignment horizontal="center" vertical="center"/>
      <protection locked="0"/>
    </xf>
    <xf numFmtId="167" fontId="4" fillId="0" borderId="317" xfId="208" applyNumberFormat="1" applyFont="1" applyBorder="1" applyAlignment="1" applyProtection="1">
      <alignment horizontal="center" vertical="center"/>
      <protection locked="0"/>
    </xf>
    <xf numFmtId="167" fontId="4" fillId="0" borderId="318" xfId="208" applyNumberFormat="1" applyFont="1" applyBorder="1" applyAlignment="1" applyProtection="1">
      <alignment horizontal="center" vertical="center"/>
      <protection locked="0"/>
    </xf>
    <xf numFmtId="0" fontId="1" fillId="2" borderId="0" xfId="208" applyFont="1" applyFill="1" applyBorder="1" applyAlignment="1" applyProtection="1">
      <alignment horizontal="left" vertical="center" wrapText="1"/>
    </xf>
    <xf numFmtId="0" fontId="3" fillId="26" borderId="12" xfId="71" applyFont="1" applyFill="1" applyBorder="1" applyAlignment="1" applyProtection="1">
      <alignment horizontal="center" vertical="top" wrapText="1"/>
    </xf>
    <xf numFmtId="0" fontId="4" fillId="26" borderId="12" xfId="71" applyFont="1" applyFill="1" applyBorder="1" applyAlignment="1" applyProtection="1">
      <alignment horizontal="center" vertical="top" wrapText="1"/>
      <protection locked="0"/>
    </xf>
    <xf numFmtId="0" fontId="109" fillId="0" borderId="15" xfId="211" applyFont="1" applyBorder="1" applyAlignment="1" applyProtection="1">
      <alignment horizontal="center"/>
      <protection locked="0"/>
    </xf>
    <xf numFmtId="0" fontId="109" fillId="0" borderId="16" xfId="211" applyFont="1" applyBorder="1" applyAlignment="1" applyProtection="1">
      <alignment horizontal="center"/>
      <protection locked="0"/>
    </xf>
    <xf numFmtId="0" fontId="109" fillId="0" borderId="14" xfId="211" applyFont="1" applyBorder="1" applyAlignment="1" applyProtection="1">
      <alignment horizontal="center"/>
      <protection locked="0"/>
    </xf>
    <xf numFmtId="0" fontId="134" fillId="25" borderId="80" xfId="68" applyFont="1" applyFill="1" applyBorder="1" applyAlignment="1" applyProtection="1">
      <alignment horizontal="center" vertical="center"/>
    </xf>
    <xf numFmtId="0" fontId="134" fillId="25" borderId="81" xfId="68" applyFont="1" applyFill="1" applyBorder="1" applyAlignment="1" applyProtection="1">
      <alignment horizontal="center" vertical="center"/>
    </xf>
    <xf numFmtId="0" fontId="46" fillId="0" borderId="0" xfId="69" applyFont="1" applyBorder="1" applyAlignment="1" applyProtection="1">
      <alignment horizontal="center" wrapText="1"/>
    </xf>
    <xf numFmtId="168" fontId="4" fillId="2" borderId="0" xfId="208" applyNumberFormat="1" applyFont="1" applyFill="1" applyBorder="1" applyAlignment="1" applyProtection="1">
      <alignment horizontal="center" vertical="center" wrapText="1"/>
      <protection locked="0"/>
    </xf>
    <xf numFmtId="0" fontId="1" fillId="2" borderId="164" xfId="1" applyFont="1" applyFill="1" applyBorder="1" applyAlignment="1" applyProtection="1">
      <alignment horizontal="center"/>
      <protection locked="0"/>
    </xf>
    <xf numFmtId="0" fontId="1" fillId="2" borderId="162" xfId="1" applyFont="1" applyFill="1" applyBorder="1" applyAlignment="1" applyProtection="1">
      <alignment horizontal="center"/>
      <protection locked="0"/>
    </xf>
    <xf numFmtId="0" fontId="1" fillId="2" borderId="163" xfId="1" applyFont="1" applyFill="1" applyBorder="1" applyAlignment="1" applyProtection="1">
      <alignment horizontal="center"/>
      <protection locked="0"/>
    </xf>
    <xf numFmtId="0" fontId="1" fillId="2" borderId="19" xfId="1" applyFont="1" applyFill="1" applyBorder="1" applyAlignment="1" applyProtection="1">
      <alignment horizontal="center"/>
      <protection locked="0"/>
    </xf>
    <xf numFmtId="0" fontId="1" fillId="2" borderId="0" xfId="1" applyFont="1" applyFill="1" applyBorder="1" applyAlignment="1" applyProtection="1">
      <alignment horizontal="center"/>
      <protection locked="0"/>
    </xf>
    <xf numFmtId="0" fontId="1" fillId="2" borderId="18" xfId="1" applyFont="1" applyFill="1" applyBorder="1" applyAlignment="1" applyProtection="1">
      <alignment horizontal="center"/>
      <protection locked="0"/>
    </xf>
    <xf numFmtId="0" fontId="1" fillId="2" borderId="15" xfId="1" applyFont="1" applyFill="1" applyBorder="1" applyAlignment="1" applyProtection="1">
      <alignment horizontal="center"/>
      <protection locked="0"/>
    </xf>
    <xf numFmtId="0" fontId="1" fillId="2" borderId="160" xfId="1" applyFont="1" applyFill="1" applyBorder="1" applyAlignment="1" applyProtection="1">
      <alignment horizontal="center"/>
      <protection locked="0"/>
    </xf>
    <xf numFmtId="0" fontId="1" fillId="2" borderId="14" xfId="1" applyFont="1" applyFill="1" applyBorder="1" applyAlignment="1" applyProtection="1">
      <alignment horizontal="center"/>
      <protection locked="0"/>
    </xf>
    <xf numFmtId="0" fontId="3" fillId="2" borderId="49" xfId="1" applyFont="1" applyFill="1" applyBorder="1" applyAlignment="1" applyProtection="1">
      <alignment horizontal="center" vertical="center" wrapText="1"/>
    </xf>
    <xf numFmtId="0" fontId="3" fillId="0" borderId="0" xfId="1" applyFont="1" applyAlignment="1" applyProtection="1">
      <alignment horizontal="center"/>
    </xf>
    <xf numFmtId="0" fontId="131" fillId="2" borderId="49" xfId="1" applyFont="1" applyFill="1" applyBorder="1" applyAlignment="1" applyProtection="1">
      <alignment horizontal="left" vertical="center" wrapText="1"/>
    </xf>
    <xf numFmtId="0" fontId="131" fillId="0" borderId="49" xfId="1" applyFont="1" applyBorder="1" applyAlignment="1" applyProtection="1">
      <alignment horizontal="left" vertical="center"/>
    </xf>
    <xf numFmtId="0" fontId="4" fillId="0" borderId="31" xfId="1" applyFont="1" applyBorder="1" applyAlignment="1" applyProtection="1">
      <alignment horizontal="left" vertical="center"/>
    </xf>
    <xf numFmtId="0" fontId="4" fillId="0" borderId="32" xfId="1" applyFont="1" applyBorder="1" applyAlignment="1" applyProtection="1">
      <alignment horizontal="left" vertical="center"/>
    </xf>
    <xf numFmtId="0" fontId="4" fillId="0" borderId="88" xfId="1" applyFont="1" applyBorder="1" applyAlignment="1" applyProtection="1">
      <alignment horizontal="center" vertical="center"/>
      <protection locked="0"/>
    </xf>
    <xf numFmtId="0" fontId="4" fillId="0" borderId="119" xfId="1" applyFont="1" applyBorder="1" applyAlignment="1" applyProtection="1">
      <alignment horizontal="center" vertical="center"/>
      <protection locked="0"/>
    </xf>
    <xf numFmtId="0" fontId="2" fillId="0" borderId="88" xfId="1" applyFont="1" applyBorder="1" applyAlignment="1" applyProtection="1">
      <alignment horizontal="center" vertical="center"/>
      <protection locked="0"/>
    </xf>
    <xf numFmtId="0" fontId="2" fillId="0" borderId="118" xfId="1" applyFont="1" applyBorder="1" applyAlignment="1" applyProtection="1">
      <alignment horizontal="center" vertical="center"/>
      <protection locked="0"/>
    </xf>
    <xf numFmtId="0" fontId="4" fillId="0" borderId="123" xfId="1" applyFont="1" applyBorder="1" applyAlignment="1" applyProtection="1">
      <alignment horizontal="left" vertical="center"/>
    </xf>
    <xf numFmtId="0" fontId="4" fillId="0" borderId="95" xfId="1" applyFont="1" applyBorder="1" applyAlignment="1" applyProtection="1">
      <alignment horizontal="left" vertical="center"/>
    </xf>
    <xf numFmtId="0" fontId="4" fillId="0" borderId="95" xfId="1" applyFont="1" applyBorder="1" applyAlignment="1" applyProtection="1">
      <alignment horizontal="center" vertical="center"/>
      <protection locked="0"/>
    </xf>
    <xf numFmtId="0" fontId="4" fillId="0" borderId="105" xfId="1" applyFont="1" applyBorder="1" applyAlignment="1" applyProtection="1">
      <alignment horizontal="center" vertical="center"/>
      <protection locked="0"/>
    </xf>
    <xf numFmtId="0" fontId="2" fillId="0" borderId="95" xfId="1" applyFont="1" applyBorder="1" applyAlignment="1" applyProtection="1">
      <alignment horizontal="center" vertical="center"/>
      <protection locked="0"/>
    </xf>
    <xf numFmtId="0" fontId="2" fillId="0" borderId="120" xfId="1" applyFont="1" applyBorder="1" applyAlignment="1" applyProtection="1">
      <alignment horizontal="center" vertical="center"/>
      <protection locked="0"/>
    </xf>
    <xf numFmtId="0" fontId="4" fillId="0" borderId="95" xfId="1" applyFont="1" applyBorder="1" applyAlignment="1" applyProtection="1">
      <alignment horizontal="center" vertical="center"/>
    </xf>
    <xf numFmtId="0" fontId="4" fillId="0" borderId="105" xfId="1" applyFont="1" applyBorder="1" applyAlignment="1" applyProtection="1">
      <alignment horizontal="center" vertical="center"/>
    </xf>
    <xf numFmtId="0" fontId="5" fillId="0" borderId="36" xfId="1" applyFont="1" applyBorder="1" applyAlignment="1" applyProtection="1">
      <alignment horizontal="left" vertical="center"/>
    </xf>
    <xf numFmtId="0" fontId="5" fillId="0" borderId="37" xfId="1" applyFont="1" applyBorder="1" applyAlignment="1" applyProtection="1">
      <alignment horizontal="left" vertical="center"/>
    </xf>
    <xf numFmtId="0" fontId="4" fillId="0" borderId="37" xfId="1" applyFont="1" applyBorder="1" applyAlignment="1" applyProtection="1">
      <alignment horizontal="center" vertical="center"/>
    </xf>
    <xf numFmtId="0" fontId="4" fillId="0" borderId="115" xfId="1" applyFont="1" applyBorder="1" applyAlignment="1" applyProtection="1">
      <alignment horizontal="center" vertical="center"/>
    </xf>
    <xf numFmtId="167" fontId="42" fillId="0" borderId="37" xfId="1" applyNumberFormat="1" applyFont="1" applyBorder="1" applyAlignment="1" applyProtection="1">
      <alignment horizontal="center" vertical="center"/>
    </xf>
    <xf numFmtId="167" fontId="42" fillId="0" borderId="38" xfId="1" applyNumberFormat="1" applyFont="1" applyBorder="1" applyAlignment="1" applyProtection="1">
      <alignment horizontal="center" vertical="center"/>
    </xf>
    <xf numFmtId="0" fontId="43" fillId="0" borderId="0" xfId="1" applyFont="1" applyBorder="1" applyAlignment="1" applyProtection="1">
      <alignment horizontal="center" vertical="center" wrapText="1"/>
    </xf>
    <xf numFmtId="2" fontId="1" fillId="0" borderId="0" xfId="1" applyNumberFormat="1" applyFont="1" applyBorder="1" applyAlignment="1" applyProtection="1">
      <alignment horizontal="center"/>
      <protection locked="0"/>
    </xf>
    <xf numFmtId="2" fontId="1" fillId="0" borderId="0" xfId="1" applyNumberFormat="1" applyFont="1" applyBorder="1" applyProtection="1">
      <protection locked="0"/>
    </xf>
    <xf numFmtId="0" fontId="1" fillId="0" borderId="0" xfId="1" applyFont="1" applyBorder="1" applyAlignment="1" applyProtection="1">
      <alignment horizontal="left"/>
      <protection locked="0"/>
    </xf>
    <xf numFmtId="0" fontId="48" fillId="0" borderId="15" xfId="73" applyFont="1" applyBorder="1" applyAlignment="1" applyProtection="1">
      <alignment horizontal="left" vertical="top"/>
      <protection locked="0"/>
    </xf>
    <xf numFmtId="0" fontId="48" fillId="0" borderId="160" xfId="73" applyFont="1" applyBorder="1" applyAlignment="1" applyProtection="1">
      <alignment horizontal="left" vertical="top"/>
      <protection locked="0"/>
    </xf>
    <xf numFmtId="0" fontId="48" fillId="0" borderId="14" xfId="73" applyFont="1" applyBorder="1" applyAlignment="1" applyProtection="1">
      <alignment horizontal="left" vertical="top"/>
      <protection locked="0"/>
    </xf>
    <xf numFmtId="168" fontId="1" fillId="26" borderId="0" xfId="1" applyNumberFormat="1" applyFont="1" applyFill="1" applyBorder="1" applyAlignment="1" applyProtection="1">
      <alignment horizontal="right"/>
      <protection locked="0"/>
    </xf>
    <xf numFmtId="0" fontId="1" fillId="26" borderId="0" xfId="1" applyFont="1" applyFill="1" applyBorder="1" applyAlignment="1" applyProtection="1">
      <alignment horizontal="center"/>
      <protection locked="0"/>
    </xf>
    <xf numFmtId="168" fontId="1" fillId="26" borderId="0" xfId="1" applyNumberFormat="1" applyFont="1" applyFill="1" applyBorder="1" applyAlignment="1" applyProtection="1">
      <alignment horizontal="left"/>
      <protection locked="0"/>
    </xf>
    <xf numFmtId="0" fontId="3" fillId="26" borderId="32" xfId="71" applyFont="1" applyFill="1" applyBorder="1" applyAlignment="1" applyProtection="1">
      <alignment horizontal="left" vertical="center" wrapText="1"/>
    </xf>
    <xf numFmtId="0" fontId="1" fillId="26" borderId="32" xfId="71" applyFont="1" applyFill="1" applyBorder="1" applyAlignment="1" applyProtection="1">
      <alignment horizontal="left" vertical="top" wrapText="1"/>
      <protection locked="0"/>
    </xf>
    <xf numFmtId="0" fontId="1" fillId="26" borderId="66" xfId="71" applyFont="1" applyFill="1" applyBorder="1" applyAlignment="1" applyProtection="1">
      <alignment horizontal="left" vertical="top" wrapText="1"/>
      <protection locked="0"/>
    </xf>
    <xf numFmtId="0" fontId="43" fillId="26" borderId="0" xfId="74" applyFont="1" applyFill="1" applyBorder="1" applyAlignment="1" applyProtection="1">
      <alignment horizontal="right" vertical="center" wrapText="1"/>
    </xf>
    <xf numFmtId="0" fontId="5" fillId="28" borderId="164" xfId="74" applyFont="1" applyFill="1" applyBorder="1" applyAlignment="1" applyProtection="1">
      <alignment horizontal="center" vertical="center"/>
      <protection locked="0"/>
    </xf>
    <xf numFmtId="0" fontId="5" fillId="28" borderId="162" xfId="74" applyFont="1" applyFill="1" applyBorder="1" applyAlignment="1" applyProtection="1">
      <alignment horizontal="center" vertical="center"/>
      <protection locked="0"/>
    </xf>
    <xf numFmtId="0" fontId="5" fillId="28" borderId="163" xfId="74" applyFont="1" applyFill="1" applyBorder="1" applyAlignment="1" applyProtection="1">
      <alignment horizontal="center" vertical="center"/>
      <protection locked="0"/>
    </xf>
    <xf numFmtId="1" fontId="5" fillId="28" borderId="11" xfId="74" applyNumberFormat="1" applyFont="1" applyFill="1" applyBorder="1" applyAlignment="1" applyProtection="1">
      <alignment horizontal="center" vertical="center"/>
    </xf>
    <xf numFmtId="1" fontId="5" fillId="28" borderId="9" xfId="74" applyNumberFormat="1" applyFont="1" applyFill="1" applyBorder="1" applyAlignment="1" applyProtection="1">
      <alignment horizontal="center" vertical="center"/>
    </xf>
    <xf numFmtId="0" fontId="5" fillId="28" borderId="11" xfId="74" applyFont="1" applyFill="1" applyBorder="1" applyAlignment="1" applyProtection="1">
      <alignment horizontal="center" vertical="center"/>
    </xf>
    <xf numFmtId="0" fontId="5" fillId="28" borderId="9" xfId="74" applyFont="1" applyFill="1" applyBorder="1" applyAlignment="1" applyProtection="1">
      <alignment horizontal="center" vertical="center"/>
    </xf>
    <xf numFmtId="0" fontId="3" fillId="0" borderId="49" xfId="74" applyFont="1" applyBorder="1" applyAlignment="1" applyProtection="1">
      <alignment horizontal="center" vertical="center" wrapText="1"/>
    </xf>
    <xf numFmtId="0" fontId="131" fillId="26" borderId="49" xfId="74" applyFont="1" applyFill="1" applyBorder="1" applyAlignment="1" applyProtection="1">
      <alignment horizontal="left" vertical="center"/>
    </xf>
    <xf numFmtId="0" fontId="131" fillId="0" borderId="49" xfId="74" applyFont="1" applyBorder="1" applyAlignment="1" applyProtection="1">
      <alignment horizontal="left" vertical="center"/>
    </xf>
    <xf numFmtId="0" fontId="1" fillId="0" borderId="15" xfId="74" applyFont="1" applyBorder="1" applyAlignment="1" applyProtection="1">
      <alignment horizontal="center"/>
      <protection locked="0"/>
    </xf>
    <xf numFmtId="0" fontId="1" fillId="0" borderId="160" xfId="74" applyFont="1" applyBorder="1" applyAlignment="1" applyProtection="1">
      <alignment horizontal="center"/>
      <protection locked="0"/>
    </xf>
    <xf numFmtId="0" fontId="4" fillId="0" borderId="164" xfId="74" applyFont="1" applyBorder="1" applyAlignment="1" applyProtection="1">
      <alignment horizontal="left" vertical="center" wrapText="1"/>
    </xf>
    <xf numFmtId="0" fontId="4" fillId="0" borderId="162" xfId="74" applyFont="1" applyBorder="1" applyAlignment="1" applyProtection="1">
      <alignment horizontal="left" vertical="center" wrapText="1"/>
    </xf>
    <xf numFmtId="167" fontId="2" fillId="0" borderId="11" xfId="74" applyNumberFormat="1" applyFont="1" applyBorder="1" applyAlignment="1" applyProtection="1">
      <alignment horizontal="center" vertical="center"/>
      <protection locked="0"/>
    </xf>
    <xf numFmtId="167" fontId="2" fillId="0" borderId="9" xfId="74" applyNumberFormat="1" applyFont="1" applyBorder="1" applyAlignment="1" applyProtection="1">
      <alignment horizontal="center" vertical="center"/>
      <protection locked="0"/>
    </xf>
    <xf numFmtId="0" fontId="2" fillId="0" borderId="11" xfId="74" applyFont="1" applyBorder="1" applyAlignment="1" applyProtection="1">
      <alignment horizontal="center" vertical="center"/>
      <protection locked="0"/>
    </xf>
    <xf numFmtId="0" fontId="2" fillId="0" borderId="9" xfId="74" applyFont="1" applyBorder="1" applyAlignment="1" applyProtection="1">
      <alignment horizontal="center" vertical="center"/>
      <protection locked="0"/>
    </xf>
    <xf numFmtId="167" fontId="2" fillId="0" borderId="11" xfId="74" applyNumberFormat="1" applyFont="1" applyBorder="1" applyAlignment="1" applyProtection="1">
      <alignment horizontal="center" vertical="center"/>
    </xf>
    <xf numFmtId="167" fontId="2" fillId="0" borderId="9" xfId="74" applyNumberFormat="1" applyFont="1" applyBorder="1" applyAlignment="1" applyProtection="1">
      <alignment horizontal="center" vertical="center"/>
    </xf>
    <xf numFmtId="0" fontId="4" fillId="0" borderId="164" xfId="74" applyFont="1" applyBorder="1" applyAlignment="1" applyProtection="1">
      <alignment horizontal="left" vertical="center"/>
    </xf>
    <xf numFmtId="0" fontId="4" fillId="0" borderId="162" xfId="74" applyFont="1" applyBorder="1" applyAlignment="1" applyProtection="1">
      <alignment horizontal="left" vertical="center"/>
    </xf>
    <xf numFmtId="0" fontId="4" fillId="0" borderId="11" xfId="74" applyFont="1" applyBorder="1" applyAlignment="1" applyProtection="1">
      <alignment horizontal="left" vertical="center"/>
    </xf>
    <xf numFmtId="0" fontId="4" fillId="0" borderId="10" xfId="74" applyFont="1" applyBorder="1" applyAlignment="1" applyProtection="1">
      <alignment horizontal="left" vertical="center"/>
    </xf>
    <xf numFmtId="0" fontId="4" fillId="0" borderId="11" xfId="74" applyFont="1" applyBorder="1" applyAlignment="1" applyProtection="1">
      <alignment horizontal="left" vertical="center" wrapText="1"/>
    </xf>
    <xf numFmtId="0" fontId="4" fillId="0" borderId="10" xfId="74" applyFont="1" applyBorder="1" applyAlignment="1" applyProtection="1">
      <alignment horizontal="left" vertical="center" wrapText="1"/>
    </xf>
    <xf numFmtId="1" fontId="2" fillId="0" borderId="11" xfId="74" applyNumberFormat="1" applyFont="1" applyBorder="1" applyAlignment="1" applyProtection="1">
      <alignment horizontal="center" vertical="center"/>
    </xf>
    <xf numFmtId="1" fontId="2" fillId="0" borderId="9" xfId="74" applyNumberFormat="1" applyFont="1" applyBorder="1" applyAlignment="1" applyProtection="1">
      <alignment horizontal="center" vertical="center"/>
    </xf>
    <xf numFmtId="0" fontId="134" fillId="25" borderId="242" xfId="68" applyFont="1" applyFill="1" applyBorder="1" applyAlignment="1" applyProtection="1">
      <alignment horizontal="center" vertical="center"/>
    </xf>
    <xf numFmtId="0" fontId="46" fillId="0" borderId="0" xfId="69" applyFont="1" applyBorder="1" applyAlignment="1" applyProtection="1">
      <alignment horizontal="center" vertical="center" wrapText="1"/>
    </xf>
    <xf numFmtId="1" fontId="42" fillId="0" borderId="11" xfId="74" applyNumberFormat="1" applyFont="1" applyBorder="1" applyAlignment="1" applyProtection="1">
      <alignment horizontal="center" vertical="center"/>
    </xf>
    <xf numFmtId="1" fontId="42" fillId="0" borderId="10" xfId="74" applyNumberFormat="1" applyFont="1" applyBorder="1" applyAlignment="1" applyProtection="1">
      <alignment horizontal="center" vertical="center"/>
    </xf>
    <xf numFmtId="1" fontId="42" fillId="0" borderId="9" xfId="74" applyNumberFormat="1" applyFont="1" applyBorder="1" applyAlignment="1" applyProtection="1">
      <alignment horizontal="center" vertical="center"/>
    </xf>
    <xf numFmtId="0" fontId="1" fillId="0" borderId="0" xfId="74" applyFont="1" applyBorder="1" applyAlignment="1" applyProtection="1">
      <alignment horizontal="left" vertical="center"/>
    </xf>
    <xf numFmtId="0" fontId="4" fillId="26" borderId="162" xfId="74" applyFont="1" applyFill="1" applyBorder="1" applyAlignment="1" applyProtection="1">
      <alignment horizontal="center" vertical="top" wrapText="1"/>
      <protection locked="0"/>
    </xf>
    <xf numFmtId="0" fontId="3" fillId="26" borderId="0" xfId="74" applyFont="1" applyFill="1" applyBorder="1" applyAlignment="1" applyProtection="1">
      <alignment horizontal="center" vertical="top" wrapText="1"/>
      <protection locked="0"/>
    </xf>
    <xf numFmtId="0" fontId="3" fillId="26" borderId="51" xfId="74" applyFont="1" applyFill="1" applyBorder="1" applyAlignment="1" applyProtection="1">
      <alignment horizontal="center" vertical="top" wrapText="1"/>
      <protection locked="0"/>
    </xf>
    <xf numFmtId="168" fontId="4" fillId="0" borderId="0" xfId="74" applyNumberFormat="1" applyFont="1" applyBorder="1" applyAlignment="1" applyProtection="1">
      <alignment horizontal="center" vertical="center"/>
      <protection locked="0"/>
    </xf>
    <xf numFmtId="0" fontId="1" fillId="0" borderId="164" xfId="544" applyFont="1" applyBorder="1" applyAlignment="1" applyProtection="1">
      <alignment horizontal="center"/>
      <protection locked="0"/>
    </xf>
    <xf numFmtId="0" fontId="1" fillId="0" borderId="162" xfId="544" applyFont="1" applyBorder="1" applyAlignment="1" applyProtection="1">
      <alignment horizontal="center"/>
      <protection locked="0"/>
    </xf>
    <xf numFmtId="0" fontId="1" fillId="0" borderId="163" xfId="544" applyFont="1" applyBorder="1" applyAlignment="1" applyProtection="1">
      <alignment horizontal="center"/>
      <protection locked="0"/>
    </xf>
    <xf numFmtId="0" fontId="1" fillId="0" borderId="19" xfId="544" applyFont="1" applyBorder="1" applyAlignment="1" applyProtection="1">
      <alignment horizontal="center"/>
      <protection locked="0"/>
    </xf>
    <xf numFmtId="0" fontId="1" fillId="0" borderId="0" xfId="544" applyFont="1" applyBorder="1" applyAlignment="1" applyProtection="1">
      <alignment horizontal="center"/>
      <protection locked="0"/>
    </xf>
    <xf numFmtId="0" fontId="1" fillId="0" borderId="18" xfId="544" applyFont="1" applyBorder="1" applyAlignment="1" applyProtection="1">
      <alignment horizontal="center"/>
      <protection locked="0"/>
    </xf>
    <xf numFmtId="0" fontId="1" fillId="0" borderId="15" xfId="544" applyFont="1" applyBorder="1" applyAlignment="1" applyProtection="1">
      <alignment horizontal="center"/>
      <protection locked="0"/>
    </xf>
    <xf numFmtId="0" fontId="1" fillId="0" borderId="160" xfId="544" applyFont="1" applyBorder="1" applyAlignment="1" applyProtection="1">
      <alignment horizontal="center"/>
      <protection locked="0"/>
    </xf>
    <xf numFmtId="0" fontId="1" fillId="0" borderId="14" xfId="544" applyFont="1" applyBorder="1" applyAlignment="1" applyProtection="1">
      <alignment horizontal="center"/>
      <protection locked="0"/>
    </xf>
    <xf numFmtId="0" fontId="3" fillId="0" borderId="164" xfId="544" applyFont="1" applyBorder="1" applyAlignment="1" applyProtection="1">
      <alignment horizontal="center" vertical="center" wrapText="1"/>
    </xf>
    <xf numFmtId="0" fontId="3" fillId="0" borderId="162" xfId="544" applyFont="1" applyBorder="1" applyAlignment="1" applyProtection="1">
      <alignment horizontal="center" vertical="center" wrapText="1"/>
    </xf>
    <xf numFmtId="0" fontId="3" fillId="0" borderId="163" xfId="544" applyFont="1" applyBorder="1" applyAlignment="1" applyProtection="1">
      <alignment horizontal="center" vertical="center" wrapText="1"/>
    </xf>
    <xf numFmtId="0" fontId="3" fillId="0" borderId="19" xfId="544" applyFont="1" applyBorder="1" applyAlignment="1" applyProtection="1">
      <alignment horizontal="center" vertical="center" wrapText="1"/>
    </xf>
    <xf numFmtId="0" fontId="3" fillId="0" borderId="0" xfId="544" applyFont="1" applyBorder="1" applyAlignment="1" applyProtection="1">
      <alignment horizontal="center" vertical="center" wrapText="1"/>
    </xf>
    <xf numFmtId="0" fontId="3" fillId="0" borderId="18" xfId="544" applyFont="1" applyBorder="1" applyAlignment="1" applyProtection="1">
      <alignment horizontal="center" vertical="center" wrapText="1"/>
    </xf>
    <xf numFmtId="0" fontId="131" fillId="2" borderId="49" xfId="544" applyFont="1" applyFill="1" applyBorder="1" applyAlignment="1" applyProtection="1">
      <alignment horizontal="left" vertical="center" wrapText="1"/>
    </xf>
    <xf numFmtId="0" fontId="131" fillId="2" borderId="49" xfId="21" applyFont="1" applyFill="1" applyBorder="1" applyAlignment="1" applyProtection="1">
      <alignment horizontal="left"/>
      <protection locked="0"/>
    </xf>
    <xf numFmtId="0" fontId="2" fillId="0" borderId="94" xfId="544" applyFont="1" applyBorder="1" applyAlignment="1" applyProtection="1">
      <alignment horizontal="left" vertical="center"/>
    </xf>
    <xf numFmtId="0" fontId="2" fillId="0" borderId="95" xfId="544" applyFont="1" applyBorder="1" applyAlignment="1" applyProtection="1">
      <alignment horizontal="left" vertical="center"/>
    </xf>
    <xf numFmtId="0" fontId="42" fillId="25" borderId="93" xfId="544" applyFont="1" applyFill="1" applyBorder="1" applyAlignment="1" applyProtection="1">
      <alignment horizontal="center" vertical="center"/>
    </xf>
    <xf numFmtId="0" fontId="42" fillId="25" borderId="98" xfId="544" applyFont="1" applyFill="1" applyBorder="1" applyAlignment="1" applyProtection="1">
      <alignment horizontal="center" vertical="center"/>
    </xf>
    <xf numFmtId="0" fontId="42" fillId="25" borderId="96" xfId="544" applyFont="1" applyFill="1" applyBorder="1" applyAlignment="1" applyProtection="1">
      <alignment horizontal="center" vertical="center"/>
    </xf>
    <xf numFmtId="0" fontId="2" fillId="0" borderId="95" xfId="544" applyFont="1" applyBorder="1" applyAlignment="1" applyProtection="1">
      <alignment horizontal="center" vertical="center"/>
    </xf>
    <xf numFmtId="0" fontId="2" fillId="0" borderId="96" xfId="544" applyFont="1" applyBorder="1" applyAlignment="1" applyProtection="1">
      <alignment horizontal="center" vertical="center"/>
    </xf>
    <xf numFmtId="0" fontId="2" fillId="0" borderId="93" xfId="544" applyFont="1" applyBorder="1" applyAlignment="1" applyProtection="1">
      <alignment horizontal="center" vertical="center"/>
      <protection locked="0"/>
    </xf>
    <xf numFmtId="0" fontId="2" fillId="0" borderId="98" xfId="544" applyFont="1" applyBorder="1" applyAlignment="1" applyProtection="1">
      <alignment horizontal="center" vertical="center"/>
      <protection locked="0"/>
    </xf>
    <xf numFmtId="0" fontId="2" fillId="0" borderId="96" xfId="544" applyFont="1" applyBorder="1" applyAlignment="1" applyProtection="1">
      <alignment horizontal="center" vertical="center"/>
      <protection locked="0"/>
    </xf>
    <xf numFmtId="0" fontId="2" fillId="0" borderId="87" xfId="544" applyFont="1" applyBorder="1" applyAlignment="1" applyProtection="1">
      <alignment horizontal="left" vertical="center"/>
    </xf>
    <xf numFmtId="0" fontId="2" fillId="0" borderId="88" xfId="544" applyFont="1" applyBorder="1" applyAlignment="1" applyProtection="1">
      <alignment horizontal="left" vertical="center"/>
    </xf>
    <xf numFmtId="0" fontId="2" fillId="0" borderId="89" xfId="544" applyFont="1" applyBorder="1" applyAlignment="1" applyProtection="1">
      <alignment horizontal="left" vertical="center"/>
    </xf>
    <xf numFmtId="0" fontId="2" fillId="0" borderId="86" xfId="544" applyFont="1" applyBorder="1" applyAlignment="1" applyProtection="1">
      <alignment horizontal="center" vertical="center"/>
      <protection locked="0"/>
    </xf>
    <xf numFmtId="0" fontId="2" fillId="0" borderId="91" xfId="544" applyFont="1" applyBorder="1" applyAlignment="1" applyProtection="1">
      <alignment horizontal="left" vertical="center"/>
    </xf>
    <xf numFmtId="0" fontId="2" fillId="0" borderId="92" xfId="544" applyFont="1" applyBorder="1" applyAlignment="1" applyProtection="1">
      <alignment horizontal="left" vertical="center"/>
    </xf>
    <xf numFmtId="0" fontId="2" fillId="0" borderId="90" xfId="544" applyFont="1" applyBorder="1" applyAlignment="1" applyProtection="1">
      <alignment horizontal="center" vertical="center"/>
      <protection locked="0"/>
    </xf>
    <xf numFmtId="0" fontId="2" fillId="0" borderId="93" xfId="544" applyFont="1" applyBorder="1" applyAlignment="1" applyProtection="1">
      <alignment horizontal="center" vertical="center"/>
    </xf>
    <xf numFmtId="0" fontId="2" fillId="0" borderId="19" xfId="544" applyFont="1" applyBorder="1" applyAlignment="1" applyProtection="1">
      <alignment horizontal="left" vertical="center" wrapText="1"/>
    </xf>
    <xf numFmtId="0" fontId="2" fillId="0" borderId="0" xfId="544" applyFont="1" applyBorder="1" applyAlignment="1" applyProtection="1">
      <alignment horizontal="left" vertical="center" wrapText="1"/>
    </xf>
    <xf numFmtId="0" fontId="2" fillId="0" borderId="0" xfId="544" applyFont="1" applyBorder="1" applyAlignment="1" applyProtection="1">
      <alignment horizontal="center" vertical="center" wrapText="1"/>
    </xf>
    <xf numFmtId="0" fontId="2" fillId="0" borderId="18" xfId="544" applyFont="1" applyBorder="1" applyAlignment="1" applyProtection="1">
      <alignment horizontal="center" vertical="center" wrapText="1"/>
    </xf>
    <xf numFmtId="1" fontId="2" fillId="0" borderId="93" xfId="544" applyNumberFormat="1" applyFont="1" applyBorder="1" applyAlignment="1" applyProtection="1">
      <alignment horizontal="center" vertical="center"/>
    </xf>
    <xf numFmtId="1" fontId="2" fillId="0" borderId="98" xfId="544" applyNumberFormat="1" applyFont="1" applyBorder="1" applyAlignment="1" applyProtection="1">
      <alignment horizontal="center" vertical="center"/>
    </xf>
    <xf numFmtId="0" fontId="2" fillId="35" borderId="96" xfId="544" applyFont="1" applyFill="1" applyBorder="1" applyAlignment="1" applyProtection="1">
      <alignment horizontal="center" vertical="center"/>
    </xf>
    <xf numFmtId="0" fontId="2" fillId="35" borderId="93" xfId="544" applyFont="1" applyFill="1" applyBorder="1" applyAlignment="1" applyProtection="1">
      <alignment horizontal="center" vertical="center"/>
    </xf>
    <xf numFmtId="0" fontId="2" fillId="0" borderId="94" xfId="544" applyFont="1" applyBorder="1" applyAlignment="1" applyProtection="1">
      <alignment horizontal="left" vertical="center" wrapText="1"/>
    </xf>
    <xf numFmtId="0" fontId="2" fillId="0" borderId="95" xfId="544" applyFont="1" applyBorder="1" applyAlignment="1" applyProtection="1">
      <alignment horizontal="left" vertical="center" wrapText="1"/>
    </xf>
    <xf numFmtId="0" fontId="2" fillId="0" borderId="95" xfId="544" applyFont="1" applyBorder="1" applyAlignment="1" applyProtection="1">
      <alignment horizontal="center" vertical="center" wrapText="1"/>
    </xf>
    <xf numFmtId="0" fontId="2" fillId="0" borderId="96" xfId="544" applyFont="1" applyBorder="1" applyAlignment="1" applyProtection="1">
      <alignment horizontal="center" vertical="center" wrapText="1"/>
    </xf>
    <xf numFmtId="1" fontId="42" fillId="0" borderId="93" xfId="544" applyNumberFormat="1" applyFont="1" applyBorder="1" applyAlignment="1" applyProtection="1">
      <alignment horizontal="center" vertical="center"/>
    </xf>
    <xf numFmtId="1" fontId="42" fillId="0" borderId="94" xfId="544" applyNumberFormat="1" applyFont="1" applyBorder="1" applyAlignment="1" applyProtection="1">
      <alignment horizontal="center" vertical="center"/>
    </xf>
    <xf numFmtId="1" fontId="42" fillId="0" borderId="97" xfId="544" applyNumberFormat="1" applyFont="1" applyBorder="1" applyAlignment="1" applyProtection="1">
      <alignment horizontal="center" vertical="center"/>
    </xf>
    <xf numFmtId="0" fontId="2" fillId="0" borderId="53" xfId="544" applyFont="1" applyBorder="1" applyAlignment="1" applyProtection="1">
      <alignment horizontal="center" vertical="center"/>
      <protection locked="0"/>
    </xf>
    <xf numFmtId="0" fontId="2" fillId="0" borderId="100" xfId="544" applyFont="1" applyBorder="1" applyAlignment="1" applyProtection="1">
      <alignment horizontal="center" vertical="center"/>
      <protection locked="0"/>
    </xf>
    <xf numFmtId="0" fontId="2" fillId="0" borderId="18" xfId="544" applyFont="1" applyBorder="1" applyAlignment="1" applyProtection="1">
      <alignment horizontal="center" vertical="center"/>
      <protection locked="0"/>
    </xf>
    <xf numFmtId="0" fontId="5" fillId="25" borderId="11" xfId="544" applyFont="1" applyFill="1" applyBorder="1" applyAlignment="1" applyProtection="1">
      <alignment horizontal="center" vertical="center" wrapText="1"/>
    </xf>
    <xf numFmtId="0" fontId="5" fillId="25" borderId="11" xfId="544" applyFont="1" applyFill="1" applyBorder="1" applyAlignment="1" applyProtection="1">
      <alignment horizontal="center" vertical="center"/>
    </xf>
    <xf numFmtId="0" fontId="5" fillId="25" borderId="10" xfId="544" applyFont="1" applyFill="1" applyBorder="1" applyAlignment="1" applyProtection="1">
      <alignment horizontal="center" vertical="center"/>
    </xf>
    <xf numFmtId="0" fontId="5" fillId="25" borderId="9" xfId="544" applyFont="1" applyFill="1" applyBorder="1" applyAlignment="1" applyProtection="1">
      <alignment horizontal="center" vertical="center"/>
    </xf>
    <xf numFmtId="0" fontId="5" fillId="25" borderId="164" xfId="544" applyFont="1" applyFill="1" applyBorder="1" applyAlignment="1" applyProtection="1">
      <alignment horizontal="center" vertical="center"/>
    </xf>
    <xf numFmtId="0" fontId="5" fillId="25" borderId="162" xfId="544" applyFont="1" applyFill="1" applyBorder="1" applyAlignment="1" applyProtection="1">
      <alignment horizontal="center" vertical="center"/>
    </xf>
    <xf numFmtId="0" fontId="5" fillId="25" borderId="163" xfId="544" applyFont="1" applyFill="1" applyBorder="1" applyAlignment="1" applyProtection="1">
      <alignment horizontal="center" vertical="center"/>
    </xf>
    <xf numFmtId="167" fontId="2" fillId="0" borderId="93" xfId="544" applyNumberFormat="1" applyFont="1" applyBorder="1" applyAlignment="1" applyProtection="1">
      <alignment horizontal="center" vertical="center"/>
    </xf>
    <xf numFmtId="0" fontId="2" fillId="0" borderId="78" xfId="544" applyFont="1" applyBorder="1" applyAlignment="1" applyProtection="1">
      <alignment horizontal="left" vertical="center" wrapText="1"/>
    </xf>
    <xf numFmtId="0" fontId="2" fillId="0" borderId="37" xfId="544" applyFont="1" applyBorder="1" applyAlignment="1" applyProtection="1">
      <alignment horizontal="left" vertical="center" wrapText="1"/>
    </xf>
    <xf numFmtId="167" fontId="2" fillId="0" borderId="82" xfId="544" applyNumberFormat="1" applyFont="1" applyBorder="1" applyAlignment="1" applyProtection="1">
      <alignment horizontal="center" vertical="center"/>
    </xf>
    <xf numFmtId="167" fontId="2" fillId="0" borderId="83" xfId="544" applyNumberFormat="1" applyFont="1" applyBorder="1" applyAlignment="1" applyProtection="1">
      <alignment horizontal="center" vertical="center"/>
    </xf>
    <xf numFmtId="167" fontId="2" fillId="0" borderId="85" xfId="544" applyNumberFormat="1" applyFont="1" applyBorder="1" applyAlignment="1" applyProtection="1">
      <alignment horizontal="center" vertical="center"/>
    </xf>
    <xf numFmtId="0" fontId="5" fillId="28" borderId="15" xfId="544" applyFont="1" applyFill="1" applyBorder="1" applyAlignment="1" applyProtection="1">
      <alignment horizontal="center" vertical="center"/>
    </xf>
    <xf numFmtId="0" fontId="5" fillId="28" borderId="160" xfId="544" applyFont="1" applyFill="1" applyBorder="1" applyAlignment="1" applyProtection="1">
      <alignment horizontal="center" vertical="center"/>
    </xf>
    <xf numFmtId="0" fontId="5" fillId="28" borderId="14" xfId="544" applyFont="1" applyFill="1" applyBorder="1" applyAlignment="1" applyProtection="1">
      <alignment horizontal="center" vertical="center"/>
    </xf>
    <xf numFmtId="0" fontId="5" fillId="25" borderId="15" xfId="544" applyFont="1" applyFill="1" applyBorder="1" applyAlignment="1" applyProtection="1">
      <alignment horizontal="center" vertical="center"/>
    </xf>
    <xf numFmtId="0" fontId="5" fillId="25" borderId="160" xfId="544" applyFont="1" applyFill="1" applyBorder="1" applyAlignment="1" applyProtection="1">
      <alignment horizontal="center" vertical="center"/>
    </xf>
    <xf numFmtId="0" fontId="5" fillId="25" borderId="14" xfId="544" applyFont="1" applyFill="1" applyBorder="1" applyAlignment="1" applyProtection="1">
      <alignment horizontal="center" vertical="center"/>
    </xf>
    <xf numFmtId="0" fontId="92" fillId="0" borderId="94" xfId="544" applyFont="1" applyBorder="1" applyAlignment="1" applyProtection="1">
      <alignment horizontal="center"/>
    </xf>
    <xf numFmtId="0" fontId="92" fillId="0" borderId="95" xfId="544" applyFont="1" applyBorder="1" applyAlignment="1" applyProtection="1">
      <alignment horizontal="center"/>
    </xf>
    <xf numFmtId="0" fontId="92" fillId="0" borderId="105" xfId="544" applyFont="1" applyBorder="1" applyAlignment="1" applyProtection="1">
      <alignment horizontal="center"/>
    </xf>
    <xf numFmtId="0" fontId="92" fillId="0" borderId="96" xfId="544" applyFont="1" applyBorder="1" applyAlignment="1" applyProtection="1">
      <alignment horizontal="center"/>
    </xf>
    <xf numFmtId="0" fontId="92" fillId="0" borderId="94" xfId="544" applyFont="1" applyBorder="1" applyAlignment="1" applyProtection="1">
      <alignment horizontal="center" vertical="center"/>
    </xf>
    <xf numFmtId="0" fontId="92" fillId="0" borderId="95" xfId="544" applyFont="1" applyBorder="1" applyAlignment="1" applyProtection="1">
      <alignment horizontal="center" vertical="center"/>
    </xf>
    <xf numFmtId="0" fontId="92" fillId="0" borderId="96" xfId="544" applyFont="1" applyBorder="1" applyAlignment="1" applyProtection="1">
      <alignment horizontal="center" vertical="center"/>
    </xf>
    <xf numFmtId="0" fontId="92" fillId="0" borderId="94" xfId="544" applyFont="1" applyBorder="1" applyAlignment="1" applyProtection="1">
      <alignment horizontal="center" vertical="center"/>
      <protection locked="0"/>
    </xf>
    <xf numFmtId="0" fontId="92" fillId="0" borderId="95" xfId="544" applyFont="1" applyBorder="1" applyAlignment="1" applyProtection="1">
      <alignment horizontal="center" vertical="center"/>
      <protection locked="0"/>
    </xf>
    <xf numFmtId="0" fontId="92" fillId="0" borderId="96" xfId="544" applyFont="1" applyBorder="1" applyAlignment="1" applyProtection="1">
      <alignment horizontal="center" vertical="center"/>
      <protection locked="0"/>
    </xf>
    <xf numFmtId="0" fontId="92" fillId="0" borderId="101" xfId="544" applyFont="1" applyBorder="1" applyAlignment="1" applyProtection="1">
      <alignment horizontal="center"/>
    </xf>
    <xf numFmtId="0" fontId="92" fillId="0" borderId="102" xfId="544" applyFont="1" applyBorder="1" applyAlignment="1" applyProtection="1">
      <alignment horizontal="center"/>
    </xf>
    <xf numFmtId="0" fontId="92" fillId="0" borderId="104" xfId="544" applyFont="1" applyBorder="1" applyAlignment="1" applyProtection="1">
      <alignment horizontal="center"/>
    </xf>
    <xf numFmtId="0" fontId="92" fillId="0" borderId="103" xfId="544" applyFont="1" applyBorder="1" applyAlignment="1" applyProtection="1">
      <alignment horizontal="center"/>
    </xf>
    <xf numFmtId="0" fontId="92" fillId="0" borderId="101" xfId="544" applyFont="1" applyBorder="1" applyAlignment="1" applyProtection="1">
      <alignment horizontal="center" vertical="center"/>
    </xf>
    <xf numFmtId="0" fontId="92" fillId="0" borderId="102" xfId="544" applyFont="1" applyBorder="1" applyAlignment="1" applyProtection="1">
      <alignment horizontal="center" vertical="center"/>
    </xf>
    <xf numFmtId="0" fontId="92" fillId="0" borderId="103" xfId="544" applyFont="1" applyBorder="1" applyAlignment="1" applyProtection="1">
      <alignment horizontal="center" vertical="center"/>
    </xf>
    <xf numFmtId="0" fontId="96" fillId="0" borderId="101" xfId="544" applyFont="1" applyBorder="1" applyAlignment="1" applyProtection="1">
      <alignment horizontal="center" vertical="center"/>
      <protection locked="0"/>
    </xf>
    <xf numFmtId="0" fontId="96" fillId="0" borderId="102" xfId="544" applyFont="1" applyBorder="1" applyAlignment="1" applyProtection="1">
      <alignment horizontal="center" vertical="center"/>
      <protection locked="0"/>
    </xf>
    <xf numFmtId="0" fontId="96" fillId="0" borderId="103" xfId="544" applyFont="1" applyBorder="1" applyAlignment="1" applyProtection="1">
      <alignment horizontal="center" vertical="center"/>
      <protection locked="0"/>
    </xf>
    <xf numFmtId="0" fontId="92" fillId="0" borderId="101" xfId="544" applyFont="1" applyBorder="1" applyAlignment="1" applyProtection="1">
      <alignment horizontal="center" vertical="center"/>
      <protection locked="0"/>
    </xf>
    <xf numFmtId="0" fontId="92" fillId="0" borderId="102" xfId="544" applyFont="1" applyBorder="1" applyAlignment="1" applyProtection="1">
      <alignment horizontal="center" vertical="center"/>
      <protection locked="0"/>
    </xf>
    <xf numFmtId="0" fontId="92" fillId="0" borderId="103" xfId="544" applyFont="1" applyBorder="1" applyAlignment="1" applyProtection="1">
      <alignment horizontal="center" vertical="center"/>
      <protection locked="0"/>
    </xf>
    <xf numFmtId="0" fontId="92" fillId="0" borderId="99" xfId="544" applyFont="1" applyBorder="1" applyAlignment="1" applyProtection="1">
      <alignment horizontal="center"/>
    </xf>
    <xf numFmtId="0" fontId="92" fillId="0" borderId="15" xfId="544" applyFont="1" applyBorder="1" applyAlignment="1" applyProtection="1">
      <alignment horizontal="center" vertical="center"/>
    </xf>
    <xf numFmtId="0" fontId="92" fillId="0" borderId="160" xfId="544" applyFont="1" applyBorder="1" applyAlignment="1" applyProtection="1">
      <alignment horizontal="center" vertical="center"/>
    </xf>
    <xf numFmtId="0" fontId="92" fillId="0" borderId="14" xfId="544" applyFont="1" applyBorder="1" applyAlignment="1" applyProtection="1">
      <alignment horizontal="center" vertical="center"/>
    </xf>
    <xf numFmtId="0" fontId="92" fillId="0" borderId="164" xfId="544" applyFont="1" applyBorder="1" applyAlignment="1" applyProtection="1">
      <alignment horizontal="left" vertical="center"/>
    </xf>
    <xf numFmtId="0" fontId="92" fillId="0" borderId="162" xfId="544" applyFont="1" applyBorder="1" applyAlignment="1" applyProtection="1">
      <alignment horizontal="left" vertical="center"/>
    </xf>
    <xf numFmtId="0" fontId="92" fillId="0" borderId="163" xfId="544" applyFont="1" applyBorder="1" applyAlignment="1" applyProtection="1">
      <alignment horizontal="left" vertical="center"/>
    </xf>
    <xf numFmtId="0" fontId="46" fillId="26" borderId="0" xfId="70" applyFont="1" applyFill="1" applyBorder="1" applyAlignment="1" applyProtection="1">
      <alignment horizontal="center" vertical="center" wrapText="1"/>
    </xf>
    <xf numFmtId="168" fontId="1" fillId="0" borderId="0" xfId="544" applyNumberFormat="1" applyFont="1" applyBorder="1" applyAlignment="1" applyProtection="1">
      <alignment horizontal="center" vertical="center"/>
      <protection locked="0"/>
    </xf>
    <xf numFmtId="0" fontId="1" fillId="0" borderId="0" xfId="544" applyFont="1" applyBorder="1" applyAlignment="1" applyProtection="1">
      <alignment horizontal="center" vertical="center"/>
    </xf>
    <xf numFmtId="0" fontId="94" fillId="0" borderId="15" xfId="73" applyFont="1" applyBorder="1" applyAlignment="1" applyProtection="1">
      <alignment horizontal="left" vertical="top"/>
      <protection locked="0"/>
    </xf>
    <xf numFmtId="0" fontId="94" fillId="0" borderId="160" xfId="73" applyFont="1" applyBorder="1" applyAlignment="1" applyProtection="1">
      <alignment horizontal="left" vertical="top"/>
      <protection locked="0"/>
    </xf>
    <xf numFmtId="0" fontId="94" fillId="0" borderId="14" xfId="73" applyFont="1" applyBorder="1" applyAlignment="1" applyProtection="1">
      <alignment horizontal="left" vertical="top"/>
      <protection locked="0"/>
    </xf>
    <xf numFmtId="0" fontId="94" fillId="0" borderId="19" xfId="73" applyFont="1" applyBorder="1" applyAlignment="1" applyProtection="1">
      <alignment horizontal="left" vertical="top"/>
      <protection locked="0"/>
    </xf>
    <xf numFmtId="0" fontId="94" fillId="0" borderId="0" xfId="73" applyFont="1" applyBorder="1" applyAlignment="1" applyProtection="1">
      <alignment horizontal="left" vertical="top"/>
      <protection locked="0"/>
    </xf>
    <xf numFmtId="0" fontId="94" fillId="0" borderId="18" xfId="73" applyFont="1" applyBorder="1" applyAlignment="1" applyProtection="1">
      <alignment horizontal="left" vertical="top"/>
      <protection locked="0"/>
    </xf>
    <xf numFmtId="168" fontId="1" fillId="26" borderId="0" xfId="1" applyNumberFormat="1" applyFont="1" applyFill="1" applyBorder="1" applyAlignment="1" applyProtection="1">
      <alignment horizontal="center" vertical="center" wrapText="1"/>
      <protection locked="0"/>
    </xf>
    <xf numFmtId="0" fontId="42" fillId="26" borderId="164" xfId="1" applyFont="1" applyFill="1" applyBorder="1" applyAlignment="1" applyProtection="1">
      <alignment horizontal="center" vertical="center" wrapText="1"/>
    </xf>
    <xf numFmtId="0" fontId="42" fillId="26" borderId="162" xfId="1" applyFont="1" applyFill="1" applyBorder="1" applyAlignment="1" applyProtection="1">
      <alignment horizontal="center" vertical="center" wrapText="1"/>
    </xf>
    <xf numFmtId="0" fontId="42" fillId="26" borderId="15" xfId="1" applyFont="1" applyFill="1" applyBorder="1" applyAlignment="1" applyProtection="1">
      <alignment horizontal="center" vertical="center" wrapText="1"/>
    </xf>
    <xf numFmtId="0" fontId="42" fillId="26" borderId="160" xfId="1" applyFont="1" applyFill="1" applyBorder="1" applyAlignment="1" applyProtection="1">
      <alignment horizontal="center" vertical="center" wrapText="1"/>
    </xf>
    <xf numFmtId="0" fontId="92" fillId="26" borderId="162" xfId="1" applyFont="1" applyFill="1" applyBorder="1" applyAlignment="1" applyProtection="1">
      <alignment horizontal="center" vertical="center"/>
      <protection locked="0"/>
    </xf>
    <xf numFmtId="0" fontId="92" fillId="26" borderId="163" xfId="1" applyFont="1" applyFill="1" applyBorder="1" applyAlignment="1" applyProtection="1">
      <alignment horizontal="center" vertical="center"/>
      <protection locked="0"/>
    </xf>
    <xf numFmtId="0" fontId="92" fillId="26" borderId="160" xfId="1" applyFont="1" applyFill="1" applyBorder="1" applyAlignment="1" applyProtection="1">
      <alignment horizontal="center" vertical="center"/>
      <protection locked="0"/>
    </xf>
    <xf numFmtId="0" fontId="92" fillId="26" borderId="14" xfId="1" applyFont="1" applyFill="1" applyBorder="1" applyAlignment="1" applyProtection="1">
      <alignment horizontal="center" vertical="center"/>
      <protection locked="0"/>
    </xf>
    <xf numFmtId="0" fontId="6" fillId="26" borderId="164" xfId="1" applyFont="1" applyFill="1" applyBorder="1" applyAlignment="1" applyProtection="1">
      <alignment horizontal="center" vertical="center" wrapText="1"/>
    </xf>
    <xf numFmtId="0" fontId="6" fillId="26" borderId="162" xfId="1" applyFont="1" applyFill="1" applyBorder="1" applyAlignment="1" applyProtection="1">
      <alignment horizontal="center" vertical="center" wrapText="1"/>
    </xf>
    <xf numFmtId="0" fontId="6" fillId="26" borderId="15" xfId="1" applyFont="1" applyFill="1" applyBorder="1" applyAlignment="1" applyProtection="1">
      <alignment horizontal="center" vertical="center" wrapText="1"/>
    </xf>
    <xf numFmtId="0" fontId="6" fillId="26" borderId="160" xfId="1" applyFont="1" applyFill="1" applyBorder="1" applyAlignment="1" applyProtection="1">
      <alignment horizontal="center" vertical="center" wrapText="1"/>
    </xf>
    <xf numFmtId="0" fontId="6" fillId="26" borderId="164" xfId="1" applyFont="1" applyFill="1" applyBorder="1" applyAlignment="1" applyProtection="1">
      <alignment horizontal="center" vertical="center" wrapText="1"/>
      <protection locked="0"/>
    </xf>
    <xf numFmtId="0" fontId="6" fillId="26" borderId="162" xfId="1" applyFont="1" applyFill="1" applyBorder="1" applyAlignment="1" applyProtection="1">
      <alignment horizontal="center" vertical="center" wrapText="1"/>
      <protection locked="0"/>
    </xf>
    <xf numFmtId="0" fontId="6" fillId="26" borderId="15" xfId="1" applyFont="1" applyFill="1" applyBorder="1" applyAlignment="1" applyProtection="1">
      <alignment horizontal="center" vertical="center" wrapText="1"/>
      <protection locked="0"/>
    </xf>
    <xf numFmtId="0" fontId="6" fillId="26" borderId="160" xfId="1" applyFont="1" applyFill="1" applyBorder="1" applyAlignment="1" applyProtection="1">
      <alignment horizontal="center" vertical="center" wrapText="1"/>
      <protection locked="0"/>
    </xf>
    <xf numFmtId="0" fontId="16" fillId="28" borderId="164" xfId="1" applyFont="1" applyFill="1" applyBorder="1" applyAlignment="1" applyProtection="1">
      <alignment horizontal="center" vertical="center" wrapText="1"/>
    </xf>
    <xf numFmtId="0" fontId="16" fillId="28" borderId="162" xfId="1" applyFont="1" applyFill="1" applyBorder="1" applyAlignment="1" applyProtection="1">
      <alignment horizontal="center" vertical="center" wrapText="1"/>
    </xf>
    <xf numFmtId="0" fontId="16" fillId="28" borderId="50" xfId="1" applyFont="1" applyFill="1" applyBorder="1" applyAlignment="1" applyProtection="1">
      <alignment horizontal="center" vertical="center" wrapText="1"/>
    </xf>
    <xf numFmtId="0" fontId="16" fillId="28" borderId="51" xfId="1" applyFont="1" applyFill="1" applyBorder="1" applyAlignment="1" applyProtection="1">
      <alignment horizontal="center" vertical="center" wrapText="1"/>
    </xf>
    <xf numFmtId="0" fontId="16" fillId="28" borderId="164" xfId="1" applyFont="1" applyFill="1" applyBorder="1" applyAlignment="1" applyProtection="1">
      <alignment horizontal="center" vertical="center"/>
    </xf>
    <xf numFmtId="0" fontId="16" fillId="28" borderId="162" xfId="1" applyFont="1" applyFill="1" applyBorder="1" applyAlignment="1" applyProtection="1">
      <alignment horizontal="center" vertical="center"/>
    </xf>
    <xf numFmtId="0" fontId="16" fillId="28" borderId="163" xfId="1" applyFont="1" applyFill="1" applyBorder="1" applyAlignment="1" applyProtection="1">
      <alignment horizontal="center" vertical="center"/>
    </xf>
    <xf numFmtId="0" fontId="16" fillId="28" borderId="269" xfId="1" applyFont="1" applyFill="1" applyBorder="1" applyAlignment="1" applyProtection="1">
      <alignment horizontal="center" vertical="center"/>
    </xf>
    <xf numFmtId="0" fontId="16" fillId="28" borderId="270" xfId="1" applyFont="1" applyFill="1" applyBorder="1" applyAlignment="1" applyProtection="1">
      <alignment horizontal="center" vertical="center"/>
    </xf>
    <xf numFmtId="0" fontId="16" fillId="28" borderId="50" xfId="1" applyFont="1" applyFill="1" applyBorder="1" applyAlignment="1" applyProtection="1">
      <alignment horizontal="center" vertical="center"/>
    </xf>
    <xf numFmtId="0" fontId="16" fillId="28" borderId="51" xfId="1" applyFont="1" applyFill="1" applyBorder="1" applyAlignment="1" applyProtection="1">
      <alignment horizontal="center" vertical="center"/>
    </xf>
    <xf numFmtId="0" fontId="16" fillId="28" borderId="52" xfId="1" applyFont="1" applyFill="1" applyBorder="1" applyAlignment="1" applyProtection="1">
      <alignment horizontal="center" vertical="center"/>
    </xf>
    <xf numFmtId="0" fontId="16" fillId="28" borderId="11" xfId="1" applyFont="1" applyFill="1" applyBorder="1" applyAlignment="1" applyProtection="1">
      <alignment horizontal="center" vertical="center"/>
    </xf>
    <xf numFmtId="0" fontId="16" fillId="28" borderId="10" xfId="1" applyFont="1" applyFill="1" applyBorder="1" applyAlignment="1" applyProtection="1">
      <alignment horizontal="center" vertical="center"/>
    </xf>
    <xf numFmtId="0" fontId="16" fillId="28" borderId="9" xfId="1" applyFont="1" applyFill="1" applyBorder="1" applyAlignment="1" applyProtection="1">
      <alignment horizontal="center" vertical="center"/>
    </xf>
    <xf numFmtId="0" fontId="16" fillId="28" borderId="49" xfId="1" applyFont="1" applyFill="1" applyBorder="1" applyAlignment="1" applyProtection="1">
      <alignment horizontal="center" vertical="center" wrapText="1"/>
    </xf>
    <xf numFmtId="0" fontId="16" fillId="28" borderId="271" xfId="1" applyFont="1" applyFill="1" applyBorder="1" applyAlignment="1" applyProtection="1">
      <alignment horizontal="center" vertical="center" wrapText="1"/>
    </xf>
    <xf numFmtId="0" fontId="16" fillId="28" borderId="163" xfId="1" applyFont="1" applyFill="1" applyBorder="1" applyAlignment="1" applyProtection="1">
      <alignment horizontal="center" vertical="center" wrapText="1"/>
    </xf>
    <xf numFmtId="0" fontId="16" fillId="28" borderId="52" xfId="1" applyFont="1" applyFill="1" applyBorder="1" applyAlignment="1" applyProtection="1">
      <alignment horizontal="center" vertical="center" wrapText="1"/>
    </xf>
    <xf numFmtId="0" fontId="2" fillId="26" borderId="44" xfId="1" applyFont="1" applyFill="1" applyBorder="1" applyAlignment="1" applyProtection="1">
      <alignment horizontal="center" vertical="center"/>
      <protection locked="0"/>
    </xf>
    <xf numFmtId="0" fontId="2" fillId="26" borderId="8" xfId="1" applyFont="1" applyFill="1" applyBorder="1" applyAlignment="1" applyProtection="1">
      <alignment horizontal="center" vertical="center"/>
      <protection locked="0"/>
    </xf>
    <xf numFmtId="0" fontId="2" fillId="26" borderId="268" xfId="1" applyFont="1" applyFill="1" applyBorder="1" applyAlignment="1" applyProtection="1">
      <alignment horizontal="center" vertical="center"/>
      <protection locked="0"/>
    </xf>
    <xf numFmtId="0" fontId="2" fillId="26" borderId="2" xfId="1" applyFont="1" applyFill="1" applyBorder="1" applyAlignment="1" applyProtection="1">
      <alignment horizontal="center" vertical="center"/>
      <protection locked="0"/>
    </xf>
    <xf numFmtId="0" fontId="131" fillId="26" borderId="49" xfId="21" applyFont="1" applyFill="1" applyBorder="1" applyAlignment="1" applyProtection="1">
      <alignment horizontal="left" vertical="center" wrapText="1"/>
    </xf>
    <xf numFmtId="0" fontId="1" fillId="26" borderId="164" xfId="1" applyFont="1" applyFill="1" applyBorder="1" applyAlignment="1" applyProtection="1">
      <alignment horizontal="center"/>
    </xf>
    <xf numFmtId="0" fontId="1" fillId="26" borderId="162" xfId="1" applyFont="1" applyFill="1" applyBorder="1" applyAlignment="1" applyProtection="1">
      <alignment horizontal="center"/>
    </xf>
    <xf numFmtId="0" fontId="1" fillId="26" borderId="163" xfId="1" applyFont="1" applyFill="1" applyBorder="1" applyAlignment="1" applyProtection="1">
      <alignment horizontal="center"/>
    </xf>
    <xf numFmtId="0" fontId="1" fillId="26" borderId="19" xfId="1" applyFont="1" applyFill="1" applyBorder="1" applyAlignment="1" applyProtection="1">
      <alignment horizontal="center"/>
    </xf>
    <xf numFmtId="0" fontId="1" fillId="26" borderId="0" xfId="1" applyFont="1" applyFill="1" applyBorder="1" applyAlignment="1" applyProtection="1">
      <alignment horizontal="center"/>
    </xf>
    <xf numFmtId="0" fontId="1" fillId="26" borderId="18" xfId="1" applyFont="1" applyFill="1" applyBorder="1" applyAlignment="1" applyProtection="1">
      <alignment horizontal="center"/>
    </xf>
    <xf numFmtId="0" fontId="1" fillId="26" borderId="15" xfId="1" applyFont="1" applyFill="1" applyBorder="1" applyAlignment="1" applyProtection="1">
      <alignment horizontal="center"/>
    </xf>
    <xf numFmtId="0" fontId="1" fillId="26" borderId="160" xfId="1" applyFont="1" applyFill="1" applyBorder="1" applyAlignment="1" applyProtection="1">
      <alignment horizontal="center"/>
    </xf>
    <xf numFmtId="0" fontId="1" fillId="26" borderId="14" xfId="1" applyFont="1" applyFill="1" applyBorder="1" applyAlignment="1" applyProtection="1">
      <alignment horizontal="center"/>
    </xf>
    <xf numFmtId="0" fontId="3" fillId="26" borderId="49" xfId="1" applyFont="1" applyFill="1" applyBorder="1" applyAlignment="1" applyProtection="1">
      <alignment horizontal="center" vertical="center" wrapText="1"/>
    </xf>
    <xf numFmtId="0" fontId="42" fillId="26" borderId="164" xfId="1" applyFont="1" applyFill="1" applyBorder="1" applyAlignment="1" applyProtection="1">
      <alignment horizontal="center" vertical="center" wrapText="1"/>
      <protection locked="0"/>
    </xf>
    <xf numFmtId="0" fontId="42" fillId="26" borderId="162" xfId="1" applyFont="1" applyFill="1" applyBorder="1" applyAlignment="1" applyProtection="1">
      <alignment horizontal="center" vertical="center" wrapText="1"/>
      <protection locked="0"/>
    </xf>
    <xf numFmtId="0" fontId="42" fillId="26" borderId="15" xfId="1" applyFont="1" applyFill="1" applyBorder="1" applyAlignment="1" applyProtection="1">
      <alignment horizontal="center" vertical="center" wrapText="1"/>
      <protection locked="0"/>
    </xf>
    <xf numFmtId="0" fontId="42" fillId="26" borderId="160" xfId="1" applyFont="1" applyFill="1" applyBorder="1" applyAlignment="1" applyProtection="1">
      <alignment horizontal="center" vertical="center" wrapText="1"/>
      <protection locked="0"/>
    </xf>
    <xf numFmtId="0" fontId="131" fillId="26" borderId="49" xfId="21" applyFont="1" applyFill="1" applyBorder="1" applyAlignment="1" applyProtection="1">
      <alignment horizontal="left" vertical="center"/>
    </xf>
    <xf numFmtId="0" fontId="92" fillId="26" borderId="31" xfId="1" applyFont="1" applyFill="1" applyBorder="1" applyAlignment="1" applyProtection="1">
      <alignment horizontal="center" vertical="center" wrapText="1"/>
    </xf>
    <xf numFmtId="0" fontId="92" fillId="26" borderId="32" xfId="1" applyFont="1" applyFill="1" applyBorder="1" applyAlignment="1" applyProtection="1">
      <alignment horizontal="center" vertical="center" wrapText="1"/>
    </xf>
    <xf numFmtId="0" fontId="92" fillId="26" borderId="33" xfId="1" applyFont="1" applyFill="1" applyBorder="1" applyAlignment="1" applyProtection="1">
      <alignment horizontal="center" vertical="center" wrapText="1"/>
    </xf>
    <xf numFmtId="167" fontId="2" fillId="26" borderId="31" xfId="1" applyNumberFormat="1" applyFont="1" applyFill="1" applyBorder="1" applyAlignment="1" applyProtection="1">
      <alignment horizontal="center" vertical="center"/>
      <protection locked="0"/>
    </xf>
    <xf numFmtId="167" fontId="2" fillId="26" borderId="32" xfId="1" applyNumberFormat="1" applyFont="1" applyFill="1" applyBorder="1" applyAlignment="1" applyProtection="1">
      <alignment horizontal="center" vertical="center"/>
      <protection locked="0"/>
    </xf>
    <xf numFmtId="167" fontId="2" fillId="26" borderId="274" xfId="1" applyNumberFormat="1" applyFont="1" applyFill="1" applyBorder="1" applyAlignment="1" applyProtection="1">
      <alignment horizontal="center" vertical="center"/>
      <protection locked="0"/>
    </xf>
    <xf numFmtId="167" fontId="2" fillId="26" borderId="92" xfId="1" applyNumberFormat="1" applyFont="1" applyFill="1" applyBorder="1" applyAlignment="1" applyProtection="1">
      <alignment horizontal="center" vertical="center"/>
      <protection locked="0"/>
    </xf>
    <xf numFmtId="167" fontId="2" fillId="26" borderId="114" xfId="1" applyNumberFormat="1" applyFont="1" applyFill="1" applyBorder="1" applyAlignment="1" applyProtection="1">
      <alignment horizontal="center" vertical="center"/>
      <protection locked="0"/>
    </xf>
    <xf numFmtId="167" fontId="2" fillId="26" borderId="33" xfId="1" applyNumberFormat="1" applyFont="1" applyFill="1" applyBorder="1" applyAlignment="1" applyProtection="1">
      <alignment horizontal="center" vertical="center"/>
      <protection locked="0"/>
    </xf>
    <xf numFmtId="167" fontId="2" fillId="26" borderId="112" xfId="1" applyNumberFormat="1" applyFont="1" applyFill="1" applyBorder="1" applyAlignment="1" applyProtection="1">
      <alignment horizontal="center" vertical="center"/>
      <protection locked="0"/>
    </xf>
    <xf numFmtId="167" fontId="2" fillId="26" borderId="275" xfId="1" applyNumberFormat="1" applyFont="1" applyFill="1" applyBorder="1" applyAlignment="1" applyProtection="1">
      <alignment horizontal="center" vertical="center"/>
      <protection locked="0"/>
    </xf>
    <xf numFmtId="1" fontId="2" fillId="26" borderId="31" xfId="1" applyNumberFormat="1" applyFont="1" applyFill="1" applyBorder="1" applyAlignment="1" applyProtection="1">
      <alignment horizontal="center" vertical="center"/>
    </xf>
    <xf numFmtId="1" fontId="2" fillId="26" borderId="32" xfId="1" applyNumberFormat="1" applyFont="1" applyFill="1" applyBorder="1" applyAlignment="1" applyProtection="1">
      <alignment horizontal="center" vertical="center"/>
    </xf>
    <xf numFmtId="1" fontId="2" fillId="26" borderId="107" xfId="1" applyNumberFormat="1" applyFont="1" applyFill="1" applyBorder="1" applyAlignment="1" applyProtection="1">
      <alignment horizontal="center" vertical="center"/>
    </xf>
    <xf numFmtId="1" fontId="2" fillId="26" borderId="274" xfId="1" applyNumberFormat="1" applyFont="1" applyFill="1" applyBorder="1" applyAlignment="1" applyProtection="1">
      <alignment horizontal="center" vertical="center"/>
    </xf>
    <xf numFmtId="1" fontId="2" fillId="26" borderId="92" xfId="1" applyNumberFormat="1" applyFont="1" applyFill="1" applyBorder="1" applyAlignment="1" applyProtection="1">
      <alignment horizontal="center" vertical="center"/>
    </xf>
    <xf numFmtId="1" fontId="2" fillId="26" borderId="113" xfId="1" applyNumberFormat="1" applyFont="1" applyFill="1" applyBorder="1" applyAlignment="1" applyProtection="1">
      <alignment horizontal="center" vertical="center"/>
    </xf>
    <xf numFmtId="1" fontId="2" fillId="26" borderId="66" xfId="1" applyNumberFormat="1" applyFont="1" applyFill="1" applyBorder="1" applyAlignment="1" applyProtection="1">
      <alignment horizontal="center" vertical="center"/>
    </xf>
    <xf numFmtId="1" fontId="2" fillId="26" borderId="116" xfId="1" applyNumberFormat="1" applyFont="1" applyFill="1" applyBorder="1" applyAlignment="1" applyProtection="1">
      <alignment horizontal="center" vertical="center"/>
    </xf>
    <xf numFmtId="0" fontId="92" fillId="26" borderId="274" xfId="1" applyFont="1" applyFill="1" applyBorder="1" applyAlignment="1" applyProtection="1">
      <alignment horizontal="center" vertical="center" wrapText="1"/>
    </xf>
    <xf numFmtId="0" fontId="92" fillId="26" borderId="92" xfId="1" applyFont="1" applyFill="1" applyBorder="1" applyAlignment="1" applyProtection="1">
      <alignment horizontal="center" vertical="center" wrapText="1"/>
    </xf>
    <xf numFmtId="0" fontId="92" fillId="26" borderId="275" xfId="1" applyFont="1" applyFill="1" applyBorder="1" applyAlignment="1" applyProtection="1">
      <alignment horizontal="center" vertical="center" wrapText="1"/>
    </xf>
    <xf numFmtId="0" fontId="42" fillId="25" borderId="272" xfId="1" applyFont="1" applyFill="1" applyBorder="1" applyAlignment="1" applyProtection="1">
      <alignment horizontal="center" vertical="center"/>
    </xf>
    <xf numFmtId="0" fontId="42" fillId="25" borderId="167" xfId="1" applyFont="1" applyFill="1" applyBorder="1" applyAlignment="1" applyProtection="1">
      <alignment horizontal="center" vertical="center"/>
    </xf>
    <xf numFmtId="0" fontId="92" fillId="25" borderId="167" xfId="1" applyFont="1" applyFill="1" applyBorder="1" applyAlignment="1" applyProtection="1">
      <alignment horizontal="left" vertical="center"/>
    </xf>
    <xf numFmtId="1" fontId="42" fillId="25" borderId="167" xfId="1" applyNumberFormat="1" applyFont="1" applyFill="1" applyBorder="1" applyAlignment="1" applyProtection="1">
      <alignment horizontal="center" vertical="center"/>
    </xf>
    <xf numFmtId="0" fontId="42" fillId="25" borderId="167" xfId="1" applyFont="1" applyFill="1" applyBorder="1" applyAlignment="1" applyProtection="1">
      <alignment horizontal="center" vertical="center" wrapText="1"/>
    </xf>
    <xf numFmtId="0" fontId="42" fillId="25" borderId="273" xfId="1" applyFont="1" applyFill="1" applyBorder="1" applyAlignment="1" applyProtection="1">
      <alignment horizontal="center" vertical="center" wrapText="1"/>
    </xf>
    <xf numFmtId="167" fontId="92" fillId="26" borderId="62" xfId="1" applyNumberFormat="1" applyFont="1" applyFill="1" applyBorder="1" applyAlignment="1" applyProtection="1">
      <alignment horizontal="center" vertical="center"/>
    </xf>
    <xf numFmtId="167" fontId="92" fillId="26" borderId="107" xfId="1" applyNumberFormat="1" applyFont="1" applyFill="1" applyBorder="1" applyAlignment="1" applyProtection="1">
      <alignment horizontal="center" vertical="center"/>
    </xf>
    <xf numFmtId="0" fontId="92" fillId="26" borderId="19" xfId="1" applyFont="1" applyFill="1" applyBorder="1" applyAlignment="1" applyProtection="1">
      <alignment horizontal="center" vertical="center"/>
    </xf>
    <xf numFmtId="0" fontId="92" fillId="26" borderId="108" xfId="1" applyFont="1" applyFill="1" applyBorder="1" applyAlignment="1" applyProtection="1">
      <alignment horizontal="center" vertical="center"/>
    </xf>
    <xf numFmtId="2" fontId="92" fillId="26" borderId="32" xfId="1" applyNumberFormat="1" applyFont="1" applyFill="1" applyBorder="1" applyAlignment="1" applyProtection="1">
      <alignment horizontal="center" vertical="center"/>
    </xf>
    <xf numFmtId="2" fontId="92" fillId="26" borderId="33" xfId="1" applyNumberFormat="1" applyFont="1" applyFill="1" applyBorder="1" applyAlignment="1" applyProtection="1">
      <alignment horizontal="center" vertical="center"/>
    </xf>
    <xf numFmtId="0" fontId="92" fillId="26" borderId="0" xfId="1" applyFont="1" applyFill="1" applyBorder="1" applyAlignment="1" applyProtection="1">
      <alignment horizontal="center" vertical="center"/>
    </xf>
    <xf numFmtId="0" fontId="92" fillId="26" borderId="35" xfId="1" applyFont="1" applyFill="1" applyBorder="1" applyAlignment="1" applyProtection="1">
      <alignment horizontal="center" vertical="center"/>
    </xf>
    <xf numFmtId="12" fontId="92" fillId="26" borderId="31" xfId="1" applyNumberFormat="1" applyFont="1" applyFill="1" applyBorder="1" applyAlignment="1" applyProtection="1">
      <alignment horizontal="center" vertical="center" wrapText="1"/>
    </xf>
    <xf numFmtId="12" fontId="92" fillId="26" borderId="107" xfId="1" applyNumberFormat="1" applyFont="1" applyFill="1" applyBorder="1" applyAlignment="1" applyProtection="1">
      <alignment horizontal="center" vertical="center" wrapText="1"/>
    </xf>
    <xf numFmtId="12" fontId="92" fillId="26" borderId="274" xfId="1" applyNumberFormat="1" applyFont="1" applyFill="1" applyBorder="1" applyAlignment="1" applyProtection="1">
      <alignment horizontal="center" vertical="center" wrapText="1"/>
    </xf>
    <xf numFmtId="12" fontId="92" fillId="26" borderId="113" xfId="1" applyNumberFormat="1" applyFont="1" applyFill="1" applyBorder="1" applyAlignment="1" applyProtection="1">
      <alignment horizontal="center" vertical="center" wrapText="1"/>
    </xf>
    <xf numFmtId="12" fontId="92" fillId="26" borderId="32" xfId="1" applyNumberFormat="1" applyFont="1" applyFill="1" applyBorder="1" applyAlignment="1" applyProtection="1">
      <alignment horizontal="center" vertical="center" wrapText="1"/>
    </xf>
    <xf numFmtId="12" fontId="92" fillId="26" borderId="33" xfId="1" applyNumberFormat="1" applyFont="1" applyFill="1" applyBorder="1" applyAlignment="1" applyProtection="1">
      <alignment horizontal="center" vertical="center" wrapText="1"/>
    </xf>
    <xf numFmtId="12" fontId="92" fillId="26" borderId="92" xfId="1" applyNumberFormat="1" applyFont="1" applyFill="1" applyBorder="1" applyAlignment="1" applyProtection="1">
      <alignment horizontal="center" vertical="center" wrapText="1"/>
    </xf>
    <xf numFmtId="12" fontId="92" fillId="26" borderId="275" xfId="1" applyNumberFormat="1" applyFont="1" applyFill="1" applyBorder="1" applyAlignment="1" applyProtection="1">
      <alignment horizontal="center" vertical="center" wrapText="1"/>
    </xf>
    <xf numFmtId="1" fontId="2" fillId="26" borderId="33" xfId="1" applyNumberFormat="1" applyFont="1" applyFill="1" applyBorder="1" applyAlignment="1" applyProtection="1">
      <alignment horizontal="center" vertical="center"/>
    </xf>
    <xf numFmtId="1" fontId="2" fillId="26" borderId="275" xfId="1" applyNumberFormat="1" applyFont="1" applyFill="1" applyBorder="1" applyAlignment="1" applyProtection="1">
      <alignment horizontal="center" vertical="center"/>
    </xf>
    <xf numFmtId="0" fontId="92" fillId="26" borderId="278" xfId="1" applyFont="1" applyFill="1" applyBorder="1" applyAlignment="1" applyProtection="1">
      <alignment horizontal="center" vertical="center" wrapText="1"/>
    </xf>
    <xf numFmtId="0" fontId="92" fillId="26" borderId="110" xfId="1" applyFont="1" applyFill="1" applyBorder="1" applyAlignment="1" applyProtection="1">
      <alignment horizontal="center" vertical="center" wrapText="1"/>
    </xf>
    <xf numFmtId="0" fontId="92" fillId="26" borderId="277" xfId="1" applyFont="1" applyFill="1" applyBorder="1" applyAlignment="1" applyProtection="1">
      <alignment horizontal="center" vertical="center" wrapText="1"/>
    </xf>
    <xf numFmtId="167" fontId="2" fillId="26" borderId="278" xfId="1" applyNumberFormat="1" applyFont="1" applyFill="1" applyBorder="1" applyAlignment="1" applyProtection="1">
      <alignment horizontal="center" vertical="center"/>
      <protection locked="0"/>
    </xf>
    <xf numFmtId="167" fontId="2" fillId="26" borderId="110" xfId="1" applyNumberFormat="1" applyFont="1" applyFill="1" applyBorder="1" applyAlignment="1" applyProtection="1">
      <alignment horizontal="center" vertical="center"/>
      <protection locked="0"/>
    </xf>
    <xf numFmtId="167" fontId="2" fillId="26" borderId="276" xfId="1" applyNumberFormat="1" applyFont="1" applyFill="1" applyBorder="1" applyAlignment="1" applyProtection="1">
      <alignment horizontal="center" vertical="center"/>
      <protection locked="0"/>
    </xf>
    <xf numFmtId="167" fontId="2" fillId="26" borderId="277" xfId="1" applyNumberFormat="1" applyFont="1" applyFill="1" applyBorder="1" applyAlignment="1" applyProtection="1">
      <alignment horizontal="center" vertical="center"/>
      <protection locked="0"/>
    </xf>
    <xf numFmtId="1" fontId="2" fillId="26" borderId="278" xfId="1" applyNumberFormat="1" applyFont="1" applyFill="1" applyBorder="1" applyAlignment="1" applyProtection="1">
      <alignment horizontal="center" vertical="center"/>
    </xf>
    <xf numFmtId="1" fontId="2" fillId="26" borderId="110" xfId="1" applyNumberFormat="1" applyFont="1" applyFill="1" applyBorder="1" applyAlignment="1" applyProtection="1">
      <alignment horizontal="center" vertical="center"/>
    </xf>
    <xf numFmtId="1" fontId="2" fillId="26" borderId="111" xfId="1" applyNumberFormat="1" applyFont="1" applyFill="1" applyBorder="1" applyAlignment="1" applyProtection="1">
      <alignment horizontal="center" vertical="center"/>
    </xf>
    <xf numFmtId="1" fontId="2" fillId="26" borderId="276" xfId="1" applyNumberFormat="1" applyFont="1" applyFill="1" applyBorder="1" applyAlignment="1" applyProtection="1">
      <alignment horizontal="center" vertical="center"/>
    </xf>
    <xf numFmtId="1" fontId="2" fillId="26" borderId="279" xfId="1" applyNumberFormat="1" applyFont="1" applyFill="1" applyBorder="1" applyAlignment="1" applyProtection="1">
      <alignment horizontal="center" vertical="center"/>
    </xf>
    <xf numFmtId="1" fontId="2" fillId="26" borderId="112" xfId="1" applyNumberFormat="1" applyFont="1" applyFill="1" applyBorder="1" applyAlignment="1" applyProtection="1">
      <alignment horizontal="center" vertical="center"/>
    </xf>
    <xf numFmtId="2" fontId="92" fillId="26" borderId="117" xfId="1" applyNumberFormat="1" applyFont="1" applyFill="1" applyBorder="1" applyAlignment="1" applyProtection="1">
      <alignment horizontal="center" vertical="center"/>
    </xf>
    <xf numFmtId="0" fontId="92" fillId="26" borderId="111" xfId="1" applyFont="1" applyFill="1" applyBorder="1" applyAlignment="1" applyProtection="1">
      <alignment vertical="center"/>
    </xf>
    <xf numFmtId="0" fontId="92" fillId="26" borderId="91" xfId="1" applyFont="1" applyFill="1" applyBorder="1" applyAlignment="1" applyProtection="1">
      <alignment vertical="center"/>
    </xf>
    <xf numFmtId="0" fontId="92" fillId="26" borderId="113" xfId="1" applyFont="1" applyFill="1" applyBorder="1" applyAlignment="1" applyProtection="1">
      <alignment vertical="center"/>
    </xf>
    <xf numFmtId="2" fontId="92" fillId="26" borderId="276" xfId="1" applyNumberFormat="1" applyFont="1" applyFill="1" applyBorder="1" applyAlignment="1" applyProtection="1">
      <alignment horizontal="center" vertical="center"/>
    </xf>
    <xf numFmtId="0" fontId="92" fillId="26" borderId="277" xfId="1" applyFont="1" applyFill="1" applyBorder="1" applyAlignment="1" applyProtection="1">
      <alignment vertical="center"/>
    </xf>
    <xf numFmtId="0" fontId="92" fillId="26" borderId="112" xfId="1" applyFont="1" applyFill="1" applyBorder="1" applyAlignment="1" applyProtection="1">
      <alignment vertical="center"/>
    </xf>
    <xf numFmtId="0" fontId="92" fillId="26" borderId="275" xfId="1" applyFont="1" applyFill="1" applyBorder="1" applyAlignment="1" applyProtection="1">
      <alignment vertical="center"/>
    </xf>
    <xf numFmtId="12" fontId="92" fillId="26" borderId="278" xfId="1" applyNumberFormat="1" applyFont="1" applyFill="1" applyBorder="1" applyAlignment="1" applyProtection="1">
      <alignment horizontal="center" vertical="center" wrapText="1"/>
    </xf>
    <xf numFmtId="12" fontId="92" fillId="26" borderId="111" xfId="1" applyNumberFormat="1" applyFont="1" applyFill="1" applyBorder="1" applyAlignment="1" applyProtection="1">
      <alignment horizontal="center" vertical="center" wrapText="1"/>
    </xf>
    <xf numFmtId="12" fontId="92" fillId="26" borderId="110" xfId="1" applyNumberFormat="1" applyFont="1" applyFill="1" applyBorder="1" applyAlignment="1" applyProtection="1">
      <alignment horizontal="center" vertical="center" wrapText="1"/>
    </xf>
    <xf numFmtId="12" fontId="92" fillId="26" borderId="277" xfId="1" applyNumberFormat="1" applyFont="1" applyFill="1" applyBorder="1" applyAlignment="1" applyProtection="1">
      <alignment horizontal="center" vertical="center" wrapText="1"/>
    </xf>
    <xf numFmtId="1" fontId="2" fillId="26" borderId="277" xfId="1" applyNumberFormat="1" applyFont="1" applyFill="1" applyBorder="1" applyAlignment="1" applyProtection="1">
      <alignment horizontal="center" vertical="center"/>
    </xf>
    <xf numFmtId="0" fontId="92" fillId="26" borderId="34" xfId="1" applyFont="1" applyFill="1" applyBorder="1" applyAlignment="1" applyProtection="1">
      <alignment horizontal="center" vertical="center" wrapText="1"/>
    </xf>
    <xf numFmtId="0" fontId="92" fillId="26" borderId="0" xfId="1" applyFont="1" applyFill="1" applyBorder="1" applyAlignment="1" applyProtection="1">
      <alignment horizontal="center" vertical="center" wrapText="1"/>
    </xf>
    <xf numFmtId="0" fontId="92" fillId="26" borderId="35" xfId="1" applyFont="1" applyFill="1" applyBorder="1" applyAlignment="1" applyProtection="1">
      <alignment horizontal="center" vertical="center" wrapText="1"/>
    </xf>
    <xf numFmtId="0" fontId="92" fillId="26" borderId="19" xfId="1" applyFont="1" applyFill="1" applyBorder="1" applyAlignment="1" applyProtection="1">
      <alignment vertical="center"/>
    </xf>
    <xf numFmtId="0" fontId="92" fillId="26" borderId="108" xfId="1" applyFont="1" applyFill="1" applyBorder="1" applyAlignment="1" applyProtection="1">
      <alignment vertical="center"/>
    </xf>
    <xf numFmtId="2" fontId="92" fillId="26" borderId="106" xfId="1" applyNumberFormat="1" applyFont="1" applyFill="1" applyBorder="1" applyAlignment="1" applyProtection="1">
      <alignment horizontal="center" vertical="center"/>
    </xf>
    <xf numFmtId="0" fontId="92" fillId="26" borderId="35" xfId="1" applyFont="1" applyFill="1" applyBorder="1" applyAlignment="1" applyProtection="1">
      <alignment vertical="center"/>
    </xf>
    <xf numFmtId="0" fontId="92" fillId="26" borderId="106" xfId="1" applyFont="1" applyFill="1" applyBorder="1" applyAlignment="1" applyProtection="1">
      <alignment vertical="center"/>
    </xf>
    <xf numFmtId="167" fontId="92" fillId="26" borderId="276" xfId="1" applyNumberFormat="1" applyFont="1" applyFill="1" applyBorder="1" applyAlignment="1" applyProtection="1">
      <alignment horizontal="center" vertical="center"/>
    </xf>
    <xf numFmtId="2" fontId="92" fillId="26" borderId="278" xfId="1" applyNumberFormat="1" applyFont="1" applyFill="1" applyBorder="1" applyAlignment="1" applyProtection="1">
      <alignment horizontal="center" vertical="center"/>
    </xf>
    <xf numFmtId="0" fontId="92" fillId="26" borderId="274" xfId="1" applyFont="1" applyFill="1" applyBorder="1" applyAlignment="1" applyProtection="1">
      <alignment vertical="center"/>
    </xf>
    <xf numFmtId="167" fontId="92" fillId="26" borderId="110" xfId="1" applyNumberFormat="1" applyFont="1" applyFill="1" applyBorder="1" applyAlignment="1" applyProtection="1">
      <alignment horizontal="center" vertical="center"/>
    </xf>
    <xf numFmtId="0" fontId="92" fillId="26" borderId="92" xfId="1" applyFont="1" applyFill="1" applyBorder="1" applyAlignment="1" applyProtection="1">
      <alignment vertical="center"/>
    </xf>
    <xf numFmtId="0" fontId="5" fillId="26" borderId="269" xfId="1" applyFont="1" applyFill="1" applyBorder="1" applyAlignment="1" applyProtection="1">
      <alignment horizontal="center" vertical="center"/>
    </xf>
    <xf numFmtId="0" fontId="5" fillId="26" borderId="270" xfId="1" applyFont="1" applyFill="1" applyBorder="1" applyAlignment="1" applyProtection="1">
      <alignment horizontal="center" vertical="center"/>
    </xf>
    <xf numFmtId="1" fontId="4" fillId="26" borderId="270" xfId="1" applyNumberFormat="1" applyFont="1" applyFill="1" applyBorder="1" applyAlignment="1" applyProtection="1">
      <alignment horizontal="center" vertical="center"/>
    </xf>
    <xf numFmtId="1" fontId="4" fillId="26" borderId="280" xfId="1" applyNumberFormat="1" applyFont="1" applyFill="1" applyBorder="1" applyAlignment="1" applyProtection="1">
      <alignment horizontal="center" vertical="center"/>
    </xf>
    <xf numFmtId="1" fontId="1" fillId="26" borderId="311" xfId="1" applyNumberFormat="1" applyFont="1" applyFill="1" applyBorder="1" applyAlignment="1" applyProtection="1">
      <alignment horizontal="center" vertical="center"/>
      <protection locked="0"/>
    </xf>
    <xf numFmtId="1" fontId="1" fillId="26" borderId="281" xfId="1" applyNumberFormat="1" applyFont="1" applyFill="1" applyBorder="1" applyAlignment="1" applyProtection="1">
      <alignment horizontal="center" vertical="center"/>
      <protection locked="0"/>
    </xf>
    <xf numFmtId="1" fontId="1" fillId="26" borderId="282" xfId="1" applyNumberFormat="1" applyFont="1" applyFill="1" applyBorder="1" applyAlignment="1" applyProtection="1">
      <alignment horizontal="center" vertical="center"/>
      <protection locked="0"/>
    </xf>
    <xf numFmtId="0" fontId="42" fillId="25" borderId="19" xfId="1" applyFont="1" applyFill="1" applyBorder="1" applyAlignment="1" applyProtection="1">
      <alignment horizontal="center" vertical="center"/>
    </xf>
    <xf numFmtId="0" fontId="42" fillId="25" borderId="0" xfId="1" applyFont="1" applyFill="1" applyBorder="1" applyAlignment="1" applyProtection="1">
      <alignment horizontal="center" vertical="center"/>
    </xf>
    <xf numFmtId="0" fontId="92" fillId="25" borderId="0" xfId="1" applyFont="1" applyFill="1" applyBorder="1" applyAlignment="1" applyProtection="1">
      <alignment horizontal="left" vertical="center"/>
    </xf>
    <xf numFmtId="1" fontId="42" fillId="25" borderId="0" xfId="1" applyNumberFormat="1" applyFont="1" applyFill="1" applyBorder="1" applyAlignment="1" applyProtection="1">
      <alignment horizontal="center" vertical="center"/>
    </xf>
    <xf numFmtId="0" fontId="2" fillId="25" borderId="0" xfId="1" applyFont="1" applyFill="1" applyBorder="1" applyAlignment="1" applyProtection="1">
      <alignment horizontal="center" vertical="center"/>
    </xf>
    <xf numFmtId="0" fontId="2" fillId="25" borderId="18" xfId="1" applyFont="1" applyFill="1" applyBorder="1" applyAlignment="1" applyProtection="1">
      <alignment horizontal="center" vertical="center"/>
    </xf>
    <xf numFmtId="167" fontId="2" fillId="26" borderId="34" xfId="1" applyNumberFormat="1" applyFont="1" applyFill="1" applyBorder="1" applyAlignment="1" applyProtection="1">
      <alignment horizontal="center" vertical="center"/>
      <protection locked="0"/>
    </xf>
    <xf numFmtId="167" fontId="2" fillId="26" borderId="0" xfId="1" applyNumberFormat="1" applyFont="1" applyFill="1" applyBorder="1" applyAlignment="1" applyProtection="1">
      <alignment horizontal="center" vertical="center"/>
      <protection locked="0"/>
    </xf>
    <xf numFmtId="167" fontId="2" fillId="26" borderId="106" xfId="1" applyNumberFormat="1" applyFont="1" applyFill="1" applyBorder="1" applyAlignment="1" applyProtection="1">
      <alignment horizontal="center" vertical="center"/>
      <protection locked="0"/>
    </xf>
    <xf numFmtId="167" fontId="2" fillId="26" borderId="35" xfId="1" applyNumberFormat="1" applyFont="1" applyFill="1" applyBorder="1" applyAlignment="1" applyProtection="1">
      <alignment horizontal="center" vertical="center"/>
      <protection locked="0"/>
    </xf>
    <xf numFmtId="1" fontId="2" fillId="26" borderId="34" xfId="1" applyNumberFormat="1" applyFont="1" applyFill="1" applyBorder="1" applyAlignment="1" applyProtection="1">
      <alignment horizontal="center" vertical="center"/>
    </xf>
    <xf numFmtId="1" fontId="2" fillId="26" borderId="0" xfId="1" applyNumberFormat="1" applyFont="1" applyFill="1" applyBorder="1" applyAlignment="1" applyProtection="1">
      <alignment horizontal="center" vertical="center"/>
    </xf>
    <xf numFmtId="1" fontId="109" fillId="26" borderId="276" xfId="1" applyNumberFormat="1" applyFont="1" applyFill="1" applyBorder="1" applyAlignment="1" applyProtection="1">
      <alignment horizontal="center" vertical="center"/>
    </xf>
    <xf numFmtId="1" fontId="109" fillId="26" borderId="110" xfId="1" applyNumberFormat="1" applyFont="1" applyFill="1" applyBorder="1" applyAlignment="1" applyProtection="1">
      <alignment horizontal="center" vertical="center"/>
    </xf>
    <xf numFmtId="1" fontId="109" fillId="26" borderId="279" xfId="1" applyNumberFormat="1" applyFont="1" applyFill="1" applyBorder="1" applyAlignment="1" applyProtection="1">
      <alignment horizontal="center" vertical="center"/>
    </xf>
    <xf numFmtId="1" fontId="109" fillId="26" borderId="106" xfId="1" applyNumberFormat="1" applyFont="1" applyFill="1" applyBorder="1" applyAlignment="1" applyProtection="1">
      <alignment horizontal="center" vertical="center"/>
    </xf>
    <xf numFmtId="1" fontId="109" fillId="26" borderId="0" xfId="1" applyNumberFormat="1" applyFont="1" applyFill="1" applyBorder="1" applyAlignment="1" applyProtection="1">
      <alignment horizontal="center" vertical="center"/>
    </xf>
    <xf numFmtId="1" fontId="109" fillId="26" borderId="18" xfId="1" applyNumberFormat="1" applyFont="1" applyFill="1" applyBorder="1" applyAlignment="1" applyProtection="1">
      <alignment horizontal="center" vertical="center"/>
    </xf>
    <xf numFmtId="167" fontId="92" fillId="26" borderId="117" xfId="1" applyNumberFormat="1" applyFont="1" applyFill="1" applyBorder="1" applyAlignment="1" applyProtection="1">
      <alignment horizontal="center" vertical="center"/>
    </xf>
    <xf numFmtId="167" fontId="92" fillId="26" borderId="34" xfId="1" applyNumberFormat="1" applyFont="1" applyFill="1" applyBorder="1" applyAlignment="1" applyProtection="1">
      <alignment horizontal="center" vertical="center"/>
    </xf>
    <xf numFmtId="0" fontId="92" fillId="26" borderId="34" xfId="1" applyFont="1" applyFill="1" applyBorder="1" applyAlignment="1" applyProtection="1">
      <alignment vertical="center"/>
    </xf>
    <xf numFmtId="167" fontId="92" fillId="26" borderId="0" xfId="1" applyNumberFormat="1" applyFont="1" applyFill="1" applyBorder="1" applyAlignment="1" applyProtection="1">
      <alignment horizontal="center" vertical="center"/>
    </xf>
    <xf numFmtId="0" fontId="92" fillId="26" borderId="0" xfId="1" applyFont="1" applyFill="1" applyBorder="1" applyAlignment="1" applyProtection="1">
      <alignment vertical="center"/>
    </xf>
    <xf numFmtId="1" fontId="2" fillId="26" borderId="35" xfId="1" applyNumberFormat="1" applyFont="1" applyFill="1" applyBorder="1" applyAlignment="1" applyProtection="1">
      <alignment horizontal="center" vertical="center"/>
    </xf>
    <xf numFmtId="0" fontId="92" fillId="26" borderId="164" xfId="1" applyFont="1" applyFill="1" applyBorder="1" applyAlignment="1" applyProtection="1">
      <alignment horizontal="center" vertical="center" wrapText="1"/>
    </xf>
    <xf numFmtId="0" fontId="92" fillId="26" borderId="162" xfId="1" applyFont="1" applyFill="1" applyBorder="1" applyAlignment="1" applyProtection="1">
      <alignment horizontal="center" vertical="center" wrapText="1"/>
    </xf>
    <xf numFmtId="0" fontId="92" fillId="26" borderId="163" xfId="1" applyFont="1" applyFill="1" applyBorder="1" applyAlignment="1" applyProtection="1">
      <alignment horizontal="center" vertical="center" wrapText="1"/>
    </xf>
    <xf numFmtId="167" fontId="42" fillId="26" borderId="164" xfId="1" applyNumberFormat="1" applyFont="1" applyFill="1" applyBorder="1" applyAlignment="1" applyProtection="1">
      <alignment horizontal="center" vertical="center"/>
      <protection locked="0"/>
    </xf>
    <xf numFmtId="167" fontId="42" fillId="26" borderId="162" xfId="1" applyNumberFormat="1" applyFont="1" applyFill="1" applyBorder="1" applyAlignment="1" applyProtection="1">
      <alignment horizontal="center" vertical="center"/>
      <protection locked="0"/>
    </xf>
    <xf numFmtId="167" fontId="42" fillId="26" borderId="284" xfId="1" applyNumberFormat="1" applyFont="1" applyFill="1" applyBorder="1" applyAlignment="1" applyProtection="1">
      <alignment horizontal="center" vertical="center"/>
      <protection locked="0"/>
    </xf>
    <xf numFmtId="167" fontId="42" fillId="26" borderId="92" xfId="1" applyNumberFormat="1" applyFont="1" applyFill="1" applyBorder="1" applyAlignment="1" applyProtection="1">
      <alignment horizontal="center" vertical="center"/>
      <protection locked="0"/>
    </xf>
    <xf numFmtId="167" fontId="42" fillId="26" borderId="113" xfId="1" applyNumberFormat="1" applyFont="1" applyFill="1" applyBorder="1" applyAlignment="1" applyProtection="1">
      <alignment horizontal="center" vertical="center"/>
      <protection locked="0"/>
    </xf>
    <xf numFmtId="167" fontId="2" fillId="26" borderId="283" xfId="1" applyNumberFormat="1" applyFont="1" applyFill="1" applyBorder="1" applyAlignment="1" applyProtection="1">
      <alignment horizontal="center" vertical="center"/>
      <protection locked="0"/>
    </xf>
    <xf numFmtId="167" fontId="2" fillId="26" borderId="162" xfId="1" applyNumberFormat="1" applyFont="1" applyFill="1" applyBorder="1" applyAlignment="1" applyProtection="1">
      <alignment horizontal="center" vertical="center"/>
      <protection locked="0"/>
    </xf>
    <xf numFmtId="167" fontId="2" fillId="26" borderId="163" xfId="1" applyNumberFormat="1" applyFont="1" applyFill="1" applyBorder="1" applyAlignment="1" applyProtection="1">
      <alignment horizontal="center" vertical="center"/>
      <protection locked="0"/>
    </xf>
    <xf numFmtId="167" fontId="2" fillId="26" borderId="116" xfId="1" applyNumberFormat="1" applyFont="1" applyFill="1" applyBorder="1" applyAlignment="1" applyProtection="1">
      <alignment horizontal="center" vertical="center"/>
      <protection locked="0"/>
    </xf>
    <xf numFmtId="1" fontId="2" fillId="26" borderId="164" xfId="1" applyNumberFormat="1" applyFont="1" applyFill="1" applyBorder="1" applyAlignment="1" applyProtection="1">
      <alignment horizontal="center" vertical="center"/>
    </xf>
    <xf numFmtId="1" fontId="2" fillId="26" borderId="162" xfId="1" applyNumberFormat="1" applyFont="1" applyFill="1" applyBorder="1" applyAlignment="1" applyProtection="1">
      <alignment horizontal="center" vertical="center"/>
    </xf>
    <xf numFmtId="1" fontId="2" fillId="26" borderId="91" xfId="1" applyNumberFormat="1" applyFont="1" applyFill="1" applyBorder="1" applyAlignment="1" applyProtection="1">
      <alignment horizontal="center" vertical="center"/>
    </xf>
    <xf numFmtId="1" fontId="2" fillId="26" borderId="283" xfId="1" applyNumberFormat="1" applyFont="1" applyFill="1" applyBorder="1" applyAlignment="1" applyProtection="1">
      <alignment horizontal="center" vertical="center"/>
    </xf>
    <xf numFmtId="1" fontId="2" fillId="26" borderId="163" xfId="1" applyNumberFormat="1" applyFont="1" applyFill="1" applyBorder="1" applyAlignment="1" applyProtection="1">
      <alignment horizontal="center" vertical="center"/>
    </xf>
    <xf numFmtId="167" fontId="92" fillId="26" borderId="164" xfId="1" applyNumberFormat="1" applyFont="1" applyFill="1" applyBorder="1" applyAlignment="1" applyProtection="1">
      <alignment horizontal="center" vertical="center" wrapText="1"/>
    </xf>
    <xf numFmtId="167" fontId="92" fillId="26" borderId="162" xfId="1" applyNumberFormat="1" applyFont="1" applyFill="1" applyBorder="1" applyAlignment="1" applyProtection="1">
      <alignment horizontal="center" vertical="center" wrapText="1"/>
    </xf>
    <xf numFmtId="167" fontId="92" fillId="26" borderId="283" xfId="1" applyNumberFormat="1" applyFont="1" applyFill="1" applyBorder="1" applyAlignment="1" applyProtection="1">
      <alignment horizontal="center" vertical="center" wrapText="1"/>
    </xf>
    <xf numFmtId="167" fontId="92" fillId="26" borderId="163" xfId="1" applyNumberFormat="1" applyFont="1" applyFill="1" applyBorder="1" applyAlignment="1" applyProtection="1">
      <alignment horizontal="center" vertical="center" wrapText="1"/>
    </xf>
    <xf numFmtId="172" fontId="92" fillId="26" borderId="164" xfId="1" applyNumberFormat="1" applyFont="1" applyFill="1" applyBorder="1" applyAlignment="1" applyProtection="1">
      <alignment horizontal="center" vertical="center" wrapText="1"/>
    </xf>
    <xf numFmtId="172" fontId="92" fillId="26" borderId="162" xfId="1" applyNumberFormat="1" applyFont="1" applyFill="1" applyBorder="1" applyAlignment="1" applyProtection="1">
      <alignment horizontal="center" vertical="center" wrapText="1"/>
    </xf>
    <xf numFmtId="172" fontId="92" fillId="26" borderId="283" xfId="1" applyNumberFormat="1" applyFont="1" applyFill="1" applyBorder="1" applyAlignment="1" applyProtection="1">
      <alignment horizontal="center" vertical="center" wrapText="1"/>
    </xf>
    <xf numFmtId="172" fontId="92" fillId="26" borderId="163" xfId="1" applyNumberFormat="1" applyFont="1" applyFill="1" applyBorder="1" applyAlignment="1" applyProtection="1">
      <alignment horizontal="center" vertical="center" wrapText="1"/>
    </xf>
    <xf numFmtId="167" fontId="92" fillId="26" borderId="91" xfId="1" applyNumberFormat="1" applyFont="1" applyFill="1" applyBorder="1" applyAlignment="1" applyProtection="1">
      <alignment horizontal="center" vertical="center" wrapText="1"/>
    </xf>
    <xf numFmtId="167" fontId="92" fillId="26" borderId="92" xfId="1" applyNumberFormat="1" applyFont="1" applyFill="1" applyBorder="1" applyAlignment="1" applyProtection="1">
      <alignment horizontal="center" vertical="center" wrapText="1"/>
    </xf>
    <xf numFmtId="167" fontId="92" fillId="26" borderId="112" xfId="1" applyNumberFormat="1" applyFont="1" applyFill="1" applyBorder="1" applyAlignment="1" applyProtection="1">
      <alignment horizontal="center" vertical="center" wrapText="1"/>
    </xf>
    <xf numFmtId="167" fontId="92" fillId="26" borderId="116" xfId="1" applyNumberFormat="1" applyFont="1" applyFill="1" applyBorder="1" applyAlignment="1" applyProtection="1">
      <alignment horizontal="center" vertical="center" wrapText="1"/>
    </xf>
    <xf numFmtId="172" fontId="92" fillId="26" borderId="91" xfId="1" applyNumberFormat="1" applyFont="1" applyFill="1" applyBorder="1" applyAlignment="1" applyProtection="1">
      <alignment horizontal="center" vertical="center" wrapText="1"/>
    </xf>
    <xf numFmtId="172" fontId="92" fillId="26" borderId="92" xfId="1" applyNumberFormat="1" applyFont="1" applyFill="1" applyBorder="1" applyAlignment="1" applyProtection="1">
      <alignment horizontal="center" vertical="center" wrapText="1"/>
    </xf>
    <xf numFmtId="172" fontId="92" fillId="26" borderId="112" xfId="1" applyNumberFormat="1" applyFont="1" applyFill="1" applyBorder="1" applyAlignment="1" applyProtection="1">
      <alignment horizontal="center" vertical="center" wrapText="1"/>
    </xf>
    <xf numFmtId="172" fontId="92" fillId="26" borderId="116" xfId="1" applyNumberFormat="1" applyFont="1" applyFill="1" applyBorder="1" applyAlignment="1" applyProtection="1">
      <alignment horizontal="center" vertical="center" wrapText="1"/>
    </xf>
    <xf numFmtId="1" fontId="2" fillId="26" borderId="19" xfId="1" applyNumberFormat="1" applyFont="1" applyFill="1" applyBorder="1" applyAlignment="1" applyProtection="1">
      <alignment horizontal="center" vertical="center"/>
    </xf>
    <xf numFmtId="1" fontId="2" fillId="26" borderId="106" xfId="1" applyNumberFormat="1" applyFont="1" applyFill="1" applyBorder="1" applyAlignment="1" applyProtection="1">
      <alignment horizontal="center" vertical="center"/>
    </xf>
    <xf numFmtId="1" fontId="2" fillId="26" borderId="18" xfId="1" applyNumberFormat="1" applyFont="1" applyFill="1" applyBorder="1" applyAlignment="1" applyProtection="1">
      <alignment horizontal="center" vertical="center"/>
    </xf>
    <xf numFmtId="0" fontId="1" fillId="0" borderId="0" xfId="1" applyFill="1" applyAlignment="1" applyProtection="1">
      <alignment horizontal="center" vertical="center"/>
      <protection locked="0"/>
    </xf>
    <xf numFmtId="167" fontId="2" fillId="26" borderId="91" xfId="1" applyNumberFormat="1" applyFont="1" applyFill="1" applyBorder="1" applyAlignment="1" applyProtection="1">
      <alignment horizontal="center" vertical="center" wrapText="1"/>
      <protection locked="0"/>
    </xf>
    <xf numFmtId="167" fontId="2" fillId="26" borderId="286" xfId="1" applyNumberFormat="1" applyFont="1" applyFill="1" applyBorder="1" applyAlignment="1" applyProtection="1">
      <alignment horizontal="center" vertical="center" wrapText="1"/>
      <protection locked="0"/>
    </xf>
    <xf numFmtId="0" fontId="92" fillId="26" borderId="91" xfId="1" applyFont="1" applyFill="1" applyBorder="1" applyAlignment="1" applyProtection="1">
      <alignment horizontal="center" vertical="center" wrapText="1"/>
    </xf>
    <xf numFmtId="0" fontId="92" fillId="26" borderId="116" xfId="1" applyFont="1" applyFill="1" applyBorder="1" applyAlignment="1" applyProtection="1">
      <alignment horizontal="center" vertical="center" wrapText="1"/>
    </xf>
    <xf numFmtId="167" fontId="2" fillId="26" borderId="92" xfId="1" applyNumberFormat="1" applyFont="1" applyFill="1" applyBorder="1" applyAlignment="1" applyProtection="1">
      <alignment horizontal="center" vertical="center" wrapText="1"/>
      <protection locked="0"/>
    </xf>
    <xf numFmtId="167" fontId="92" fillId="26" borderId="117" xfId="1" applyNumberFormat="1" applyFont="1" applyFill="1" applyBorder="1" applyAlignment="1" applyProtection="1">
      <alignment horizontal="center" vertical="center" wrapText="1"/>
    </xf>
    <xf numFmtId="167" fontId="92" fillId="26" borderId="110" xfId="1" applyNumberFormat="1" applyFont="1" applyFill="1" applyBorder="1" applyAlignment="1" applyProtection="1">
      <alignment horizontal="center" vertical="center" wrapText="1"/>
    </xf>
    <xf numFmtId="167" fontId="92" fillId="26" borderId="276" xfId="1" applyNumberFormat="1" applyFont="1" applyFill="1" applyBorder="1" applyAlignment="1" applyProtection="1">
      <alignment horizontal="center" vertical="center" wrapText="1"/>
    </xf>
    <xf numFmtId="167" fontId="92" fillId="26" borderId="279" xfId="1" applyNumberFormat="1" applyFont="1" applyFill="1" applyBorder="1" applyAlignment="1" applyProtection="1">
      <alignment horizontal="center" vertical="center" wrapText="1"/>
    </xf>
    <xf numFmtId="172" fontId="92" fillId="26" borderId="117" xfId="1" applyNumberFormat="1" applyFont="1" applyFill="1" applyBorder="1" applyAlignment="1" applyProtection="1">
      <alignment horizontal="center" vertical="center" wrapText="1"/>
    </xf>
    <xf numFmtId="172" fontId="92" fillId="26" borderId="110" xfId="1" applyNumberFormat="1" applyFont="1" applyFill="1" applyBorder="1" applyAlignment="1" applyProtection="1">
      <alignment horizontal="center" vertical="center" wrapText="1"/>
    </xf>
    <xf numFmtId="172" fontId="92" fillId="26" borderId="276" xfId="1" applyNumberFormat="1" applyFont="1" applyFill="1" applyBorder="1" applyAlignment="1" applyProtection="1">
      <alignment horizontal="center" vertical="center" wrapText="1"/>
    </xf>
    <xf numFmtId="172" fontId="92" fillId="26" borderId="279" xfId="1" applyNumberFormat="1" applyFont="1" applyFill="1" applyBorder="1" applyAlignment="1" applyProtection="1">
      <alignment horizontal="center" vertical="center" wrapText="1"/>
    </xf>
    <xf numFmtId="0" fontId="92" fillId="26" borderId="19" xfId="1" applyFont="1" applyFill="1" applyBorder="1" applyAlignment="1" applyProtection="1">
      <alignment horizontal="center" vertical="center" wrapText="1"/>
    </xf>
    <xf numFmtId="0" fontId="92" fillId="26" borderId="18" xfId="1" applyFont="1" applyFill="1" applyBorder="1" applyAlignment="1" applyProtection="1">
      <alignment horizontal="center" vertical="center" wrapText="1"/>
    </xf>
    <xf numFmtId="12" fontId="92" fillId="26" borderId="112" xfId="1" applyNumberFormat="1" applyFont="1" applyFill="1" applyBorder="1" applyAlignment="1" applyProtection="1">
      <alignment horizontal="center" vertical="center" wrapText="1"/>
    </xf>
    <xf numFmtId="12" fontId="92" fillId="26" borderId="116" xfId="1" applyNumberFormat="1" applyFont="1" applyFill="1" applyBorder="1" applyAlignment="1" applyProtection="1">
      <alignment horizontal="center" vertical="center" wrapText="1"/>
    </xf>
    <xf numFmtId="167" fontId="2" fillId="26" borderId="117" xfId="1" applyNumberFormat="1" applyFont="1" applyFill="1" applyBorder="1" applyAlignment="1" applyProtection="1">
      <alignment horizontal="center" vertical="center" wrapText="1"/>
      <protection locked="0"/>
    </xf>
    <xf numFmtId="167" fontId="2" fillId="26" borderId="285" xfId="1" applyNumberFormat="1" applyFont="1" applyFill="1" applyBorder="1" applyAlignment="1" applyProtection="1">
      <alignment horizontal="center" vertical="center" wrapText="1"/>
      <protection locked="0"/>
    </xf>
    <xf numFmtId="167" fontId="2" fillId="26" borderId="0" xfId="1" applyNumberFormat="1" applyFont="1" applyFill="1" applyBorder="1" applyAlignment="1" applyProtection="1">
      <alignment horizontal="center" vertical="center" wrapText="1"/>
    </xf>
    <xf numFmtId="167" fontId="2" fillId="26" borderId="92" xfId="1" applyNumberFormat="1" applyFont="1" applyFill="1" applyBorder="1" applyAlignment="1" applyProtection="1">
      <alignment horizontal="center" vertical="center" wrapText="1"/>
    </xf>
    <xf numFmtId="167" fontId="2" fillId="26" borderId="18" xfId="1" applyNumberFormat="1" applyFont="1" applyFill="1" applyBorder="1" applyAlignment="1" applyProtection="1">
      <alignment horizontal="center" vertical="center"/>
      <protection locked="0"/>
    </xf>
    <xf numFmtId="167" fontId="2" fillId="26" borderId="110" xfId="1" applyNumberFormat="1" applyFont="1" applyFill="1" applyBorder="1" applyAlignment="1" applyProtection="1">
      <alignment horizontal="center" vertical="center" wrapText="1"/>
    </xf>
    <xf numFmtId="167" fontId="2" fillId="26" borderId="279" xfId="1" applyNumberFormat="1" applyFont="1" applyFill="1" applyBorder="1" applyAlignment="1" applyProtection="1">
      <alignment horizontal="center" vertical="center"/>
      <protection locked="0"/>
    </xf>
    <xf numFmtId="12" fontId="92" fillId="26" borderId="117" xfId="1" applyNumberFormat="1" applyFont="1" applyFill="1" applyBorder="1" applyAlignment="1" applyProtection="1">
      <alignment horizontal="center" vertical="center" wrapText="1"/>
    </xf>
    <xf numFmtId="1" fontId="2" fillId="26" borderId="117" xfId="1" applyNumberFormat="1" applyFont="1" applyFill="1" applyBorder="1" applyAlignment="1" applyProtection="1">
      <alignment horizontal="center" vertical="center"/>
    </xf>
    <xf numFmtId="12" fontId="92" fillId="26" borderId="91" xfId="1" applyNumberFormat="1" applyFont="1" applyFill="1" applyBorder="1" applyAlignment="1" applyProtection="1">
      <alignment horizontal="center" vertical="center" wrapText="1"/>
    </xf>
    <xf numFmtId="167" fontId="2" fillId="26" borderId="82" xfId="1" applyNumberFormat="1" applyFont="1" applyFill="1" applyBorder="1" applyAlignment="1" applyProtection="1">
      <alignment horizontal="center" vertical="center" wrapText="1"/>
      <protection locked="0"/>
    </xf>
    <xf numFmtId="167" fontId="2" fillId="26" borderId="83" xfId="1" applyNumberFormat="1" applyFont="1" applyFill="1" applyBorder="1" applyAlignment="1" applyProtection="1">
      <alignment horizontal="center" vertical="center" wrapText="1"/>
      <protection locked="0"/>
    </xf>
    <xf numFmtId="167" fontId="2" fillId="26" borderId="84" xfId="1" applyNumberFormat="1" applyFont="1" applyFill="1" applyBorder="1" applyAlignment="1" applyProtection="1">
      <alignment horizontal="center" vertical="center"/>
      <protection locked="0"/>
    </xf>
    <xf numFmtId="167" fontId="2" fillId="26" borderId="83" xfId="1" applyNumberFormat="1" applyFont="1" applyFill="1" applyBorder="1" applyAlignment="1" applyProtection="1">
      <alignment horizontal="center" vertical="center"/>
      <protection locked="0"/>
    </xf>
    <xf numFmtId="167" fontId="2" fillId="26" borderId="85" xfId="1" applyNumberFormat="1" applyFont="1" applyFill="1" applyBorder="1" applyAlignment="1" applyProtection="1">
      <alignment horizontal="center" vertical="center"/>
      <protection locked="0"/>
    </xf>
    <xf numFmtId="1" fontId="2" fillId="26" borderId="82" xfId="1" applyNumberFormat="1" applyFont="1" applyFill="1" applyBorder="1" applyAlignment="1" applyProtection="1">
      <alignment horizontal="center" vertical="center"/>
    </xf>
    <xf numFmtId="1" fontId="2" fillId="26" borderId="83" xfId="1" applyNumberFormat="1" applyFont="1" applyFill="1" applyBorder="1" applyAlignment="1" applyProtection="1">
      <alignment horizontal="center" vertical="center"/>
    </xf>
    <xf numFmtId="1" fontId="2" fillId="26" borderId="84" xfId="1" applyNumberFormat="1" applyFont="1" applyFill="1" applyBorder="1" applyAlignment="1" applyProtection="1">
      <alignment horizontal="center" vertical="center"/>
    </xf>
    <xf numFmtId="1" fontId="2" fillId="26" borderId="85" xfId="1" applyNumberFormat="1" applyFont="1" applyFill="1" applyBorder="1" applyAlignment="1" applyProtection="1">
      <alignment horizontal="center" vertical="center"/>
    </xf>
    <xf numFmtId="0" fontId="5" fillId="26" borderId="19" xfId="1" applyFont="1" applyFill="1" applyBorder="1" applyAlignment="1" applyProtection="1">
      <alignment horizontal="center" vertical="center"/>
    </xf>
    <xf numFmtId="0" fontId="5" fillId="26" borderId="0" xfId="1" applyFont="1" applyFill="1" applyBorder="1" applyAlignment="1" applyProtection="1">
      <alignment horizontal="center" vertical="center"/>
    </xf>
    <xf numFmtId="1" fontId="5" fillId="26" borderId="0" xfId="1" applyNumberFormat="1" applyFont="1" applyFill="1" applyBorder="1" applyAlignment="1" applyProtection="1">
      <alignment horizontal="center" vertical="center"/>
    </xf>
    <xf numFmtId="1" fontId="5" fillId="26" borderId="18" xfId="1" applyNumberFormat="1" applyFont="1" applyFill="1" applyBorder="1" applyAlignment="1" applyProtection="1">
      <alignment horizontal="center" vertical="center"/>
    </xf>
    <xf numFmtId="167" fontId="92" fillId="26" borderId="82" xfId="1" applyNumberFormat="1" applyFont="1" applyFill="1" applyBorder="1" applyAlignment="1" applyProtection="1">
      <alignment horizontal="center" vertical="center" wrapText="1"/>
    </xf>
    <xf numFmtId="167" fontId="92" fillId="26" borderId="83" xfId="1" applyNumberFormat="1" applyFont="1" applyFill="1" applyBorder="1" applyAlignment="1" applyProtection="1">
      <alignment horizontal="center" vertical="center" wrapText="1"/>
    </xf>
    <xf numFmtId="167" fontId="92" fillId="26" borderId="84" xfId="1" applyNumberFormat="1" applyFont="1" applyFill="1" applyBorder="1" applyAlignment="1" applyProtection="1">
      <alignment horizontal="center" vertical="center" wrapText="1"/>
    </xf>
    <xf numFmtId="167" fontId="92" fillId="26" borderId="85" xfId="1" applyNumberFormat="1" applyFont="1" applyFill="1" applyBorder="1" applyAlignment="1" applyProtection="1">
      <alignment horizontal="center" vertical="center" wrapText="1"/>
    </xf>
    <xf numFmtId="12" fontId="92" fillId="26" borderId="82" xfId="1" applyNumberFormat="1" applyFont="1" applyFill="1" applyBorder="1" applyAlignment="1" applyProtection="1">
      <alignment horizontal="center" vertical="center" wrapText="1"/>
    </xf>
    <xf numFmtId="12" fontId="92" fillId="26" borderId="83" xfId="1" applyNumberFormat="1" applyFont="1" applyFill="1" applyBorder="1" applyAlignment="1" applyProtection="1">
      <alignment horizontal="center" vertical="center" wrapText="1"/>
    </xf>
    <xf numFmtId="12" fontId="92" fillId="26" borderId="84" xfId="1" applyNumberFormat="1" applyFont="1" applyFill="1" applyBorder="1" applyAlignment="1" applyProtection="1">
      <alignment horizontal="center" vertical="center" wrapText="1"/>
    </xf>
    <xf numFmtId="12" fontId="92" fillId="26" borderId="85" xfId="1" applyNumberFormat="1" applyFont="1" applyFill="1" applyBorder="1" applyAlignment="1" applyProtection="1">
      <alignment horizontal="center" vertical="center" wrapText="1"/>
    </xf>
    <xf numFmtId="0" fontId="92" fillId="26" borderId="82" xfId="1" applyFont="1" applyFill="1" applyBorder="1" applyAlignment="1" applyProtection="1">
      <alignment horizontal="center" vertical="center" wrapText="1"/>
    </xf>
    <xf numFmtId="0" fontId="92" fillId="26" borderId="83" xfId="1" applyFont="1" applyFill="1" applyBorder="1" applyAlignment="1" applyProtection="1">
      <alignment horizontal="center" vertical="center"/>
    </xf>
    <xf numFmtId="0" fontId="92" fillId="26" borderId="85" xfId="1" applyFont="1" applyFill="1" applyBorder="1" applyAlignment="1" applyProtection="1">
      <alignment horizontal="center" vertical="center"/>
    </xf>
    <xf numFmtId="1" fontId="2" fillId="26" borderId="270" xfId="1" applyNumberFormat="1" applyFont="1" applyFill="1" applyBorder="1" applyAlignment="1" applyProtection="1">
      <alignment horizontal="center" vertical="center"/>
      <protection locked="0"/>
    </xf>
    <xf numFmtId="1" fontId="2" fillId="26" borderId="280" xfId="1" applyNumberFormat="1" applyFont="1" applyFill="1" applyBorder="1" applyAlignment="1" applyProtection="1">
      <alignment horizontal="center" vertical="center"/>
      <protection locked="0"/>
    </xf>
    <xf numFmtId="0" fontId="42" fillId="25" borderId="164" xfId="1" applyFont="1" applyFill="1" applyBorder="1" applyAlignment="1" applyProtection="1">
      <alignment horizontal="center" vertical="center"/>
    </xf>
    <xf numFmtId="0" fontId="42" fillId="25" borderId="162" xfId="1" applyFont="1" applyFill="1" applyBorder="1" applyAlignment="1" applyProtection="1">
      <alignment horizontal="center" vertical="center"/>
    </xf>
    <xf numFmtId="0" fontId="42" fillId="25" borderId="163" xfId="1" applyFont="1" applyFill="1" applyBorder="1" applyAlignment="1" applyProtection="1">
      <alignment horizontal="center" vertical="center"/>
    </xf>
    <xf numFmtId="0" fontId="16" fillId="26" borderId="87" xfId="1" applyFont="1" applyFill="1" applyBorder="1" applyAlignment="1" applyProtection="1">
      <alignment horizontal="center" vertical="center"/>
    </xf>
    <xf numFmtId="0" fontId="16" fillId="26" borderId="88" xfId="1" applyFont="1" applyFill="1" applyBorder="1" applyAlignment="1" applyProtection="1">
      <alignment horizontal="center" vertical="center"/>
    </xf>
    <xf numFmtId="0" fontId="16" fillId="26" borderId="118" xfId="1" applyFont="1" applyFill="1" applyBorder="1" applyAlignment="1" applyProtection="1">
      <alignment horizontal="center" vertical="center"/>
    </xf>
    <xf numFmtId="0" fontId="16" fillId="26" borderId="287" xfId="1" applyFont="1" applyFill="1" applyBorder="1" applyAlignment="1" applyProtection="1">
      <alignment horizontal="center" vertical="center"/>
    </xf>
    <xf numFmtId="0" fontId="16" fillId="26" borderId="31" xfId="1" applyFont="1" applyFill="1" applyBorder="1" applyAlignment="1" applyProtection="1">
      <alignment horizontal="center" vertical="center" wrapText="1"/>
    </xf>
    <xf numFmtId="0" fontId="16" fillId="26" borderId="32" xfId="1" applyFont="1" applyFill="1" applyBorder="1" applyAlignment="1" applyProtection="1">
      <alignment horizontal="center" vertical="center" wrapText="1"/>
    </xf>
    <xf numFmtId="0" fontId="16" fillId="26" borderId="33" xfId="1" applyFont="1" applyFill="1" applyBorder="1" applyAlignment="1" applyProtection="1">
      <alignment horizontal="center" vertical="center" wrapText="1"/>
    </xf>
    <xf numFmtId="0" fontId="16" fillId="26" borderId="36" xfId="1" applyFont="1" applyFill="1" applyBorder="1" applyAlignment="1" applyProtection="1">
      <alignment horizontal="center" vertical="center" wrapText="1"/>
    </xf>
    <xf numFmtId="0" fontId="16" fillId="26" borderId="37" xfId="1" applyFont="1" applyFill="1" applyBorder="1" applyAlignment="1" applyProtection="1">
      <alignment horizontal="center" vertical="center" wrapText="1"/>
    </xf>
    <xf numFmtId="0" fontId="16" fillId="26" borderId="38" xfId="1" applyFont="1" applyFill="1" applyBorder="1" applyAlignment="1" applyProtection="1">
      <alignment horizontal="center" vertical="center" wrapText="1"/>
    </xf>
    <xf numFmtId="0" fontId="16" fillId="26" borderId="30" xfId="1" applyFont="1" applyFill="1" applyBorder="1" applyAlignment="1" applyProtection="1">
      <alignment horizontal="center" vertical="center"/>
    </xf>
    <xf numFmtId="0" fontId="16" fillId="26" borderId="39" xfId="1" applyFont="1" applyFill="1" applyBorder="1" applyAlignment="1" applyProtection="1">
      <alignment horizontal="center" vertical="center"/>
    </xf>
    <xf numFmtId="0" fontId="16" fillId="26" borderId="125" xfId="1" applyFont="1" applyFill="1" applyBorder="1" applyAlignment="1" applyProtection="1">
      <alignment horizontal="center" vertical="center"/>
    </xf>
    <xf numFmtId="0" fontId="16" fillId="26" borderId="78" xfId="1" applyFont="1" applyFill="1" applyBorder="1" applyAlignment="1" applyProtection="1">
      <alignment horizontal="center" vertical="center"/>
    </xf>
    <xf numFmtId="0" fontId="16" fillId="26" borderId="37" xfId="1" applyFont="1" applyFill="1" applyBorder="1" applyAlignment="1" applyProtection="1">
      <alignment horizontal="center" vertical="center"/>
    </xf>
    <xf numFmtId="0" fontId="16" fillId="26" borderId="288" xfId="1" applyFont="1" applyFill="1" applyBorder="1" applyAlignment="1" applyProtection="1">
      <alignment horizontal="center" vertical="center"/>
    </xf>
    <xf numFmtId="0" fontId="16" fillId="26" borderId="289" xfId="1" applyFont="1" applyFill="1" applyBorder="1" applyAlignment="1" applyProtection="1">
      <alignment horizontal="center" vertical="center"/>
    </xf>
    <xf numFmtId="0" fontId="16" fillId="26" borderId="290" xfId="1" applyFont="1" applyFill="1" applyBorder="1" applyAlignment="1" applyProtection="1">
      <alignment horizontal="center" vertical="center"/>
    </xf>
    <xf numFmtId="0" fontId="16" fillId="26" borderId="291" xfId="1" applyFont="1" applyFill="1" applyBorder="1" applyAlignment="1" applyProtection="1">
      <alignment horizontal="center" vertical="center"/>
    </xf>
    <xf numFmtId="0" fontId="16" fillId="26" borderId="38" xfId="1" applyFont="1" applyFill="1" applyBorder="1" applyAlignment="1" applyProtection="1">
      <alignment horizontal="center" vertical="center"/>
    </xf>
    <xf numFmtId="0" fontId="42" fillId="26" borderId="88" xfId="1" applyFont="1" applyFill="1" applyBorder="1" applyAlignment="1" applyProtection="1">
      <alignment horizontal="center" vertical="center"/>
    </xf>
    <xf numFmtId="0" fontId="42" fillId="26" borderId="89" xfId="1" applyFont="1" applyFill="1" applyBorder="1" applyAlignment="1" applyProtection="1">
      <alignment horizontal="center" vertical="center"/>
    </xf>
    <xf numFmtId="167" fontId="92" fillId="26" borderId="15" xfId="1" applyNumberFormat="1" applyFont="1" applyFill="1" applyBorder="1" applyAlignment="1" applyProtection="1">
      <alignment horizontal="center" vertical="center" wrapText="1"/>
    </xf>
    <xf numFmtId="167" fontId="92" fillId="26" borderId="160" xfId="1" applyNumberFormat="1" applyFont="1" applyFill="1" applyBorder="1" applyAlignment="1" applyProtection="1">
      <alignment horizontal="center" vertical="center" wrapText="1"/>
    </xf>
    <xf numFmtId="167" fontId="92" fillId="26" borderId="63" xfId="1" applyNumberFormat="1" applyFont="1" applyFill="1" applyBorder="1" applyAlignment="1" applyProtection="1">
      <alignment horizontal="center" vertical="center" wrapText="1"/>
    </xf>
    <xf numFmtId="172" fontId="92" fillId="26" borderId="169" xfId="1" applyNumberFormat="1" applyFont="1" applyFill="1" applyBorder="1" applyAlignment="1" applyProtection="1">
      <alignment horizontal="center" vertical="center" wrapText="1"/>
    </xf>
    <xf numFmtId="172" fontId="92" fillId="26" borderId="109" xfId="1" applyNumberFormat="1" applyFont="1" applyFill="1" applyBorder="1" applyAlignment="1" applyProtection="1">
      <alignment horizontal="center" vertical="center" wrapText="1"/>
    </xf>
    <xf numFmtId="12" fontId="92" fillId="26" borderId="160" xfId="1" applyNumberFormat="1" applyFont="1" applyFill="1" applyBorder="1" applyAlignment="1" applyProtection="1">
      <alignment horizontal="center" vertical="center" wrapText="1"/>
    </xf>
    <xf numFmtId="12" fontId="92" fillId="26" borderId="63" xfId="1" applyNumberFormat="1" applyFont="1" applyFill="1" applyBorder="1" applyAlignment="1" applyProtection="1">
      <alignment horizontal="center" vertical="center" wrapText="1"/>
    </xf>
    <xf numFmtId="0" fontId="2" fillId="26" borderId="169" xfId="1" applyFont="1" applyFill="1" applyBorder="1" applyAlignment="1" applyProtection="1">
      <alignment horizontal="center" vertical="center"/>
      <protection locked="0"/>
    </xf>
    <xf numFmtId="0" fontId="2" fillId="26" borderId="160" xfId="1" applyFont="1" applyFill="1" applyBorder="1" applyAlignment="1" applyProtection="1">
      <alignment horizontal="center" vertical="center"/>
      <protection locked="0"/>
    </xf>
    <xf numFmtId="0" fontId="2" fillId="26" borderId="63" xfId="1" applyFont="1" applyFill="1" applyBorder="1" applyAlignment="1" applyProtection="1">
      <alignment horizontal="center" vertical="center"/>
      <protection locked="0"/>
    </xf>
    <xf numFmtId="0" fontId="2" fillId="26" borderId="300" xfId="1" applyFont="1" applyFill="1" applyBorder="1" applyAlignment="1" applyProtection="1">
      <alignment horizontal="center" vertical="center"/>
      <protection locked="0"/>
    </xf>
    <xf numFmtId="0" fontId="2" fillId="26" borderId="301" xfId="1" applyFont="1" applyFill="1" applyBorder="1" applyAlignment="1" applyProtection="1">
      <alignment horizontal="center" vertical="center"/>
      <protection locked="0"/>
    </xf>
    <xf numFmtId="1" fontId="2" fillId="26" borderId="301" xfId="1" applyNumberFormat="1" applyFont="1" applyFill="1" applyBorder="1" applyAlignment="1" applyProtection="1">
      <alignment horizontal="center" vertical="center"/>
    </xf>
    <xf numFmtId="1" fontId="2" fillId="26" borderId="302" xfId="1" applyNumberFormat="1" applyFont="1" applyFill="1" applyBorder="1" applyAlignment="1" applyProtection="1">
      <alignment horizontal="center" vertical="center"/>
    </xf>
    <xf numFmtId="167" fontId="92" fillId="26" borderId="87" xfId="1" applyNumberFormat="1" applyFont="1" applyFill="1" applyBorder="1" applyAlignment="1" applyProtection="1">
      <alignment horizontal="center" vertical="center" wrapText="1"/>
    </xf>
    <xf numFmtId="167" fontId="92" fillId="26" borderId="119" xfId="1" applyNumberFormat="1" applyFont="1" applyFill="1" applyBorder="1" applyAlignment="1" applyProtection="1">
      <alignment horizontal="center" vertical="center" wrapText="1"/>
    </xf>
    <xf numFmtId="167" fontId="92" fillId="26" borderId="88" xfId="1" applyNumberFormat="1" applyFont="1" applyFill="1" applyBorder="1" applyAlignment="1" applyProtection="1">
      <alignment horizontal="center" vertical="center" wrapText="1"/>
    </xf>
    <xf numFmtId="167" fontId="92" fillId="26" borderId="118" xfId="1" applyNumberFormat="1" applyFont="1" applyFill="1" applyBorder="1" applyAlignment="1" applyProtection="1">
      <alignment horizontal="center" vertical="center" wrapText="1"/>
    </xf>
    <xf numFmtId="172" fontId="92" fillId="26" borderId="287" xfId="1" applyNumberFormat="1" applyFont="1" applyFill="1" applyBorder="1" applyAlignment="1" applyProtection="1">
      <alignment horizontal="center" vertical="center" wrapText="1"/>
    </xf>
    <xf numFmtId="172" fontId="92" fillId="26" borderId="119" xfId="1" applyNumberFormat="1" applyFont="1" applyFill="1" applyBorder="1" applyAlignment="1" applyProtection="1">
      <alignment horizontal="center" vertical="center" wrapText="1"/>
    </xf>
    <xf numFmtId="172" fontId="92" fillId="26" borderId="88" xfId="1" applyNumberFormat="1" applyFont="1" applyFill="1" applyBorder="1" applyAlignment="1" applyProtection="1">
      <alignment horizontal="center" vertical="center" wrapText="1"/>
    </xf>
    <xf numFmtId="172" fontId="92" fillId="26" borderId="118" xfId="1" applyNumberFormat="1" applyFont="1" applyFill="1" applyBorder="1" applyAlignment="1" applyProtection="1">
      <alignment horizontal="center" vertical="center" wrapText="1"/>
    </xf>
    <xf numFmtId="0" fontId="2" fillId="26" borderId="287" xfId="1" applyFont="1" applyFill="1" applyBorder="1" applyAlignment="1" applyProtection="1">
      <alignment horizontal="center" vertical="center"/>
      <protection locked="0"/>
    </xf>
    <xf numFmtId="0" fontId="2" fillId="26" borderId="88" xfId="1" applyFont="1" applyFill="1" applyBorder="1" applyAlignment="1" applyProtection="1">
      <alignment horizontal="center" vertical="center"/>
      <protection locked="0"/>
    </xf>
    <xf numFmtId="0" fontId="2" fillId="26" borderId="118" xfId="1" applyFont="1" applyFill="1" applyBorder="1" applyAlignment="1" applyProtection="1">
      <alignment horizontal="center" vertical="center"/>
      <protection locked="0"/>
    </xf>
    <xf numFmtId="0" fontId="2" fillId="26" borderId="292" xfId="1" applyFont="1" applyFill="1" applyBorder="1" applyAlignment="1" applyProtection="1">
      <alignment horizontal="center" vertical="center"/>
      <protection locked="0"/>
    </xf>
    <xf numFmtId="0" fontId="2" fillId="26" borderId="293" xfId="1" applyFont="1" applyFill="1" applyBorder="1" applyAlignment="1" applyProtection="1">
      <alignment horizontal="center" vertical="center"/>
      <protection locked="0"/>
    </xf>
    <xf numFmtId="0" fontId="42" fillId="26" borderId="293" xfId="1" applyFont="1" applyFill="1" applyBorder="1" applyAlignment="1" applyProtection="1">
      <alignment horizontal="center" vertical="center"/>
    </xf>
    <xf numFmtId="0" fontId="42" fillId="26" borderId="294" xfId="1" applyFont="1" applyFill="1" applyBorder="1" applyAlignment="1" applyProtection="1">
      <alignment horizontal="center" vertical="center"/>
    </xf>
    <xf numFmtId="0" fontId="42" fillId="26" borderId="287" xfId="1" applyFont="1" applyFill="1" applyBorder="1" applyAlignment="1" applyProtection="1">
      <alignment horizontal="center" vertical="center"/>
      <protection locked="0"/>
    </xf>
    <xf numFmtId="0" fontId="42" fillId="26" borderId="295" xfId="1" applyFont="1" applyFill="1" applyBorder="1" applyAlignment="1" applyProtection="1">
      <alignment horizontal="center" vertical="center"/>
      <protection locked="0"/>
    </xf>
    <xf numFmtId="0" fontId="16" fillId="26" borderId="296" xfId="1" applyFont="1" applyFill="1" applyBorder="1" applyAlignment="1" applyProtection="1">
      <alignment horizontal="center" vertical="center"/>
      <protection locked="0"/>
    </xf>
    <xf numFmtId="0" fontId="16" fillId="26" borderId="297" xfId="1" applyFont="1" applyFill="1" applyBorder="1" applyAlignment="1" applyProtection="1">
      <alignment horizontal="center" vertical="center"/>
      <protection locked="0"/>
    </xf>
    <xf numFmtId="0" fontId="16" fillId="26" borderId="30" xfId="1" applyFont="1" applyFill="1" applyBorder="1" applyAlignment="1" applyProtection="1">
      <alignment horizontal="center" vertical="center" wrapText="1"/>
    </xf>
    <xf numFmtId="0" fontId="16" fillId="26" borderId="39" xfId="1" applyFont="1" applyFill="1" applyBorder="1" applyAlignment="1" applyProtection="1">
      <alignment horizontal="center" vertical="center" wrapText="1"/>
    </xf>
    <xf numFmtId="0" fontId="16" fillId="26" borderId="40" xfId="1" applyFont="1" applyFill="1" applyBorder="1" applyAlignment="1" applyProtection="1">
      <alignment horizontal="center" vertical="center"/>
    </xf>
    <xf numFmtId="0" fontId="175" fillId="26" borderId="30" xfId="1" applyFont="1" applyFill="1" applyBorder="1" applyAlignment="1" applyProtection="1">
      <alignment horizontal="center" vertical="center" wrapText="1"/>
    </xf>
    <xf numFmtId="0" fontId="175" fillId="26" borderId="39" xfId="1" applyFont="1" applyFill="1" applyBorder="1" applyAlignment="1" applyProtection="1">
      <alignment horizontal="center" vertical="center" wrapText="1"/>
    </xf>
    <xf numFmtId="0" fontId="1" fillId="0" borderId="49" xfId="1" applyFill="1" applyBorder="1" applyAlignment="1" applyProtection="1">
      <alignment horizontal="center" vertical="center"/>
      <protection locked="0"/>
    </xf>
    <xf numFmtId="0" fontId="46" fillId="0" borderId="0" xfId="69" applyFont="1" applyBorder="1" applyAlignment="1" applyProtection="1">
      <alignment horizontal="center" wrapText="1"/>
      <protection locked="0"/>
    </xf>
    <xf numFmtId="0" fontId="46" fillId="0" borderId="0" xfId="70" applyFont="1" applyFill="1" applyBorder="1" applyAlignment="1" applyProtection="1">
      <alignment horizontal="center" vertical="center" wrapText="1"/>
      <protection locked="0"/>
    </xf>
    <xf numFmtId="167" fontId="1" fillId="26" borderId="0" xfId="1" applyNumberFormat="1" applyFont="1" applyFill="1" applyBorder="1" applyAlignment="1" applyProtection="1">
      <alignment horizontal="left" vertical="center" wrapText="1"/>
    </xf>
    <xf numFmtId="0" fontId="2" fillId="26" borderId="162" xfId="71" applyFont="1" applyFill="1" applyBorder="1" applyAlignment="1" applyProtection="1">
      <alignment horizontal="center" vertical="top" wrapText="1"/>
      <protection locked="0"/>
    </xf>
    <xf numFmtId="0" fontId="94" fillId="0" borderId="19" xfId="73" applyFont="1" applyBorder="1" applyAlignment="1" applyProtection="1">
      <alignment horizontal="left"/>
      <protection locked="0"/>
    </xf>
    <xf numFmtId="0" fontId="94" fillId="0" borderId="0" xfId="73" applyFont="1" applyBorder="1" applyAlignment="1" applyProtection="1">
      <alignment horizontal="left"/>
      <protection locked="0"/>
    </xf>
    <xf numFmtId="0" fontId="94" fillId="0" borderId="18" xfId="73" applyFont="1" applyBorder="1" applyAlignment="1" applyProtection="1">
      <alignment horizontal="left"/>
      <protection locked="0"/>
    </xf>
    <xf numFmtId="0" fontId="134" fillId="25" borderId="124" xfId="68" applyFont="1" applyFill="1" applyBorder="1" applyAlignment="1" applyProtection="1">
      <alignment horizontal="center" vertical="center"/>
      <protection locked="0"/>
    </xf>
    <xf numFmtId="0" fontId="2" fillId="26" borderId="303" xfId="1" applyFont="1" applyFill="1" applyBorder="1" applyAlignment="1" applyProtection="1">
      <alignment horizontal="center" vertical="center"/>
      <protection locked="0"/>
    </xf>
    <xf numFmtId="0" fontId="16" fillId="26" borderId="304" xfId="1" applyFont="1" applyFill="1" applyBorder="1" applyAlignment="1" applyProtection="1">
      <alignment horizontal="center" vertical="center"/>
      <protection locked="0"/>
    </xf>
    <xf numFmtId="0" fontId="16" fillId="26" borderId="83" xfId="1" applyFont="1" applyFill="1" applyBorder="1" applyAlignment="1" applyProtection="1">
      <alignment horizontal="center" vertical="center"/>
      <protection locked="0"/>
    </xf>
    <xf numFmtId="0" fontId="16" fillId="26" borderId="305" xfId="1" applyFont="1" applyFill="1" applyBorder="1" applyAlignment="1" applyProtection="1">
      <alignment horizontal="center" vertical="center"/>
      <protection locked="0"/>
    </xf>
    <xf numFmtId="1" fontId="16" fillId="26" borderId="306" xfId="1" applyNumberFormat="1" applyFont="1" applyFill="1" applyBorder="1" applyAlignment="1" applyProtection="1">
      <alignment horizontal="center" vertical="center"/>
    </xf>
    <xf numFmtId="1" fontId="16" fillId="26" borderId="307" xfId="1" applyNumberFormat="1" applyFont="1" applyFill="1" applyBorder="1" applyAlignment="1" applyProtection="1">
      <alignment horizontal="center" vertical="center"/>
    </xf>
    <xf numFmtId="0" fontId="2" fillId="26" borderId="308" xfId="1" applyFont="1" applyFill="1" applyBorder="1" applyAlignment="1" applyProtection="1">
      <alignment horizontal="center" vertical="center"/>
      <protection locked="0"/>
    </xf>
    <xf numFmtId="1" fontId="2" fillId="26" borderId="160" xfId="1" applyNumberFormat="1" applyFont="1" applyFill="1" applyBorder="1" applyAlignment="1" applyProtection="1">
      <alignment horizontal="center" vertical="center"/>
    </xf>
    <xf numFmtId="1" fontId="2" fillId="26" borderId="14" xfId="1" applyNumberFormat="1" applyFont="1" applyFill="1" applyBorder="1" applyAlignment="1" applyProtection="1">
      <alignment horizontal="center" vertical="center"/>
    </xf>
    <xf numFmtId="0" fontId="16" fillId="26" borderId="297" xfId="1" applyFont="1" applyFill="1" applyBorder="1" applyAlignment="1" applyProtection="1">
      <alignment horizontal="center" vertical="center"/>
    </xf>
    <xf numFmtId="0" fontId="16" fillId="26" borderId="298" xfId="1" applyFont="1" applyFill="1" applyBorder="1" applyAlignment="1" applyProtection="1">
      <alignment horizontal="center" vertical="center"/>
    </xf>
    <xf numFmtId="0" fontId="42" fillId="26" borderId="88" xfId="1" applyFont="1" applyFill="1" applyBorder="1" applyAlignment="1" applyProtection="1">
      <alignment horizontal="center" vertical="center"/>
      <protection locked="0"/>
    </xf>
    <xf numFmtId="0" fontId="42" fillId="26" borderId="299" xfId="1" applyFont="1" applyFill="1" applyBorder="1" applyAlignment="1" applyProtection="1">
      <alignment horizontal="center" vertical="center"/>
      <protection locked="0"/>
    </xf>
    <xf numFmtId="0" fontId="1" fillId="26" borderId="162" xfId="71" applyFont="1" applyFill="1" applyBorder="1" applyAlignment="1" applyProtection="1">
      <alignment horizontal="center" vertical="top" wrapText="1"/>
      <protection locked="0"/>
    </xf>
    <xf numFmtId="0" fontId="1" fillId="26" borderId="163" xfId="71" applyFont="1" applyFill="1" applyBorder="1" applyAlignment="1" applyProtection="1">
      <alignment horizontal="center" vertical="top" wrapText="1"/>
      <protection locked="0"/>
    </xf>
    <xf numFmtId="0" fontId="48" fillId="0" borderId="19" xfId="211" applyFont="1" applyBorder="1" applyAlignment="1" applyProtection="1">
      <alignment horizontal="center"/>
      <protection locked="0"/>
    </xf>
    <xf numFmtId="0" fontId="48" fillId="0" borderId="0" xfId="211" applyFont="1" applyBorder="1" applyAlignment="1" applyProtection="1">
      <alignment horizontal="center"/>
      <protection locked="0"/>
    </xf>
    <xf numFmtId="0" fontId="48" fillId="0" borderId="18" xfId="211" applyFont="1" applyBorder="1" applyAlignment="1" applyProtection="1">
      <alignment horizontal="center"/>
      <protection locked="0"/>
    </xf>
    <xf numFmtId="0" fontId="1" fillId="0" borderId="0" xfId="545" applyFont="1" applyBorder="1" applyAlignment="1" applyProtection="1">
      <alignment horizontal="center"/>
    </xf>
    <xf numFmtId="168" fontId="1" fillId="0" borderId="0" xfId="545" applyNumberFormat="1" applyFont="1" applyBorder="1" applyAlignment="1" applyProtection="1">
      <alignment horizontal="center" vertical="center" wrapText="1"/>
      <protection locked="0"/>
    </xf>
    <xf numFmtId="0" fontId="3" fillId="25" borderId="11" xfId="545" applyFont="1" applyFill="1" applyBorder="1" applyAlignment="1" applyProtection="1">
      <alignment horizontal="center" vertical="center"/>
    </xf>
    <xf numFmtId="0" fontId="3" fillId="25" borderId="10" xfId="545" applyFont="1" applyFill="1" applyBorder="1" applyAlignment="1" applyProtection="1">
      <alignment horizontal="center" vertical="center"/>
    </xf>
    <xf numFmtId="0" fontId="3" fillId="25" borderId="9" xfId="545" applyFont="1" applyFill="1" applyBorder="1" applyAlignment="1" applyProtection="1">
      <alignment horizontal="center" vertical="center"/>
    </xf>
    <xf numFmtId="0" fontId="4" fillId="0" borderId="0" xfId="545" applyFont="1" applyBorder="1" applyAlignment="1" applyProtection="1">
      <alignment horizontal="right" vertical="center" wrapText="1"/>
    </xf>
    <xf numFmtId="1" fontId="3" fillId="0" borderId="58" xfId="545" applyNumberFormat="1" applyFont="1" applyBorder="1" applyAlignment="1" applyProtection="1">
      <alignment horizontal="center" vertical="center"/>
      <protection locked="0"/>
    </xf>
    <xf numFmtId="1" fontId="3" fillId="0" borderId="55" xfId="545" applyNumberFormat="1" applyFont="1" applyBorder="1" applyAlignment="1" applyProtection="1">
      <alignment horizontal="center" vertical="center"/>
      <protection locked="0"/>
    </xf>
    <xf numFmtId="1" fontId="3" fillId="0" borderId="59" xfId="545" applyNumberFormat="1" applyFont="1" applyBorder="1" applyAlignment="1" applyProtection="1">
      <alignment horizontal="center" vertical="center"/>
      <protection locked="0"/>
    </xf>
    <xf numFmtId="1" fontId="3" fillId="0" borderId="60" xfId="545" applyNumberFormat="1" applyFont="1" applyBorder="1" applyAlignment="1" applyProtection="1">
      <alignment horizontal="center" vertical="center"/>
      <protection locked="0"/>
    </xf>
    <xf numFmtId="1" fontId="3" fillId="0" borderId="46" xfId="545" applyNumberFormat="1" applyFont="1" applyBorder="1" applyAlignment="1" applyProtection="1">
      <alignment horizontal="center" vertical="center"/>
      <protection locked="0"/>
    </xf>
    <xf numFmtId="1" fontId="3" fillId="0" borderId="61" xfId="545" applyNumberFormat="1" applyFont="1" applyBorder="1" applyAlignment="1" applyProtection="1">
      <alignment horizontal="center" vertical="center"/>
      <protection locked="0"/>
    </xf>
    <xf numFmtId="2" fontId="3" fillId="0" borderId="0" xfId="545" applyNumberFormat="1" applyFont="1" applyFill="1" applyBorder="1" applyAlignment="1" applyProtection="1">
      <alignment horizontal="center" vertical="center"/>
    </xf>
    <xf numFmtId="0" fontId="4" fillId="0" borderId="0" xfId="545" applyFont="1" applyBorder="1" applyAlignment="1" applyProtection="1">
      <alignment horizontal="right" vertical="center" wrapText="1" shrinkToFit="1"/>
    </xf>
    <xf numFmtId="167" fontId="3" fillId="0" borderId="58" xfId="545" applyNumberFormat="1" applyFont="1" applyBorder="1" applyAlignment="1" applyProtection="1">
      <alignment horizontal="center" vertical="center"/>
      <protection locked="0"/>
    </xf>
    <xf numFmtId="167" fontId="3" fillId="0" borderId="55" xfId="545" applyNumberFormat="1" applyFont="1" applyBorder="1" applyAlignment="1" applyProtection="1">
      <alignment horizontal="center" vertical="center"/>
      <protection locked="0"/>
    </xf>
    <xf numFmtId="167" fontId="3" fillId="0" borderId="59" xfId="545" applyNumberFormat="1" applyFont="1" applyBorder="1" applyAlignment="1" applyProtection="1">
      <alignment horizontal="center" vertical="center"/>
      <protection locked="0"/>
    </xf>
    <xf numFmtId="167" fontId="3" fillId="0" borderId="60" xfId="545" applyNumberFormat="1" applyFont="1" applyBorder="1" applyAlignment="1" applyProtection="1">
      <alignment horizontal="center" vertical="center"/>
      <protection locked="0"/>
    </xf>
    <xf numFmtId="167" fontId="3" fillId="0" borderId="46" xfId="545" applyNumberFormat="1" applyFont="1" applyBorder="1" applyAlignment="1" applyProtection="1">
      <alignment horizontal="center" vertical="center"/>
      <protection locked="0"/>
    </xf>
    <xf numFmtId="167" fontId="3" fillId="0" borderId="61" xfId="545" applyNumberFormat="1" applyFont="1" applyBorder="1" applyAlignment="1" applyProtection="1">
      <alignment horizontal="center" vertical="center"/>
      <protection locked="0"/>
    </xf>
    <xf numFmtId="0" fontId="4" fillId="0" borderId="0" xfId="545" applyFont="1" applyBorder="1" applyAlignment="1" applyProtection="1">
      <alignment vertical="center"/>
    </xf>
    <xf numFmtId="2" fontId="3" fillId="0" borderId="58" xfId="545" applyNumberFormat="1" applyFont="1" applyBorder="1" applyAlignment="1" applyProtection="1">
      <alignment horizontal="center" vertical="center"/>
    </xf>
    <xf numFmtId="2" fontId="3" fillId="0" borderId="55" xfId="545" applyNumberFormat="1" applyFont="1" applyBorder="1" applyAlignment="1" applyProtection="1">
      <alignment horizontal="center" vertical="center"/>
    </xf>
    <xf numFmtId="2" fontId="3" fillId="0" borderId="59" xfId="545" applyNumberFormat="1" applyFont="1" applyBorder="1" applyAlignment="1" applyProtection="1">
      <alignment horizontal="center" vertical="center"/>
    </xf>
    <xf numFmtId="2" fontId="3" fillId="0" borderId="60" xfId="545" applyNumberFormat="1" applyFont="1" applyBorder="1" applyAlignment="1" applyProtection="1">
      <alignment horizontal="center" vertical="center"/>
    </xf>
    <xf numFmtId="2" fontId="3" fillId="0" borderId="46" xfId="545" applyNumberFormat="1" applyFont="1" applyBorder="1" applyAlignment="1" applyProtection="1">
      <alignment horizontal="center" vertical="center"/>
    </xf>
    <xf numFmtId="2" fontId="3" fillId="0" borderId="61" xfId="545" applyNumberFormat="1" applyFont="1" applyBorder="1" applyAlignment="1" applyProtection="1">
      <alignment horizontal="center" vertical="center"/>
    </xf>
    <xf numFmtId="0" fontId="4" fillId="0" borderId="19" xfId="545" applyFont="1" applyBorder="1" applyAlignment="1" applyProtection="1">
      <alignment horizontal="left"/>
    </xf>
    <xf numFmtId="0" fontId="4" fillId="0" borderId="0" xfId="545" applyFont="1" applyBorder="1" applyAlignment="1" applyProtection="1">
      <alignment horizontal="left"/>
    </xf>
    <xf numFmtId="167" fontId="4" fillId="0" borderId="46" xfId="545" applyNumberFormat="1" applyFont="1" applyBorder="1" applyAlignment="1" applyProtection="1">
      <alignment horizontal="center"/>
      <protection locked="0"/>
    </xf>
    <xf numFmtId="2" fontId="1" fillId="0" borderId="59" xfId="545" applyNumberFormat="1" applyBorder="1" applyProtection="1"/>
    <xf numFmtId="2" fontId="1" fillId="0" borderId="60" xfId="545" applyNumberFormat="1" applyBorder="1" applyProtection="1"/>
    <xf numFmtId="2" fontId="1" fillId="0" borderId="61" xfId="545" applyNumberFormat="1" applyBorder="1" applyProtection="1"/>
    <xf numFmtId="0" fontId="1" fillId="2" borderId="164" xfId="545" applyFill="1" applyBorder="1" applyAlignment="1" applyProtection="1">
      <alignment horizontal="center"/>
    </xf>
    <xf numFmtId="0" fontId="1" fillId="2" borderId="162" xfId="545" applyFill="1" applyBorder="1" applyAlignment="1" applyProtection="1">
      <alignment horizontal="center"/>
    </xf>
    <xf numFmtId="0" fontId="1" fillId="2" borderId="163" xfId="545" applyFill="1" applyBorder="1" applyAlignment="1" applyProtection="1">
      <alignment horizontal="center"/>
    </xf>
    <xf numFmtId="0" fontId="1" fillId="2" borderId="19" xfId="545" applyFill="1" applyBorder="1" applyAlignment="1" applyProtection="1">
      <alignment horizontal="center"/>
    </xf>
    <xf numFmtId="0" fontId="1" fillId="2" borderId="0" xfId="545" applyFill="1" applyBorder="1" applyAlignment="1" applyProtection="1">
      <alignment horizontal="center"/>
    </xf>
    <xf numFmtId="0" fontId="1" fillId="2" borderId="18" xfId="545" applyFill="1" applyBorder="1" applyAlignment="1" applyProtection="1">
      <alignment horizontal="center"/>
    </xf>
    <xf numFmtId="0" fontId="1" fillId="2" borderId="15" xfId="545" applyFill="1" applyBorder="1" applyAlignment="1" applyProtection="1">
      <alignment horizontal="center"/>
    </xf>
    <xf numFmtId="0" fontId="1" fillId="2" borderId="160" xfId="545" applyFill="1" applyBorder="1" applyAlignment="1" applyProtection="1">
      <alignment horizontal="center"/>
    </xf>
    <xf numFmtId="0" fontId="1" fillId="2" borderId="14" xfId="545" applyFill="1" applyBorder="1" applyAlignment="1" applyProtection="1">
      <alignment horizontal="center"/>
    </xf>
    <xf numFmtId="0" fontId="3" fillId="2" borderId="49" xfId="545" applyFont="1" applyFill="1" applyBorder="1" applyAlignment="1" applyProtection="1">
      <alignment horizontal="center" vertical="center" wrapText="1"/>
    </xf>
    <xf numFmtId="0" fontId="1" fillId="0" borderId="0" xfId="208" applyFont="1" applyBorder="1" applyAlignment="1" applyProtection="1">
      <alignment horizontal="left" vertical="center"/>
    </xf>
    <xf numFmtId="168" fontId="1" fillId="0" borderId="0" xfId="208" applyNumberFormat="1" applyFont="1" applyBorder="1" applyAlignment="1" applyProtection="1">
      <alignment horizontal="center" vertical="center" wrapText="1"/>
      <protection locked="0"/>
    </xf>
    <xf numFmtId="0" fontId="3" fillId="0" borderId="162" xfId="208" applyFont="1" applyBorder="1" applyAlignment="1" applyProtection="1">
      <alignment horizontal="left"/>
    </xf>
    <xf numFmtId="0" fontId="1" fillId="0" borderId="162" xfId="208" applyFont="1" applyBorder="1" applyAlignment="1" applyProtection="1">
      <alignment horizontal="center"/>
      <protection locked="0"/>
    </xf>
    <xf numFmtId="0" fontId="1" fillId="0" borderId="163" xfId="208" applyFont="1" applyBorder="1" applyAlignment="1" applyProtection="1">
      <alignment horizontal="center"/>
      <protection locked="0"/>
    </xf>
    <xf numFmtId="0" fontId="1" fillId="0" borderId="19" xfId="208" applyFont="1" applyBorder="1" applyAlignment="1" applyProtection="1">
      <alignment horizontal="left"/>
      <protection locked="0"/>
    </xf>
    <xf numFmtId="0" fontId="1" fillId="0" borderId="0" xfId="208" applyFont="1" applyBorder="1" applyAlignment="1" applyProtection="1">
      <alignment horizontal="left"/>
      <protection locked="0"/>
    </xf>
    <xf numFmtId="0" fontId="1" fillId="0" borderId="18" xfId="208" applyFont="1" applyBorder="1" applyAlignment="1" applyProtection="1">
      <alignment horizontal="left"/>
      <protection locked="0"/>
    </xf>
    <xf numFmtId="0" fontId="1" fillId="0" borderId="19" xfId="208" applyFont="1" applyBorder="1" applyProtection="1">
      <protection locked="0"/>
    </xf>
    <xf numFmtId="0" fontId="1" fillId="0" borderId="0" xfId="208" applyFont="1" applyBorder="1" applyProtection="1">
      <protection locked="0"/>
    </xf>
    <xf numFmtId="0" fontId="1" fillId="0" borderId="18" xfId="208" applyFont="1" applyBorder="1" applyProtection="1">
      <protection locked="0"/>
    </xf>
    <xf numFmtId="0" fontId="1" fillId="0" borderId="324" xfId="208" applyFont="1" applyBorder="1" applyProtection="1">
      <protection locked="0"/>
    </xf>
    <xf numFmtId="0" fontId="1" fillId="0" borderId="41" xfId="208" applyFont="1" applyBorder="1" applyProtection="1">
      <protection locked="0"/>
    </xf>
    <xf numFmtId="0" fontId="1" fillId="0" borderId="325" xfId="208" applyFont="1" applyBorder="1" applyProtection="1">
      <protection locked="0"/>
    </xf>
    <xf numFmtId="0" fontId="134" fillId="25" borderId="144" xfId="68" applyFont="1" applyFill="1" applyBorder="1" applyAlignment="1" applyProtection="1">
      <alignment horizontal="center" vertical="center"/>
    </xf>
    <xf numFmtId="167" fontId="5" fillId="0" borderId="58" xfId="208" applyNumberFormat="1" applyFont="1" applyBorder="1" applyAlignment="1" applyProtection="1">
      <alignment horizontal="center" vertical="center"/>
    </xf>
    <xf numFmtId="167" fontId="5" fillId="0" borderId="55" xfId="208" applyNumberFormat="1" applyFont="1" applyBorder="1" applyAlignment="1" applyProtection="1">
      <alignment horizontal="center" vertical="center"/>
    </xf>
    <xf numFmtId="167" fontId="5" fillId="0" borderId="59" xfId="208" applyNumberFormat="1" applyFont="1" applyBorder="1" applyAlignment="1" applyProtection="1">
      <alignment horizontal="center" vertical="center"/>
    </xf>
    <xf numFmtId="167" fontId="5" fillId="0" borderId="60" xfId="208" applyNumberFormat="1" applyFont="1" applyBorder="1" applyAlignment="1" applyProtection="1">
      <alignment horizontal="center" vertical="center"/>
    </xf>
    <xf numFmtId="167" fontId="5" fillId="0" borderId="46" xfId="208" applyNumberFormat="1" applyFont="1" applyBorder="1" applyAlignment="1" applyProtection="1">
      <alignment horizontal="center" vertical="center"/>
    </xf>
    <xf numFmtId="167" fontId="5" fillId="0" borderId="61" xfId="208" applyNumberFormat="1" applyFont="1" applyBorder="1" applyAlignment="1" applyProtection="1">
      <alignment horizontal="center" vertical="center"/>
    </xf>
    <xf numFmtId="0" fontId="4" fillId="0" borderId="0" xfId="208" applyFont="1" applyBorder="1" applyAlignment="1" applyProtection="1">
      <alignment horizontal="center" vertical="center" wrapText="1" shrinkToFit="1"/>
    </xf>
    <xf numFmtId="1" fontId="4" fillId="0" borderId="58" xfId="208" applyNumberFormat="1" applyFont="1" applyBorder="1" applyAlignment="1" applyProtection="1">
      <alignment horizontal="center" vertical="center"/>
    </xf>
    <xf numFmtId="1" fontId="4" fillId="0" borderId="55" xfId="208" applyNumberFormat="1" applyFont="1" applyBorder="1" applyAlignment="1" applyProtection="1">
      <alignment horizontal="center" vertical="center"/>
    </xf>
    <xf numFmtId="1" fontId="4" fillId="0" borderId="59" xfId="208" applyNumberFormat="1" applyFont="1" applyBorder="1" applyAlignment="1" applyProtection="1">
      <alignment horizontal="center" vertical="center"/>
    </xf>
    <xf numFmtId="1" fontId="4" fillId="0" borderId="60" xfId="208" applyNumberFormat="1" applyFont="1" applyBorder="1" applyAlignment="1" applyProtection="1">
      <alignment horizontal="center" vertical="center"/>
    </xf>
    <xf numFmtId="1" fontId="4" fillId="0" borderId="46" xfId="208" applyNumberFormat="1" applyFont="1" applyBorder="1" applyAlignment="1" applyProtection="1">
      <alignment horizontal="center" vertical="center"/>
    </xf>
    <xf numFmtId="1" fontId="4" fillId="0" borderId="61" xfId="208" applyNumberFormat="1" applyFont="1" applyBorder="1" applyAlignment="1" applyProtection="1">
      <alignment horizontal="center" vertical="center"/>
    </xf>
    <xf numFmtId="0" fontId="3" fillId="25" borderId="11" xfId="208" applyFont="1" applyFill="1" applyBorder="1" applyAlignment="1" applyProtection="1">
      <alignment horizontal="center" vertical="center"/>
    </xf>
    <xf numFmtId="0" fontId="3" fillId="25" borderId="10" xfId="208" applyFont="1" applyFill="1" applyBorder="1" applyAlignment="1" applyProtection="1">
      <alignment horizontal="center" vertical="center"/>
    </xf>
    <xf numFmtId="0" fontId="3" fillId="25" borderId="9" xfId="208" applyFont="1" applyFill="1" applyBorder="1" applyAlignment="1" applyProtection="1">
      <alignment horizontal="center" vertical="center"/>
    </xf>
    <xf numFmtId="0" fontId="4" fillId="0" borderId="0" xfId="208" applyFont="1" applyBorder="1" applyAlignment="1" applyProtection="1">
      <alignment horizontal="right" vertical="center"/>
    </xf>
    <xf numFmtId="0" fontId="4" fillId="0" borderId="0" xfId="208" applyFont="1" applyBorder="1" applyAlignment="1" applyProtection="1">
      <alignment horizontal="center" vertical="center" wrapText="1"/>
    </xf>
    <xf numFmtId="2" fontId="4" fillId="0" borderId="18" xfId="208" applyNumberFormat="1" applyFont="1" applyFill="1" applyBorder="1" applyAlignment="1" applyProtection="1">
      <alignment horizontal="center" vertical="center"/>
    </xf>
    <xf numFmtId="0" fontId="4" fillId="0" borderId="0" xfId="208" applyFont="1" applyBorder="1" applyAlignment="1" applyProtection="1">
      <alignment horizontal="right" vertical="center" wrapText="1"/>
    </xf>
    <xf numFmtId="0" fontId="4" fillId="0" borderId="19" xfId="208" applyFont="1" applyBorder="1" applyAlignment="1" applyProtection="1">
      <alignment horizontal="left"/>
    </xf>
    <xf numFmtId="0" fontId="4" fillId="0" borderId="0" xfId="208" applyFont="1" applyBorder="1" applyAlignment="1" applyProtection="1">
      <alignment horizontal="left"/>
    </xf>
    <xf numFmtId="167" fontId="4" fillId="0" borderId="46" xfId="208" applyNumberFormat="1" applyFont="1" applyBorder="1" applyAlignment="1" applyProtection="1">
      <alignment horizontal="center"/>
      <protection locked="0"/>
    </xf>
    <xf numFmtId="0" fontId="4" fillId="0" borderId="55" xfId="208" applyFont="1" applyBorder="1" applyProtection="1"/>
    <xf numFmtId="0" fontId="4" fillId="0" borderId="59" xfId="208" applyFont="1" applyBorder="1" applyProtection="1"/>
    <xf numFmtId="0" fontId="4" fillId="0" borderId="60" xfId="208" applyFont="1" applyBorder="1" applyProtection="1"/>
    <xf numFmtId="0" fontId="4" fillId="0" borderId="46" xfId="208" applyFont="1" applyBorder="1" applyProtection="1"/>
    <xf numFmtId="0" fontId="4" fillId="0" borderId="61" xfId="208" applyFont="1" applyBorder="1" applyProtection="1"/>
    <xf numFmtId="2" fontId="5" fillId="0" borderId="18" xfId="208" applyNumberFormat="1" applyFont="1" applyFill="1" applyBorder="1" applyAlignment="1" applyProtection="1">
      <alignment horizontal="center" vertical="center"/>
    </xf>
    <xf numFmtId="0" fontId="4" fillId="2" borderId="164" xfId="208" applyFont="1" applyFill="1" applyBorder="1" applyAlignment="1" applyProtection="1">
      <alignment horizontal="center"/>
    </xf>
    <xf numFmtId="0" fontId="4" fillId="2" borderId="162" xfId="208" applyFont="1" applyFill="1" applyBorder="1" applyAlignment="1" applyProtection="1">
      <alignment horizontal="center"/>
    </xf>
    <xf numFmtId="0" fontId="4" fillId="2" borderId="163" xfId="208" applyFont="1" applyFill="1" applyBorder="1" applyAlignment="1" applyProtection="1">
      <alignment horizontal="center"/>
    </xf>
    <xf numFmtId="0" fontId="4" fillId="2" borderId="19" xfId="208" applyFont="1" applyFill="1" applyBorder="1" applyAlignment="1" applyProtection="1">
      <alignment horizontal="center"/>
    </xf>
    <xf numFmtId="0" fontId="4" fillId="2" borderId="0" xfId="208" applyFont="1" applyFill="1" applyBorder="1" applyAlignment="1" applyProtection="1">
      <alignment horizontal="center"/>
    </xf>
    <xf numFmtId="0" fontId="4" fillId="2" borderId="18" xfId="208" applyFont="1" applyFill="1" applyBorder="1" applyAlignment="1" applyProtection="1">
      <alignment horizontal="center"/>
    </xf>
    <xf numFmtId="0" fontId="4" fillId="2" borderId="15" xfId="208" applyFont="1" applyFill="1" applyBorder="1" applyAlignment="1" applyProtection="1">
      <alignment horizontal="center"/>
    </xf>
    <xf numFmtId="0" fontId="4" fillId="2" borderId="160" xfId="208" applyFont="1" applyFill="1" applyBorder="1" applyAlignment="1" applyProtection="1">
      <alignment horizontal="center"/>
    </xf>
    <xf numFmtId="0" fontId="4" fillId="2" borderId="14" xfId="208" applyFont="1" applyFill="1" applyBorder="1" applyAlignment="1" applyProtection="1">
      <alignment horizontal="center"/>
    </xf>
    <xf numFmtId="0" fontId="103" fillId="0" borderId="11" xfId="429" applyFont="1" applyBorder="1" applyAlignment="1" applyProtection="1">
      <alignment horizontal="center" vertical="center"/>
    </xf>
    <xf numFmtId="0" fontId="103" fillId="0" borderId="9" xfId="429" applyFont="1" applyBorder="1" applyAlignment="1" applyProtection="1">
      <alignment horizontal="center" vertical="center"/>
    </xf>
    <xf numFmtId="0" fontId="103" fillId="0" borderId="49" xfId="429" applyFont="1" applyBorder="1" applyAlignment="1" applyProtection="1">
      <alignment vertical="center"/>
    </xf>
    <xf numFmtId="0" fontId="103" fillId="0" borderId="11" xfId="429" applyFont="1" applyBorder="1" applyAlignment="1" applyProtection="1">
      <alignment vertical="center"/>
    </xf>
    <xf numFmtId="0" fontId="103" fillId="0" borderId="10" xfId="429" applyFont="1" applyBorder="1" applyAlignment="1" applyProtection="1">
      <alignment vertical="center"/>
    </xf>
    <xf numFmtId="0" fontId="103" fillId="0" borderId="9" xfId="429" applyFont="1" applyBorder="1" applyAlignment="1" applyProtection="1">
      <alignment vertical="center"/>
    </xf>
    <xf numFmtId="0" fontId="79" fillId="0" borderId="11" xfId="429" applyFont="1" applyBorder="1" applyAlignment="1" applyProtection="1">
      <alignment horizontal="left" vertical="center"/>
    </xf>
    <xf numFmtId="0" fontId="79" fillId="0" borderId="10" xfId="429" applyFont="1" applyBorder="1" applyAlignment="1" applyProtection="1">
      <alignment horizontal="left" vertical="center"/>
    </xf>
    <xf numFmtId="0" fontId="79" fillId="0" borderId="9" xfId="429" applyFont="1" applyBorder="1" applyAlignment="1" applyProtection="1">
      <alignment horizontal="left" vertical="center"/>
    </xf>
    <xf numFmtId="0" fontId="103" fillId="0" borderId="49" xfId="429" applyFont="1" applyBorder="1" applyAlignment="1" applyProtection="1">
      <alignment horizontal="center" vertical="center"/>
    </xf>
    <xf numFmtId="0" fontId="103" fillId="0" borderId="11" xfId="429" applyFont="1" applyBorder="1" applyAlignment="1" applyProtection="1">
      <alignment horizontal="left" vertical="center"/>
    </xf>
    <xf numFmtId="0" fontId="103" fillId="0" borderId="10" xfId="429" applyFont="1" applyBorder="1" applyAlignment="1" applyProtection="1">
      <alignment horizontal="left" vertical="center"/>
    </xf>
    <xf numFmtId="0" fontId="103" fillId="0" borderId="9" xfId="429" applyFont="1" applyBorder="1" applyAlignment="1" applyProtection="1">
      <alignment horizontal="left" vertical="center"/>
    </xf>
    <xf numFmtId="0" fontId="90" fillId="2" borderId="12" xfId="427" applyFont="1" applyFill="1" applyBorder="1" applyAlignment="1" applyProtection="1">
      <alignment horizontal="center" vertical="center"/>
    </xf>
    <xf numFmtId="0" fontId="90" fillId="2" borderId="0" xfId="427" applyFont="1" applyFill="1" applyBorder="1" applyAlignment="1" applyProtection="1">
      <alignment horizontal="center" vertical="center"/>
    </xf>
    <xf numFmtId="0" fontId="131" fillId="0" borderId="19" xfId="71" applyFont="1" applyBorder="1" applyAlignment="1" applyProtection="1">
      <alignment horizontal="left" vertical="center"/>
    </xf>
    <xf numFmtId="0" fontId="131" fillId="0" borderId="0" xfId="71" applyFont="1" applyBorder="1" applyAlignment="1" applyProtection="1">
      <alignment horizontal="left" vertical="center"/>
    </xf>
    <xf numFmtId="0" fontId="131" fillId="0" borderId="18" xfId="71" applyFont="1" applyBorder="1" applyAlignment="1" applyProtection="1">
      <alignment horizontal="left" vertical="center"/>
    </xf>
    <xf numFmtId="0" fontId="89" fillId="0" borderId="49" xfId="429" applyFont="1" applyBorder="1" applyAlignment="1" applyProtection="1">
      <alignment horizontal="center" vertical="center"/>
    </xf>
    <xf numFmtId="0" fontId="177" fillId="33" borderId="11" xfId="295" applyFont="1" applyFill="1" applyBorder="1" applyAlignment="1" applyProtection="1">
      <alignment horizontal="center" vertical="center"/>
    </xf>
    <xf numFmtId="0" fontId="177" fillId="33" borderId="9" xfId="295" applyFont="1" applyFill="1" applyBorder="1" applyAlignment="1" applyProtection="1">
      <alignment horizontal="center" vertical="center"/>
    </xf>
    <xf numFmtId="0" fontId="89" fillId="2" borderId="12" xfId="427" applyFont="1" applyFill="1" applyBorder="1" applyAlignment="1" applyProtection="1">
      <alignment horizontal="center" vertical="center" wrapText="1"/>
    </xf>
    <xf numFmtId="0" fontId="89" fillId="2" borderId="0" xfId="427" applyFont="1" applyFill="1" applyBorder="1" applyAlignment="1" applyProtection="1">
      <alignment horizontal="center" vertical="center" wrapText="1"/>
    </xf>
    <xf numFmtId="0" fontId="89" fillId="33" borderId="11" xfId="295" applyFont="1" applyFill="1" applyBorder="1" applyAlignment="1" applyProtection="1">
      <alignment horizontal="center" vertical="center"/>
    </xf>
    <xf numFmtId="0" fontId="89" fillId="33" borderId="9" xfId="295" applyFont="1" applyFill="1" applyBorder="1" applyAlignment="1" applyProtection="1">
      <alignment horizontal="center" vertical="center"/>
    </xf>
    <xf numFmtId="0" fontId="1" fillId="0" borderId="13" xfId="71" applyFont="1" applyBorder="1" applyAlignment="1" applyProtection="1">
      <alignment horizontal="center" vertical="center"/>
    </xf>
    <xf numFmtId="0" fontId="1" fillId="0" borderId="17" xfId="71" applyFont="1" applyBorder="1" applyAlignment="1" applyProtection="1">
      <alignment horizontal="center" vertical="center"/>
    </xf>
    <xf numFmtId="0" fontId="3" fillId="0" borderId="13" xfId="71" applyFont="1" applyBorder="1" applyAlignment="1" applyProtection="1">
      <alignment horizontal="center" vertical="center" wrapText="1"/>
    </xf>
    <xf numFmtId="0" fontId="3" fillId="0" borderId="12" xfId="71" applyFont="1" applyBorder="1" applyAlignment="1" applyProtection="1">
      <alignment horizontal="center" vertical="center" wrapText="1"/>
    </xf>
    <xf numFmtId="0" fontId="3" fillId="0" borderId="17" xfId="71" applyFont="1" applyBorder="1" applyAlignment="1" applyProtection="1">
      <alignment horizontal="center" vertical="center" wrapText="1"/>
    </xf>
    <xf numFmtId="0" fontId="1" fillId="0" borderId="0" xfId="429" applyFont="1" applyBorder="1" applyAlignment="1" applyProtection="1">
      <alignment horizontal="center" vertical="center"/>
      <protection locked="0"/>
    </xf>
    <xf numFmtId="0" fontId="1" fillId="0" borderId="0" xfId="428" applyFont="1" applyBorder="1" applyAlignment="1" applyProtection="1">
      <alignment horizontal="center" vertical="center"/>
      <protection locked="0"/>
    </xf>
    <xf numFmtId="0" fontId="89" fillId="33" borderId="49" xfId="295" applyFont="1" applyFill="1" applyBorder="1" applyAlignment="1" applyProtection="1">
      <alignment horizontal="center" vertical="center"/>
    </xf>
    <xf numFmtId="0" fontId="108" fillId="0" borderId="11" xfId="429" applyFont="1" applyBorder="1" applyAlignment="1" applyProtection="1">
      <alignment horizontal="center" vertical="center"/>
    </xf>
    <xf numFmtId="0" fontId="108" fillId="0" borderId="10" xfId="429" applyFont="1" applyBorder="1" applyAlignment="1" applyProtection="1">
      <alignment horizontal="center" vertical="center"/>
    </xf>
    <xf numFmtId="0" fontId="108" fillId="0" borderId="9" xfId="429" applyFont="1" applyBorder="1" applyAlignment="1" applyProtection="1">
      <alignment horizontal="center" vertical="center"/>
    </xf>
    <xf numFmtId="0" fontId="4" fillId="25" borderId="11" xfId="429" applyFont="1" applyFill="1" applyBorder="1" applyAlignment="1" applyProtection="1">
      <alignment horizontal="left" vertical="center"/>
    </xf>
    <xf numFmtId="0" fontId="4" fillId="25" borderId="10" xfId="429" applyFont="1" applyFill="1" applyBorder="1" applyAlignment="1" applyProtection="1">
      <alignment horizontal="left" vertical="center"/>
    </xf>
    <xf numFmtId="0" fontId="4" fillId="25" borderId="11" xfId="429" applyFont="1" applyFill="1" applyBorder="1" applyAlignment="1" applyProtection="1">
      <alignment horizontal="center" vertical="center"/>
    </xf>
    <xf numFmtId="0" fontId="4" fillId="25" borderId="10" xfId="429" applyFont="1" applyFill="1" applyBorder="1" applyAlignment="1" applyProtection="1">
      <alignment horizontal="center" vertical="center"/>
    </xf>
    <xf numFmtId="0" fontId="4" fillId="25" borderId="11" xfId="429" applyFont="1" applyFill="1" applyBorder="1" applyAlignment="1" applyProtection="1">
      <alignment horizontal="center" vertical="center" wrapText="1"/>
    </xf>
    <xf numFmtId="0" fontId="4" fillId="25" borderId="10" xfId="429" applyFont="1" applyFill="1" applyBorder="1" applyAlignment="1" applyProtection="1">
      <alignment horizontal="center" vertical="center" wrapText="1"/>
    </xf>
    <xf numFmtId="173" fontId="5" fillId="0" borderId="0" xfId="429" applyNumberFormat="1" applyFont="1" applyFill="1" applyBorder="1" applyAlignment="1" applyProtection="1">
      <alignment horizontal="center" vertical="center"/>
    </xf>
    <xf numFmtId="173" fontId="5" fillId="0" borderId="35" xfId="429" applyNumberFormat="1" applyFont="1" applyFill="1" applyBorder="1" applyAlignment="1" applyProtection="1">
      <alignment horizontal="center" vertical="center"/>
    </xf>
    <xf numFmtId="0" fontId="4" fillId="25" borderId="11" xfId="429" applyFont="1" applyFill="1" applyBorder="1" applyAlignment="1" applyProtection="1">
      <alignment horizontal="left" vertical="center" wrapText="1"/>
    </xf>
    <xf numFmtId="0" fontId="4" fillId="25" borderId="10" xfId="429" applyFont="1" applyFill="1" applyBorder="1" applyAlignment="1" applyProtection="1">
      <alignment horizontal="left" vertical="center" wrapText="1"/>
    </xf>
    <xf numFmtId="0" fontId="4" fillId="25" borderId="11" xfId="429" applyFont="1" applyFill="1" applyBorder="1" applyAlignment="1" applyProtection="1">
      <alignment vertical="center" wrapText="1"/>
    </xf>
    <xf numFmtId="0" fontId="4" fillId="25" borderId="10" xfId="429" applyFont="1" applyFill="1" applyBorder="1" applyAlignment="1" applyProtection="1">
      <alignment vertical="center"/>
    </xf>
    <xf numFmtId="0" fontId="4" fillId="25" borderId="11" xfId="429" applyFont="1" applyFill="1" applyBorder="1" applyAlignment="1" applyProtection="1">
      <alignment horizontal="left" vertical="center" wrapText="1" indent="2"/>
    </xf>
    <xf numFmtId="0" fontId="4" fillId="25" borderId="10" xfId="429" applyFont="1" applyFill="1" applyBorder="1" applyAlignment="1" applyProtection="1">
      <alignment horizontal="left" vertical="center" wrapText="1" indent="2"/>
    </xf>
    <xf numFmtId="0" fontId="134" fillId="25" borderId="242" xfId="208" applyFont="1" applyFill="1" applyBorder="1" applyAlignment="1" applyProtection="1">
      <alignment horizontal="center" vertical="center"/>
    </xf>
    <xf numFmtId="0" fontId="46" fillId="0" borderId="0" xfId="68" applyFont="1" applyBorder="1" applyAlignment="1" applyProtection="1">
      <alignment horizontal="center" vertical="center" wrapText="1"/>
    </xf>
    <xf numFmtId="168" fontId="4" fillId="26" borderId="0" xfId="429" applyNumberFormat="1" applyFont="1" applyFill="1" applyBorder="1" applyAlignment="1" applyProtection="1">
      <alignment horizontal="center" vertical="center"/>
      <protection locked="0"/>
    </xf>
    <xf numFmtId="0" fontId="1" fillId="26" borderId="32" xfId="71" applyFont="1" applyFill="1" applyBorder="1" applyAlignment="1" applyProtection="1">
      <alignment horizontal="center" vertical="top" wrapText="1"/>
      <protection locked="0"/>
    </xf>
    <xf numFmtId="0" fontId="1" fillId="0" borderId="19" xfId="71" applyFont="1" applyFill="1" applyBorder="1" applyAlignment="1" applyProtection="1">
      <alignment horizontal="center" vertical="center" wrapText="1"/>
      <protection locked="0"/>
    </xf>
    <xf numFmtId="0" fontId="1" fillId="0" borderId="0" xfId="71" applyFont="1" applyFill="1" applyBorder="1" applyAlignment="1" applyProtection="1">
      <alignment horizontal="center" vertical="center" wrapText="1"/>
      <protection locked="0"/>
    </xf>
    <xf numFmtId="0" fontId="1" fillId="0" borderId="18" xfId="71" applyFont="1" applyFill="1" applyBorder="1" applyAlignment="1" applyProtection="1">
      <alignment horizontal="center" vertical="center" wrapText="1"/>
      <protection locked="0"/>
    </xf>
    <xf numFmtId="0" fontId="42" fillId="0" borderId="13" xfId="208" applyFont="1" applyBorder="1" applyAlignment="1" applyProtection="1">
      <alignment horizontal="center"/>
    </xf>
    <xf numFmtId="0" fontId="42" fillId="0" borderId="162" xfId="208" applyFont="1" applyBorder="1" applyAlignment="1" applyProtection="1">
      <alignment horizontal="center"/>
    </xf>
    <xf numFmtId="0" fontId="42" fillId="0" borderId="163" xfId="208" applyFont="1" applyBorder="1" applyAlignment="1" applyProtection="1">
      <alignment horizontal="center"/>
    </xf>
    <xf numFmtId="0" fontId="42" fillId="26" borderId="162" xfId="208" applyFont="1" applyFill="1" applyBorder="1" applyAlignment="1" applyProtection="1">
      <alignment horizontal="center" vertical="center"/>
    </xf>
    <xf numFmtId="0" fontId="42" fillId="26" borderId="163" xfId="208" applyFont="1" applyFill="1" applyBorder="1" applyAlignment="1" applyProtection="1">
      <alignment horizontal="center" vertical="center"/>
    </xf>
    <xf numFmtId="0" fontId="42" fillId="26" borderId="13" xfId="208" applyFont="1" applyFill="1" applyBorder="1" applyAlignment="1" applyProtection="1">
      <alignment horizontal="center" vertical="center"/>
    </xf>
    <xf numFmtId="0" fontId="2" fillId="26" borderId="13" xfId="208" applyFont="1" applyFill="1" applyBorder="1" applyAlignment="1" applyProtection="1">
      <alignment horizontal="center"/>
    </xf>
    <xf numFmtId="0" fontId="2" fillId="26" borderId="163" xfId="208" applyFont="1" applyFill="1" applyBorder="1" applyAlignment="1" applyProtection="1">
      <alignment horizontal="center"/>
    </xf>
    <xf numFmtId="0" fontId="2" fillId="0" borderId="15" xfId="208" applyFont="1" applyFill="1" applyBorder="1" applyAlignment="1" applyProtection="1">
      <alignment horizontal="center" vertical="top"/>
    </xf>
    <xf numFmtId="0" fontId="2" fillId="0" borderId="14" xfId="208" applyFont="1" applyFill="1" applyBorder="1" applyAlignment="1" applyProtection="1">
      <alignment horizontal="center" vertical="top"/>
    </xf>
    <xf numFmtId="0" fontId="1" fillId="0" borderId="49" xfId="71" applyFont="1" applyBorder="1" applyAlignment="1" applyProtection="1">
      <alignment horizontal="center"/>
    </xf>
    <xf numFmtId="0" fontId="1" fillId="0" borderId="29" xfId="71" applyFont="1" applyBorder="1" applyAlignment="1" applyProtection="1">
      <alignment horizontal="center"/>
    </xf>
    <xf numFmtId="0" fontId="121" fillId="28" borderId="19" xfId="208" applyFont="1" applyFill="1" applyBorder="1" applyAlignment="1" applyProtection="1">
      <alignment horizontal="center" vertical="center"/>
    </xf>
    <xf numFmtId="0" fontId="121" fillId="28" borderId="18" xfId="208" applyFont="1" applyFill="1" applyBorder="1" applyAlignment="1" applyProtection="1">
      <alignment horizontal="center" vertical="center"/>
    </xf>
    <xf numFmtId="0" fontId="2" fillId="0" borderId="5" xfId="208" applyFont="1" applyBorder="1" applyAlignment="1" applyProtection="1">
      <alignment horizontal="center" vertical="center" wrapText="1"/>
    </xf>
    <xf numFmtId="0" fontId="2" fillId="0" borderId="6" xfId="208" applyFont="1" applyBorder="1" applyAlignment="1" applyProtection="1">
      <alignment horizontal="center" vertical="center" wrapText="1"/>
    </xf>
    <xf numFmtId="0" fontId="2" fillId="0" borderId="327" xfId="208" applyFont="1" applyBorder="1" applyAlignment="1" applyProtection="1">
      <alignment horizontal="center" vertical="center" wrapText="1"/>
    </xf>
    <xf numFmtId="0" fontId="12" fillId="29" borderId="10" xfId="208" applyFont="1" applyFill="1" applyBorder="1" applyAlignment="1" applyProtection="1">
      <alignment horizontal="center" vertical="center" wrapText="1"/>
      <protection locked="0"/>
    </xf>
    <xf numFmtId="0" fontId="12" fillId="29" borderId="9" xfId="208" applyFont="1" applyFill="1" applyBorder="1" applyAlignment="1" applyProtection="1">
      <alignment horizontal="center" vertical="center" wrapText="1"/>
      <protection locked="0"/>
    </xf>
    <xf numFmtId="0" fontId="12" fillId="29" borderId="11" xfId="208" applyFont="1" applyFill="1" applyBorder="1" applyAlignment="1" applyProtection="1">
      <alignment horizontal="center" vertical="center" wrapText="1"/>
      <protection locked="0"/>
    </xf>
    <xf numFmtId="0" fontId="131" fillId="0" borderId="49" xfId="71" applyFont="1" applyBorder="1" applyAlignment="1" applyProtection="1">
      <alignment horizontal="left" vertical="center"/>
    </xf>
    <xf numFmtId="0" fontId="2" fillId="0" borderId="42" xfId="208" applyFont="1" applyBorder="1" applyAlignment="1" applyProtection="1">
      <alignment horizontal="left" vertical="center" wrapText="1"/>
    </xf>
    <xf numFmtId="0" fontId="2" fillId="0" borderId="43" xfId="208" applyFont="1" applyBorder="1" applyAlignment="1" applyProtection="1">
      <alignment horizontal="left" vertical="center" wrapText="1"/>
    </xf>
    <xf numFmtId="0" fontId="187" fillId="32" borderId="13" xfId="208" applyFont="1" applyFill="1" applyBorder="1" applyAlignment="1" applyProtection="1">
      <alignment horizontal="center" vertical="center"/>
      <protection locked="0"/>
    </xf>
    <xf numFmtId="0" fontId="187" fillId="32" borderId="162" xfId="208" applyFont="1" applyFill="1" applyBorder="1" applyAlignment="1" applyProtection="1">
      <alignment horizontal="center" vertical="center"/>
      <protection locked="0"/>
    </xf>
    <xf numFmtId="0" fontId="187" fillId="32" borderId="163" xfId="208" applyFont="1" applyFill="1" applyBorder="1" applyAlignment="1" applyProtection="1">
      <alignment horizontal="center" vertical="center"/>
      <protection locked="0"/>
    </xf>
    <xf numFmtId="167" fontId="2" fillId="0" borderId="6" xfId="208" applyNumberFormat="1" applyFont="1" applyBorder="1" applyAlignment="1" applyProtection="1">
      <alignment horizontal="center" vertical="center" wrapText="1"/>
    </xf>
    <xf numFmtId="167" fontId="2" fillId="0" borderId="5" xfId="208" applyNumberFormat="1" applyFont="1" applyBorder="1" applyAlignment="1" applyProtection="1">
      <alignment horizontal="center" vertical="center" wrapText="1"/>
    </xf>
    <xf numFmtId="167" fontId="2" fillId="0" borderId="327" xfId="208" applyNumberFormat="1" applyFont="1" applyBorder="1" applyAlignment="1" applyProtection="1">
      <alignment horizontal="center" vertical="center" wrapText="1"/>
    </xf>
    <xf numFmtId="0" fontId="2" fillId="0" borderId="337" xfId="208" applyFont="1" applyBorder="1" applyAlignment="1" applyProtection="1">
      <alignment horizontal="left" vertical="center" wrapText="1"/>
    </xf>
    <xf numFmtId="0" fontId="2" fillId="0" borderId="338" xfId="208" applyFont="1" applyBorder="1" applyAlignment="1" applyProtection="1">
      <alignment horizontal="left" vertical="center" wrapText="1"/>
    </xf>
    <xf numFmtId="0" fontId="2" fillId="0" borderId="342" xfId="208" applyFont="1" applyBorder="1" applyAlignment="1" applyProtection="1">
      <alignment horizontal="left" vertical="center" wrapText="1"/>
    </xf>
    <xf numFmtId="0" fontId="2" fillId="26" borderId="334" xfId="208" applyFont="1" applyFill="1" applyBorder="1" applyAlignment="1" applyProtection="1">
      <alignment horizontal="left" vertical="center" wrapText="1"/>
    </xf>
    <xf numFmtId="0" fontId="2" fillId="26" borderId="335" xfId="208" applyFont="1" applyFill="1" applyBorder="1" applyAlignment="1" applyProtection="1">
      <alignment horizontal="left" vertical="center" wrapText="1"/>
    </xf>
    <xf numFmtId="0" fontId="2" fillId="26" borderId="339" xfId="208" applyFont="1" applyFill="1" applyBorder="1" applyAlignment="1" applyProtection="1">
      <alignment horizontal="left" vertical="center" wrapText="1"/>
    </xf>
    <xf numFmtId="10" fontId="121" fillId="0" borderId="341" xfId="547" applyNumberFormat="1" applyFont="1" applyBorder="1" applyAlignment="1" applyProtection="1">
      <alignment horizontal="center" vertical="center"/>
    </xf>
    <xf numFmtId="10" fontId="121" fillId="0" borderId="338" xfId="547" applyNumberFormat="1" applyFont="1" applyBorder="1" applyAlignment="1" applyProtection="1">
      <alignment horizontal="center" vertical="center"/>
    </xf>
    <xf numFmtId="0" fontId="187" fillId="0" borderId="340" xfId="208" applyFont="1" applyBorder="1" applyAlignment="1" applyProtection="1">
      <alignment horizontal="left" vertical="center" wrapText="1"/>
      <protection locked="0"/>
    </xf>
    <xf numFmtId="0" fontId="187" fillId="0" borderId="335" xfId="208" applyFont="1" applyBorder="1" applyAlignment="1" applyProtection="1">
      <alignment horizontal="left" vertical="center" wrapText="1"/>
      <protection locked="0"/>
    </xf>
    <xf numFmtId="0" fontId="187" fillId="0" borderId="336" xfId="208" applyFont="1" applyBorder="1" applyAlignment="1" applyProtection="1">
      <alignment horizontal="left" vertical="center" wrapText="1"/>
      <protection locked="0"/>
    </xf>
    <xf numFmtId="10" fontId="2" fillId="26" borderId="15" xfId="547" applyNumberFormat="1" applyFont="1" applyFill="1" applyBorder="1" applyAlignment="1" applyProtection="1">
      <alignment horizontal="center" vertical="center"/>
    </xf>
    <xf numFmtId="10" fontId="2" fillId="26" borderId="14" xfId="547" applyNumberFormat="1" applyFont="1" applyFill="1" applyBorder="1" applyAlignment="1" applyProtection="1">
      <alignment horizontal="center" vertical="center"/>
    </xf>
    <xf numFmtId="0" fontId="131" fillId="0" borderId="164" xfId="71" applyFont="1" applyBorder="1" applyAlignment="1" applyProtection="1">
      <alignment horizontal="left" vertical="center"/>
    </xf>
    <xf numFmtId="0" fontId="131" fillId="0" borderId="162" xfId="71" applyFont="1" applyBorder="1" applyAlignment="1" applyProtection="1">
      <alignment horizontal="left" vertical="center"/>
    </xf>
    <xf numFmtId="0" fontId="131" fillId="0" borderId="163" xfId="71" applyFont="1" applyBorder="1" applyAlignment="1" applyProtection="1">
      <alignment horizontal="left" vertical="center"/>
    </xf>
    <xf numFmtId="0" fontId="2" fillId="0" borderId="3" xfId="208" applyFont="1" applyBorder="1" applyAlignment="1" applyProtection="1">
      <alignment horizontal="right" vertical="center" wrapText="1"/>
    </xf>
    <xf numFmtId="167" fontId="2" fillId="29" borderId="15" xfId="208" applyNumberFormat="1" applyFont="1" applyFill="1" applyBorder="1" applyAlignment="1" applyProtection="1">
      <alignment horizontal="center" vertical="center" wrapText="1"/>
    </xf>
    <xf numFmtId="167" fontId="2" fillId="29" borderId="160" xfId="208" applyNumberFormat="1" applyFont="1" applyFill="1" applyBorder="1" applyAlignment="1" applyProtection="1">
      <alignment horizontal="center" vertical="center" wrapText="1"/>
    </xf>
    <xf numFmtId="167" fontId="2" fillId="29" borderId="14" xfId="208" applyNumberFormat="1" applyFont="1" applyFill="1" applyBorder="1" applyAlignment="1" applyProtection="1">
      <alignment horizontal="center" vertical="center" wrapText="1"/>
    </xf>
    <xf numFmtId="0" fontId="2" fillId="0" borderId="8" xfId="208" applyFont="1" applyFill="1" applyBorder="1" applyAlignment="1" applyProtection="1">
      <alignment horizontal="center" vertical="center" wrapText="1"/>
    </xf>
    <xf numFmtId="0" fontId="2" fillId="0" borderId="42" xfId="208" applyFont="1" applyBorder="1" applyAlignment="1" applyProtection="1">
      <alignment horizontal="justify" vertical="center" wrapText="1"/>
    </xf>
    <xf numFmtId="0" fontId="2" fillId="0" borderId="43" xfId="208" applyFont="1" applyBorder="1" applyAlignment="1" applyProtection="1">
      <alignment horizontal="justify" vertical="center" wrapText="1"/>
    </xf>
    <xf numFmtId="0" fontId="44" fillId="32" borderId="11" xfId="208" applyFont="1" applyFill="1" applyBorder="1" applyAlignment="1" applyProtection="1">
      <alignment horizontal="center" vertical="center"/>
    </xf>
    <xf numFmtId="0" fontId="44" fillId="32" borderId="10" xfId="208" applyFont="1" applyFill="1" applyBorder="1" applyAlignment="1" applyProtection="1">
      <alignment horizontal="center" vertical="center"/>
    </xf>
    <xf numFmtId="0" fontId="44" fillId="32" borderId="9" xfId="208" applyFont="1" applyFill="1" applyBorder="1" applyAlignment="1" applyProtection="1">
      <alignment horizontal="center" vertical="center"/>
    </xf>
    <xf numFmtId="0" fontId="42" fillId="32" borderId="15" xfId="208" applyFont="1" applyFill="1" applyBorder="1" applyAlignment="1" applyProtection="1">
      <alignment horizontal="center" vertical="center"/>
    </xf>
    <xf numFmtId="0" fontId="42" fillId="32" borderId="160" xfId="208" applyFont="1" applyFill="1" applyBorder="1" applyAlignment="1" applyProtection="1">
      <alignment horizontal="center" vertical="center"/>
    </xf>
    <xf numFmtId="0" fontId="42" fillId="32" borderId="10" xfId="208" applyFont="1" applyFill="1" applyBorder="1" applyAlignment="1" applyProtection="1">
      <alignment horizontal="center" vertical="center"/>
    </xf>
    <xf numFmtId="0" fontId="42" fillId="32" borderId="9" xfId="208" applyFont="1" applyFill="1" applyBorder="1" applyAlignment="1" applyProtection="1">
      <alignment horizontal="center" vertical="center"/>
    </xf>
    <xf numFmtId="0" fontId="2" fillId="26" borderId="19" xfId="208" applyFont="1" applyFill="1" applyBorder="1" applyAlignment="1" applyProtection="1">
      <alignment horizontal="center" vertical="center"/>
    </xf>
    <xf numFmtId="0" fontId="2" fillId="26" borderId="18" xfId="208" applyFont="1" applyFill="1" applyBorder="1" applyAlignment="1" applyProtection="1">
      <alignment horizontal="center" vertical="center"/>
    </xf>
    <xf numFmtId="0" fontId="2" fillId="0" borderId="1" xfId="208" applyFont="1" applyBorder="1" applyAlignment="1" applyProtection="1">
      <alignment horizontal="left" vertical="center"/>
    </xf>
    <xf numFmtId="0" fontId="2" fillId="0" borderId="3" xfId="208" applyFont="1" applyBorder="1" applyAlignment="1" applyProtection="1">
      <alignment horizontal="left" vertical="center"/>
    </xf>
    <xf numFmtId="0" fontId="44" fillId="32" borderId="11" xfId="208" applyFont="1" applyFill="1" applyBorder="1" applyAlignment="1" applyProtection="1">
      <alignment horizontal="center" vertical="center" wrapText="1"/>
    </xf>
    <xf numFmtId="0" fontId="44" fillId="32" borderId="10" xfId="208" applyFont="1" applyFill="1" applyBorder="1" applyAlignment="1" applyProtection="1">
      <alignment horizontal="center" vertical="center" wrapText="1"/>
    </xf>
    <xf numFmtId="0" fontId="44" fillId="32" borderId="9" xfId="208" applyFont="1" applyFill="1" applyBorder="1" applyAlignment="1" applyProtection="1">
      <alignment horizontal="center" vertical="center" wrapText="1"/>
    </xf>
    <xf numFmtId="0" fontId="2" fillId="0" borderId="128" xfId="208" applyFont="1" applyBorder="1" applyAlignment="1" applyProtection="1">
      <alignment vertical="center"/>
    </xf>
    <xf numFmtId="0" fontId="2" fillId="0" borderId="131" xfId="208" applyFont="1" applyBorder="1" applyAlignment="1" applyProtection="1">
      <alignment vertical="center"/>
    </xf>
    <xf numFmtId="0" fontId="2" fillId="0" borderId="139" xfId="208" applyFont="1" applyBorder="1" applyAlignment="1" applyProtection="1">
      <alignment vertical="center"/>
    </xf>
    <xf numFmtId="0" fontId="2" fillId="0" borderId="328" xfId="208" applyFont="1" applyBorder="1" applyAlignment="1" applyProtection="1">
      <alignment vertical="center"/>
    </xf>
    <xf numFmtId="0" fontId="2" fillId="0" borderId="138" xfId="208" applyFont="1" applyBorder="1" applyAlignment="1" applyProtection="1">
      <alignment horizontal="left" vertical="center"/>
    </xf>
    <xf numFmtId="0" fontId="2" fillId="0" borderId="133" xfId="208" applyFont="1" applyBorder="1" applyAlignment="1" applyProtection="1">
      <alignment horizontal="left" vertical="center"/>
    </xf>
    <xf numFmtId="0" fontId="2" fillId="0" borderId="348" xfId="208" applyFont="1" applyBorder="1" applyAlignment="1" applyProtection="1">
      <alignment horizontal="left" vertical="center"/>
    </xf>
    <xf numFmtId="0" fontId="2" fillId="0" borderId="346" xfId="208" applyFont="1" applyBorder="1" applyAlignment="1" applyProtection="1">
      <alignment horizontal="left" vertical="center"/>
    </xf>
    <xf numFmtId="0" fontId="2" fillId="0" borderId="153" xfId="208" applyFont="1" applyBorder="1" applyAlignment="1" applyProtection="1">
      <alignment horizontal="left" vertical="center"/>
    </xf>
    <xf numFmtId="0" fontId="2" fillId="0" borderId="347" xfId="208" applyFont="1" applyBorder="1" applyAlignment="1" applyProtection="1">
      <alignment horizontal="left" vertical="center"/>
    </xf>
    <xf numFmtId="0" fontId="44" fillId="32" borderId="162" xfId="208" applyFont="1" applyFill="1" applyBorder="1" applyAlignment="1" applyProtection="1">
      <alignment horizontal="center" vertical="center" wrapText="1"/>
    </xf>
    <xf numFmtId="0" fontId="44" fillId="32" borderId="163" xfId="208" applyFont="1" applyFill="1" applyBorder="1" applyAlignment="1" applyProtection="1">
      <alignment horizontal="center" vertical="center" wrapText="1"/>
    </xf>
    <xf numFmtId="175" fontId="12" fillId="29" borderId="7" xfId="208" applyNumberFormat="1" applyFont="1" applyFill="1" applyBorder="1" applyAlignment="1" applyProtection="1">
      <alignment horizontal="center" vertical="center" wrapText="1"/>
      <protection locked="0"/>
    </xf>
    <xf numFmtId="167" fontId="12" fillId="29" borderId="10" xfId="208" applyNumberFormat="1" applyFont="1" applyFill="1" applyBorder="1" applyAlignment="1" applyProtection="1">
      <alignment horizontal="center" vertical="center" wrapText="1"/>
      <protection locked="0"/>
    </xf>
    <xf numFmtId="167" fontId="12" fillId="29" borderId="9" xfId="208" applyNumberFormat="1" applyFont="1" applyFill="1" applyBorder="1" applyAlignment="1" applyProtection="1">
      <alignment horizontal="center" vertical="center" wrapText="1"/>
      <protection locked="0"/>
    </xf>
    <xf numFmtId="167" fontId="12" fillId="29" borderId="11" xfId="208" applyNumberFormat="1" applyFont="1" applyFill="1" applyBorder="1" applyAlignment="1" applyProtection="1">
      <alignment horizontal="center" vertical="center" wrapText="1"/>
      <protection locked="0"/>
    </xf>
    <xf numFmtId="0" fontId="2" fillId="0" borderId="11" xfId="208" applyFont="1" applyFill="1" applyBorder="1" applyAlignment="1" applyProtection="1">
      <alignment horizontal="left" vertical="center" wrapText="1"/>
    </xf>
    <xf numFmtId="0" fontId="2" fillId="0" borderId="10" xfId="208" applyFont="1" applyFill="1" applyBorder="1" applyAlignment="1" applyProtection="1">
      <alignment horizontal="left" vertical="center" wrapText="1"/>
    </xf>
    <xf numFmtId="2" fontId="2" fillId="0" borderId="10" xfId="208" applyNumberFormat="1" applyFont="1" applyBorder="1" applyAlignment="1" applyProtection="1">
      <alignment horizontal="center" vertical="center" wrapText="1"/>
    </xf>
    <xf numFmtId="2" fontId="2" fillId="0" borderId="9" xfId="208" applyNumberFormat="1" applyFont="1" applyBorder="1" applyAlignment="1" applyProtection="1">
      <alignment horizontal="center" vertical="center" wrapText="1"/>
    </xf>
    <xf numFmtId="2" fontId="2" fillId="0" borderId="6" xfId="208" applyNumberFormat="1" applyFont="1" applyBorder="1" applyAlignment="1" applyProtection="1">
      <alignment horizontal="center" vertical="center"/>
    </xf>
    <xf numFmtId="2" fontId="2" fillId="0" borderId="5" xfId="208" applyNumberFormat="1" applyFont="1" applyBorder="1" applyAlignment="1" applyProtection="1">
      <alignment horizontal="center" vertical="center"/>
    </xf>
    <xf numFmtId="173" fontId="109" fillId="0" borderId="42" xfId="208" applyNumberFormat="1" applyFont="1" applyBorder="1" applyAlignment="1" applyProtection="1">
      <alignment horizontal="center" vertical="center"/>
    </xf>
    <xf numFmtId="173" fontId="109" fillId="0" borderId="43" xfId="208" applyNumberFormat="1" applyFont="1" applyBorder="1" applyAlignment="1" applyProtection="1">
      <alignment horizontal="center" vertical="center"/>
    </xf>
    <xf numFmtId="173" fontId="109" fillId="0" borderId="44" xfId="208" applyNumberFormat="1" applyFont="1" applyBorder="1" applyAlignment="1" applyProtection="1">
      <alignment horizontal="center" vertical="center"/>
    </xf>
    <xf numFmtId="173" fontId="12" fillId="29" borderId="11" xfId="208" applyNumberFormat="1" applyFont="1" applyFill="1" applyBorder="1" applyAlignment="1" applyProtection="1">
      <alignment horizontal="center" vertical="center" wrapText="1"/>
      <protection locked="0"/>
    </xf>
    <xf numFmtId="173" fontId="12" fillId="29" borderId="10" xfId="208" applyNumberFormat="1" applyFont="1" applyFill="1" applyBorder="1" applyAlignment="1" applyProtection="1">
      <alignment horizontal="center" vertical="center" wrapText="1"/>
      <protection locked="0"/>
    </xf>
    <xf numFmtId="173" fontId="12" fillId="29" borderId="9" xfId="208" applyNumberFormat="1" applyFont="1" applyFill="1" applyBorder="1" applyAlignment="1" applyProtection="1">
      <alignment horizontal="center" vertical="center" wrapText="1"/>
      <protection locked="0"/>
    </xf>
    <xf numFmtId="0" fontId="2" fillId="0" borderId="11" xfId="208" applyFont="1" applyBorder="1" applyAlignment="1" applyProtection="1">
      <alignment horizontal="center" vertical="center"/>
    </xf>
    <xf numFmtId="0" fontId="2" fillId="0" borderId="10" xfId="208" applyFont="1" applyBorder="1" applyAlignment="1" applyProtection="1">
      <alignment horizontal="center" vertical="center"/>
    </xf>
    <xf numFmtId="0" fontId="2" fillId="0" borderId="9" xfId="208" applyFont="1" applyBorder="1" applyAlignment="1" applyProtection="1">
      <alignment horizontal="center" vertical="center"/>
    </xf>
    <xf numFmtId="0" fontId="2" fillId="29" borderId="10" xfId="208" applyFont="1" applyFill="1" applyBorder="1" applyAlignment="1" applyProtection="1">
      <alignment horizontal="center" vertical="center" wrapText="1"/>
    </xf>
    <xf numFmtId="167" fontId="12" fillId="29" borderId="19" xfId="208" applyNumberFormat="1" applyFont="1" applyFill="1" applyBorder="1" applyAlignment="1" applyProtection="1">
      <alignment horizontal="center" vertical="center" wrapText="1"/>
      <protection locked="0"/>
    </xf>
    <xf numFmtId="167" fontId="12" fillId="29" borderId="0" xfId="208" applyNumberFormat="1" applyFont="1" applyFill="1" applyBorder="1" applyAlignment="1" applyProtection="1">
      <alignment horizontal="center" vertical="center" wrapText="1"/>
      <protection locked="0"/>
    </xf>
    <xf numFmtId="167" fontId="12" fillId="29" borderId="18" xfId="208" applyNumberFormat="1" applyFont="1" applyFill="1" applyBorder="1" applyAlignment="1" applyProtection="1">
      <alignment horizontal="center" vertical="center" wrapText="1"/>
      <protection locked="0"/>
    </xf>
    <xf numFmtId="0" fontId="42" fillId="28" borderId="29" xfId="208" applyFont="1" applyFill="1" applyBorder="1" applyAlignment="1" applyProtection="1">
      <alignment horizontal="center" vertical="center" wrapText="1"/>
    </xf>
    <xf numFmtId="0" fontId="42" fillId="28" borderId="54" xfId="208" applyFont="1" applyFill="1" applyBorder="1" applyAlignment="1" applyProtection="1">
      <alignment horizontal="center" vertical="center" wrapText="1"/>
    </xf>
    <xf numFmtId="0" fontId="42" fillId="28" borderId="164" xfId="208" applyFont="1" applyFill="1" applyBorder="1" applyAlignment="1" applyProtection="1">
      <alignment horizontal="center" vertical="center" wrapText="1"/>
    </xf>
    <xf numFmtId="0" fontId="42" fillId="28" borderId="15" xfId="208" applyFont="1" applyFill="1" applyBorder="1" applyAlignment="1" applyProtection="1">
      <alignment horizontal="center" vertical="center"/>
    </xf>
    <xf numFmtId="175" fontId="12" fillId="29" borderId="10" xfId="208" applyNumberFormat="1" applyFont="1" applyFill="1" applyBorder="1" applyAlignment="1" applyProtection="1">
      <alignment horizontal="center" vertical="center" wrapText="1"/>
      <protection locked="0"/>
    </xf>
    <xf numFmtId="175" fontId="12" fillId="29" borderId="9" xfId="208" applyNumberFormat="1" applyFont="1" applyFill="1" applyBorder="1" applyAlignment="1" applyProtection="1">
      <alignment horizontal="center" vertical="center" wrapText="1"/>
      <protection locked="0"/>
    </xf>
    <xf numFmtId="2" fontId="2" fillId="0" borderId="333" xfId="208" applyNumberFormat="1" applyFont="1" applyBorder="1" applyAlignment="1" applyProtection="1">
      <alignment horizontal="center" vertical="center"/>
    </xf>
    <xf numFmtId="2" fontId="2" fillId="0" borderId="221" xfId="208" applyNumberFormat="1" applyFont="1" applyBorder="1" applyAlignment="1" applyProtection="1">
      <alignment horizontal="center" vertical="center"/>
    </xf>
    <xf numFmtId="0" fontId="42" fillId="28" borderId="163" xfId="208" applyFont="1" applyFill="1" applyBorder="1" applyAlignment="1" applyProtection="1">
      <alignment horizontal="center" vertical="center" wrapText="1"/>
    </xf>
    <xf numFmtId="0" fontId="42" fillId="28" borderId="14" xfId="208" applyFont="1" applyFill="1" applyBorder="1" applyAlignment="1" applyProtection="1">
      <alignment horizontal="center" vertical="center" wrapText="1"/>
    </xf>
    <xf numFmtId="2" fontId="2" fillId="0" borderId="331" xfId="208" applyNumberFormat="1" applyFont="1" applyBorder="1" applyAlignment="1" applyProtection="1">
      <alignment horizontal="center" vertical="center"/>
    </xf>
    <xf numFmtId="2" fontId="2" fillId="0" borderId="332" xfId="208" applyNumberFormat="1" applyFont="1" applyBorder="1" applyAlignment="1" applyProtection="1">
      <alignment horizontal="center" vertical="center"/>
    </xf>
    <xf numFmtId="2" fontId="2" fillId="0" borderId="1" xfId="208" applyNumberFormat="1" applyFont="1" applyBorder="1" applyAlignment="1" applyProtection="1">
      <alignment horizontal="center" vertical="center"/>
    </xf>
    <xf numFmtId="2" fontId="2" fillId="0" borderId="3" xfId="208" applyNumberFormat="1" applyFont="1" applyBorder="1" applyAlignment="1" applyProtection="1">
      <alignment horizontal="center" vertical="center"/>
    </xf>
    <xf numFmtId="0" fontId="12" fillId="29" borderId="8" xfId="208" applyFont="1" applyFill="1" applyBorder="1" applyAlignment="1" applyProtection="1">
      <alignment horizontal="center" vertical="center" wrapText="1"/>
      <protection locked="0"/>
    </xf>
    <xf numFmtId="0" fontId="12" fillId="29" borderId="4" xfId="208" applyFont="1" applyFill="1" applyBorder="1" applyAlignment="1" applyProtection="1">
      <alignment horizontal="center" vertical="center" wrapText="1"/>
      <protection locked="0"/>
    </xf>
    <xf numFmtId="173" fontId="5" fillId="0" borderId="164" xfId="208" applyNumberFormat="1" applyFont="1" applyBorder="1" applyAlignment="1" applyProtection="1">
      <alignment horizontal="center"/>
    </xf>
    <xf numFmtId="173" fontId="5" fillId="0" borderId="162" xfId="208" applyNumberFormat="1" applyFont="1" applyBorder="1" applyAlignment="1" applyProtection="1">
      <alignment horizontal="center"/>
    </xf>
    <xf numFmtId="173" fontId="5" fillId="0" borderId="163" xfId="208" applyNumberFormat="1" applyFont="1" applyBorder="1" applyAlignment="1" applyProtection="1">
      <alignment horizontal="center"/>
    </xf>
    <xf numFmtId="173" fontId="5" fillId="0" borderId="19" xfId="208" applyNumberFormat="1" applyFont="1" applyBorder="1" applyAlignment="1" applyProtection="1">
      <alignment horizontal="center"/>
    </xf>
    <xf numFmtId="173" fontId="5" fillId="0" borderId="0" xfId="208" applyNumberFormat="1" applyFont="1" applyBorder="1" applyAlignment="1" applyProtection="1">
      <alignment horizontal="center"/>
    </xf>
    <xf numFmtId="173" fontId="5" fillId="0" borderId="18" xfId="208" applyNumberFormat="1" applyFont="1" applyBorder="1" applyAlignment="1" applyProtection="1">
      <alignment horizontal="center"/>
    </xf>
    <xf numFmtId="173" fontId="5" fillId="0" borderId="15" xfId="208" applyNumberFormat="1" applyFont="1" applyBorder="1" applyAlignment="1" applyProtection="1">
      <alignment horizontal="center"/>
    </xf>
    <xf numFmtId="173" fontId="5" fillId="0" borderId="160" xfId="208" applyNumberFormat="1" applyFont="1" applyBorder="1" applyAlignment="1" applyProtection="1">
      <alignment horizontal="center"/>
    </xf>
    <xf numFmtId="173" fontId="5" fillId="0" borderId="14" xfId="208" applyNumberFormat="1" applyFont="1" applyBorder="1" applyAlignment="1" applyProtection="1">
      <alignment horizontal="center"/>
    </xf>
    <xf numFmtId="0" fontId="12" fillId="29" borderId="2" xfId="208" applyFont="1" applyFill="1" applyBorder="1" applyAlignment="1" applyProtection="1">
      <alignment horizontal="center" vertical="center" wrapText="1"/>
      <protection locked="0"/>
    </xf>
    <xf numFmtId="0" fontId="42" fillId="0" borderId="11" xfId="208" applyFont="1" applyBorder="1" applyAlignment="1" applyProtection="1">
      <alignment horizontal="center"/>
    </xf>
    <xf numFmtId="0" fontId="42" fillId="0" borderId="10" xfId="208" applyFont="1" applyBorder="1" applyAlignment="1" applyProtection="1">
      <alignment horizontal="center"/>
    </xf>
    <xf numFmtId="0" fontId="42" fillId="0" borderId="9" xfId="208" applyFont="1" applyBorder="1" applyAlignment="1" applyProtection="1">
      <alignment horizontal="center"/>
    </xf>
    <xf numFmtId="0" fontId="42" fillId="0" borderId="13" xfId="208" applyFont="1" applyBorder="1" applyAlignment="1" applyProtection="1">
      <alignment horizontal="center" vertical="center"/>
    </xf>
    <xf numFmtId="0" fontId="42" fillId="0" borderId="162" xfId="208" applyFont="1" applyBorder="1" applyAlignment="1" applyProtection="1">
      <alignment horizontal="center" vertical="center"/>
    </xf>
    <xf numFmtId="0" fontId="42" fillId="0" borderId="15" xfId="208" applyFont="1" applyBorder="1" applyAlignment="1" applyProtection="1">
      <alignment horizontal="center" vertical="center"/>
    </xf>
    <xf numFmtId="0" fontId="42" fillId="0" borderId="160" xfId="208" applyFont="1" applyBorder="1" applyAlignment="1" applyProtection="1">
      <alignment horizontal="center" vertical="center"/>
    </xf>
    <xf numFmtId="0" fontId="42" fillId="0" borderId="29" xfId="208" applyFont="1" applyBorder="1" applyAlignment="1" applyProtection="1">
      <alignment horizontal="center" vertical="center" wrapText="1"/>
    </xf>
    <xf numFmtId="0" fontId="42" fillId="0" borderId="54" xfId="208" applyFont="1" applyBorder="1" applyAlignment="1" applyProtection="1">
      <alignment horizontal="center" vertical="center" wrapText="1"/>
    </xf>
    <xf numFmtId="0" fontId="2" fillId="0" borderId="160" xfId="208" applyFont="1" applyFill="1" applyBorder="1" applyAlignment="1" applyProtection="1">
      <alignment horizontal="center" vertical="center" wrapText="1"/>
    </xf>
    <xf numFmtId="0" fontId="2" fillId="0" borderId="11" xfId="208" applyFont="1" applyFill="1" applyBorder="1" applyAlignment="1" applyProtection="1">
      <alignment vertical="center"/>
    </xf>
    <xf numFmtId="0" fontId="2" fillId="0" borderId="10" xfId="208" applyFont="1" applyFill="1" applyBorder="1" applyAlignment="1" applyProtection="1">
      <alignment vertical="center"/>
    </xf>
    <xf numFmtId="0" fontId="2" fillId="0" borderId="0" xfId="208" applyFont="1" applyFill="1" applyBorder="1" applyAlignment="1" applyProtection="1">
      <alignment vertical="top" wrapText="1"/>
    </xf>
    <xf numFmtId="0" fontId="2" fillId="26" borderId="11" xfId="208" applyFont="1" applyFill="1" applyBorder="1" applyAlignment="1" applyProtection="1">
      <alignment vertical="top"/>
    </xf>
    <xf numFmtId="0" fontId="2" fillId="26" borderId="10" xfId="208" applyFont="1" applyFill="1" applyBorder="1" applyAlignment="1" applyProtection="1">
      <alignment vertical="top"/>
    </xf>
    <xf numFmtId="0" fontId="2" fillId="0" borderId="13" xfId="208" applyFont="1" applyFill="1" applyBorder="1" applyAlignment="1" applyProtection="1">
      <alignment vertical="top"/>
    </xf>
    <xf numFmtId="0" fontId="2" fillId="0" borderId="162" xfId="208" applyFont="1" applyFill="1" applyBorder="1" applyAlignment="1" applyProtection="1">
      <alignment vertical="top"/>
    </xf>
    <xf numFmtId="0" fontId="44" fillId="32" borderId="15" xfId="208" applyFont="1" applyFill="1" applyBorder="1" applyAlignment="1" applyProtection="1">
      <alignment horizontal="center" vertical="center"/>
    </xf>
    <xf numFmtId="0" fontId="44" fillId="32" borderId="160" xfId="208" applyFont="1" applyFill="1" applyBorder="1" applyAlignment="1" applyProtection="1">
      <alignment horizontal="center" vertical="center"/>
    </xf>
    <xf numFmtId="0" fontId="44" fillId="32" borderId="0" xfId="208" applyFont="1" applyFill="1" applyBorder="1" applyAlignment="1" applyProtection="1">
      <alignment horizontal="center" vertical="center"/>
    </xf>
    <xf numFmtId="0" fontId="44" fillId="32" borderId="18" xfId="208" applyFont="1" applyFill="1" applyBorder="1" applyAlignment="1" applyProtection="1">
      <alignment horizontal="center" vertical="center"/>
    </xf>
    <xf numFmtId="0" fontId="2" fillId="0" borderId="11" xfId="208" applyFont="1" applyFill="1" applyBorder="1" applyAlignment="1" applyProtection="1">
      <alignment horizontal="center" vertical="center" wrapText="1"/>
    </xf>
    <xf numFmtId="0" fontId="2" fillId="0" borderId="10" xfId="208" applyFont="1" applyFill="1" applyBorder="1" applyAlignment="1" applyProtection="1">
      <alignment horizontal="center" vertical="center" wrapText="1"/>
    </xf>
    <xf numFmtId="0" fontId="2" fillId="0" borderId="9" xfId="208" applyFont="1" applyFill="1" applyBorder="1" applyAlignment="1" applyProtection="1">
      <alignment horizontal="center" vertical="center" wrapText="1"/>
    </xf>
    <xf numFmtId="2" fontId="2" fillId="0" borderId="45" xfId="208" applyNumberFormat="1" applyFont="1" applyBorder="1" applyAlignment="1" applyProtection="1">
      <alignment horizontal="center" vertical="center"/>
    </xf>
    <xf numFmtId="2" fontId="2" fillId="0" borderId="46" xfId="208" applyNumberFormat="1" applyFont="1" applyBorder="1" applyAlignment="1" applyProtection="1">
      <alignment horizontal="center" vertical="center"/>
    </xf>
    <xf numFmtId="0" fontId="42" fillId="32" borderId="13" xfId="208" applyFont="1" applyFill="1" applyBorder="1" applyAlignment="1" applyProtection="1">
      <alignment horizontal="center" vertical="center"/>
    </xf>
    <xf numFmtId="0" fontId="42" fillId="32" borderId="162" xfId="208" applyFont="1" applyFill="1" applyBorder="1" applyAlignment="1" applyProtection="1">
      <alignment horizontal="center" vertical="center"/>
    </xf>
    <xf numFmtId="0" fontId="182" fillId="25" borderId="11" xfId="0" applyFont="1" applyFill="1" applyBorder="1" applyAlignment="1" applyProtection="1">
      <alignment horizontal="center" vertical="center"/>
    </xf>
    <xf numFmtId="0" fontId="182" fillId="25" borderId="10" xfId="0" applyFont="1" applyFill="1" applyBorder="1" applyAlignment="1" applyProtection="1">
      <alignment horizontal="center" vertical="center"/>
    </xf>
    <xf numFmtId="0" fontId="182" fillId="25" borderId="9" xfId="0" applyFont="1" applyFill="1" applyBorder="1" applyAlignment="1" applyProtection="1">
      <alignment horizontal="center" vertical="center"/>
    </xf>
    <xf numFmtId="0" fontId="44" fillId="32" borderId="162" xfId="208" applyFont="1" applyFill="1" applyBorder="1" applyAlignment="1" applyProtection="1">
      <alignment horizontal="center" vertical="center"/>
    </xf>
    <xf numFmtId="0" fontId="44" fillId="32" borderId="163" xfId="208" applyFont="1" applyFill="1" applyBorder="1" applyAlignment="1" applyProtection="1">
      <alignment horizontal="center" vertical="center"/>
    </xf>
    <xf numFmtId="0" fontId="42" fillId="25" borderId="76" xfId="208" applyFont="1" applyFill="1" applyBorder="1" applyAlignment="1" applyProtection="1">
      <alignment horizontal="center" vertical="center"/>
    </xf>
    <xf numFmtId="0" fontId="42" fillId="25" borderId="75" xfId="208" applyFont="1" applyFill="1" applyBorder="1" applyAlignment="1" applyProtection="1">
      <alignment horizontal="center" vertical="center"/>
    </xf>
    <xf numFmtId="0" fontId="42" fillId="25" borderId="77" xfId="208" applyFont="1" applyFill="1" applyBorder="1" applyAlignment="1" applyProtection="1">
      <alignment horizontal="center" vertical="center"/>
    </xf>
    <xf numFmtId="0" fontId="2" fillId="0" borderId="128" xfId="208" applyFont="1" applyBorder="1" applyAlignment="1" applyProtection="1">
      <alignment horizontal="left" vertical="center"/>
    </xf>
    <xf numFmtId="0" fontId="2" fillId="0" borderId="131" xfId="208" applyFont="1" applyBorder="1" applyAlignment="1" applyProtection="1">
      <alignment horizontal="left" vertical="center"/>
    </xf>
    <xf numFmtId="0" fontId="42" fillId="25" borderId="344" xfId="208" applyFont="1" applyFill="1" applyBorder="1" applyAlignment="1" applyProtection="1">
      <alignment horizontal="center" vertical="center"/>
    </xf>
    <xf numFmtId="0" fontId="42" fillId="25" borderId="345" xfId="208" applyFont="1" applyFill="1" applyBorder="1" applyAlignment="1" applyProtection="1">
      <alignment horizontal="center" vertical="center"/>
    </xf>
    <xf numFmtId="0" fontId="2" fillId="0" borderId="10" xfId="208" applyFont="1" applyFill="1" applyBorder="1" applyAlignment="1" applyProtection="1">
      <alignment horizontal="center" vertical="center"/>
    </xf>
    <xf numFmtId="0" fontId="2" fillId="0" borderId="9" xfId="208" applyFont="1" applyFill="1" applyBorder="1" applyAlignment="1" applyProtection="1">
      <alignment horizontal="center" vertical="center"/>
    </xf>
    <xf numFmtId="0" fontId="42" fillId="26" borderId="49" xfId="208" applyFont="1" applyFill="1" applyBorder="1" applyAlignment="1" applyProtection="1">
      <alignment horizontal="center" vertical="center"/>
    </xf>
    <xf numFmtId="0" fontId="78" fillId="2" borderId="13" xfId="208" applyFont="1" applyFill="1" applyBorder="1" applyAlignment="1" applyProtection="1">
      <alignment horizontal="center" vertical="center" wrapText="1"/>
    </xf>
    <xf numFmtId="0" fontId="78" fillId="2" borderId="19" xfId="208" applyFont="1" applyFill="1" applyBorder="1" applyAlignment="1" applyProtection="1">
      <alignment horizontal="center" vertical="center" wrapText="1"/>
    </xf>
    <xf numFmtId="0" fontId="78" fillId="2" borderId="162" xfId="208" applyFont="1" applyFill="1" applyBorder="1" applyAlignment="1" applyProtection="1">
      <alignment horizontal="center" vertical="center" wrapText="1"/>
    </xf>
    <xf numFmtId="0" fontId="78" fillId="2" borderId="0" xfId="208" applyFont="1" applyFill="1" applyBorder="1" applyAlignment="1" applyProtection="1">
      <alignment horizontal="center" vertical="center" wrapText="1"/>
    </xf>
    <xf numFmtId="0" fontId="78" fillId="34" borderId="163" xfId="208" applyFont="1" applyFill="1" applyBorder="1" applyAlignment="1" applyProtection="1">
      <alignment horizontal="center" vertical="center" wrapText="1"/>
    </xf>
    <xf numFmtId="0" fontId="78" fillId="34" borderId="18" xfId="208" applyFont="1" applyFill="1" applyBorder="1" applyAlignment="1" applyProtection="1">
      <alignment horizontal="center" vertical="center" wrapText="1"/>
    </xf>
    <xf numFmtId="0" fontId="2" fillId="0" borderId="139" xfId="208" applyFont="1" applyBorder="1" applyAlignment="1" applyProtection="1">
      <alignment horizontal="left" vertical="center"/>
    </xf>
    <xf numFmtId="0" fontId="2" fillId="0" borderId="328" xfId="208" applyFont="1" applyBorder="1" applyAlignment="1" applyProtection="1">
      <alignment horizontal="left" vertical="center"/>
    </xf>
    <xf numFmtId="0" fontId="2" fillId="0" borderId="138" xfId="208" applyFont="1" applyBorder="1" applyAlignment="1" applyProtection="1">
      <alignment vertical="center"/>
    </xf>
    <xf numFmtId="0" fontId="2" fillId="0" borderId="133" xfId="208" applyFont="1" applyBorder="1" applyAlignment="1" applyProtection="1">
      <alignment vertical="center"/>
    </xf>
    <xf numFmtId="0" fontId="2" fillId="0" borderId="128" xfId="208" applyFont="1" applyBorder="1" applyAlignment="1" applyProtection="1">
      <alignment horizontal="center" vertical="center" wrapText="1"/>
    </xf>
    <xf numFmtId="0" fontId="2" fillId="0" borderId="131" xfId="208" applyFont="1" applyBorder="1" applyAlignment="1" applyProtection="1">
      <alignment horizontal="center" vertical="center" wrapText="1"/>
    </xf>
    <xf numFmtId="0" fontId="2" fillId="0" borderId="129" xfId="208" applyFont="1" applyBorder="1" applyAlignment="1" applyProtection="1">
      <alignment horizontal="center" vertical="center" wrapText="1"/>
    </xf>
    <xf numFmtId="0" fontId="2" fillId="0" borderId="13" xfId="208" applyFont="1" applyBorder="1" applyAlignment="1" applyProtection="1">
      <alignment horizontal="center" wrapText="1"/>
    </xf>
    <xf numFmtId="0" fontId="2" fillId="0" borderId="162" xfId="208" applyFont="1" applyBorder="1" applyAlignment="1" applyProtection="1">
      <alignment horizontal="center" wrapText="1"/>
    </xf>
    <xf numFmtId="0" fontId="2" fillId="0" borderId="15" xfId="208" applyFont="1" applyBorder="1" applyAlignment="1" applyProtection="1">
      <alignment horizontal="center" wrapText="1"/>
    </xf>
    <xf numFmtId="0" fontId="2" fillId="0" borderId="160" xfId="208" applyFont="1" applyBorder="1" applyAlignment="1" applyProtection="1">
      <alignment horizontal="center" wrapText="1"/>
    </xf>
    <xf numFmtId="167" fontId="2" fillId="0" borderId="162" xfId="208" applyNumberFormat="1" applyFont="1" applyBorder="1" applyAlignment="1" applyProtection="1">
      <alignment horizontal="center" vertical="center"/>
    </xf>
    <xf numFmtId="167" fontId="2" fillId="0" borderId="160" xfId="208" applyNumberFormat="1" applyFont="1" applyBorder="1" applyAlignment="1" applyProtection="1">
      <alignment horizontal="center" vertical="center"/>
    </xf>
    <xf numFmtId="167" fontId="2" fillId="0" borderId="163" xfId="208" applyNumberFormat="1" applyFont="1" applyBorder="1" applyAlignment="1" applyProtection="1">
      <alignment horizontal="center" vertical="center"/>
    </xf>
    <xf numFmtId="167" fontId="2" fillId="0" borderId="14" xfId="208" applyNumberFormat="1" applyFont="1" applyBorder="1" applyAlignment="1" applyProtection="1">
      <alignment horizontal="center" vertical="center"/>
    </xf>
    <xf numFmtId="0" fontId="2" fillId="0" borderId="15" xfId="208" applyFont="1" applyBorder="1" applyAlignment="1" applyProtection="1">
      <alignment horizontal="center"/>
    </xf>
    <xf numFmtId="0" fontId="2" fillId="0" borderId="14" xfId="208" applyFont="1" applyBorder="1" applyAlignment="1" applyProtection="1">
      <alignment horizontal="center"/>
    </xf>
    <xf numFmtId="167" fontId="81" fillId="2" borderId="0" xfId="208" applyNumberFormat="1" applyFont="1" applyFill="1" applyBorder="1" applyAlignment="1" applyProtection="1">
      <alignment horizontal="center" vertical="center" wrapText="1"/>
    </xf>
    <xf numFmtId="1" fontId="81" fillId="27" borderId="0" xfId="208" applyNumberFormat="1" applyFont="1" applyFill="1" applyBorder="1" applyAlignment="1" applyProtection="1">
      <alignment horizontal="center" vertical="center"/>
    </xf>
    <xf numFmtId="1" fontId="81" fillId="27" borderId="160" xfId="208" applyNumberFormat="1" applyFont="1" applyFill="1" applyBorder="1" applyAlignment="1" applyProtection="1">
      <alignment horizontal="center" vertical="center"/>
    </xf>
    <xf numFmtId="0" fontId="78" fillId="2" borderId="163" xfId="208" applyFont="1" applyFill="1" applyBorder="1" applyAlignment="1" applyProtection="1">
      <alignment horizontal="center" vertical="center" wrapText="1"/>
    </xf>
    <xf numFmtId="0" fontId="78" fillId="2" borderId="18" xfId="208" applyFont="1" applyFill="1" applyBorder="1" applyAlignment="1" applyProtection="1">
      <alignment horizontal="center" vertical="center" wrapText="1"/>
    </xf>
    <xf numFmtId="0" fontId="78" fillId="2" borderId="15" xfId="208" applyFont="1" applyFill="1" applyBorder="1" applyAlignment="1" applyProtection="1">
      <alignment horizontal="center" vertical="center" wrapText="1"/>
    </xf>
    <xf numFmtId="0" fontId="78" fillId="2" borderId="160" xfId="208" applyFont="1" applyFill="1" applyBorder="1" applyAlignment="1" applyProtection="1">
      <alignment horizontal="center" vertical="center" wrapText="1"/>
    </xf>
    <xf numFmtId="0" fontId="2" fillId="0" borderId="18" xfId="208" applyFont="1" applyBorder="1" applyAlignment="1" applyProtection="1">
      <alignment horizontal="center" vertical="center"/>
    </xf>
    <xf numFmtId="0" fontId="2" fillId="0" borderId="14" xfId="208" applyFont="1" applyBorder="1" applyAlignment="1" applyProtection="1">
      <alignment horizontal="center" vertical="center"/>
    </xf>
    <xf numFmtId="0" fontId="81" fillId="2" borderId="18" xfId="208" applyFont="1" applyFill="1" applyBorder="1" applyAlignment="1" applyProtection="1">
      <alignment horizontal="center" vertical="center" wrapText="1"/>
    </xf>
    <xf numFmtId="0" fontId="1" fillId="0" borderId="53" xfId="71" applyFont="1" applyBorder="1" applyAlignment="1" applyProtection="1">
      <alignment horizontal="center"/>
    </xf>
    <xf numFmtId="0" fontId="1" fillId="0" borderId="54" xfId="71" applyFont="1" applyBorder="1" applyAlignment="1" applyProtection="1">
      <alignment horizontal="center"/>
    </xf>
    <xf numFmtId="0" fontId="3" fillId="0" borderId="16" xfId="71" applyFont="1" applyBorder="1" applyAlignment="1" applyProtection="1">
      <alignment horizontal="center" vertical="center" wrapText="1"/>
    </xf>
    <xf numFmtId="0" fontId="2" fillId="0" borderId="149" xfId="208" applyFont="1" applyBorder="1" applyAlignment="1" applyProtection="1">
      <alignment horizontal="left" vertical="center"/>
    </xf>
    <xf numFmtId="0" fontId="2" fillId="0" borderId="67" xfId="208" applyFont="1" applyBorder="1" applyAlignment="1" applyProtection="1">
      <alignment horizontal="left" vertical="center"/>
    </xf>
    <xf numFmtId="0" fontId="42" fillId="28" borderId="76" xfId="208" applyFont="1" applyFill="1" applyBorder="1" applyAlignment="1" applyProtection="1">
      <alignment horizontal="center" vertical="center"/>
    </xf>
    <xf numFmtId="0" fontId="42" fillId="28" borderId="75" xfId="208" applyFont="1" applyFill="1" applyBorder="1" applyAlignment="1" applyProtection="1">
      <alignment horizontal="center" vertical="center"/>
    </xf>
    <xf numFmtId="0" fontId="42" fillId="28" borderId="77" xfId="208" applyFont="1" applyFill="1" applyBorder="1" applyAlignment="1" applyProtection="1">
      <alignment horizontal="center" vertical="center"/>
    </xf>
    <xf numFmtId="0" fontId="42" fillId="28" borderId="11" xfId="71" applyFont="1" applyFill="1" applyBorder="1" applyAlignment="1" applyProtection="1">
      <alignment horizontal="center" vertical="center"/>
    </xf>
    <xf numFmtId="0" fontId="42" fillId="28" borderId="10" xfId="71" applyFont="1" applyFill="1" applyBorder="1" applyAlignment="1" applyProtection="1">
      <alignment horizontal="center" vertical="center"/>
    </xf>
    <xf numFmtId="0" fontId="2" fillId="26" borderId="149" xfId="208" applyFont="1" applyFill="1" applyBorder="1" applyAlignment="1" applyProtection="1">
      <alignment horizontal="left" vertical="center"/>
    </xf>
    <xf numFmtId="0" fontId="2" fillId="26" borderId="67" xfId="208" applyFont="1" applyFill="1" applyBorder="1" applyAlignment="1" applyProtection="1">
      <alignment horizontal="left" vertical="center"/>
    </xf>
    <xf numFmtId="0" fontId="2" fillId="0" borderId="78" xfId="208" applyFont="1" applyBorder="1" applyAlignment="1" applyProtection="1">
      <alignment horizontal="left" vertical="center"/>
    </xf>
    <xf numFmtId="0" fontId="3" fillId="33" borderId="13" xfId="295" applyFont="1" applyFill="1" applyBorder="1" applyAlignment="1" applyProtection="1">
      <alignment horizontal="center" vertical="center"/>
    </xf>
    <xf numFmtId="0" fontId="3" fillId="33" borderId="12" xfId="295" applyFont="1" applyFill="1" applyBorder="1" applyAlignment="1" applyProtection="1">
      <alignment horizontal="center" vertical="center"/>
    </xf>
    <xf numFmtId="0" fontId="6" fillId="33" borderId="19" xfId="295" applyFont="1" applyFill="1" applyBorder="1" applyAlignment="1" applyProtection="1">
      <alignment horizontal="center" vertical="center"/>
    </xf>
    <xf numFmtId="0" fontId="6" fillId="33" borderId="0" xfId="295" applyFont="1" applyFill="1" applyBorder="1" applyAlignment="1" applyProtection="1">
      <alignment horizontal="center" vertical="center"/>
    </xf>
    <xf numFmtId="0" fontId="6" fillId="33" borderId="18" xfId="295" applyFont="1" applyFill="1" applyBorder="1" applyAlignment="1" applyProtection="1">
      <alignment horizontal="center" vertical="center"/>
    </xf>
    <xf numFmtId="0" fontId="1" fillId="0" borderId="19" xfId="208" applyFont="1" applyBorder="1" applyAlignment="1" applyProtection="1">
      <alignment horizontal="right"/>
    </xf>
    <xf numFmtId="0" fontId="1" fillId="0" borderId="0" xfId="208" applyFont="1" applyBorder="1" applyAlignment="1" applyProtection="1">
      <alignment horizontal="right"/>
    </xf>
    <xf numFmtId="0" fontId="12" fillId="26" borderId="19" xfId="208" applyFont="1" applyFill="1" applyBorder="1" applyAlignment="1" applyProtection="1">
      <alignment horizontal="justify" vertical="center" wrapText="1"/>
    </xf>
    <xf numFmtId="0" fontId="12" fillId="0" borderId="19" xfId="208" applyFont="1" applyBorder="1" applyAlignment="1" applyProtection="1">
      <alignment horizontal="center" wrapText="1"/>
    </xf>
    <xf numFmtId="0" fontId="78" fillId="28" borderId="11" xfId="208" applyFont="1" applyFill="1" applyBorder="1" applyAlignment="1" applyProtection="1">
      <alignment horizontal="center" vertical="center" wrapText="1"/>
    </xf>
    <xf numFmtId="0" fontId="78" fillId="28" borderId="10" xfId="208" applyFont="1" applyFill="1" applyBorder="1" applyAlignment="1" applyProtection="1">
      <alignment horizontal="center" vertical="center" wrapText="1"/>
    </xf>
    <xf numFmtId="0" fontId="2" fillId="0" borderId="91" xfId="208" applyFont="1" applyBorder="1" applyAlignment="1" applyProtection="1">
      <alignment horizontal="left" vertical="center" wrapText="1"/>
    </xf>
    <xf numFmtId="0" fontId="2" fillId="0" borderId="92" xfId="208" applyFont="1" applyBorder="1" applyAlignment="1" applyProtection="1">
      <alignment horizontal="left" vertical="center" wrapText="1"/>
    </xf>
    <xf numFmtId="0" fontId="2" fillId="0" borderId="333" xfId="208" applyFont="1" applyBorder="1" applyAlignment="1" applyProtection="1">
      <alignment horizontal="left" vertical="center" wrapText="1"/>
    </xf>
    <xf numFmtId="0" fontId="2" fillId="0" borderId="202" xfId="208" applyFont="1" applyBorder="1" applyAlignment="1" applyProtection="1">
      <alignment horizontal="left" vertical="center" wrapText="1"/>
    </xf>
    <xf numFmtId="0" fontId="1" fillId="0" borderId="162" xfId="208" applyFont="1" applyBorder="1" applyAlignment="1" applyProtection="1">
      <alignment horizontal="center"/>
    </xf>
    <xf numFmtId="0" fontId="1" fillId="0" borderId="163" xfId="208" applyFont="1" applyBorder="1" applyAlignment="1" applyProtection="1">
      <alignment horizontal="center"/>
    </xf>
    <xf numFmtId="0" fontId="1" fillId="0" borderId="160" xfId="208" applyFont="1" applyBorder="1" applyAlignment="1" applyProtection="1">
      <alignment horizontal="center"/>
    </xf>
    <xf numFmtId="0" fontId="2" fillId="0" borderId="94" xfId="208" applyFont="1" applyBorder="1" applyAlignment="1" applyProtection="1">
      <alignment horizontal="left" vertical="center" wrapText="1"/>
    </xf>
    <xf numFmtId="0" fontId="2" fillId="0" borderId="95" xfId="208" applyFont="1" applyBorder="1" applyAlignment="1" applyProtection="1">
      <alignment horizontal="left" vertical="center" wrapText="1"/>
    </xf>
    <xf numFmtId="0" fontId="2" fillId="0" borderId="117" xfId="208" applyFont="1" applyBorder="1" applyAlignment="1" applyProtection="1">
      <alignment horizontal="left" vertical="center" wrapText="1"/>
    </xf>
    <xf numFmtId="0" fontId="2" fillId="0" borderId="110" xfId="208" applyFont="1" applyBorder="1" applyAlignment="1" applyProtection="1">
      <alignment horizontal="left" vertical="center" wrapText="1"/>
    </xf>
    <xf numFmtId="0" fontId="2" fillId="0" borderId="330" xfId="208" applyFont="1" applyBorder="1" applyAlignment="1" applyProtection="1">
      <alignment horizontal="left" vertical="center"/>
    </xf>
    <xf numFmtId="0" fontId="2" fillId="0" borderId="329" xfId="208" applyFont="1" applyBorder="1" applyAlignment="1" applyProtection="1">
      <alignment horizontal="left" vertical="center"/>
    </xf>
    <xf numFmtId="0" fontId="2" fillId="0" borderId="156" xfId="208" applyFont="1" applyBorder="1" applyAlignment="1" applyProtection="1">
      <alignment horizontal="left" vertical="center" wrapText="1"/>
    </xf>
    <xf numFmtId="0" fontId="2" fillId="0" borderId="157" xfId="208" applyFont="1" applyBorder="1" applyAlignment="1" applyProtection="1">
      <alignment horizontal="left" vertical="center" wrapText="1"/>
    </xf>
  </cellXfs>
  <cellStyles count="548">
    <cellStyle name="20% - Accent1" xfId="296"/>
    <cellStyle name="20% - Accent1 2" xfId="297"/>
    <cellStyle name="20% - Accent1 2 2" xfId="433"/>
    <cellStyle name="20% - Accent1 3" xfId="434"/>
    <cellStyle name="20% - Accent2" xfId="298"/>
    <cellStyle name="20% - Accent2 2" xfId="299"/>
    <cellStyle name="20% - Accent2 2 2" xfId="435"/>
    <cellStyle name="20% - Accent2 3" xfId="436"/>
    <cellStyle name="20% - Accent3" xfId="300"/>
    <cellStyle name="20% - Accent3 2" xfId="301"/>
    <cellStyle name="20% - Accent3 2 2" xfId="437"/>
    <cellStyle name="20% - Accent3 3" xfId="438"/>
    <cellStyle name="20% - Accent4" xfId="302"/>
    <cellStyle name="20% - Accent4 2" xfId="303"/>
    <cellStyle name="20% - Accent4 2 2" xfId="439"/>
    <cellStyle name="20% - Accent4 3" xfId="440"/>
    <cellStyle name="20% - Accent5" xfId="304"/>
    <cellStyle name="20% - Accent5 2" xfId="305"/>
    <cellStyle name="20% - Accent5 2 2" xfId="441"/>
    <cellStyle name="20% - Accent5 3" xfId="442"/>
    <cellStyle name="20% - Accent6" xfId="306"/>
    <cellStyle name="20% - Accent6 2" xfId="307"/>
    <cellStyle name="20% - Accent6 2 2" xfId="443"/>
    <cellStyle name="20% - Accent6 3" xfId="444"/>
    <cellStyle name="20% - Énfasis1 2" xfId="22"/>
    <cellStyle name="20% - Énfasis1 2 2" xfId="308"/>
    <cellStyle name="20% - Énfasis1 2 2 2" xfId="445"/>
    <cellStyle name="20% - Énfasis1 2 3" xfId="446"/>
    <cellStyle name="20% - Énfasis2 2" xfId="23"/>
    <cellStyle name="20% - Énfasis2 2 2" xfId="309"/>
    <cellStyle name="20% - Énfasis2 2 2 2" xfId="447"/>
    <cellStyle name="20% - Énfasis2 2 3" xfId="448"/>
    <cellStyle name="20% - Énfasis3 2" xfId="24"/>
    <cellStyle name="20% - Énfasis3 2 2" xfId="310"/>
    <cellStyle name="20% - Énfasis3 2 2 2" xfId="449"/>
    <cellStyle name="20% - Énfasis3 2 3" xfId="450"/>
    <cellStyle name="20% - Énfasis4 2" xfId="25"/>
    <cellStyle name="20% - Énfasis4 2 2" xfId="311"/>
    <cellStyle name="20% - Énfasis4 2 2 2" xfId="451"/>
    <cellStyle name="20% - Énfasis4 2 3" xfId="452"/>
    <cellStyle name="20% - Énfasis5 2" xfId="26"/>
    <cellStyle name="20% - Énfasis5 2 2" xfId="312"/>
    <cellStyle name="20% - Énfasis5 2 2 2" xfId="453"/>
    <cellStyle name="20% - Énfasis5 2 3" xfId="454"/>
    <cellStyle name="20% - Énfasis6 2" xfId="27"/>
    <cellStyle name="20% - Énfasis6 2 2" xfId="313"/>
    <cellStyle name="20% - Énfasis6 2 2 2" xfId="455"/>
    <cellStyle name="20% - Énfasis6 2 3" xfId="456"/>
    <cellStyle name="40% - Accent1" xfId="314"/>
    <cellStyle name="40% - Accent1 2" xfId="315"/>
    <cellStyle name="40% - Accent1 2 2" xfId="457"/>
    <cellStyle name="40% - Accent1 3" xfId="458"/>
    <cellStyle name="40% - Accent2" xfId="316"/>
    <cellStyle name="40% - Accent2 2" xfId="317"/>
    <cellStyle name="40% - Accent2 2 2" xfId="459"/>
    <cellStyle name="40% - Accent2 3" xfId="460"/>
    <cellStyle name="40% - Accent3" xfId="318"/>
    <cellStyle name="40% - Accent3 2" xfId="319"/>
    <cellStyle name="40% - Accent3 2 2" xfId="461"/>
    <cellStyle name="40% - Accent3 3" xfId="462"/>
    <cellStyle name="40% - Accent4" xfId="320"/>
    <cellStyle name="40% - Accent4 2" xfId="321"/>
    <cellStyle name="40% - Accent4 2 2" xfId="463"/>
    <cellStyle name="40% - Accent4 3" xfId="464"/>
    <cellStyle name="40% - Accent5" xfId="322"/>
    <cellStyle name="40% - Accent5 2" xfId="323"/>
    <cellStyle name="40% - Accent5 2 2" xfId="465"/>
    <cellStyle name="40% - Accent5 3" xfId="466"/>
    <cellStyle name="40% - Accent6" xfId="324"/>
    <cellStyle name="40% - Accent6 2" xfId="325"/>
    <cellStyle name="40% - Accent6 2 2" xfId="467"/>
    <cellStyle name="40% - Accent6 3" xfId="468"/>
    <cellStyle name="40% - Énfasis1 2" xfId="28"/>
    <cellStyle name="40% - Énfasis1 2 2" xfId="326"/>
    <cellStyle name="40% - Énfasis1 2 2 2" xfId="469"/>
    <cellStyle name="40% - Énfasis1 2 3" xfId="470"/>
    <cellStyle name="40% - Énfasis2 2" xfId="29"/>
    <cellStyle name="40% - Énfasis2 2 2" xfId="327"/>
    <cellStyle name="40% - Énfasis2 2 2 2" xfId="471"/>
    <cellStyle name="40% - Énfasis2 2 3" xfId="472"/>
    <cellStyle name="40% - Énfasis3 2" xfId="30"/>
    <cellStyle name="40% - Énfasis3 2 2" xfId="328"/>
    <cellStyle name="40% - Énfasis3 2 2 2" xfId="473"/>
    <cellStyle name="40% - Énfasis3 2 3" xfId="474"/>
    <cellStyle name="40% - Énfasis4 2" xfId="31"/>
    <cellStyle name="40% - Énfasis4 2 2" xfId="329"/>
    <cellStyle name="40% - Énfasis4 2 2 2" xfId="475"/>
    <cellStyle name="40% - Énfasis4 2 3" xfId="476"/>
    <cellStyle name="40% - Énfasis5 2" xfId="32"/>
    <cellStyle name="40% - Énfasis5 2 2" xfId="330"/>
    <cellStyle name="40% - Énfasis5 2 2 2" xfId="477"/>
    <cellStyle name="40% - Énfasis5 2 3" xfId="478"/>
    <cellStyle name="40% - Énfasis6 2" xfId="33"/>
    <cellStyle name="40% - Énfasis6 2 2" xfId="331"/>
    <cellStyle name="40% - Énfasis6 2 2 2" xfId="479"/>
    <cellStyle name="40% - Énfasis6 2 3" xfId="480"/>
    <cellStyle name="60% - Accent1" xfId="332"/>
    <cellStyle name="60% - Accent1 2" xfId="333"/>
    <cellStyle name="60% - Accent2" xfId="334"/>
    <cellStyle name="60% - Accent2 2" xfId="335"/>
    <cellStyle name="60% - Accent3" xfId="336"/>
    <cellStyle name="60% - Accent3 2" xfId="337"/>
    <cellStyle name="60% - Accent4" xfId="338"/>
    <cellStyle name="60% - Accent4 2" xfId="339"/>
    <cellStyle name="60% - Accent5" xfId="340"/>
    <cellStyle name="60% - Accent5 2" xfId="341"/>
    <cellStyle name="60% - Accent6" xfId="342"/>
    <cellStyle name="60% - Accent6 2" xfId="343"/>
    <cellStyle name="60% - Énfasis1 2" xfId="34"/>
    <cellStyle name="60% - Énfasis1 2 2" xfId="344"/>
    <cellStyle name="60% - Énfasis2 2" xfId="35"/>
    <cellStyle name="60% - Énfasis2 2 2" xfId="345"/>
    <cellStyle name="60% - Énfasis3 2" xfId="36"/>
    <cellStyle name="60% - Énfasis3 2 2" xfId="346"/>
    <cellStyle name="60% - Énfasis4 2" xfId="37"/>
    <cellStyle name="60% - Énfasis4 2 2" xfId="347"/>
    <cellStyle name="60% - Énfasis5 2" xfId="38"/>
    <cellStyle name="60% - Énfasis5 2 2" xfId="348"/>
    <cellStyle name="60% - Énfasis6 2" xfId="39"/>
    <cellStyle name="60% - Énfasis6 2 2" xfId="349"/>
    <cellStyle name="Accent1" xfId="350"/>
    <cellStyle name="Accent1 2" xfId="351"/>
    <cellStyle name="Accent2" xfId="352"/>
    <cellStyle name="Accent2 2" xfId="353"/>
    <cellStyle name="Accent3" xfId="354"/>
    <cellStyle name="Accent3 2" xfId="355"/>
    <cellStyle name="Accent4" xfId="356"/>
    <cellStyle name="Accent4 2" xfId="357"/>
    <cellStyle name="Accent5" xfId="358"/>
    <cellStyle name="Accent5 2" xfId="359"/>
    <cellStyle name="Accent6" xfId="360"/>
    <cellStyle name="Accent6 2" xfId="361"/>
    <cellStyle name="Bad" xfId="362"/>
    <cellStyle name="Bad 2" xfId="363"/>
    <cellStyle name="Buena 2" xfId="40"/>
    <cellStyle name="Buena 2 2" xfId="364"/>
    <cellStyle name="Calculation" xfId="365"/>
    <cellStyle name="Calculation 2" xfId="366"/>
    <cellStyle name="Cálculo 2" xfId="41"/>
    <cellStyle name="Cálculo 2 2" xfId="367"/>
    <cellStyle name="Celda de comprobación 2" xfId="42"/>
    <cellStyle name="Celda de comprobación 2 2" xfId="368"/>
    <cellStyle name="Celda vinculada 2" xfId="43"/>
    <cellStyle name="Celda vinculada 2 2" xfId="369"/>
    <cellStyle name="Check Cell" xfId="370"/>
    <cellStyle name="Check Cell 2" xfId="371"/>
    <cellStyle name="CIENTOS" xfId="151"/>
    <cellStyle name="CIENTOS 2D" xfId="152"/>
    <cellStyle name="CIENTOS 3D" xfId="153"/>
    <cellStyle name="CIENTOS 4D" xfId="154"/>
    <cellStyle name="CIENTOS_Acta 01 Sep15 a Oct 31_07 Rogelio" xfId="155"/>
    <cellStyle name="Comma" xfId="4"/>
    <cellStyle name="Comma [0]" xfId="372"/>
    <cellStyle name="Comma0" xfId="156"/>
    <cellStyle name="Comma0 - Modelo5" xfId="157"/>
    <cellStyle name="Comma1 - Modelo1" xfId="158"/>
    <cellStyle name="Curren - Modelo2" xfId="159"/>
    <cellStyle name="Curren - Modelo6" xfId="160"/>
    <cellStyle name="Currency" xfId="5"/>
    <cellStyle name="Currency [0]" xfId="373"/>
    <cellStyle name="Currency0" xfId="161"/>
    <cellStyle name="Date" xfId="6"/>
    <cellStyle name="Date - Modelo4" xfId="162"/>
    <cellStyle name="Encabezado 4 2" xfId="44"/>
    <cellStyle name="Encabezado 4 2 2" xfId="374"/>
    <cellStyle name="Énfasis1 2" xfId="45"/>
    <cellStyle name="Énfasis1 2 2" xfId="375"/>
    <cellStyle name="Énfasis2 2" xfId="46"/>
    <cellStyle name="Énfasis2 2 2" xfId="376"/>
    <cellStyle name="Énfasis3 2" xfId="47"/>
    <cellStyle name="Énfasis3 2 2" xfId="377"/>
    <cellStyle name="Énfasis4 2" xfId="48"/>
    <cellStyle name="Énfasis4 2 2" xfId="378"/>
    <cellStyle name="Énfasis5 2" xfId="49"/>
    <cellStyle name="Énfasis5 2 2" xfId="379"/>
    <cellStyle name="Énfasis6 2" xfId="50"/>
    <cellStyle name="Énfasis6 2 2" xfId="380"/>
    <cellStyle name="Entrada 2" xfId="51"/>
    <cellStyle name="Entrada 2 2" xfId="381"/>
    <cellStyle name="Estilo 1" xfId="382"/>
    <cellStyle name="Estilo 2" xfId="383"/>
    <cellStyle name="Estilo 3" xfId="384"/>
    <cellStyle name="Euro" xfId="7"/>
    <cellStyle name="Euro 2" xfId="52"/>
    <cellStyle name="Euro 2 2" xfId="65"/>
    <cellStyle name="Euro 3" xfId="163"/>
    <cellStyle name="Euro 4" xfId="164"/>
    <cellStyle name="Euro 5" xfId="165"/>
    <cellStyle name="Euro_ACTAS DE OBRA CONTRATO" xfId="166"/>
    <cellStyle name="Explanatory Text" xfId="385"/>
    <cellStyle name="Explanatory Text 2" xfId="386"/>
    <cellStyle name="F2" xfId="8"/>
    <cellStyle name="F3" xfId="9"/>
    <cellStyle name="F4" xfId="10"/>
    <cellStyle name="F5" xfId="11"/>
    <cellStyle name="F6" xfId="12"/>
    <cellStyle name="F7" xfId="13"/>
    <cellStyle name="F8" xfId="14"/>
    <cellStyle name="Fixed" xfId="15"/>
    <cellStyle name="Good" xfId="387"/>
    <cellStyle name="Good 2" xfId="388"/>
    <cellStyle name="Heading 1" xfId="167"/>
    <cellStyle name="Heading 1 2" xfId="389"/>
    <cellStyle name="Heading 1 3" xfId="390"/>
    <cellStyle name="Heading 2" xfId="168"/>
    <cellStyle name="Heading 2 2" xfId="391"/>
    <cellStyle name="Heading 2 3" xfId="392"/>
    <cellStyle name="Heading 3" xfId="393"/>
    <cellStyle name="Heading 3 2" xfId="394"/>
    <cellStyle name="Heading 4" xfId="395"/>
    <cellStyle name="Heading 4 2" xfId="396"/>
    <cellStyle name="Heading1" xfId="16"/>
    <cellStyle name="Heading2" xfId="17"/>
    <cellStyle name="Hipervínculo 2" xfId="75"/>
    <cellStyle name="Hipervínculo 2 2" xfId="76"/>
    <cellStyle name="Hipervínculo 2 3" xfId="77"/>
    <cellStyle name="Hipervínculo 2 4" xfId="78"/>
    <cellStyle name="Hipervínculo 3" xfId="79"/>
    <cellStyle name="Hipervínculo 3 2" xfId="169"/>
    <cellStyle name="Hipervínculo 4" xfId="80"/>
    <cellStyle name="Hipervínculo 4 2" xfId="81"/>
    <cellStyle name="Hipervínculo 4 3" xfId="82"/>
    <cellStyle name="Hipervínculo 5" xfId="83"/>
    <cellStyle name="Hipervínculo 5 2" xfId="84"/>
    <cellStyle name="Hipervínculo 6" xfId="85"/>
    <cellStyle name="Hipervínculo 6 2" xfId="86"/>
    <cellStyle name="Hipervínculo 7" xfId="170"/>
    <cellStyle name="Incorrecto 2" xfId="53"/>
    <cellStyle name="Incorrecto 2 2" xfId="397"/>
    <cellStyle name="Input" xfId="398"/>
    <cellStyle name="Input 2" xfId="399"/>
    <cellStyle name="Linked Cell" xfId="400"/>
    <cellStyle name="Linked Cell 2" xfId="401"/>
    <cellStyle name="MILE DE MILLONES" xfId="171"/>
    <cellStyle name="MILES" xfId="172"/>
    <cellStyle name="Millares [0] 2" xfId="173"/>
    <cellStyle name="Millares [0] 2 2" xfId="174"/>
    <cellStyle name="Millares [0] 2 2 2" xfId="489"/>
    <cellStyle name="Millares [0] 2 2 2 2" xfId="490"/>
    <cellStyle name="Millares [0] 2 3" xfId="175"/>
    <cellStyle name="Millares [0] 2 3 2" xfId="491"/>
    <cellStyle name="Millares [0] 2 3 2 2" xfId="492"/>
    <cellStyle name="Millares [0] 2 4" xfId="176"/>
    <cellStyle name="Millares [0] 2 4 2" xfId="493"/>
    <cellStyle name="Millares [0] 2 4 2 2" xfId="494"/>
    <cellStyle name="Millares [0] 2 5" xfId="177"/>
    <cellStyle name="Millares [0] 2 5 2" xfId="495"/>
    <cellStyle name="Millares [0] 2 5 2 2" xfId="496"/>
    <cellStyle name="Millares [0] 2 6" xfId="497"/>
    <cellStyle name="Millares [0] 2 6 2" xfId="498"/>
    <cellStyle name="Millares 10" xfId="178"/>
    <cellStyle name="Millares 11" xfId="179"/>
    <cellStyle name="Millares 12" xfId="180"/>
    <cellStyle name="Millares 13" xfId="181"/>
    <cellStyle name="Millares 14" xfId="182"/>
    <cellStyle name="Millares 15" xfId="183"/>
    <cellStyle name="Millares 2" xfId="3"/>
    <cellStyle name="Millares 2 2" xfId="499"/>
    <cellStyle name="Millares 2 2 2" xfId="500"/>
    <cellStyle name="Millares 2 2 2 2" xfId="501"/>
    <cellStyle name="Millares 2 2 3" xfId="502"/>
    <cellStyle name="Millares 3" xfId="184"/>
    <cellStyle name="Millares 3 2" xfId="185"/>
    <cellStyle name="Millares 3 2 2" xfId="503"/>
    <cellStyle name="Millares 3 2 2 2" xfId="504"/>
    <cellStyle name="Millares 4" xfId="186"/>
    <cellStyle name="Millares 5" xfId="187"/>
    <cellStyle name="Millares 6" xfId="188"/>
    <cellStyle name="Millares 7" xfId="189"/>
    <cellStyle name="Millares 8" xfId="190"/>
    <cellStyle name="Millares 9" xfId="191"/>
    <cellStyle name="MILLONES" xfId="192"/>
    <cellStyle name="Moneda 10" xfId="193"/>
    <cellStyle name="Moneda 11" xfId="194"/>
    <cellStyle name="Moneda 12" xfId="195"/>
    <cellStyle name="Moneda 13" xfId="196"/>
    <cellStyle name="Moneda 2" xfId="197"/>
    <cellStyle name="Moneda 3" xfId="198"/>
    <cellStyle name="Moneda 4" xfId="199"/>
    <cellStyle name="Moneda 5" xfId="200"/>
    <cellStyle name="Moneda 6" xfId="201"/>
    <cellStyle name="Moneda 7" xfId="202"/>
    <cellStyle name="Moneda 8" xfId="203"/>
    <cellStyle name="Moneda 9" xfId="204"/>
    <cellStyle name="Monetario0" xfId="205"/>
    <cellStyle name="Neutral 2" xfId="54"/>
    <cellStyle name="Neutral 2 2" xfId="402"/>
    <cellStyle name="Nïrmal_PROINVER" xfId="206"/>
    <cellStyle name="No. punto" xfId="207"/>
    <cellStyle name="Normal" xfId="0" builtinId="0"/>
    <cellStyle name="Normal 10" xfId="87"/>
    <cellStyle name="Normal 10 2" xfId="208"/>
    <cellStyle name="Normal 10 2 2" xfId="505"/>
    <cellStyle name="Normal 10 3" xfId="506"/>
    <cellStyle name="Normal 10 4" xfId="507"/>
    <cellStyle name="Normal 11" xfId="209"/>
    <cellStyle name="Normal 11 2" xfId="210"/>
    <cellStyle name="Normal 12" xfId="508"/>
    <cellStyle name="Normal 12 2" xfId="509"/>
    <cellStyle name="Normal 12 2 2" xfId="510"/>
    <cellStyle name="Normal 12 3" xfId="511"/>
    <cellStyle name="Normal 13" xfId="512"/>
    <cellStyle name="Normal 14" xfId="545"/>
    <cellStyle name="Normal 2" xfId="1"/>
    <cellStyle name="Normal 2 10" xfId="211"/>
    <cellStyle name="Normal 2 10 2" xfId="150"/>
    <cellStyle name="Normal 2 2" xfId="73"/>
    <cellStyle name="Normal 2 2 2" xfId="88"/>
    <cellStyle name="Normal 2 2 2 2" xfId="89"/>
    <cellStyle name="Normal 2 2 2 2 2" xfId="212"/>
    <cellStyle name="Normal 2 2 2 2 3" xfId="213"/>
    <cellStyle name="Normal 2 2 2 3" xfId="90"/>
    <cellStyle name="Normal 2 2 2 3 2" xfId="214"/>
    <cellStyle name="Normal 2 2 2 3 3" xfId="215"/>
    <cellStyle name="Normal 2 2 2 4" xfId="91"/>
    <cellStyle name="Normal 2 2 2 4 2" xfId="216"/>
    <cellStyle name="Normal 2 2 2 5" xfId="92"/>
    <cellStyle name="Normal 2 2 2 5 2" xfId="217"/>
    <cellStyle name="Normal 2 2 2 6" xfId="218"/>
    <cellStyle name="Normal 2 2 3" xfId="93"/>
    <cellStyle name="Normal 2 2 3 2" xfId="94"/>
    <cellStyle name="Normal 2 2 3 3" xfId="219"/>
    <cellStyle name="Normal 2 2 3 3 2" xfId="220"/>
    <cellStyle name="Normal 2 2 4" xfId="95"/>
    <cellStyle name="Normal 2 2 4 2" xfId="96"/>
    <cellStyle name="Normal 2 2 4 2 2" xfId="97"/>
    <cellStyle name="Normal 2 2 4 3" xfId="221"/>
    <cellStyle name="Normal 2 2 4 3 2" xfId="222"/>
    <cellStyle name="Normal 2 2 5" xfId="98"/>
    <cellStyle name="Normal 2 2 5 2" xfId="513"/>
    <cellStyle name="Normal 2 2 6" xfId="514"/>
    <cellStyle name="Normal 2 3" xfId="99"/>
    <cellStyle name="Normal 2 3 10" xfId="223"/>
    <cellStyle name="Normal 2 3 10 2" xfId="224"/>
    <cellStyle name="Normal 2 3 10 2 2" xfId="225"/>
    <cellStyle name="Normal 2 3 11" xfId="226"/>
    <cellStyle name="Normal 2 3 12" xfId="227"/>
    <cellStyle name="Normal 2 3 13" xfId="228"/>
    <cellStyle name="Normal 2 3 14" xfId="229"/>
    <cellStyle name="Normal 2 3 15" xfId="230"/>
    <cellStyle name="Normal 2 3 16" xfId="231"/>
    <cellStyle name="Normal 2 3 17" xfId="232"/>
    <cellStyle name="Normal 2 3 17 2" xfId="233"/>
    <cellStyle name="Normal 2 3 17 3" xfId="234"/>
    <cellStyle name="Normal 2 3 18" xfId="235"/>
    <cellStyle name="Normal 2 3 2" xfId="100"/>
    <cellStyle name="Normal 2 3 3" xfId="68"/>
    <cellStyle name="Normal 2 3 3 2" xfId="236"/>
    <cellStyle name="Normal 2 3 4" xfId="237"/>
    <cellStyle name="Normal 2 3 5" xfId="238"/>
    <cellStyle name="Normal 2 3 5 2" xfId="239"/>
    <cellStyle name="Normal 2 3 5 2 2" xfId="240"/>
    <cellStyle name="Normal 2 3 5 2 2 2" xfId="241"/>
    <cellStyle name="Normal 2 3 5 3" xfId="242"/>
    <cellStyle name="Normal 2 3 5 4" xfId="243"/>
    <cellStyle name="Normal 2 3 5 5" xfId="244"/>
    <cellStyle name="Normal 2 3 5 6" xfId="245"/>
    <cellStyle name="Normal 2 3 5 7" xfId="246"/>
    <cellStyle name="Normal 2 3 5 7 2" xfId="247"/>
    <cellStyle name="Normal 2 3 5 7 2 2" xfId="248"/>
    <cellStyle name="Normal 2 3 5 7 2 2 2" xfId="249"/>
    <cellStyle name="Normal 2 3 5 7 2 2 3" xfId="250"/>
    <cellStyle name="Normal 2 3 5 7 3" xfId="251"/>
    <cellStyle name="Normal 2 3 5 7 4" xfId="252"/>
    <cellStyle name="Normal 2 3 5 7 5" xfId="253"/>
    <cellStyle name="Normal 2 3 5 7 6" xfId="254"/>
    <cellStyle name="Normal 2 3 5 7 7" xfId="255"/>
    <cellStyle name="Normal 2 3 5 7 8" xfId="256"/>
    <cellStyle name="Normal 2 3 5 7 8 2" xfId="257"/>
    <cellStyle name="Normal 2 3 5 7 8 3" xfId="258"/>
    <cellStyle name="Normal 2 3 5 7 8 4" xfId="259"/>
    <cellStyle name="Normal 2 3 5 7 8 4 2" xfId="260"/>
    <cellStyle name="Normal 2 3 5 7 8 4 3" xfId="261"/>
    <cellStyle name="Normal 2 3 5 7 8 4 3 2" xfId="262"/>
    <cellStyle name="Normal 2 3 5 7 8 4 3 3" xfId="263"/>
    <cellStyle name="Normal 2 3 5 7 8 4 3 3 2" xfId="264"/>
    <cellStyle name="Normal 2 3 5 7 8 4 4" xfId="265"/>
    <cellStyle name="Normal 2 3 6" xfId="266"/>
    <cellStyle name="Normal 2 3 7" xfId="267"/>
    <cellStyle name="Normal 2 3 8" xfId="268"/>
    <cellStyle name="Normal 2 3 9" xfId="269"/>
    <cellStyle name="Normal 2 4" xfId="71"/>
    <cellStyle name="Normal 2 4 2" xfId="74"/>
    <cellStyle name="Normal 2 4 3" xfId="270"/>
    <cellStyle name="Normal 2 4 4" xfId="271"/>
    <cellStyle name="Normal 2 5" xfId="101"/>
    <cellStyle name="Normal 2 5 2" xfId="102"/>
    <cellStyle name="Normal 2 5 2 2" xfId="103"/>
    <cellStyle name="Normal 2 6" xfId="104"/>
    <cellStyle name="Normal 2 6 2" xfId="105"/>
    <cellStyle name="Normal 2 6 2 2" xfId="106"/>
    <cellStyle name="Normal 2 6 3" xfId="107"/>
    <cellStyle name="Normal 2 6 3 2" xfId="108"/>
    <cellStyle name="Normal 2 6 3 2 2" xfId="109"/>
    <cellStyle name="Normal 2 6 3 2 3" xfId="110"/>
    <cellStyle name="Normal 2 6 3 2 3 2" xfId="111"/>
    <cellStyle name="Normal 2 6 3 2 3 2 2" xfId="112"/>
    <cellStyle name="Normal 2 6 3 2 4" xfId="113"/>
    <cellStyle name="Normal 2 6 3 2 4 2" xfId="114"/>
    <cellStyle name="Normal 2 6 4" xfId="115"/>
    <cellStyle name="Normal 2 6 5" xfId="116"/>
    <cellStyle name="Normal 2 6 5 2" xfId="272"/>
    <cellStyle name="Normal 2 6 6" xfId="117"/>
    <cellStyle name="Normal 2 6 7" xfId="118"/>
    <cellStyle name="Normal 2 6 7 2" xfId="119"/>
    <cellStyle name="Normal 2 6 7 3" xfId="120"/>
    <cellStyle name="Normal 2 6 8" xfId="121"/>
    <cellStyle name="Normal 2 6 8 2" xfId="122"/>
    <cellStyle name="Normal 2 6 8 2 2" xfId="123"/>
    <cellStyle name="Normal 2 6 8 2 3" xfId="124"/>
    <cellStyle name="Normal 2 6 8 2 4" xfId="273"/>
    <cellStyle name="Normal 2 6 8 3" xfId="125"/>
    <cellStyle name="Normal 2 7" xfId="126"/>
    <cellStyle name="Normal 2 7 2" xfId="127"/>
    <cellStyle name="Normal 2 7 3" xfId="128"/>
    <cellStyle name="Normal 2 7 4" xfId="129"/>
    <cellStyle name="Normal 2 8" xfId="130"/>
    <cellStyle name="Normal 2 8 2" xfId="274"/>
    <cellStyle name="Normal 2 8 2 2" xfId="515"/>
    <cellStyle name="Normal 2 8 3" xfId="516"/>
    <cellStyle name="Normal 2 9" xfId="275"/>
    <cellStyle name="Normal 2 9 2" xfId="517"/>
    <cellStyle name="Normal 2 9 2 2" xfId="518"/>
    <cellStyle name="Normal 2 9 3" xfId="519"/>
    <cellStyle name="Normal 2_138-09" xfId="403"/>
    <cellStyle name="Normal 3" xfId="20"/>
    <cellStyle name="Normal 3 2" xfId="21"/>
    <cellStyle name="Normal 3 3" xfId="131"/>
    <cellStyle name="Normal 3 3 2" xfId="404"/>
    <cellStyle name="Normal 3 3 2 2" xfId="520"/>
    <cellStyle name="Normal 3 3 3" xfId="405"/>
    <cellStyle name="Normal 3 4" xfId="406"/>
    <cellStyle name="Normal 3 5" xfId="407"/>
    <cellStyle name="Normal 3 5 2" xfId="408"/>
    <cellStyle name="Normal 3 6" xfId="481"/>
    <cellStyle name="Normal 3_003-10" xfId="409"/>
    <cellStyle name="Normal 4" xfId="72"/>
    <cellStyle name="Normal 4 2" xfId="132"/>
    <cellStyle name="Normal 4 2 2" xfId="521"/>
    <cellStyle name="Normal 4 3" xfId="410"/>
    <cellStyle name="Normal 4 4" xfId="544"/>
    <cellStyle name="Normal 5" xfId="133"/>
    <cellStyle name="Normal 5 2" xfId="276"/>
    <cellStyle name="Normal 5 3" xfId="277"/>
    <cellStyle name="Normal 5 4" xfId="278"/>
    <cellStyle name="Normal 5 5" xfId="279"/>
    <cellStyle name="Normal 5 6" xfId="69"/>
    <cellStyle name="Normal 6" xfId="134"/>
    <cellStyle name="Normal 6 2" xfId="135"/>
    <cellStyle name="Normal 6 2 2" xfId="136"/>
    <cellStyle name="Normal 6 2 2 2" xfId="482"/>
    <cellStyle name="Normal 6 2 3" xfId="483"/>
    <cellStyle name="Normal 6 3" xfId="280"/>
    <cellStyle name="Normal 6 3 2" xfId="522"/>
    <cellStyle name="Normal 6 3 2 2" xfId="523"/>
    <cellStyle name="Normal 6 3 3" xfId="524"/>
    <cellStyle name="Normal 6 4" xfId="281"/>
    <cellStyle name="Normal 6 4 2" xfId="525"/>
    <cellStyle name="Normal 6 4 2 2" xfId="526"/>
    <cellStyle name="Normal 6 4 3" xfId="527"/>
    <cellStyle name="Normal 7" xfId="137"/>
    <cellStyle name="Normal 7 2" xfId="528"/>
    <cellStyle name="Normal 7 2 2" xfId="529"/>
    <cellStyle name="Normal 7 3" xfId="530"/>
    <cellStyle name="Normal 8" xfId="138"/>
    <cellStyle name="Normal 8 2" xfId="139"/>
    <cellStyle name="Normal 8 2 2" xfId="531"/>
    <cellStyle name="Normal 8 3" xfId="140"/>
    <cellStyle name="Normal 8 4" xfId="141"/>
    <cellStyle name="Normal 8 4 2" xfId="142"/>
    <cellStyle name="Normal 8 5" xfId="143"/>
    <cellStyle name="Normal 8 6" xfId="144"/>
    <cellStyle name="Normal 9" xfId="145"/>
    <cellStyle name="Normal 9 2" xfId="532"/>
    <cellStyle name="Normal 9 2 2" xfId="533"/>
    <cellStyle name="Normal 9 3" xfId="534"/>
    <cellStyle name="Normal_016-99 2" xfId="431"/>
    <cellStyle name="Normal_074-04" xfId="295"/>
    <cellStyle name="Normal_099-07" xfId="428"/>
    <cellStyle name="Normal_136-07" xfId="430"/>
    <cellStyle name="Normal_199-04" xfId="427"/>
    <cellStyle name="Normal_578-03" xfId="546"/>
    <cellStyle name="Normal_Grad. Lim. Auto 1-4" xfId="70"/>
    <cellStyle name="Normal_humedad" xfId="429"/>
    <cellStyle name="Notas 2" xfId="55"/>
    <cellStyle name="Notas 2 2" xfId="66"/>
    <cellStyle name="Note" xfId="411"/>
    <cellStyle name="Output" xfId="412"/>
    <cellStyle name="Output 2" xfId="413"/>
    <cellStyle name="Percen - Modelo3" xfId="282"/>
    <cellStyle name="Percent" xfId="18"/>
    <cellStyle name="Porcentaje" xfId="547" builtinId="5"/>
    <cellStyle name="Porcentaje 2" xfId="2"/>
    <cellStyle name="Porcentaje 3" xfId="19"/>
    <cellStyle name="Porcentaje 4" xfId="56"/>
    <cellStyle name="Porcentaje 4 2" xfId="67"/>
    <cellStyle name="Porcentaje 4 2 2" xfId="484"/>
    <cellStyle name="Porcentaje 4 3" xfId="485"/>
    <cellStyle name="Porcentaje 5" xfId="414"/>
    <cellStyle name="Porcentaje 5 2" xfId="486"/>
    <cellStyle name="Porcentaje 6" xfId="415"/>
    <cellStyle name="Porcentaje 7" xfId="432"/>
    <cellStyle name="Porcentual 2" xfId="146"/>
    <cellStyle name="Porcentual 2 2" xfId="283"/>
    <cellStyle name="Porcentual 2 2 2" xfId="284"/>
    <cellStyle name="Porcentual 2 2 3" xfId="285"/>
    <cellStyle name="Porcentual 2 2 4" xfId="286"/>
    <cellStyle name="Porcentual 2 2 5" xfId="535"/>
    <cellStyle name="Porcentual 2 2 5 2" xfId="536"/>
    <cellStyle name="Porcentual 2 2 6" xfId="537"/>
    <cellStyle name="Porcentual 2 3" xfId="287"/>
    <cellStyle name="Porcentual 2 4" xfId="288"/>
    <cellStyle name="Porcentual 2 5" xfId="289"/>
    <cellStyle name="Porcentual 2 6" xfId="290"/>
    <cellStyle name="Porcentual 2 7" xfId="291"/>
    <cellStyle name="Porcentual 2 8" xfId="292"/>
    <cellStyle name="Porcentual 2 8 2" xfId="538"/>
    <cellStyle name="Porcentual 2 8 2 2" xfId="539"/>
    <cellStyle name="Porcentual 2 8 3" xfId="540"/>
    <cellStyle name="Porcentual 2 9" xfId="293"/>
    <cellStyle name="Porcentual 2 9 2" xfId="541"/>
    <cellStyle name="Porcentual 2 9 2 2" xfId="542"/>
    <cellStyle name="Porcentual 2 9 3" xfId="543"/>
    <cellStyle name="Porcentual 3" xfId="147"/>
    <cellStyle name="Porcentual 3 2" xfId="148"/>
    <cellStyle name="Porcentual 3 2 2" xfId="487"/>
    <cellStyle name="Porcentual 3 3" xfId="488"/>
    <cellStyle name="Porcentual 4" xfId="149"/>
    <cellStyle name="resaltado" xfId="294"/>
    <cellStyle name="Salida 2" xfId="57"/>
    <cellStyle name="Salida 2 2" xfId="416"/>
    <cellStyle name="Texto de advertencia 2" xfId="58"/>
    <cellStyle name="Texto de advertencia 2 2" xfId="417"/>
    <cellStyle name="Texto explicativo 2" xfId="59"/>
    <cellStyle name="Texto explicativo 2 2" xfId="418"/>
    <cellStyle name="Title" xfId="419"/>
    <cellStyle name="Title 2" xfId="420"/>
    <cellStyle name="Título 1 2" xfId="61"/>
    <cellStyle name="Título 1 2 2" xfId="421"/>
    <cellStyle name="Título 2 2" xfId="62"/>
    <cellStyle name="Título 2 2 2" xfId="422"/>
    <cellStyle name="Título 3 2" xfId="63"/>
    <cellStyle name="Título 3 2 2" xfId="423"/>
    <cellStyle name="Título 4" xfId="60"/>
    <cellStyle name="Título 4 2" xfId="424"/>
    <cellStyle name="Total 2" xfId="64"/>
    <cellStyle name="Warning Text" xfId="425"/>
    <cellStyle name="Warning Text 2" xfId="426"/>
  </cellStyles>
  <dxfs count="28">
    <dxf>
      <font>
        <color rgb="FFFF0000"/>
      </font>
    </dxf>
    <dxf>
      <font>
        <color rgb="FFFF0000"/>
      </font>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strike val="0"/>
        <outline val="0"/>
        <shadow val="0"/>
        <u val="none"/>
        <vertAlign val="baseline"/>
        <sz val="8"/>
        <color auto="1"/>
        <name val="Arial"/>
        <scheme val="none"/>
      </font>
      <numFmt numFmtId="167" formatCode="0.0"/>
      <alignment horizontal="center" vertical="bottom" textRotation="0" wrapText="0" indent="0" justifyLastLine="0" shrinkToFit="0" readingOrder="0"/>
      <border diagonalUp="0" diagonalDown="0">
        <left style="thin">
          <color indexed="64"/>
        </left>
        <right style="thin">
          <color indexed="64"/>
        </right>
        <top/>
        <bottom/>
        <vertical/>
        <horizontal/>
      </border>
      <protection locked="1" hidden="0"/>
    </dxf>
    <dxf>
      <font>
        <strike val="0"/>
        <outline val="0"/>
        <shadow val="0"/>
        <u val="none"/>
        <vertAlign val="baseline"/>
        <sz val="8"/>
        <color auto="1"/>
        <name val="Arial"/>
        <scheme val="none"/>
      </font>
      <numFmt numFmtId="167" formatCode="0.0"/>
      <alignment horizontal="center" vertical="bottom" textRotation="0" wrapText="0" indent="0" justifyLastLine="0" shrinkToFit="0" readingOrder="0"/>
      <protection locked="1" hidden="0"/>
    </dxf>
    <dxf>
      <font>
        <strike val="0"/>
        <outline val="0"/>
        <shadow val="0"/>
        <u val="none"/>
        <vertAlign val="baseline"/>
        <sz val="8"/>
        <color auto="1"/>
        <name val="Arial"/>
        <scheme val="none"/>
      </font>
      <numFmt numFmtId="167" formatCode="0.0"/>
      <alignment horizontal="center" vertical="bottom" textRotation="0" wrapText="0" indent="0" justifyLastLine="0" shrinkToFit="0" readingOrder="0"/>
      <protection locked="1" hidden="0"/>
    </dxf>
    <dxf>
      <font>
        <strike val="0"/>
        <outline val="0"/>
        <shadow val="0"/>
        <u val="none"/>
        <vertAlign val="baseline"/>
        <sz val="8"/>
        <color auto="1"/>
        <name val="Arial"/>
        <scheme val="none"/>
      </font>
      <alignment horizontal="center" vertical="bottom" textRotation="0" wrapText="0" indent="0" justifyLastLine="0" shrinkToFit="0" readingOrder="0"/>
      <protection locked="1" hidden="0"/>
    </dxf>
    <dxf>
      <font>
        <strike val="0"/>
        <outline val="0"/>
        <shadow val="0"/>
        <u val="none"/>
        <vertAlign val="baseline"/>
        <sz val="8"/>
        <color auto="1"/>
        <name val="Arial"/>
        <scheme val="none"/>
      </font>
      <alignment horizontal="center" vertical="bottom" textRotation="0" wrapText="0" indent="0" justifyLastLine="0" shrinkToFit="0" readingOrder="0"/>
      <protection locked="1" hidden="0"/>
    </dxf>
    <dxf>
      <font>
        <b/>
        <i val="0"/>
        <strike val="0"/>
        <condense val="0"/>
        <extend val="0"/>
        <outline val="0"/>
        <shadow val="0"/>
        <u val="none"/>
        <vertAlign val="baseline"/>
        <sz val="8"/>
        <color auto="1"/>
        <name val="Arial"/>
        <scheme val="none"/>
      </font>
      <numFmt numFmtId="167" formatCode="0.0"/>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strike val="0"/>
        <outline val="0"/>
        <shadow val="0"/>
        <u val="none"/>
        <vertAlign val="baseline"/>
        <sz val="8"/>
        <color auto="1"/>
        <name val="Arial"/>
        <scheme val="none"/>
      </font>
      <numFmt numFmtId="167" formatCode="0.0"/>
      <alignment horizontal="center" vertical="bottom" textRotation="0" wrapText="0" indent="0" justifyLastLine="0" shrinkToFit="0" readingOrder="0"/>
      <protection locked="1" hidden="0"/>
    </dxf>
    <dxf>
      <font>
        <b/>
        <i val="0"/>
        <strike val="0"/>
        <condense val="0"/>
        <extend val="0"/>
        <outline val="0"/>
        <shadow val="0"/>
        <u val="none"/>
        <vertAlign val="baseline"/>
        <sz val="8"/>
        <color auto="1"/>
        <name val="Arial"/>
        <scheme val="none"/>
      </font>
      <numFmt numFmtId="167" formatCode="0.0"/>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strike val="0"/>
        <outline val="0"/>
        <shadow val="0"/>
        <u val="none"/>
        <vertAlign val="baseline"/>
        <sz val="8"/>
        <color auto="1"/>
        <name val="Arial"/>
        <scheme val="none"/>
      </font>
      <numFmt numFmtId="167" formatCode="0.0"/>
      <alignment horizontal="center" vertical="bottom" textRotation="0" wrapText="0" indent="0" justifyLastLine="0" shrinkToFit="0" readingOrder="0"/>
      <protection locked="1" hidden="0"/>
    </dxf>
    <dxf>
      <font>
        <b/>
      </font>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8"/>
        <color auto="1"/>
        <name val="Arial"/>
        <scheme val="none"/>
      </font>
      <alignment horizontal="center" vertical="bottom" textRotation="0" wrapText="0" indent="0" justifyLastLine="0" shrinkToFit="0" readingOrder="0"/>
      <protection locked="1" hidden="0"/>
    </dxf>
    <dxf>
      <font>
        <b val="0"/>
        <strike val="0"/>
        <outline val="0"/>
        <shadow val="0"/>
        <u val="none"/>
        <vertAlign val="baseline"/>
        <sz val="8"/>
        <color auto="1"/>
        <name val="Arial"/>
        <scheme val="none"/>
      </font>
      <alignment horizontal="center" vertical="bottom" textRotation="0" wrapText="0" indent="0" justifyLastLine="0" shrinkToFit="0" readingOrder="0"/>
      <protection locked="1" hidden="0"/>
    </dxf>
    <dxf>
      <font>
        <color rgb="FF9C0006"/>
      </font>
      <fill>
        <patternFill>
          <bgColor rgb="FFFFC7CE"/>
        </patternFill>
      </fill>
    </dxf>
    <dxf>
      <font>
        <color auto="1"/>
      </font>
      <fill>
        <patternFill>
          <bgColor rgb="FFFF2929"/>
        </patternFill>
      </fill>
    </dxf>
    <dxf>
      <font>
        <color theme="1"/>
      </font>
      <fill>
        <patternFill patternType="solid">
          <fgColor auto="1"/>
          <bgColor rgb="FFFF2929"/>
        </patternFill>
      </fill>
    </dxf>
    <dxf>
      <font>
        <color rgb="FF9C0006"/>
      </font>
    </dxf>
    <dxf>
      <font>
        <color rgb="FF9C0006"/>
      </font>
    </dxf>
    <dxf>
      <font>
        <color rgb="FF9C0006"/>
      </font>
    </dxf>
    <dxf>
      <font>
        <color rgb="FFC00000"/>
      </font>
    </dxf>
  </dxfs>
  <tableStyles count="0" defaultTableStyle="TableStyleMedium2" defaultPivotStyle="PivotStyleLight16"/>
  <colors>
    <mruColors>
      <color rgb="FF004C22"/>
      <color rgb="FFFF29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externalLink" Target="externalLinks/externalLink21.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42" Type="http://schemas.openxmlformats.org/officeDocument/2006/relationships/externalLink" Target="externalLinks/externalLink24.xml"/><Relationship Id="rId47" Type="http://schemas.openxmlformats.org/officeDocument/2006/relationships/externalLink" Target="externalLinks/externalLink29.xml"/><Relationship Id="rId50" Type="http://schemas.openxmlformats.org/officeDocument/2006/relationships/externalLink" Target="externalLinks/externalLink32.xml"/><Relationship Id="rId55" Type="http://schemas.openxmlformats.org/officeDocument/2006/relationships/externalLink" Target="externalLinks/externalLink37.xml"/><Relationship Id="rId63"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1.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externalLink" Target="externalLinks/externalLink19.xml"/><Relationship Id="rId40" Type="http://schemas.openxmlformats.org/officeDocument/2006/relationships/externalLink" Target="externalLinks/externalLink22.xml"/><Relationship Id="rId45" Type="http://schemas.openxmlformats.org/officeDocument/2006/relationships/externalLink" Target="externalLinks/externalLink27.xml"/><Relationship Id="rId53" Type="http://schemas.openxmlformats.org/officeDocument/2006/relationships/externalLink" Target="externalLinks/externalLink35.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ustomXml" Target="../customXml/item1.xml"/><Relationship Id="rId19" Type="http://schemas.openxmlformats.org/officeDocument/2006/relationships/externalLink" Target="externalLinks/externalLink1.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externalLink" Target="externalLinks/externalLink17.xml"/><Relationship Id="rId43" Type="http://schemas.openxmlformats.org/officeDocument/2006/relationships/externalLink" Target="externalLinks/externalLink25.xml"/><Relationship Id="rId48" Type="http://schemas.openxmlformats.org/officeDocument/2006/relationships/externalLink" Target="externalLinks/externalLink30.xml"/><Relationship Id="rId56" Type="http://schemas.openxmlformats.org/officeDocument/2006/relationships/externalLink" Target="externalLinks/externalLink38.xml"/><Relationship Id="rId8" Type="http://schemas.openxmlformats.org/officeDocument/2006/relationships/worksheet" Target="worksheets/sheet8.xml"/><Relationship Id="rId51" Type="http://schemas.openxmlformats.org/officeDocument/2006/relationships/externalLink" Target="externalLinks/externalLink3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externalLink" Target="externalLinks/externalLink20.xml"/><Relationship Id="rId46" Type="http://schemas.openxmlformats.org/officeDocument/2006/relationships/externalLink" Target="externalLinks/externalLink28.xml"/><Relationship Id="rId59" Type="http://schemas.openxmlformats.org/officeDocument/2006/relationships/sharedStrings" Target="sharedStrings.xml"/><Relationship Id="rId20" Type="http://schemas.openxmlformats.org/officeDocument/2006/relationships/externalLink" Target="externalLinks/externalLink2.xml"/><Relationship Id="rId41" Type="http://schemas.openxmlformats.org/officeDocument/2006/relationships/externalLink" Target="externalLinks/externalLink23.xml"/><Relationship Id="rId54" Type="http://schemas.openxmlformats.org/officeDocument/2006/relationships/externalLink" Target="externalLinks/externalLink36.xml"/><Relationship Id="rId6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externalLink" Target="externalLinks/externalLink18.xml"/><Relationship Id="rId49" Type="http://schemas.openxmlformats.org/officeDocument/2006/relationships/externalLink" Target="externalLinks/externalLink31.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externalLink" Target="externalLinks/externalLink13.xml"/><Relationship Id="rId44" Type="http://schemas.openxmlformats.org/officeDocument/2006/relationships/externalLink" Target="externalLinks/externalLink26.xml"/><Relationship Id="rId52" Type="http://schemas.openxmlformats.org/officeDocument/2006/relationships/externalLink" Target="externalLinks/externalLink34.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6.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5400">
              <a:solidFill>
                <a:srgbClr val="000000"/>
              </a:solidFill>
              <a:prstDash val="solid"/>
            </a:ln>
          </c:spPr>
          <c:marker>
            <c:symbol val="circle"/>
            <c:size val="5"/>
            <c:spPr>
              <a:solidFill>
                <a:srgbClr val="000000"/>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0-C466-47BE-89E3-49278EF12E38}"/>
            </c:ext>
          </c:extLst>
        </c:ser>
        <c:ser>
          <c:idx val="2"/>
          <c:order val="1"/>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1-C466-47BE-89E3-49278EF12E38}"/>
            </c:ext>
          </c:extLst>
        </c:ser>
        <c:ser>
          <c:idx val="3"/>
          <c:order val="2"/>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0"/>
          <c:extLst>
            <c:ext xmlns:c16="http://schemas.microsoft.com/office/drawing/2014/chart" uri="{C3380CC4-5D6E-409C-BE32-E72D297353CC}">
              <c16:uniqueId val="{00000002-C466-47BE-89E3-49278EF12E38}"/>
            </c:ext>
          </c:extLst>
        </c:ser>
        <c:dLbls>
          <c:showLegendKey val="0"/>
          <c:showVal val="0"/>
          <c:showCatName val="0"/>
          <c:showSerName val="0"/>
          <c:showPercent val="0"/>
          <c:showBubbleSize val="0"/>
        </c:dLbls>
        <c:axId val="-1534236592"/>
        <c:axId val="-1534234416"/>
      </c:scatterChart>
      <c:valAx>
        <c:axId val="-1534236592"/>
        <c:scaling>
          <c:orientation val="minMax"/>
        </c:scaling>
        <c:delete val="0"/>
        <c:axPos val="b"/>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4416"/>
        <c:crosses val="autoZero"/>
        <c:crossBetween val="midCat"/>
      </c:valAx>
      <c:valAx>
        <c:axId val="-1534234416"/>
        <c:scaling>
          <c:orientation val="minMax"/>
          <c:max val="100"/>
          <c:min val="0"/>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6592"/>
        <c:crosses val="autoZero"/>
        <c:crossBetween val="midCat"/>
        <c:minorUnit val="5"/>
      </c:valAx>
      <c:spPr>
        <a:solidFill>
          <a:srgbClr val="FFFFFF"/>
        </a:solidFill>
        <a:ln w="25400">
          <a:solidFill>
            <a:srgbClr val="000000"/>
          </a:solidFill>
          <a:prstDash val="solid"/>
        </a:ln>
      </c:spPr>
    </c:plotArea>
    <c:plotVisOnly val="1"/>
    <c:dispBlanksAs val="gap"/>
    <c:showDLblsOverMax val="0"/>
  </c:chart>
  <c:spPr>
    <a:solidFill>
      <a:srgbClr val="FFFFFF"/>
    </a:solidFill>
    <a:ln w="6350">
      <a:noFill/>
    </a:ln>
  </c:spPr>
  <c:txPr>
    <a:bodyPr/>
    <a:lstStyle/>
    <a:p>
      <a:pPr>
        <a:defRPr sz="800" b="0" i="0" u="none" strike="noStrike" baseline="0">
          <a:solidFill>
            <a:srgbClr val="000000"/>
          </a:solidFill>
          <a:latin typeface="Arial"/>
          <a:ea typeface="Arial"/>
          <a:cs typeface="Arial"/>
        </a:defRPr>
      </a:pPr>
      <a:endParaRPr lang="es-CO"/>
    </a:p>
  </c:txPr>
  <c:printSettings>
    <c:headerFooter alignWithMargins="0">
      <c:oddHeader>&amp;A</c:oddHeader>
      <c:oddFooter>Página &amp;P</c:oddFooter>
    </c:headerFooter>
    <c:pageMargins b="1" l="0.75000000000000988" r="0.75000000000000988" t="1" header="0.511811024" footer="0.511811024"/>
    <c:pageSetup paperSize="9" orientation="landscape" horizontalDpi="180" verticalDpi="18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s-CO"/>
              <a:t>HUMEDAD VS</a:t>
            </a:r>
            <a:r>
              <a:rPr lang="es-CO" baseline="0"/>
              <a:t> </a:t>
            </a:r>
            <a:r>
              <a:rPr lang="es-CO"/>
              <a:t>PESO UNITARIO SECO</a:t>
            </a:r>
          </a:p>
        </c:rich>
      </c:tx>
      <c:layout>
        <c:manualLayout>
          <c:xMode val="edge"/>
          <c:yMode val="edge"/>
          <c:x val="0.17698221848880905"/>
          <c:y val="2.9430445083865633E-2"/>
        </c:manualLayout>
      </c:layout>
      <c:overlay val="0"/>
      <c:spPr>
        <a:noFill/>
        <a:ln w="25400">
          <a:noFill/>
        </a:ln>
      </c:spPr>
    </c:title>
    <c:autoTitleDeleted val="0"/>
    <c:plotArea>
      <c:layout>
        <c:manualLayout>
          <c:layoutTarget val="inner"/>
          <c:xMode val="edge"/>
          <c:yMode val="edge"/>
          <c:x val="0.13509450201588594"/>
          <c:y val="7.8859373347562323E-2"/>
          <c:w val="0.80491588089242649"/>
          <c:h val="0.78373353167988546"/>
        </c:manualLayout>
      </c:layout>
      <c:scatterChart>
        <c:scatterStyle val="smoothMarker"/>
        <c:varyColors val="0"/>
        <c:ser>
          <c:idx val="1"/>
          <c:order val="0"/>
          <c:tx>
            <c:strRef>
              <c:f>' CBR 1'!$AN$32</c:f>
              <c:strCache>
                <c:ptCount val="1"/>
                <c:pt idx="0">
                  <c:v>Peso unitario seco</c:v>
                </c:pt>
              </c:strCache>
            </c:strRef>
          </c:tx>
          <c:spPr>
            <a:ln w="12700">
              <a:solidFill>
                <a:srgbClr val="0070C0"/>
              </a:solidFill>
              <a:prstDash val="solid"/>
            </a:ln>
          </c:spPr>
          <c:marker>
            <c:spPr>
              <a:solidFill>
                <a:schemeClr val="tx2">
                  <a:lumMod val="75000"/>
                </a:schemeClr>
              </a:solidFill>
              <a:ln>
                <a:solidFill>
                  <a:srgbClr val="0070C0"/>
                </a:solidFill>
              </a:ln>
            </c:spPr>
          </c:marker>
          <c:dPt>
            <c:idx val="1"/>
            <c:bubble3D val="0"/>
            <c:spPr>
              <a:ln w="12700">
                <a:solidFill>
                  <a:schemeClr val="bg1"/>
                </a:solidFill>
                <a:prstDash val="solid"/>
              </a:ln>
            </c:spPr>
            <c:extLst>
              <c:ext xmlns:c16="http://schemas.microsoft.com/office/drawing/2014/chart" uri="{C3380CC4-5D6E-409C-BE32-E72D297353CC}">
                <c16:uniqueId val="{00000002-F0AC-4356-9511-ECF6D969FCFC}"/>
              </c:ext>
            </c:extLst>
          </c:dPt>
          <c:dPt>
            <c:idx val="2"/>
            <c:bubble3D val="0"/>
            <c:spPr>
              <a:ln w="12700">
                <a:solidFill>
                  <a:schemeClr val="bg1"/>
                </a:solidFill>
                <a:prstDash val="solid"/>
              </a:ln>
            </c:spPr>
            <c:extLst>
              <c:ext xmlns:c16="http://schemas.microsoft.com/office/drawing/2014/chart" uri="{C3380CC4-5D6E-409C-BE32-E72D297353CC}">
                <c16:uniqueId val="{00000003-F0AC-4356-9511-ECF6D969FCFC}"/>
              </c:ext>
            </c:extLst>
          </c:dPt>
          <c:xVal>
            <c:numRef>
              <c:f>' CBR 1'!$AR$14:$AT$14</c:f>
            </c:numRef>
          </c:xVal>
          <c:yVal>
            <c:numRef>
              <c:f>' CBR 1'!$AN$33:$AN$35</c:f>
            </c:numRef>
          </c:yVal>
          <c:smooth val="1"/>
          <c:extLst>
            <c:ext xmlns:c16="http://schemas.microsoft.com/office/drawing/2014/chart" uri="{C3380CC4-5D6E-409C-BE32-E72D297353CC}">
              <c16:uniqueId val="{00000000-F0AC-4356-9511-ECF6D969FCFC}"/>
            </c:ext>
          </c:extLst>
        </c:ser>
        <c:ser>
          <c:idx val="0"/>
          <c:order val="1"/>
          <c:spPr>
            <a:ln w="6350"/>
          </c:spPr>
          <c:marker>
            <c:symbol val="circle"/>
            <c:size val="3"/>
          </c:marker>
          <c:dLbls>
            <c:dLbl>
              <c:idx val="2"/>
              <c:layout>
                <c:manualLayout>
                  <c:x val="0"/>
                  <c:y val="-2.77602404138825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0AC-4356-9511-ECF6D969FCFC}"/>
                </c:ext>
              </c:extLst>
            </c:dLbl>
            <c:dLbl>
              <c:idx val="4"/>
              <c:layout>
                <c:manualLayout>
                  <c:x val="0"/>
                  <c:y val="-3.238694714952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0AC-4356-9511-ECF6D969FCFC}"/>
                </c:ext>
              </c:extLst>
            </c:dLbl>
            <c:spPr>
              <a:noFill/>
              <a:ln>
                <a:noFill/>
              </a:ln>
              <a:effectLst/>
            </c:spPr>
            <c:txPr>
              <a:bodyPr wrap="square" lIns="38100" tIns="19050" rIns="38100" bIns="19050" anchor="ctr">
                <a:spAutoFit/>
              </a:bodyPr>
              <a:lstStyle/>
              <a:p>
                <a:pPr>
                  <a:defRPr sz="7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numRef>
              <c:f>PROCTOR!$Q$25:$U$25</c:f>
            </c:numRef>
          </c:xVal>
          <c:yVal>
            <c:numRef>
              <c:f>PROCTOR!$Q$30:$U$30</c:f>
              <c:numCache>
                <c:formatCode>0.00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1-F0AC-4356-9511-ECF6D969FCFC}"/>
            </c:ext>
          </c:extLst>
        </c:ser>
        <c:dLbls>
          <c:showLegendKey val="0"/>
          <c:showVal val="0"/>
          <c:showCatName val="0"/>
          <c:showSerName val="0"/>
          <c:showPercent val="0"/>
          <c:showBubbleSize val="0"/>
        </c:dLbls>
        <c:axId val="-1529581424"/>
        <c:axId val="-1529591216"/>
      </c:scatterChart>
      <c:valAx>
        <c:axId val="-1529581424"/>
        <c:scaling>
          <c:orientation val="minMax"/>
          <c:max val="13"/>
          <c:min val="4"/>
        </c:scaling>
        <c:delete val="0"/>
        <c:axPos val="b"/>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endParaRPr lang="es-CO" sz="600" b="1" i="0" baseline="0"/>
              </a:p>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endParaRPr lang="es-CO" sz="600" b="1" i="0" baseline="0"/>
              </a:p>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endParaRPr lang="es-CO" sz="600" b="1" i="0" baseline="0"/>
              </a:p>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r>
                  <a:rPr lang="es-CO" sz="600" b="0" i="0" baseline="0">
                    <a:latin typeface="Arial" panose="020B0604020202020204" pitchFamily="34" charset="0"/>
                    <a:cs typeface="Arial" panose="020B0604020202020204" pitchFamily="34" charset="0"/>
                  </a:rPr>
                  <a:t>HUMEDAD (%)</a:t>
                </a:r>
                <a:endParaRPr lang="es-CO" sz="600" b="0">
                  <a:latin typeface="Arial" panose="020B0604020202020204" pitchFamily="34" charset="0"/>
                  <a:cs typeface="Arial" panose="020B0604020202020204" pitchFamily="34" charset="0"/>
                </a:endParaRPr>
              </a:p>
            </c:rich>
          </c:tx>
          <c:layout>
            <c:manualLayout>
              <c:xMode val="edge"/>
              <c:yMode val="edge"/>
              <c:x val="0.44718215413959589"/>
              <c:y val="0.8336035888671964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CO"/>
          </a:p>
        </c:txPr>
        <c:crossAx val="-1529591216"/>
        <c:crosses val="autoZero"/>
        <c:crossBetween val="midCat"/>
        <c:majorUnit val="1"/>
        <c:minorUnit val="0.5"/>
      </c:valAx>
      <c:valAx>
        <c:axId val="-1529591216"/>
        <c:scaling>
          <c:orientation val="minMax"/>
          <c:max val="20.399999999999999"/>
          <c:min val="18.5"/>
        </c:scaling>
        <c:delete val="0"/>
        <c:axPos val="l"/>
        <c:title>
          <c:tx>
            <c:rich>
              <a:bodyPr/>
              <a:lstStyle/>
              <a:p>
                <a:pPr>
                  <a:defRPr sz="600" b="0" i="0" u="none" strike="noStrike" baseline="0">
                    <a:solidFill>
                      <a:srgbClr val="000000"/>
                    </a:solidFill>
                    <a:latin typeface="Calibri"/>
                    <a:ea typeface="Calibri"/>
                    <a:cs typeface="Calibri"/>
                  </a:defRPr>
                </a:pPr>
                <a:r>
                  <a:rPr lang="es-CO" sz="600" b="0" i="0" baseline="0">
                    <a:effectLst/>
                    <a:latin typeface="Arial" panose="020B0604020202020204" pitchFamily="34" charset="0"/>
                    <a:cs typeface="Arial" panose="020B0604020202020204" pitchFamily="34" charset="0"/>
                  </a:rPr>
                  <a:t>Peso unitario seco (kN/m</a:t>
                </a:r>
                <a:r>
                  <a:rPr lang="es-CO" sz="600" b="0" i="0" baseline="30000">
                    <a:effectLst/>
                    <a:latin typeface="Arial" panose="020B0604020202020204" pitchFamily="34" charset="0"/>
                    <a:cs typeface="Arial" panose="020B0604020202020204" pitchFamily="34" charset="0"/>
                  </a:rPr>
                  <a:t>3</a:t>
                </a:r>
                <a:r>
                  <a:rPr lang="es-CO" sz="600" b="0" i="0" baseline="0">
                    <a:effectLst/>
                    <a:latin typeface="Arial" panose="020B0604020202020204" pitchFamily="34" charset="0"/>
                    <a:cs typeface="Arial" panose="020B0604020202020204" pitchFamily="34" charset="0"/>
                  </a:rPr>
                  <a:t>)</a:t>
                </a:r>
                <a:endParaRPr lang="es-CO" sz="600" b="0">
                  <a:effectLst/>
                  <a:latin typeface="Arial" panose="020B0604020202020204" pitchFamily="34" charset="0"/>
                  <a:cs typeface="Arial" panose="020B0604020202020204" pitchFamily="34" charset="0"/>
                </a:endParaRPr>
              </a:p>
            </c:rich>
          </c:tx>
          <c:layout>
            <c:manualLayout>
              <c:xMode val="edge"/>
              <c:yMode val="edge"/>
              <c:x val="1.2925963069064676E-2"/>
              <c:y val="0.27060031857814176"/>
            </c:manualLayout>
          </c:layout>
          <c:overlay val="0"/>
          <c:spPr>
            <a:noFill/>
            <a:ln w="25400">
              <a:noFill/>
            </a:ln>
          </c:spPr>
        </c:title>
        <c:numFmt formatCode="#,##0.0" sourceLinked="0"/>
        <c:majorTickMark val="out"/>
        <c:minorTickMark val="none"/>
        <c:tickLblPos val="nextTo"/>
        <c:spPr>
          <a:solidFill>
            <a:srgbClr val="FFFFFF"/>
          </a:solidFill>
          <a:ln w="12700">
            <a:solidFill>
              <a:schemeClr val="tx1"/>
            </a:solidFill>
            <a:prstDash val="solid"/>
          </a:ln>
        </c:spPr>
        <c:txPr>
          <a:bodyPr rot="0" vert="horz" anchor="ctr" anchorCtr="0"/>
          <a:lstStyle/>
          <a:p>
            <a:pPr>
              <a:defRPr sz="600" b="0" i="0" u="none" strike="noStrike" baseline="0">
                <a:solidFill>
                  <a:srgbClr val="000000"/>
                </a:solidFill>
                <a:latin typeface="Arial"/>
                <a:ea typeface="Arial"/>
                <a:cs typeface="Arial"/>
              </a:defRPr>
            </a:pPr>
            <a:endParaRPr lang="es-CO"/>
          </a:p>
        </c:txPr>
        <c:crossAx val="-1529581424"/>
        <c:crosses val="autoZero"/>
        <c:crossBetween val="midCat"/>
        <c:majorUnit val="0.2"/>
      </c:valAx>
      <c:spPr>
        <a:noFill/>
        <a:ln w="25400">
          <a:noFill/>
        </a:ln>
      </c:spPr>
    </c:plotArea>
    <c:plotVisOnly val="1"/>
    <c:dispBlanksAs val="gap"/>
    <c:showDLblsOverMax val="0"/>
  </c:chart>
  <c:spPr>
    <a:solidFill>
      <a:srgbClr val="FFFFFF"/>
    </a:solidFill>
    <a:ln w="3175">
      <a:solidFill>
        <a:schemeClr val="bg1"/>
      </a:solidFill>
      <a:prstDash val="solid"/>
    </a:ln>
    <a:effectLst>
      <a:outerShdw blurRad="50800" dist="50800" dir="5400000" algn="ctr" rotWithShape="0">
        <a:schemeClr val="bg1">
          <a:lumMod val="85000"/>
          <a:alpha val="95000"/>
        </a:schemeClr>
      </a:outerShdw>
      <a:softEdge rad="63500"/>
    </a:effectLst>
    <a:scene3d>
      <a:camera prst="orthographicFront"/>
      <a:lightRig rig="threePt" dir="t"/>
    </a:scene3d>
    <a:sp3d prstMaterial="matte"/>
  </c:spPr>
  <c:txPr>
    <a:bodyPr/>
    <a:lstStyle/>
    <a:p>
      <a:pPr>
        <a:defRPr sz="115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256" orientation="landscape" horizontalDpi="360" verticalDpi="36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12700">
              <a:solidFill>
                <a:srgbClr val="000000"/>
              </a:solidFill>
              <a:prstDash val="solid"/>
            </a:ln>
          </c:spPr>
          <c:marker>
            <c:symbol val="circle"/>
            <c:size val="5"/>
            <c:spPr>
              <a:solidFill>
                <a:srgbClr val="000000"/>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0-F703-4B65-8D1A-A439456F2558}"/>
            </c:ext>
          </c:extLst>
        </c:ser>
        <c:ser>
          <c:idx val="2"/>
          <c:order val="1"/>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1-F703-4B65-8D1A-A439456F2558}"/>
            </c:ext>
          </c:extLst>
        </c:ser>
        <c:ser>
          <c:idx val="3"/>
          <c:order val="2"/>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0"/>
          <c:extLst>
            <c:ext xmlns:c16="http://schemas.microsoft.com/office/drawing/2014/chart" uri="{C3380CC4-5D6E-409C-BE32-E72D297353CC}">
              <c16:uniqueId val="{00000002-F703-4B65-8D1A-A439456F2558}"/>
            </c:ext>
          </c:extLst>
        </c:ser>
        <c:dLbls>
          <c:showLegendKey val="0"/>
          <c:showVal val="0"/>
          <c:showCatName val="0"/>
          <c:showSerName val="0"/>
          <c:showPercent val="0"/>
          <c:showBubbleSize val="0"/>
        </c:dLbls>
        <c:axId val="-1534236048"/>
        <c:axId val="-1534241488"/>
      </c:scatterChart>
      <c:valAx>
        <c:axId val="-1534236048"/>
        <c:scaling>
          <c:orientation val="minMax"/>
        </c:scaling>
        <c:delete val="0"/>
        <c:axPos val="b"/>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41488"/>
        <c:crosses val="autoZero"/>
        <c:crossBetween val="midCat"/>
      </c:valAx>
      <c:valAx>
        <c:axId val="-1534241488"/>
        <c:scaling>
          <c:orientation val="minMax"/>
          <c:max val="100"/>
          <c:min val="0"/>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6048"/>
        <c:crosses val="autoZero"/>
        <c:crossBetween val="midCat"/>
        <c:minorUnit val="5"/>
      </c:valAx>
      <c:spPr>
        <a:solidFill>
          <a:srgbClr val="FFFFFF"/>
        </a:solidFill>
        <a:ln w="25400">
          <a:solidFill>
            <a:srgbClr val="000000"/>
          </a:solidFill>
          <a:prstDash val="solid"/>
        </a:ln>
      </c:spPr>
    </c:plotArea>
    <c:plotVisOnly val="1"/>
    <c:dispBlanksAs val="gap"/>
    <c:showDLblsOverMax val="0"/>
  </c:chart>
  <c:spPr>
    <a:solidFill>
      <a:srgbClr val="FFFFFF"/>
    </a:solidFill>
    <a:ln w="6350">
      <a:noFill/>
    </a:ln>
  </c:spPr>
  <c:txPr>
    <a:bodyPr/>
    <a:lstStyle/>
    <a:p>
      <a:pPr>
        <a:defRPr sz="800" b="0" i="0" u="none" strike="noStrike" baseline="0">
          <a:solidFill>
            <a:srgbClr val="000000"/>
          </a:solidFill>
          <a:latin typeface="Arial"/>
          <a:ea typeface="Arial"/>
          <a:cs typeface="Arial"/>
        </a:defRPr>
      </a:pPr>
      <a:endParaRPr lang="es-CO"/>
    </a:p>
  </c:txPr>
  <c:printSettings>
    <c:headerFooter alignWithMargins="0">
      <c:oddHeader>&amp;A</c:oddHeader>
      <c:oddFooter>Página &amp;P</c:oddFooter>
    </c:headerFooter>
    <c:pageMargins b="1" l="0.75000000000000988" r="0.75000000000000988" t="1" header="0.511811024" footer="0.511811024"/>
    <c:pageSetup paperSize="9" orientation="landscape" horizontalDpi="180" verticalDpi="18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907317810173321E-2"/>
          <c:y val="3.416217709628401E-2"/>
          <c:w val="0.86987832013244371"/>
          <c:h val="0.83869185553328485"/>
        </c:manualLayout>
      </c:layout>
      <c:scatterChart>
        <c:scatterStyle val="lineMarker"/>
        <c:varyColors val="0"/>
        <c:ser>
          <c:idx val="0"/>
          <c:order val="0"/>
          <c:spPr>
            <a:ln w="12700" cap="rnd">
              <a:solidFill>
                <a:schemeClr val="tx1"/>
              </a:solidFill>
              <a:prstDash val="solid"/>
            </a:ln>
          </c:spPr>
          <c:marker>
            <c:symbol val="diamond"/>
            <c:size val="3"/>
            <c:spPr>
              <a:noFill/>
              <a:ln w="6350">
                <a:solidFill>
                  <a:srgbClr val="000000"/>
                </a:solidFill>
                <a:prstDash val="solid"/>
              </a:ln>
            </c:spPr>
          </c:marker>
          <c:xVal>
            <c:strRef>
              <c:f>'[9]Gradacion '!$AJ$35:$AJ$44</c:f>
              <c:strCache>
                <c:ptCount val="10"/>
              </c:strCache>
            </c:strRef>
          </c:xVal>
          <c:yVal>
            <c:numRef>
              <c:f>'Gradacion '!$AU$35:$AU$46</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AEF3-4148-9C02-5C15B38371C0}"/>
            </c:ext>
          </c:extLst>
        </c:ser>
        <c:ser>
          <c:idx val="3"/>
          <c:order val="1"/>
          <c:tx>
            <c:v>Límite inferior</c:v>
          </c:tx>
          <c:spPr>
            <a:ln w="12700">
              <a:solidFill>
                <a:srgbClr val="0070C0"/>
              </a:solidFill>
              <a:prstDash val="dashDot"/>
            </a:ln>
          </c:spPr>
          <c:marker>
            <c:symbol val="none"/>
          </c:marker>
          <c:xVal>
            <c:strRef>
              <c:f>'[9]Gradacion '!$AJ$35:$AJ$44</c:f>
              <c:strCache>
                <c:ptCount val="10"/>
              </c:strCache>
            </c:strRef>
          </c:xVal>
          <c:yVal>
            <c:numRef>
              <c:f>'Gradacion '!$AV$35:$AV$46</c:f>
              <c:numCache>
                <c:formatCode>General</c:formatCode>
                <c:ptCount val="12"/>
                <c:pt idx="0">
                  <c:v>0</c:v>
                </c:pt>
                <c:pt idx="1">
                  <c:v>0</c:v>
                </c:pt>
                <c:pt idx="2">
                  <c:v>0</c:v>
                </c:pt>
                <c:pt idx="3">
                  <c:v>0</c:v>
                </c:pt>
                <c:pt idx="4">
                  <c:v>0</c:v>
                </c:pt>
                <c:pt idx="5">
                  <c:v>0</c:v>
                </c:pt>
                <c:pt idx="6">
                  <c:v>0</c:v>
                </c:pt>
                <c:pt idx="9">
                  <c:v>0</c:v>
                </c:pt>
                <c:pt idx="10">
                  <c:v>0</c:v>
                </c:pt>
                <c:pt idx="11">
                  <c:v>0</c:v>
                </c:pt>
              </c:numCache>
            </c:numRef>
          </c:yVal>
          <c:smooth val="0"/>
          <c:extLst>
            <c:ext xmlns:c16="http://schemas.microsoft.com/office/drawing/2014/chart" uri="{C3380CC4-5D6E-409C-BE32-E72D297353CC}">
              <c16:uniqueId val="{00000001-AEF3-4148-9C02-5C15B38371C0}"/>
            </c:ext>
          </c:extLst>
        </c:ser>
        <c:ser>
          <c:idx val="4"/>
          <c:order val="2"/>
          <c:tx>
            <c:v>Límite superior</c:v>
          </c:tx>
          <c:spPr>
            <a:ln w="12700">
              <a:solidFill>
                <a:srgbClr val="0070C0"/>
              </a:solidFill>
              <a:prstDash val="dashDot"/>
            </a:ln>
          </c:spPr>
          <c:marker>
            <c:symbol val="none"/>
          </c:marker>
          <c:xVal>
            <c:strRef>
              <c:f>'[9]Gradacion '!$AJ$35:$AJ$44</c:f>
              <c:strCache>
                <c:ptCount val="10"/>
              </c:strCache>
            </c:strRef>
          </c:xVal>
          <c:yVal>
            <c:numRef>
              <c:f>'Gradacion '!$AW$35:$AW$46</c:f>
              <c:numCache>
                <c:formatCode>0</c:formatCode>
                <c:ptCount val="12"/>
                <c:pt idx="0">
                  <c:v>0</c:v>
                </c:pt>
                <c:pt idx="1">
                  <c:v>0</c:v>
                </c:pt>
                <c:pt idx="2">
                  <c:v>0</c:v>
                </c:pt>
                <c:pt idx="3">
                  <c:v>0</c:v>
                </c:pt>
                <c:pt idx="4">
                  <c:v>0</c:v>
                </c:pt>
                <c:pt idx="5">
                  <c:v>0</c:v>
                </c:pt>
                <c:pt idx="6">
                  <c:v>0</c:v>
                </c:pt>
                <c:pt idx="9">
                  <c:v>0</c:v>
                </c:pt>
              </c:numCache>
            </c:numRef>
          </c:yVal>
          <c:smooth val="0"/>
          <c:extLst>
            <c:ext xmlns:c16="http://schemas.microsoft.com/office/drawing/2014/chart" uri="{C3380CC4-5D6E-409C-BE32-E72D297353CC}">
              <c16:uniqueId val="{00000002-AEF3-4148-9C02-5C15B38371C0}"/>
            </c:ext>
          </c:extLst>
        </c:ser>
        <c:dLbls>
          <c:showLegendKey val="0"/>
          <c:showVal val="0"/>
          <c:showCatName val="0"/>
          <c:showSerName val="0"/>
          <c:showPercent val="0"/>
          <c:showBubbleSize val="0"/>
        </c:dLbls>
        <c:axId val="-1534237680"/>
        <c:axId val="-1534231696"/>
      </c:scatterChart>
      <c:valAx>
        <c:axId val="-1534237680"/>
        <c:scaling>
          <c:logBase val="10"/>
          <c:orientation val="maxMin"/>
          <c:max val="310"/>
        </c:scaling>
        <c:delete val="1"/>
        <c:axPos val="b"/>
        <c:majorGridlines>
          <c:spPr>
            <a:ln w="3175">
              <a:solidFill>
                <a:srgbClr val="000000"/>
              </a:solidFill>
              <a:prstDash val="solid"/>
            </a:ln>
          </c:spPr>
        </c:majorGridlines>
        <c:minorGridlines>
          <c:spPr>
            <a:ln w="3175">
              <a:solidFill>
                <a:schemeClr val="tx1">
                  <a:lumMod val="50000"/>
                  <a:lumOff val="50000"/>
                </a:schemeClr>
              </a:solidFill>
              <a:prstDash val="solid"/>
            </a:ln>
          </c:spPr>
        </c:minorGridlines>
        <c:numFmt formatCode="0.00" sourceLinked="1"/>
        <c:majorTickMark val="out"/>
        <c:minorTickMark val="none"/>
        <c:tickLblPos val="nextTo"/>
        <c:crossAx val="-1534231696"/>
        <c:crosses val="autoZero"/>
        <c:crossBetween val="midCat"/>
      </c:valAx>
      <c:valAx>
        <c:axId val="-1534231696"/>
        <c:scaling>
          <c:orientation val="minMax"/>
          <c:max val="100"/>
          <c:min val="0"/>
        </c:scaling>
        <c:delete val="0"/>
        <c:axPos val="l"/>
        <c:majorGridlines>
          <c:spPr>
            <a:ln w="3175">
              <a:solidFill>
                <a:schemeClr val="bg1">
                  <a:lumMod val="50000"/>
                </a:schemeClr>
              </a:solidFill>
              <a:prstDash val="solid"/>
            </a:ln>
          </c:spPr>
        </c:majorGridlines>
        <c:title>
          <c:tx>
            <c:rich>
              <a:bodyPr/>
              <a:lstStyle/>
              <a:p>
                <a:pPr>
                  <a:defRPr sz="800" b="1" i="0" u="none" strike="noStrike" baseline="0">
                    <a:solidFill>
                      <a:srgbClr val="000000"/>
                    </a:solidFill>
                    <a:latin typeface="Arial"/>
                    <a:ea typeface="Arial"/>
                    <a:cs typeface="Arial"/>
                  </a:defRPr>
                </a:pPr>
                <a:r>
                  <a:rPr lang="es-CO" sz="800" b="0"/>
                  <a:t>%</a:t>
                </a:r>
                <a:r>
                  <a:rPr lang="es-CO" sz="800" baseline="0"/>
                  <a:t> PASA</a:t>
                </a:r>
                <a:endParaRPr lang="es-CO" sz="800"/>
              </a:p>
            </c:rich>
          </c:tx>
          <c:layout>
            <c:manualLayout>
              <c:xMode val="edge"/>
              <c:yMode val="edge"/>
              <c:x val="2.2308851666231443E-2"/>
              <c:y val="0.3929070539334369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7680"/>
        <c:crosses val="max"/>
        <c:crossBetween val="midCat"/>
      </c:valAx>
      <c:spPr>
        <a:noFill/>
        <a:ln w="25400">
          <a:solidFill>
            <a:schemeClr val="bg1"/>
          </a:solidFill>
        </a:ln>
      </c:spPr>
    </c:plotArea>
    <c:legend>
      <c:legendPos val="r"/>
      <c:layout>
        <c:manualLayout>
          <c:xMode val="edge"/>
          <c:yMode val="edge"/>
          <c:x val="0.74926744598691408"/>
          <c:y val="7.201547175024299E-2"/>
          <c:w val="0.24424557372095554"/>
          <c:h val="0.22150013089900344"/>
        </c:manualLayout>
      </c:layout>
      <c:overlay val="0"/>
      <c:spPr>
        <a:solidFill>
          <a:srgbClr val="FFFFFF"/>
        </a:solidFill>
        <a:ln w="3175">
          <a:noFill/>
          <a:prstDash val="solid"/>
        </a:ln>
      </c:spPr>
      <c:txPr>
        <a:bodyPr/>
        <a:lstStyle/>
        <a:p>
          <a:pPr>
            <a:defRPr sz="900" b="0" i="0" u="none" strike="noStrike" baseline="0">
              <a:solidFill>
                <a:srgbClr val="000000"/>
              </a:solidFill>
              <a:latin typeface="Arial"/>
              <a:ea typeface="Arial"/>
              <a:cs typeface="Arial"/>
            </a:defRPr>
          </a:pPr>
          <a:endParaRPr lang="es-CO"/>
        </a:p>
      </c:txPr>
    </c:legend>
    <c:plotVisOnly val="0"/>
    <c:dispBlanksAs val="span"/>
    <c:showDLblsOverMax val="0"/>
  </c:chart>
  <c:spPr>
    <a:solidFill>
      <a:srgbClr val="FFFFFF"/>
    </a:solidFill>
    <a:ln w="25400">
      <a:solidFill>
        <a:schemeClr val="bg1"/>
      </a:solidFill>
      <a:prstDash val="solid"/>
    </a:ln>
  </c:spPr>
  <c:txPr>
    <a:bodyPr/>
    <a:lstStyle/>
    <a:p>
      <a:pPr>
        <a:defRPr sz="16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907317810173321E-2"/>
          <c:y val="3.416217709628401E-2"/>
          <c:w val="0.86987832013244371"/>
          <c:h val="0.83869185553328485"/>
        </c:manualLayout>
      </c:layout>
      <c:scatterChart>
        <c:scatterStyle val="lineMarker"/>
        <c:varyColors val="0"/>
        <c:ser>
          <c:idx val="0"/>
          <c:order val="0"/>
          <c:tx>
            <c:v>Resultado</c:v>
          </c:tx>
          <c:spPr>
            <a:ln w="12700" cap="rnd">
              <a:solidFill>
                <a:schemeClr val="tx1"/>
              </a:solidFill>
              <a:prstDash val="solid"/>
            </a:ln>
          </c:spPr>
          <c:marker>
            <c:symbol val="diamond"/>
            <c:size val="3"/>
            <c:spPr>
              <a:noFill/>
              <a:ln w="6350">
                <a:solidFill>
                  <a:srgbClr val="000000"/>
                </a:solidFill>
                <a:prstDash val="solid"/>
              </a:ln>
            </c:spPr>
          </c:marker>
          <c:xVal>
            <c:numRef>
              <c:f>'[37]Gradacion '!$A$14:$A$23</c:f>
              <c:numCache>
                <c:formatCode>General</c:formatCode>
                <c:ptCount val="10"/>
                <c:pt idx="0">
                  <c:v>0</c:v>
                </c:pt>
                <c:pt idx="1">
                  <c:v>0</c:v>
                </c:pt>
                <c:pt idx="2">
                  <c:v>0</c:v>
                </c:pt>
                <c:pt idx="3">
                  <c:v>0</c:v>
                </c:pt>
                <c:pt idx="4">
                  <c:v>0</c:v>
                </c:pt>
                <c:pt idx="5">
                  <c:v>0</c:v>
                </c:pt>
                <c:pt idx="6">
                  <c:v>0</c:v>
                </c:pt>
                <c:pt idx="7">
                  <c:v>0</c:v>
                </c:pt>
                <c:pt idx="8">
                  <c:v>0</c:v>
                </c:pt>
                <c:pt idx="9">
                  <c:v>0</c:v>
                </c:pt>
              </c:numCache>
            </c:numRef>
          </c:xVal>
          <c:yVal>
            <c:numRef>
              <c:f>'[37]Gradacion '!$U$14:$U$23</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0-910E-47C6-B777-AF5121422CBB}"/>
            </c:ext>
          </c:extLst>
        </c:ser>
        <c:ser>
          <c:idx val="3"/>
          <c:order val="1"/>
          <c:tx>
            <c:strRef>
              <c:f>'[37]Gradacion '!$AN$34</c:f>
              <c:strCache>
                <c:ptCount val="1"/>
                <c:pt idx="0">
                  <c:v>Limite superior</c:v>
                </c:pt>
              </c:strCache>
            </c:strRef>
          </c:tx>
          <c:spPr>
            <a:ln w="12700">
              <a:solidFill>
                <a:srgbClr val="0070C0"/>
              </a:solidFill>
              <a:prstDash val="dashDot"/>
            </a:ln>
          </c:spPr>
          <c:marker>
            <c:symbol val="none"/>
          </c:marker>
          <c:xVal>
            <c:numRef>
              <c:f>'[37]Gradacion '!$A$14:$A$23</c:f>
              <c:numCache>
                <c:formatCode>General</c:formatCode>
                <c:ptCount val="10"/>
                <c:pt idx="0">
                  <c:v>0</c:v>
                </c:pt>
                <c:pt idx="1">
                  <c:v>0</c:v>
                </c:pt>
                <c:pt idx="2">
                  <c:v>0</c:v>
                </c:pt>
                <c:pt idx="3">
                  <c:v>0</c:v>
                </c:pt>
                <c:pt idx="4">
                  <c:v>0</c:v>
                </c:pt>
                <c:pt idx="5">
                  <c:v>0</c:v>
                </c:pt>
                <c:pt idx="6">
                  <c:v>0</c:v>
                </c:pt>
                <c:pt idx="7">
                  <c:v>0</c:v>
                </c:pt>
                <c:pt idx="8">
                  <c:v>0</c:v>
                </c:pt>
                <c:pt idx="9">
                  <c:v>0</c:v>
                </c:pt>
              </c:numCache>
            </c:numRef>
          </c:xVal>
          <c:yVal>
            <c:numRef>
              <c:f>'[37]Gradacion '!$Y$14:$Y$23</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1-910E-47C6-B777-AF5121422CBB}"/>
            </c:ext>
          </c:extLst>
        </c:ser>
        <c:ser>
          <c:idx val="4"/>
          <c:order val="2"/>
          <c:tx>
            <c:strRef>
              <c:f>'[37]Gradacion '!$AM$34</c:f>
              <c:strCache>
                <c:ptCount val="1"/>
                <c:pt idx="0">
                  <c:v>Limite inferior</c:v>
                </c:pt>
              </c:strCache>
            </c:strRef>
          </c:tx>
          <c:spPr>
            <a:ln w="12700">
              <a:solidFill>
                <a:srgbClr val="0070C0"/>
              </a:solidFill>
              <a:prstDash val="dashDot"/>
            </a:ln>
          </c:spPr>
          <c:marker>
            <c:symbol val="none"/>
          </c:marker>
          <c:xVal>
            <c:numRef>
              <c:f>'[37]Gradacion '!$A$14:$A$23</c:f>
              <c:numCache>
                <c:formatCode>General</c:formatCode>
                <c:ptCount val="10"/>
                <c:pt idx="0">
                  <c:v>0</c:v>
                </c:pt>
                <c:pt idx="1">
                  <c:v>0</c:v>
                </c:pt>
                <c:pt idx="2">
                  <c:v>0</c:v>
                </c:pt>
                <c:pt idx="3">
                  <c:v>0</c:v>
                </c:pt>
                <c:pt idx="4">
                  <c:v>0</c:v>
                </c:pt>
                <c:pt idx="5">
                  <c:v>0</c:v>
                </c:pt>
                <c:pt idx="6">
                  <c:v>0</c:v>
                </c:pt>
                <c:pt idx="7">
                  <c:v>0</c:v>
                </c:pt>
                <c:pt idx="8">
                  <c:v>0</c:v>
                </c:pt>
                <c:pt idx="9">
                  <c:v>0</c:v>
                </c:pt>
              </c:numCache>
            </c:numRef>
          </c:xVal>
          <c:yVal>
            <c:numRef>
              <c:f>'[37]Gradacion '!$AC$14:$AC$23</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2-910E-47C6-B777-AF5121422CBB}"/>
            </c:ext>
          </c:extLst>
        </c:ser>
        <c:dLbls>
          <c:showLegendKey val="0"/>
          <c:showVal val="0"/>
          <c:showCatName val="0"/>
          <c:showSerName val="0"/>
          <c:showPercent val="0"/>
          <c:showBubbleSize val="0"/>
        </c:dLbls>
        <c:axId val="-1534237680"/>
        <c:axId val="-1534231696"/>
      </c:scatterChart>
      <c:valAx>
        <c:axId val="-1534237680"/>
        <c:scaling>
          <c:logBase val="10"/>
          <c:orientation val="maxMin"/>
          <c:max val="310"/>
        </c:scaling>
        <c:delete val="0"/>
        <c:axPos val="b"/>
        <c:majorGridlines>
          <c:spPr>
            <a:ln w="3175">
              <a:solidFill>
                <a:srgbClr val="000000"/>
              </a:solidFill>
              <a:prstDash val="solid"/>
            </a:ln>
          </c:spPr>
        </c:majorGridlines>
        <c:minorGridlines>
          <c:spPr>
            <a:ln w="3175">
              <a:solidFill>
                <a:schemeClr val="tx1">
                  <a:lumMod val="50000"/>
                  <a:lumOff val="50000"/>
                </a:schemeClr>
              </a:solidFill>
              <a:prstDash val="solid"/>
            </a:ln>
          </c:spPr>
        </c:min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1696"/>
        <c:crosses val="autoZero"/>
        <c:crossBetween val="midCat"/>
      </c:valAx>
      <c:valAx>
        <c:axId val="-1534231696"/>
        <c:scaling>
          <c:orientation val="minMax"/>
          <c:max val="100"/>
          <c:min val="0"/>
        </c:scaling>
        <c:delete val="0"/>
        <c:axPos val="l"/>
        <c:majorGridlines>
          <c:spPr>
            <a:ln w="3175">
              <a:solidFill>
                <a:schemeClr val="bg1">
                  <a:lumMod val="50000"/>
                </a:schemeClr>
              </a:solidFill>
              <a:prstDash val="solid"/>
            </a:ln>
          </c:spPr>
        </c:majorGridlines>
        <c:title>
          <c:tx>
            <c:rich>
              <a:bodyPr/>
              <a:lstStyle/>
              <a:p>
                <a:pPr>
                  <a:defRPr sz="800" b="1" i="0" u="none" strike="noStrike" baseline="0">
                    <a:solidFill>
                      <a:srgbClr val="000000"/>
                    </a:solidFill>
                    <a:latin typeface="Arial"/>
                    <a:ea typeface="Arial"/>
                    <a:cs typeface="Arial"/>
                  </a:defRPr>
                </a:pPr>
                <a:r>
                  <a:rPr lang="es-CO" sz="800" b="0"/>
                  <a:t>%</a:t>
                </a:r>
                <a:r>
                  <a:rPr lang="es-CO" sz="800" baseline="0"/>
                  <a:t> PASA</a:t>
                </a:r>
                <a:endParaRPr lang="es-CO" sz="800"/>
              </a:p>
            </c:rich>
          </c:tx>
          <c:layout>
            <c:manualLayout>
              <c:xMode val="edge"/>
              <c:yMode val="edge"/>
              <c:x val="2.2308851666231443E-2"/>
              <c:y val="0.3929070539334369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7680"/>
        <c:crosses val="max"/>
        <c:crossBetween val="midCat"/>
      </c:valAx>
      <c:spPr>
        <a:noFill/>
        <a:ln w="25400">
          <a:solidFill>
            <a:schemeClr val="bg1"/>
          </a:solidFill>
        </a:ln>
      </c:spPr>
    </c:plotArea>
    <c:legend>
      <c:legendPos val="r"/>
      <c:layout>
        <c:manualLayout>
          <c:xMode val="edge"/>
          <c:yMode val="edge"/>
          <c:x val="0.74926744598691408"/>
          <c:y val="7.201547175024299E-2"/>
          <c:w val="0.24424557372095554"/>
          <c:h val="0.22150013089900344"/>
        </c:manualLayout>
      </c:layout>
      <c:overlay val="0"/>
      <c:spPr>
        <a:solidFill>
          <a:srgbClr val="FFFFFF"/>
        </a:solidFill>
        <a:ln w="3175">
          <a:noFill/>
          <a:prstDash val="solid"/>
        </a:ln>
      </c:spPr>
      <c:txPr>
        <a:bodyPr/>
        <a:lstStyle/>
        <a:p>
          <a:pPr>
            <a:defRPr sz="900" b="0" i="0" u="none" strike="noStrike" baseline="0">
              <a:solidFill>
                <a:srgbClr val="000000"/>
              </a:solidFill>
              <a:latin typeface="Arial"/>
              <a:ea typeface="Arial"/>
              <a:cs typeface="Arial"/>
            </a:defRPr>
          </a:pPr>
          <a:endParaRPr lang="es-CO"/>
        </a:p>
      </c:txPr>
    </c:legend>
    <c:plotVisOnly val="0"/>
    <c:dispBlanksAs val="span"/>
    <c:showDLblsOverMax val="0"/>
  </c:chart>
  <c:spPr>
    <a:solidFill>
      <a:srgbClr val="FFFFFF"/>
    </a:solidFill>
    <a:ln w="25400">
      <a:solidFill>
        <a:schemeClr val="bg1"/>
      </a:solidFill>
      <a:prstDash val="solid"/>
    </a:ln>
  </c:spPr>
  <c:txPr>
    <a:bodyPr/>
    <a:lstStyle/>
    <a:p>
      <a:pPr>
        <a:defRPr sz="16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907317810173321E-2"/>
          <c:y val="3.416217709628401E-2"/>
          <c:w val="0.86987832013244371"/>
          <c:h val="0.83869185553328485"/>
        </c:manualLayout>
      </c:layout>
      <c:scatterChart>
        <c:scatterStyle val="lineMarker"/>
        <c:varyColors val="0"/>
        <c:ser>
          <c:idx val="0"/>
          <c:order val="0"/>
          <c:tx>
            <c:v>Resultado</c:v>
          </c:tx>
          <c:spPr>
            <a:ln w="12700" cap="flat">
              <a:solidFill>
                <a:schemeClr val="tx1"/>
              </a:solidFill>
              <a:miter lim="800000"/>
            </a:ln>
          </c:spPr>
          <c:marker>
            <c:symbol val="diamond"/>
            <c:size val="3"/>
            <c:spPr>
              <a:noFill/>
              <a:ln w="3175">
                <a:solidFill>
                  <a:schemeClr val="tx1"/>
                </a:solidFill>
                <a:prstDash val="solid"/>
              </a:ln>
            </c:spPr>
          </c:marker>
          <c:xVal>
            <c:numRef>
              <c:f>'Gradacion '!$A$15:$A$24</c:f>
            </c:numRef>
          </c:xVal>
          <c:yVal>
            <c:numRef>
              <c:f>'Gradacion '!$AC$15:$AC$24</c:f>
              <c:numCache>
                <c:formatCode>0</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0-61D4-468D-8BC8-6000571FA199}"/>
            </c:ext>
          </c:extLst>
        </c:ser>
        <c:ser>
          <c:idx val="3"/>
          <c:order val="1"/>
          <c:tx>
            <c:v>Límite inferior</c:v>
          </c:tx>
          <c:spPr>
            <a:ln w="12700">
              <a:solidFill>
                <a:srgbClr val="0070C0"/>
              </a:solidFill>
              <a:prstDash val="dashDot"/>
            </a:ln>
          </c:spPr>
          <c:marker>
            <c:symbol val="none"/>
          </c:marker>
          <c:xVal>
            <c:numRef>
              <c:f>'Gradacion '!$A$15:$A$24</c:f>
            </c:numRef>
          </c:xVal>
          <c:yVal>
            <c:numRef>
              <c:f>'Gradacion '!$AG$15:$AG$24</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1-61D4-468D-8BC8-6000571FA199}"/>
            </c:ext>
          </c:extLst>
        </c:ser>
        <c:ser>
          <c:idx val="4"/>
          <c:order val="2"/>
          <c:tx>
            <c:v>Límite superior</c:v>
          </c:tx>
          <c:spPr>
            <a:ln w="12700">
              <a:solidFill>
                <a:srgbClr val="0070C0"/>
              </a:solidFill>
              <a:prstDash val="dashDot"/>
            </a:ln>
          </c:spPr>
          <c:marker>
            <c:symbol val="none"/>
          </c:marker>
          <c:xVal>
            <c:numRef>
              <c:f>'Gradacion '!$A$15:$A$24</c:f>
            </c:numRef>
          </c:xVal>
          <c:yVal>
            <c:numRef>
              <c:f>'Gradacion '!$AK$15:$AK$24</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2-61D4-468D-8BC8-6000571FA199}"/>
            </c:ext>
          </c:extLst>
        </c:ser>
        <c:dLbls>
          <c:showLegendKey val="0"/>
          <c:showVal val="0"/>
          <c:showCatName val="0"/>
          <c:showSerName val="0"/>
          <c:showPercent val="0"/>
          <c:showBubbleSize val="0"/>
        </c:dLbls>
        <c:axId val="-1534237680"/>
        <c:axId val="-1534231696"/>
      </c:scatterChart>
      <c:valAx>
        <c:axId val="-1534237680"/>
        <c:scaling>
          <c:logBase val="10"/>
          <c:orientation val="maxMin"/>
          <c:max val="310"/>
        </c:scaling>
        <c:delete val="0"/>
        <c:axPos val="b"/>
        <c:majorGridlines>
          <c:spPr>
            <a:ln w="3175">
              <a:solidFill>
                <a:srgbClr val="000000"/>
              </a:solidFill>
              <a:prstDash val="solid"/>
            </a:ln>
          </c:spPr>
        </c:majorGridlines>
        <c:minorGridlines>
          <c:spPr>
            <a:ln w="3175">
              <a:solidFill>
                <a:schemeClr val="tx1">
                  <a:lumMod val="50000"/>
                  <a:lumOff val="50000"/>
                </a:schemeClr>
              </a:solidFill>
              <a:prstDash val="solid"/>
            </a:ln>
          </c:spPr>
        </c:minorGridlines>
        <c:title>
          <c:tx>
            <c:rich>
              <a:bodyPr/>
              <a:lstStyle/>
              <a:p>
                <a:pPr>
                  <a:defRPr sz="800" b="1" i="0" u="none" strike="noStrike" baseline="0">
                    <a:solidFill>
                      <a:srgbClr val="000000"/>
                    </a:solidFill>
                    <a:latin typeface="Arial"/>
                    <a:ea typeface="Arial"/>
                    <a:cs typeface="Arial"/>
                  </a:defRPr>
                </a:pPr>
                <a:r>
                  <a:rPr lang="es-CO"/>
                  <a:t>Diámetro de las partículas (mm)</a:t>
                </a:r>
              </a:p>
            </c:rich>
          </c:tx>
          <c:layout>
            <c:manualLayout>
              <c:xMode val="edge"/>
              <c:yMode val="edge"/>
              <c:x val="0.39856282859559738"/>
              <c:y val="0.93673086165849284"/>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1696"/>
        <c:crosses val="autoZero"/>
        <c:crossBetween val="midCat"/>
      </c:valAx>
      <c:valAx>
        <c:axId val="-1534231696"/>
        <c:scaling>
          <c:orientation val="minMax"/>
          <c:max val="100"/>
          <c:min val="0"/>
        </c:scaling>
        <c:delete val="0"/>
        <c:axPos val="l"/>
        <c:majorGridlines>
          <c:spPr>
            <a:ln w="3175">
              <a:solidFill>
                <a:schemeClr val="bg1">
                  <a:lumMod val="50000"/>
                </a:schemeClr>
              </a:solidFill>
              <a:prstDash val="solid"/>
            </a:ln>
          </c:spPr>
        </c:majorGridlines>
        <c:title>
          <c:tx>
            <c:rich>
              <a:bodyPr/>
              <a:lstStyle/>
              <a:p>
                <a:pPr>
                  <a:defRPr sz="800" b="1" i="0" u="none" strike="noStrike" baseline="0">
                    <a:solidFill>
                      <a:srgbClr val="000000"/>
                    </a:solidFill>
                    <a:latin typeface="Arial"/>
                    <a:ea typeface="Arial"/>
                    <a:cs typeface="Arial"/>
                  </a:defRPr>
                </a:pPr>
                <a:r>
                  <a:rPr lang="es-CO" sz="800" b="0"/>
                  <a:t>%</a:t>
                </a:r>
                <a:r>
                  <a:rPr lang="es-CO" sz="800" baseline="0"/>
                  <a:t> Pasa</a:t>
                </a:r>
                <a:endParaRPr lang="es-CO" sz="800"/>
              </a:p>
            </c:rich>
          </c:tx>
          <c:layout>
            <c:manualLayout>
              <c:xMode val="edge"/>
              <c:yMode val="edge"/>
              <c:x val="2.2308851666231443E-2"/>
              <c:y val="0.3929070539334369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7680"/>
        <c:crosses val="max"/>
        <c:crossBetween val="midCat"/>
      </c:valAx>
      <c:spPr>
        <a:noFill/>
        <a:ln w="25400">
          <a:solidFill>
            <a:schemeClr val="bg1"/>
          </a:solidFill>
        </a:ln>
      </c:spPr>
    </c:plotArea>
    <c:legend>
      <c:legendPos val="r"/>
      <c:layout>
        <c:manualLayout>
          <c:xMode val="edge"/>
          <c:yMode val="edge"/>
          <c:x val="0.74926744598691408"/>
          <c:y val="7.201547175024299E-2"/>
          <c:w val="0.24424557372095554"/>
          <c:h val="0.22150013089900344"/>
        </c:manualLayout>
      </c:layout>
      <c:overlay val="0"/>
      <c:spPr>
        <a:solidFill>
          <a:srgbClr val="FFFFFF"/>
        </a:solidFill>
        <a:ln w="3175">
          <a:noFill/>
          <a:prstDash val="solid"/>
        </a:ln>
      </c:spPr>
      <c:txPr>
        <a:bodyPr/>
        <a:lstStyle/>
        <a:p>
          <a:pPr>
            <a:defRPr sz="900" b="0" i="0" u="none" strike="noStrike" baseline="0">
              <a:solidFill>
                <a:srgbClr val="000000"/>
              </a:solidFill>
              <a:latin typeface="Arial"/>
              <a:ea typeface="Arial"/>
              <a:cs typeface="Arial"/>
            </a:defRPr>
          </a:pPr>
          <a:endParaRPr lang="es-CO"/>
        </a:p>
      </c:txPr>
    </c:legend>
    <c:plotVisOnly val="0"/>
    <c:dispBlanksAs val="span"/>
    <c:showDLblsOverMax val="0"/>
  </c:chart>
  <c:spPr>
    <a:solidFill>
      <a:srgbClr val="FFFFFF"/>
    </a:solidFill>
    <a:ln w="25400">
      <a:solidFill>
        <a:schemeClr val="bg1"/>
      </a:solidFill>
      <a:prstDash val="solid"/>
    </a:ln>
  </c:spPr>
  <c:txPr>
    <a:bodyPr/>
    <a:lstStyle/>
    <a:p>
      <a:pPr>
        <a:defRPr sz="16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sz="1400"/>
              <a:t>CURVA DE FLUIDEZ</a:t>
            </a:r>
          </a:p>
        </c:rich>
      </c:tx>
      <c:layout>
        <c:manualLayout>
          <c:xMode val="edge"/>
          <c:yMode val="edge"/>
          <c:x val="0.3474623858637389"/>
          <c:y val="6.8361585250848719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029009014322648"/>
          <c:y val="0.20246081961995474"/>
          <c:w val="0.83496515182793163"/>
          <c:h val="0.70086686038287438"/>
        </c:manualLayout>
      </c:layout>
      <c:scatterChart>
        <c:scatterStyle val="lineMarker"/>
        <c:varyColors val="0"/>
        <c:ser>
          <c:idx val="0"/>
          <c:order val="0"/>
          <c:spPr>
            <a:ln w="25400" cap="rnd">
              <a:no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cap="rnd">
                <a:solidFill>
                  <a:schemeClr val="accent1"/>
                </a:solidFill>
                <a:round/>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marker>
          <c:dLbls>
            <c:dLbl>
              <c:idx val="0"/>
              <c:layout>
                <c:manualLayout>
                  <c:x val="0"/>
                  <c:y val="-4.2105278668427094E-2"/>
                </c:manualLayout>
              </c:layou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4E-4CE3-B0A8-35CF1C9AEB0E}"/>
                </c:ext>
              </c:extLst>
            </c:dLbl>
            <c:dLbl>
              <c:idx val="2"/>
              <c:layout>
                <c:manualLayout>
                  <c:x val="-1.1737089201877934E-2"/>
                  <c:y val="-5.1462007261410876E-2"/>
                </c:manualLayout>
              </c:layou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34E-4CE3-B0A8-35CF1C9AEB0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trendline>
            <c:spPr>
              <a:ln w="19050" cap="rnd">
                <a:solidFill>
                  <a:schemeClr val="accent1"/>
                </a:solidFill>
              </a:ln>
              <a:effectLst/>
            </c:spPr>
            <c:trendlineType val="log"/>
            <c:forward val="2.5"/>
            <c:backward val="2.5"/>
            <c:dispRSqr val="0"/>
            <c:dispEq val="0"/>
          </c:trendline>
          <c:xVal>
            <c:numRef>
              <c:f>'5. Limites M1'!$AH$7:$AJ$7</c:f>
              <c:numCache>
                <c:formatCode>General</c:formatCode>
                <c:ptCount val="3"/>
                <c:pt idx="0">
                  <c:v>0</c:v>
                </c:pt>
                <c:pt idx="1">
                  <c:v>0</c:v>
                </c:pt>
                <c:pt idx="2">
                  <c:v>0</c:v>
                </c:pt>
              </c:numCache>
            </c:numRef>
          </c:xVal>
          <c:yVal>
            <c:numRef>
              <c:f>'5. Limites M1'!$AH$8:$AJ$8</c:f>
              <c:numCache>
                <c:formatCode>0.0</c:formatCode>
                <c:ptCount val="3"/>
                <c:pt idx="0">
                  <c:v>0</c:v>
                </c:pt>
                <c:pt idx="1">
                  <c:v>0</c:v>
                </c:pt>
                <c:pt idx="2">
                  <c:v>0</c:v>
                </c:pt>
              </c:numCache>
            </c:numRef>
          </c:yVal>
          <c:smooth val="0"/>
          <c:extLst>
            <c:ext xmlns:c16="http://schemas.microsoft.com/office/drawing/2014/chart" uri="{C3380CC4-5D6E-409C-BE32-E72D297353CC}">
              <c16:uniqueId val="{00000002-E34E-4CE3-B0A8-35CF1C9AEB0E}"/>
            </c:ext>
          </c:extLst>
        </c:ser>
        <c:ser>
          <c:idx val="1"/>
          <c:order val="1"/>
          <c:spPr>
            <a:ln w="9525" cap="rnd">
              <a:solidFill>
                <a:schemeClr val="accent2"/>
              </a:solidFill>
              <a:round/>
            </a:ln>
            <a:effectLst>
              <a:outerShdw blurRad="57150" dist="19050" dir="5400000" algn="ctr" rotWithShape="0">
                <a:srgbClr val="000000">
                  <a:alpha val="63000"/>
                </a:srgbClr>
              </a:outerShdw>
            </a:effectLst>
          </c:spPr>
          <c:marker>
            <c:symbol val="none"/>
          </c:marker>
          <c:dPt>
            <c:idx val="1"/>
            <c:marker>
              <c:symbol val="none"/>
            </c:marker>
            <c:bubble3D val="0"/>
            <c:extLst>
              <c:ext xmlns:c16="http://schemas.microsoft.com/office/drawing/2014/chart" uri="{C3380CC4-5D6E-409C-BE32-E72D297353CC}">
                <c16:uniqueId val="{00000003-E34E-4CE3-B0A8-35CF1C9AEB0E}"/>
              </c:ext>
            </c:extLst>
          </c:dPt>
          <c:xVal>
            <c:numRef>
              <c:f>'5. Limites M1'!$AH$10:$AH$11</c:f>
              <c:numCache>
                <c:formatCode>0</c:formatCode>
                <c:ptCount val="2"/>
                <c:pt idx="0">
                  <c:v>25</c:v>
                </c:pt>
                <c:pt idx="1">
                  <c:v>25</c:v>
                </c:pt>
              </c:numCache>
            </c:numRef>
          </c:xVal>
          <c:yVal>
            <c:numRef>
              <c:f>'5. Limites M1'!$AI$10:$AI$11</c:f>
              <c:numCache>
                <c:formatCode>0</c:formatCode>
                <c:ptCount val="2"/>
                <c:pt idx="0">
                  <c:v>0</c:v>
                </c:pt>
                <c:pt idx="1">
                  <c:v>0</c:v>
                </c:pt>
              </c:numCache>
            </c:numRef>
          </c:yVal>
          <c:smooth val="0"/>
          <c:extLst>
            <c:ext xmlns:c16="http://schemas.microsoft.com/office/drawing/2014/chart" uri="{C3380CC4-5D6E-409C-BE32-E72D297353CC}">
              <c16:uniqueId val="{00000004-E34E-4CE3-B0A8-35CF1C9AEB0E}"/>
            </c:ext>
          </c:extLst>
        </c:ser>
        <c:dLbls>
          <c:showLegendKey val="0"/>
          <c:showVal val="0"/>
          <c:showCatName val="0"/>
          <c:showSerName val="0"/>
          <c:showPercent val="0"/>
          <c:showBubbleSize val="0"/>
        </c:dLbls>
        <c:axId val="-1534232784"/>
        <c:axId val="-1534245840"/>
      </c:scatterChart>
      <c:valAx>
        <c:axId val="-1534232784"/>
        <c:scaling>
          <c:logBase val="10"/>
          <c:orientation val="minMax"/>
          <c:max val="40"/>
          <c:min val="1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Número de golpes</a:t>
                </a:r>
              </a:p>
            </c:rich>
          </c:tx>
          <c:layout>
            <c:manualLayout>
              <c:xMode val="edge"/>
              <c:yMode val="edge"/>
              <c:x val="0.39571914754674808"/>
              <c:y val="0.934433623428650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34245840"/>
        <c:crosses val="autoZero"/>
        <c:crossBetween val="midCat"/>
        <c:majorUnit val="10"/>
        <c:minorUnit val="10"/>
      </c:valAx>
      <c:valAx>
        <c:axId val="-1534245840"/>
        <c:scaling>
          <c:orientation val="minMax"/>
          <c:max val="35"/>
          <c:min val="2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Contenido de humedad  (%)</a:t>
                </a:r>
              </a:p>
            </c:rich>
          </c:tx>
          <c:layout>
            <c:manualLayout>
              <c:xMode val="edge"/>
              <c:yMode val="edge"/>
              <c:x val="2.3494880041403276E-2"/>
              <c:y val="0.2722472799179555"/>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34232784"/>
        <c:crossesAt val="10"/>
        <c:crossBetween val="midCat"/>
        <c:minorUnit val="1"/>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alignWithMargins="0">
      <c:oddHeader>&amp;N</c:oddHeader>
      <c:oddFooter>Page &amp;P</c:oddFooter>
    </c:headerFooter>
    <c:pageMargins b="1" l="0.75000000000001465" r="0.75000000000001465" t="1" header="0.511811024" footer="0.511811024"/>
    <c:pageSetup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18280282348346"/>
          <c:y val="4.0906671118408122E-2"/>
          <c:w val="0.86332141926490868"/>
          <c:h val="0.83155393561670521"/>
        </c:manualLayout>
      </c:layout>
      <c:scatterChart>
        <c:scatterStyle val="lineMarker"/>
        <c:varyColors val="0"/>
        <c:ser>
          <c:idx val="0"/>
          <c:order val="0"/>
          <c:spPr>
            <a:ln w="19050"/>
          </c:spPr>
          <c:marker>
            <c:symbol val="diamond"/>
            <c:size val="5"/>
            <c:spPr>
              <a:noFill/>
            </c:spPr>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'!$AP$6:$AP$24</c:f>
              <c:numCache>
                <c:formatCode>General</c:formatCode>
                <c:ptCount val="19"/>
                <c:pt idx="0">
                  <c:v>18.3</c:v>
                </c:pt>
                <c:pt idx="1">
                  <c:v>17.8</c:v>
                </c:pt>
                <c:pt idx="2">
                  <c:v>18</c:v>
                </c:pt>
                <c:pt idx="3">
                  <c:v>19.5</c:v>
                </c:pt>
                <c:pt idx="4">
                  <c:v>18.100000000000001</c:v>
                </c:pt>
                <c:pt idx="5">
                  <c:v>18.7</c:v>
                </c:pt>
                <c:pt idx="6">
                  <c:v>17.7</c:v>
                </c:pt>
                <c:pt idx="7">
                  <c:v>18.2</c:v>
                </c:pt>
                <c:pt idx="8">
                  <c:v>18.399999999999999</c:v>
                </c:pt>
                <c:pt idx="9">
                  <c:v>17.8</c:v>
                </c:pt>
                <c:pt idx="10">
                  <c:v>19.100000000000001</c:v>
                </c:pt>
                <c:pt idx="11">
                  <c:v>19.3</c:v>
                </c:pt>
                <c:pt idx="12" formatCode="0.0">
                  <c:v>18.8</c:v>
                </c:pt>
                <c:pt idx="13" formatCode="0.0">
                  <c:v>18</c:v>
                </c:pt>
                <c:pt idx="14" formatCode="0.0">
                  <c:v>19.2</c:v>
                </c:pt>
                <c:pt idx="15" formatCode="0.0">
                  <c:v>17.899999999999999</c:v>
                </c:pt>
                <c:pt idx="16" formatCode="0.0">
                  <c:v>20.100000000000001</c:v>
                </c:pt>
                <c:pt idx="17" formatCode="0.0">
                  <c:v>17.899999999999999</c:v>
                </c:pt>
              </c:numCache>
            </c:numRef>
          </c:yVal>
          <c:smooth val="0"/>
          <c:extLst>
            <c:ext xmlns:c16="http://schemas.microsoft.com/office/drawing/2014/chart" uri="{C3380CC4-5D6E-409C-BE32-E72D297353CC}">
              <c16:uniqueId val="{00000000-263C-4604-BC61-D1378FD12F26}"/>
            </c:ext>
          </c:extLst>
        </c:ser>
        <c:ser>
          <c:idx val="1"/>
          <c:order val="1"/>
          <c:spPr>
            <a:ln w="12700">
              <a:solidFill>
                <a:srgbClr val="00B050"/>
              </a:solidFill>
            </a:ln>
          </c:spPr>
          <c:marker>
            <c:symbol val="none"/>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'!$AQ$6:$AQ$24</c:f>
              <c:numCache>
                <c:formatCode>General</c:formatCode>
                <c:ptCount val="19"/>
                <c:pt idx="0">
                  <c:v>18.399999999999999</c:v>
                </c:pt>
                <c:pt idx="1">
                  <c:v>18.399999999999999</c:v>
                </c:pt>
                <c:pt idx="2">
                  <c:v>18.399999999999999</c:v>
                </c:pt>
                <c:pt idx="3">
                  <c:v>18.399999999999999</c:v>
                </c:pt>
                <c:pt idx="4">
                  <c:v>18.399999999999999</c:v>
                </c:pt>
                <c:pt idx="5">
                  <c:v>18.399999999999999</c:v>
                </c:pt>
                <c:pt idx="6">
                  <c:v>18.399999999999999</c:v>
                </c:pt>
                <c:pt idx="7">
                  <c:v>18.399999999999999</c:v>
                </c:pt>
                <c:pt idx="8">
                  <c:v>18.399999999999999</c:v>
                </c:pt>
                <c:pt idx="9">
                  <c:v>18.399999999999999</c:v>
                </c:pt>
                <c:pt idx="10">
                  <c:v>18.399999999999999</c:v>
                </c:pt>
                <c:pt idx="11">
                  <c:v>18.399999999999999</c:v>
                </c:pt>
                <c:pt idx="12">
                  <c:v>18.399999999999999</c:v>
                </c:pt>
                <c:pt idx="13">
                  <c:v>18.399999999999999</c:v>
                </c:pt>
                <c:pt idx="14">
                  <c:v>18.399999999999999</c:v>
                </c:pt>
                <c:pt idx="15">
                  <c:v>18.399999999999999</c:v>
                </c:pt>
                <c:pt idx="16">
                  <c:v>18.399999999999999</c:v>
                </c:pt>
                <c:pt idx="17">
                  <c:v>18.399999999999999</c:v>
                </c:pt>
              </c:numCache>
            </c:numRef>
          </c:yVal>
          <c:smooth val="0"/>
          <c:extLst>
            <c:ext xmlns:c16="http://schemas.microsoft.com/office/drawing/2014/chart" uri="{C3380CC4-5D6E-409C-BE32-E72D297353CC}">
              <c16:uniqueId val="{00000001-263C-4604-BC61-D1378FD12F26}"/>
            </c:ext>
          </c:extLst>
        </c:ser>
        <c:ser>
          <c:idx val="2"/>
          <c:order val="2"/>
          <c:spPr>
            <a:ln w="12700">
              <a:solidFill>
                <a:srgbClr val="FF0000"/>
              </a:solidFill>
            </a:ln>
          </c:spPr>
          <c:marker>
            <c:symbol val="none"/>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'!$AR$6:$AR$24</c:f>
              <c:numCache>
                <c:formatCode>General</c:formatCode>
                <c:ptCount val="19"/>
                <c:pt idx="0">
                  <c:v>17.5</c:v>
                </c:pt>
                <c:pt idx="1">
                  <c:v>17.5</c:v>
                </c:pt>
                <c:pt idx="2">
                  <c:v>17.5</c:v>
                </c:pt>
                <c:pt idx="3">
                  <c:v>17.5</c:v>
                </c:pt>
                <c:pt idx="4">
                  <c:v>17.5</c:v>
                </c:pt>
                <c:pt idx="5">
                  <c:v>17.5</c:v>
                </c:pt>
                <c:pt idx="6">
                  <c:v>17.5</c:v>
                </c:pt>
                <c:pt idx="7">
                  <c:v>17.5</c:v>
                </c:pt>
                <c:pt idx="8">
                  <c:v>17.5</c:v>
                </c:pt>
                <c:pt idx="9">
                  <c:v>17.5</c:v>
                </c:pt>
                <c:pt idx="10">
                  <c:v>17.5</c:v>
                </c:pt>
                <c:pt idx="11">
                  <c:v>17.5</c:v>
                </c:pt>
                <c:pt idx="12">
                  <c:v>17.5</c:v>
                </c:pt>
                <c:pt idx="13">
                  <c:v>17.5</c:v>
                </c:pt>
                <c:pt idx="14">
                  <c:v>17.5</c:v>
                </c:pt>
                <c:pt idx="15">
                  <c:v>17.5</c:v>
                </c:pt>
                <c:pt idx="16">
                  <c:v>17.5</c:v>
                </c:pt>
                <c:pt idx="17">
                  <c:v>17.5</c:v>
                </c:pt>
              </c:numCache>
            </c:numRef>
          </c:yVal>
          <c:smooth val="0"/>
          <c:extLst>
            <c:ext xmlns:c16="http://schemas.microsoft.com/office/drawing/2014/chart" uri="{C3380CC4-5D6E-409C-BE32-E72D297353CC}">
              <c16:uniqueId val="{00000002-263C-4604-BC61-D1378FD12F26}"/>
            </c:ext>
          </c:extLst>
        </c:ser>
        <c:ser>
          <c:idx val="3"/>
          <c:order val="3"/>
          <c:spPr>
            <a:ln w="12700">
              <a:solidFill>
                <a:srgbClr val="FF0000"/>
              </a:solidFill>
            </a:ln>
          </c:spPr>
          <c:marker>
            <c:symbol val="none"/>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'!$AS$6:$AS$24</c:f>
              <c:numCache>
                <c:formatCode>General</c:formatCode>
                <c:ptCount val="19"/>
                <c:pt idx="0">
                  <c:v>20.7</c:v>
                </c:pt>
                <c:pt idx="1">
                  <c:v>20.7</c:v>
                </c:pt>
                <c:pt idx="2">
                  <c:v>20.7</c:v>
                </c:pt>
                <c:pt idx="3">
                  <c:v>20.7</c:v>
                </c:pt>
                <c:pt idx="4">
                  <c:v>20.7</c:v>
                </c:pt>
                <c:pt idx="5">
                  <c:v>20.7</c:v>
                </c:pt>
                <c:pt idx="6">
                  <c:v>20.7</c:v>
                </c:pt>
                <c:pt idx="7">
                  <c:v>20.7</c:v>
                </c:pt>
                <c:pt idx="8">
                  <c:v>20.7</c:v>
                </c:pt>
                <c:pt idx="9">
                  <c:v>20.7</c:v>
                </c:pt>
                <c:pt idx="10">
                  <c:v>20.7</c:v>
                </c:pt>
                <c:pt idx="11">
                  <c:v>20.7</c:v>
                </c:pt>
                <c:pt idx="12">
                  <c:v>20.7</c:v>
                </c:pt>
                <c:pt idx="13">
                  <c:v>20.7</c:v>
                </c:pt>
                <c:pt idx="14">
                  <c:v>20.7</c:v>
                </c:pt>
                <c:pt idx="15">
                  <c:v>20.7</c:v>
                </c:pt>
                <c:pt idx="16">
                  <c:v>20.7</c:v>
                </c:pt>
                <c:pt idx="17">
                  <c:v>20.7</c:v>
                </c:pt>
              </c:numCache>
            </c:numRef>
          </c:yVal>
          <c:smooth val="0"/>
          <c:extLst>
            <c:ext xmlns:c16="http://schemas.microsoft.com/office/drawing/2014/chart" uri="{C3380CC4-5D6E-409C-BE32-E72D297353CC}">
              <c16:uniqueId val="{00000003-263C-4604-BC61-D1378FD12F26}"/>
            </c:ext>
          </c:extLst>
        </c:ser>
        <c:dLbls>
          <c:showLegendKey val="0"/>
          <c:showVal val="0"/>
          <c:showCatName val="0"/>
          <c:showSerName val="0"/>
          <c:showPercent val="0"/>
          <c:showBubbleSize val="0"/>
        </c:dLbls>
        <c:axId val="-1534246928"/>
        <c:axId val="-1534232240"/>
      </c:scatterChart>
      <c:valAx>
        <c:axId val="-1534246928"/>
        <c:scaling>
          <c:orientation val="minMax"/>
          <c:max val="20"/>
          <c:min val="0"/>
        </c:scaling>
        <c:delete val="0"/>
        <c:axPos val="b"/>
        <c:title>
          <c:tx>
            <c:rich>
              <a:bodyPr/>
              <a:lstStyle/>
              <a:p>
                <a:pPr>
                  <a:defRPr sz="900" b="1" i="0" u="none" strike="noStrike" baseline="0">
                    <a:solidFill>
                      <a:srgbClr val="000000"/>
                    </a:solidFill>
                    <a:latin typeface="Arial"/>
                    <a:ea typeface="Arial"/>
                    <a:cs typeface="Arial"/>
                  </a:defRPr>
                </a:pPr>
                <a:r>
                  <a:rPr lang="es-CO" sz="900"/>
                  <a:t>N° de prueba</a:t>
                </a:r>
              </a:p>
            </c:rich>
          </c:tx>
          <c:layout>
            <c:manualLayout>
              <c:xMode val="edge"/>
              <c:yMode val="edge"/>
              <c:x val="0.45089329874228151"/>
              <c:y val="0.93625834375159933"/>
            </c:manualLayout>
          </c:layout>
          <c:overlay val="0"/>
          <c:spPr>
            <a:noFill/>
            <a:ln w="25400">
              <a:noFill/>
            </a:ln>
          </c:spPr>
        </c:title>
        <c:numFmt formatCode="#,##0.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2240"/>
        <c:crosses val="autoZero"/>
        <c:crossBetween val="midCat"/>
      </c:valAx>
      <c:valAx>
        <c:axId val="-1534232240"/>
        <c:scaling>
          <c:orientation val="minMax"/>
          <c:max val="21"/>
          <c:min val="17"/>
        </c:scaling>
        <c:delete val="0"/>
        <c:axPos val="l"/>
        <c:majorGridlines>
          <c:spPr>
            <a:ln w="3175">
              <a:solidFill>
                <a:schemeClr val="bg1">
                  <a:lumMod val="50000"/>
                </a:schemeClr>
              </a:solidFill>
              <a:prstDash val="solid"/>
            </a:ln>
          </c:spPr>
        </c:majorGridlines>
        <c:title>
          <c:tx>
            <c:rich>
              <a:bodyPr/>
              <a:lstStyle/>
              <a:p>
                <a:pPr>
                  <a:defRPr sz="900" b="1" i="0" u="none" strike="noStrike" baseline="0">
                    <a:solidFill>
                      <a:srgbClr val="000000"/>
                    </a:solidFill>
                    <a:latin typeface="Arial"/>
                    <a:ea typeface="Arial"/>
                    <a:cs typeface="Arial"/>
                  </a:defRPr>
                </a:pPr>
                <a:r>
                  <a:rPr lang="es-CO" sz="900"/>
                  <a:t>Pérdida</a:t>
                </a:r>
                <a:r>
                  <a:rPr lang="es-CO" sz="900" baseline="0"/>
                  <a:t> por abrasión Micro-Deval, </a:t>
                </a:r>
                <a:r>
                  <a:rPr lang="es-CO" sz="900"/>
                  <a:t>% </a:t>
                </a:r>
              </a:p>
            </c:rich>
          </c:tx>
          <c:layout>
            <c:manualLayout>
              <c:xMode val="edge"/>
              <c:yMode val="edge"/>
              <c:x val="2.0712209563175588E-2"/>
              <c:y val="0.2544569766617010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46928"/>
        <c:crosses val="autoZero"/>
        <c:crossBetween val="midCat"/>
      </c:valAx>
      <c:spPr>
        <a:noFill/>
        <a:ln w="25400">
          <a:noFill/>
        </a:ln>
      </c:spPr>
    </c:plotArea>
    <c:plotVisOnly val="1"/>
    <c:dispBlanksAs val="gap"/>
    <c:showDLblsOverMax val="0"/>
  </c:chart>
  <c:spPr>
    <a:solidFill>
      <a:schemeClr val="bg1">
        <a:alpha val="95000"/>
      </a:schemeClr>
    </a:solidFill>
    <a:ln w="3175">
      <a:noFill/>
      <a:prstDash val="solid"/>
    </a:ln>
    <a:effectLst>
      <a:softEdge rad="31750"/>
    </a:effectLst>
    <a:scene3d>
      <a:camera prst="orthographicFront"/>
      <a:lightRig rig="threePt" dir="t"/>
    </a:scene3d>
    <a:sp3d>
      <a:bevelT/>
      <a:bevelB w="152400" h="50800" prst="softRound"/>
    </a:sp3d>
  </c:spPr>
  <c:txPr>
    <a:bodyPr/>
    <a:lstStyle/>
    <a:p>
      <a:pPr>
        <a:defRPr sz="8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horizontalDpi="0"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76261861498083"/>
          <c:y val="9.4659764751628267E-2"/>
          <c:w val="0.79433121340601665"/>
          <c:h val="0.72987569337340485"/>
        </c:manualLayout>
      </c:layout>
      <c:scatterChart>
        <c:scatterStyle val="smoothMarker"/>
        <c:varyColors val="0"/>
        <c:ser>
          <c:idx val="0"/>
          <c:order val="0"/>
          <c:tx>
            <c:strRef>
              <c:f>PROCTOR!$O$38</c:f>
              <c:strCache>
                <c:ptCount val="1"/>
                <c:pt idx="0">
                  <c:v>Curva de compactación seco</c:v>
                </c:pt>
              </c:strCache>
            </c:strRef>
          </c:tx>
          <c:spPr>
            <a:ln w="19050"/>
          </c:spPr>
          <c:marker>
            <c:symbol val="triangle"/>
            <c:size val="5"/>
            <c:spPr>
              <a:solidFill>
                <a:schemeClr val="accent1"/>
              </a:solidFill>
              <a:ln>
                <a:solidFill>
                  <a:srgbClr val="4F81BD">
                    <a:shade val="95000"/>
                    <a:satMod val="105000"/>
                  </a:srgbClr>
                </a:solidFill>
              </a:ln>
            </c:spPr>
          </c:marker>
          <c:xVal>
            <c:numRef>
              <c:f>PROCTOR!$Q$25:$U$25</c:f>
            </c:numRef>
          </c:xVal>
          <c:yVal>
            <c:numRef>
              <c:f>PROCTOR!$Q$30:$U$30</c:f>
              <c:numCache>
                <c:formatCode>0.00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0-CAA7-45C7-BD45-310785B57DFC}"/>
            </c:ext>
          </c:extLst>
        </c:ser>
        <c:ser>
          <c:idx val="1"/>
          <c:order val="1"/>
          <c:tx>
            <c:strRef>
              <c:f>PROCTOR!$O$39</c:f>
              <c:strCache>
                <c:ptCount val="1"/>
                <c:pt idx="0">
                  <c:v>Curva de compactación húmedo</c:v>
                </c:pt>
              </c:strCache>
            </c:strRef>
          </c:tx>
          <c:spPr>
            <a:ln w="19050" cap="sq"/>
          </c:spPr>
          <c:marker>
            <c:symbol val="circle"/>
            <c:size val="5"/>
            <c:spPr>
              <a:solidFill>
                <a:srgbClr val="C00000"/>
              </a:solidFill>
            </c:spPr>
          </c:marker>
          <c:dPt>
            <c:idx val="1"/>
            <c:bubble3D val="0"/>
            <c:spPr>
              <a:ln w="19050" cap="sq">
                <a:bevel/>
              </a:ln>
            </c:spPr>
            <c:extLst>
              <c:ext xmlns:c16="http://schemas.microsoft.com/office/drawing/2014/chart" uri="{C3380CC4-5D6E-409C-BE32-E72D297353CC}">
                <c16:uniqueId val="{00000002-CAA7-45C7-BD45-310785B57DFC}"/>
              </c:ext>
            </c:extLst>
          </c:dPt>
          <c:xVal>
            <c:numRef>
              <c:f>PROCTOR!$Q$25:$U$25</c:f>
            </c:numRef>
          </c:xVal>
          <c:yVal>
            <c:numRef>
              <c:f>PROCTOR!$Q$29:$U$29</c:f>
              <c:numCache>
                <c:formatCode>0.00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3-CAA7-45C7-BD45-310785B57DFC}"/>
            </c:ext>
          </c:extLst>
        </c:ser>
        <c:ser>
          <c:idx val="2"/>
          <c:order val="2"/>
          <c:tx>
            <c:strRef>
              <c:f>PROCTOR!$O$40</c:f>
              <c:strCache>
                <c:ptCount val="1"/>
                <c:pt idx="0">
                  <c:v>Curva de saturación</c:v>
                </c:pt>
              </c:strCache>
            </c:strRef>
          </c:tx>
          <c:spPr>
            <a:ln w="15875"/>
          </c:spPr>
          <c:marker>
            <c:symbol val="square"/>
            <c:size val="5"/>
            <c:spPr>
              <a:ln w="12700"/>
            </c:spPr>
          </c:marker>
          <c:xVal>
            <c:numRef>
              <c:f>PROCTOR!$Q$35:$U$35</c:f>
            </c:numRef>
          </c:xVal>
          <c:yVal>
            <c:numRef>
              <c:f>PROCTOR!$Q$30:$U$30</c:f>
              <c:numCache>
                <c:formatCode>0.00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4-CAA7-45C7-BD45-310785B57DFC}"/>
            </c:ext>
          </c:extLst>
        </c:ser>
        <c:dLbls>
          <c:showLegendKey val="0"/>
          <c:showVal val="0"/>
          <c:showCatName val="0"/>
          <c:showSerName val="0"/>
          <c:showPercent val="0"/>
          <c:showBubbleSize val="0"/>
        </c:dLbls>
        <c:axId val="-1534240400"/>
        <c:axId val="-1534244752"/>
      </c:scatterChart>
      <c:valAx>
        <c:axId val="-1534240400"/>
        <c:scaling>
          <c:orientation val="minMax"/>
          <c:max val="20"/>
          <c:min val="1"/>
        </c:scaling>
        <c:delete val="0"/>
        <c:axPos val="b"/>
        <c:majorGridlines>
          <c:spPr>
            <a:ln>
              <a:solidFill>
                <a:schemeClr val="tx1">
                  <a:lumMod val="50000"/>
                  <a:lumOff val="50000"/>
                </a:schemeClr>
              </a:solidFill>
            </a:ln>
          </c:spPr>
        </c:majorGridlines>
        <c:minorGridlines>
          <c:spPr>
            <a:ln>
              <a:solidFill>
                <a:schemeClr val="bg1">
                  <a:lumMod val="75000"/>
                </a:schemeClr>
              </a:solidFill>
            </a:ln>
          </c:spPr>
        </c:minorGridlines>
        <c:numFmt formatCode="0.0" sourceLinked="0"/>
        <c:majorTickMark val="out"/>
        <c:minorTickMark val="none"/>
        <c:tickLblPos val="nextTo"/>
        <c:txPr>
          <a:bodyPr rot="0" vert="horz"/>
          <a:lstStyle/>
          <a:p>
            <a:pPr>
              <a:defRPr sz="800" b="0" i="0" u="none" strike="noStrike" baseline="0">
                <a:solidFill>
                  <a:srgbClr val="000000"/>
                </a:solidFill>
                <a:latin typeface="Arial" panose="020B0604020202020204" pitchFamily="34" charset="0"/>
                <a:ea typeface="Calibri"/>
                <a:cs typeface="Calibri"/>
              </a:defRPr>
            </a:pPr>
            <a:endParaRPr lang="es-CO"/>
          </a:p>
        </c:txPr>
        <c:crossAx val="-1534244752"/>
        <c:crosses val="autoZero"/>
        <c:crossBetween val="midCat"/>
      </c:valAx>
      <c:valAx>
        <c:axId val="-1534244752"/>
        <c:scaling>
          <c:orientation val="minMax"/>
          <c:max val="25"/>
          <c:min val="17.5"/>
        </c:scaling>
        <c:delete val="0"/>
        <c:axPos val="l"/>
        <c:majorGridlines/>
        <c:numFmt formatCode="0.0" sourceLinked="0"/>
        <c:majorTickMark val="out"/>
        <c:minorTickMark val="none"/>
        <c:tickLblPos val="nextTo"/>
        <c:txPr>
          <a:bodyPr rot="0" vert="horz"/>
          <a:lstStyle/>
          <a:p>
            <a:pPr>
              <a:defRPr sz="800" b="0" i="0" u="none" strike="noStrike" baseline="0">
                <a:solidFill>
                  <a:srgbClr val="000000"/>
                </a:solidFill>
                <a:latin typeface="Arial" panose="020B0604020202020204" pitchFamily="34" charset="0"/>
                <a:ea typeface="Calibri"/>
                <a:cs typeface="Calibri"/>
              </a:defRPr>
            </a:pPr>
            <a:endParaRPr lang="es-CO"/>
          </a:p>
        </c:txPr>
        <c:crossAx val="-1534240400"/>
        <c:crosses val="autoZero"/>
        <c:crossBetween val="midCat"/>
      </c:valAx>
    </c:plotArea>
    <c:legend>
      <c:legendPos val="r"/>
      <c:layout>
        <c:manualLayout>
          <c:xMode val="edge"/>
          <c:yMode val="edge"/>
          <c:x val="0.5350762086003108"/>
          <c:y val="0.152685803515067"/>
          <c:w val="0.42291181451542503"/>
          <c:h val="0.16879098973387818"/>
        </c:manualLayout>
      </c:layout>
      <c:overlay val="0"/>
      <c:spPr>
        <a:solidFill>
          <a:schemeClr val="bg1"/>
        </a:solidFill>
        <a:ln>
          <a:solidFill>
            <a:schemeClr val="tx1">
              <a:lumMod val="50000"/>
              <a:lumOff val="50000"/>
            </a:schemeClr>
          </a:solidFill>
        </a:ln>
      </c:spPr>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chemeClr val="bg1">
        <a:lumMod val="85000"/>
      </a:schemeClr>
    </a:solidFill>
    <a:ln>
      <a:solidFill>
        <a:schemeClr val="bg1">
          <a:lumMod val="95000"/>
          <a:alpha val="95000"/>
        </a:schemeClr>
      </a:solidFill>
    </a:ln>
    <a:effectLst>
      <a:outerShdw blurRad="50800" dist="50800" dir="5400000" algn="ctr" rotWithShape="0">
        <a:schemeClr val="bg1">
          <a:lumMod val="85000"/>
        </a:schemeClr>
      </a:outerShdw>
      <a:softEdge rad="63500"/>
    </a:effectLst>
    <a:scene3d>
      <a:camera prst="orthographicFront"/>
      <a:lightRig rig="threePt" dir="t"/>
    </a:scene3d>
    <a:sp3d prstMaterial="matte"/>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999" l="0.70000000000000062" r="0.70000000000000062" t="0.75000000000000999"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s-CO"/>
              <a:t>CBR CORREGIDO VS</a:t>
            </a:r>
            <a:r>
              <a:rPr lang="es-CO" baseline="0"/>
              <a:t> </a:t>
            </a:r>
            <a:r>
              <a:rPr lang="es-CO"/>
              <a:t>PESO UNITARIO SECO</a:t>
            </a:r>
          </a:p>
        </c:rich>
      </c:tx>
      <c:layout>
        <c:manualLayout>
          <c:xMode val="edge"/>
          <c:yMode val="edge"/>
          <c:x val="0.17698221848880905"/>
          <c:y val="2.9430445083865633E-2"/>
        </c:manualLayout>
      </c:layout>
      <c:overlay val="0"/>
      <c:spPr>
        <a:noFill/>
        <a:ln w="25400">
          <a:noFill/>
        </a:ln>
      </c:spPr>
    </c:title>
    <c:autoTitleDeleted val="0"/>
    <c:plotArea>
      <c:layout>
        <c:manualLayout>
          <c:layoutTarget val="inner"/>
          <c:xMode val="edge"/>
          <c:yMode val="edge"/>
          <c:x val="0.13509466034917822"/>
          <c:y val="6.497936379503616E-2"/>
          <c:w val="0.80491588089242649"/>
          <c:h val="0.78373353167988546"/>
        </c:manualLayout>
      </c:layout>
      <c:scatterChart>
        <c:scatterStyle val="smoothMarker"/>
        <c:varyColors val="0"/>
        <c:ser>
          <c:idx val="1"/>
          <c:order val="0"/>
          <c:tx>
            <c:strRef>
              <c:f>' CBR 1'!$AN$32</c:f>
              <c:strCache>
                <c:ptCount val="1"/>
                <c:pt idx="0">
                  <c:v>Peso unitario seco</c:v>
                </c:pt>
              </c:strCache>
            </c:strRef>
          </c:tx>
          <c:spPr>
            <a:ln w="12700">
              <a:solidFill>
                <a:srgbClr val="0070C0"/>
              </a:solidFill>
              <a:prstDash val="solid"/>
            </a:ln>
          </c:spPr>
          <c:marker>
            <c:spPr>
              <a:solidFill>
                <a:schemeClr val="tx2">
                  <a:lumMod val="75000"/>
                </a:schemeClr>
              </a:solidFill>
              <a:ln>
                <a:solidFill>
                  <a:srgbClr val="0070C0"/>
                </a:solidFill>
              </a:ln>
            </c:spPr>
          </c:marker>
          <c:xVal>
            <c:numRef>
              <c:f>' CBR 1'!$AM$33:$AM$35</c:f>
            </c:numRef>
          </c:xVal>
          <c:yVal>
            <c:numRef>
              <c:f>' CBR 1'!$AN$33:$AN$35</c:f>
            </c:numRef>
          </c:yVal>
          <c:smooth val="1"/>
          <c:extLst>
            <c:ext xmlns:c16="http://schemas.microsoft.com/office/drawing/2014/chart" uri="{C3380CC4-5D6E-409C-BE32-E72D297353CC}">
              <c16:uniqueId val="{00000005-EFB9-47A6-AB29-6B091A24E0BC}"/>
            </c:ext>
          </c:extLst>
        </c:ser>
        <c:ser>
          <c:idx val="0"/>
          <c:order val="1"/>
          <c:dPt>
            <c:idx val="0"/>
            <c:marker>
              <c:symbol val="circle"/>
              <c:size val="3"/>
              <c:spPr>
                <a:ln>
                  <a:noFill/>
                </a:ln>
              </c:spPr>
            </c:marker>
            <c:bubble3D val="0"/>
            <c:spPr>
              <a:ln>
                <a:solidFill>
                  <a:srgbClr val="004C22"/>
                </a:solidFill>
              </a:ln>
            </c:spPr>
            <c:extLst>
              <c:ext xmlns:c16="http://schemas.microsoft.com/office/drawing/2014/chart" uri="{C3380CC4-5D6E-409C-BE32-E72D297353CC}">
                <c16:uniqueId val="{00000008-EFB9-47A6-AB29-6B091A24E0BC}"/>
              </c:ext>
            </c:extLst>
          </c:dPt>
          <c:dPt>
            <c:idx val="1"/>
            <c:marker>
              <c:symbol val="circle"/>
              <c:size val="3"/>
              <c:spPr>
                <a:ln>
                  <a:noFill/>
                  <a:miter lim="800000"/>
                </a:ln>
              </c:spPr>
            </c:marker>
            <c:bubble3D val="0"/>
            <c:spPr>
              <a:ln w="0">
                <a:solidFill>
                  <a:schemeClr val="bg1"/>
                </a:solidFill>
              </a:ln>
            </c:spPr>
            <c:extLst>
              <c:ext xmlns:c16="http://schemas.microsoft.com/office/drawing/2014/chart" uri="{C3380CC4-5D6E-409C-BE32-E72D297353CC}">
                <c16:uniqueId val="{00000009-EFB9-47A6-AB29-6B091A24E0BC}"/>
              </c:ext>
            </c:extLst>
          </c:dPt>
          <c:dPt>
            <c:idx val="2"/>
            <c:marker>
              <c:symbol val="circle"/>
              <c:size val="3"/>
              <c:spPr>
                <a:ln>
                  <a:noFill/>
                </a:ln>
              </c:spPr>
            </c:marker>
            <c:bubble3D val="0"/>
            <c:spPr>
              <a:ln w="0">
                <a:solidFill>
                  <a:schemeClr val="bg1">
                    <a:alpha val="0"/>
                  </a:schemeClr>
                </a:solidFill>
              </a:ln>
            </c:spPr>
            <c:extLst>
              <c:ext xmlns:c16="http://schemas.microsoft.com/office/drawing/2014/chart" uri="{C3380CC4-5D6E-409C-BE32-E72D297353CC}">
                <c16:uniqueId val="{0000000A-EFB9-47A6-AB29-6B091A24E0BC}"/>
              </c:ext>
            </c:extLst>
          </c:dPt>
          <c:dLbls>
            <c:dLbl>
              <c:idx val="0"/>
              <c:layout>
                <c:manualLayout>
                  <c:x val="-1.2738849243911003E-2"/>
                  <c:y val="4.1640360620823894E-2"/>
                </c:manualLayout>
              </c:layou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FB9-47A6-AB29-6B091A24E0BC}"/>
                </c:ext>
              </c:extLst>
            </c:dLbl>
            <c:dLbl>
              <c:idx val="1"/>
              <c:layout>
                <c:manualLayout>
                  <c:x val="-7.784762385483919E-17"/>
                  <c:y val="2.7760240413882597E-2"/>
                </c:manualLayout>
              </c:layou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FB9-47A6-AB29-6B091A24E0BC}"/>
                </c:ext>
              </c:extLst>
            </c:dLbl>
            <c:spPr>
              <a:noFill/>
              <a:ln>
                <a:noFill/>
              </a:ln>
              <a:effectLst/>
            </c:spPr>
            <c:txPr>
              <a:bodyPr wrap="square" lIns="38100" tIns="19050" rIns="38100" bIns="19050" anchor="ctr">
                <a:spAutoFit/>
              </a:bodyPr>
              <a:lstStyle/>
              <a:p>
                <a:pPr>
                  <a:defRPr sz="700"/>
                </a:pPr>
                <a:endParaRPr lang="es-CO"/>
              </a:p>
            </c:txPr>
            <c:showLegendKey val="0"/>
            <c:showVal val="0"/>
            <c:showCatName val="1"/>
            <c:showSerName val="0"/>
            <c:showPercent val="0"/>
            <c:showBubbleSize val="0"/>
            <c:showLeaderLines val="0"/>
            <c:extLst>
              <c:ext xmlns:c15="http://schemas.microsoft.com/office/drawing/2012/chart" uri="{CE6537A1-D6FC-4f65-9D91-7224C49458BB}">
                <c15:showLeaderLines val="1"/>
              </c:ext>
            </c:extLst>
          </c:dLbls>
          <c:xVal>
            <c:numRef>
              <c:f>' CBR 1'!$AP$27:$AP$29</c:f>
            </c:numRef>
          </c:xVal>
          <c:yVal>
            <c:numRef>
              <c:f>' CBR 1'!$AO$27:$AO$29</c:f>
            </c:numRef>
          </c:yVal>
          <c:smooth val="1"/>
          <c:extLst>
            <c:ext xmlns:c16="http://schemas.microsoft.com/office/drawing/2014/chart" uri="{C3380CC4-5D6E-409C-BE32-E72D297353CC}">
              <c16:uniqueId val="{00000007-EFB9-47A6-AB29-6B091A24E0BC}"/>
            </c:ext>
          </c:extLst>
        </c:ser>
        <c:dLbls>
          <c:showLegendKey val="0"/>
          <c:showVal val="0"/>
          <c:showCatName val="0"/>
          <c:showSerName val="0"/>
          <c:showPercent val="0"/>
          <c:showBubbleSize val="0"/>
        </c:dLbls>
        <c:axId val="-1529581424"/>
        <c:axId val="-1529591216"/>
      </c:scatterChart>
      <c:valAx>
        <c:axId val="-1529581424"/>
        <c:scaling>
          <c:orientation val="minMax"/>
          <c:max val="150"/>
          <c:min val="20"/>
        </c:scaling>
        <c:delete val="0"/>
        <c:axPos val="b"/>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endParaRPr lang="es-CO" sz="600" b="1" i="0" baseline="0"/>
              </a:p>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endParaRPr lang="es-CO" sz="600" b="1" i="0" baseline="0"/>
              </a:p>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endParaRPr lang="es-CO" sz="600" b="1" i="0" baseline="0"/>
              </a:p>
              <a:p>
                <a:pPr marL="0" marR="0" indent="0" algn="ctr" defTabSz="914400" rtl="0" eaLnBrk="1" fontAlgn="auto" latinLnBrk="0" hangingPunct="1">
                  <a:lnSpc>
                    <a:spcPct val="100000"/>
                  </a:lnSpc>
                  <a:spcBef>
                    <a:spcPts val="0"/>
                  </a:spcBef>
                  <a:spcAft>
                    <a:spcPts val="0"/>
                  </a:spcAft>
                  <a:buClrTx/>
                  <a:buSzTx/>
                  <a:buFontTx/>
                  <a:buNone/>
                  <a:tabLst/>
                  <a:defRPr sz="600" b="1" i="0" u="none" strike="noStrike" kern="1200" baseline="0">
                    <a:solidFill>
                      <a:srgbClr val="000000"/>
                    </a:solidFill>
                    <a:latin typeface="Arial"/>
                    <a:ea typeface="Arial"/>
                    <a:cs typeface="Arial"/>
                  </a:defRPr>
                </a:pPr>
                <a:r>
                  <a:rPr lang="es-CO" sz="600" b="0" i="0" baseline="0">
                    <a:latin typeface="Arial" panose="020B0604020202020204" pitchFamily="34" charset="0"/>
                    <a:cs typeface="Arial" panose="020B0604020202020204" pitchFamily="34" charset="0"/>
                  </a:rPr>
                  <a:t>CBR CORREGIDO (%)</a:t>
                </a:r>
                <a:endParaRPr lang="es-CO" sz="600" b="0">
                  <a:latin typeface="Arial" panose="020B0604020202020204" pitchFamily="34" charset="0"/>
                  <a:cs typeface="Arial" panose="020B0604020202020204" pitchFamily="34" charset="0"/>
                </a:endParaRPr>
              </a:p>
            </c:rich>
          </c:tx>
          <c:layout>
            <c:manualLayout>
              <c:xMode val="edge"/>
              <c:yMode val="edge"/>
              <c:x val="0.37836499119948869"/>
              <c:y val="0.8336035888671964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CO"/>
          </a:p>
        </c:txPr>
        <c:crossAx val="-1529591216"/>
        <c:crosses val="autoZero"/>
        <c:crossBetween val="midCat"/>
        <c:majorUnit val="10"/>
        <c:minorUnit val="0.5"/>
      </c:valAx>
      <c:valAx>
        <c:axId val="-1529591216"/>
        <c:scaling>
          <c:orientation val="minMax"/>
          <c:max val="20.399999999999999"/>
          <c:min val="18.5"/>
        </c:scaling>
        <c:delete val="0"/>
        <c:axPos val="l"/>
        <c:title>
          <c:tx>
            <c:rich>
              <a:bodyPr/>
              <a:lstStyle/>
              <a:p>
                <a:pPr>
                  <a:defRPr sz="600" b="0" i="0" u="none" strike="noStrike" baseline="0">
                    <a:solidFill>
                      <a:srgbClr val="000000"/>
                    </a:solidFill>
                    <a:latin typeface="Calibri"/>
                    <a:ea typeface="Calibri"/>
                    <a:cs typeface="Calibri"/>
                  </a:defRPr>
                </a:pPr>
                <a:r>
                  <a:rPr lang="es-CO" sz="600" b="0" i="0" baseline="0">
                    <a:effectLst/>
                    <a:latin typeface="Arial" panose="020B0604020202020204" pitchFamily="34" charset="0"/>
                    <a:cs typeface="Arial" panose="020B0604020202020204" pitchFamily="34" charset="0"/>
                  </a:rPr>
                  <a:t>Peso unitario seco (kN/m</a:t>
                </a:r>
                <a:r>
                  <a:rPr lang="es-CO" sz="600" b="0" i="0" baseline="30000">
                    <a:effectLst/>
                    <a:latin typeface="Arial" panose="020B0604020202020204" pitchFamily="34" charset="0"/>
                    <a:cs typeface="Arial" panose="020B0604020202020204" pitchFamily="34" charset="0"/>
                  </a:rPr>
                  <a:t>3</a:t>
                </a:r>
                <a:r>
                  <a:rPr lang="es-CO" sz="600" b="0" i="0" baseline="0">
                    <a:effectLst/>
                    <a:latin typeface="Arial" panose="020B0604020202020204" pitchFamily="34" charset="0"/>
                    <a:cs typeface="Arial" panose="020B0604020202020204" pitchFamily="34" charset="0"/>
                  </a:rPr>
                  <a:t>)</a:t>
                </a:r>
                <a:endParaRPr lang="es-CO" sz="600" b="0">
                  <a:effectLst/>
                  <a:latin typeface="Arial" panose="020B0604020202020204" pitchFamily="34" charset="0"/>
                  <a:cs typeface="Arial" panose="020B0604020202020204" pitchFamily="34" charset="0"/>
                </a:endParaRPr>
              </a:p>
            </c:rich>
          </c:tx>
          <c:layout>
            <c:manualLayout>
              <c:xMode val="edge"/>
              <c:yMode val="edge"/>
              <c:x val="1.2925963069064676E-2"/>
              <c:y val="0.27060031857814176"/>
            </c:manualLayout>
          </c:layout>
          <c:overlay val="0"/>
          <c:spPr>
            <a:noFill/>
            <a:ln w="25400">
              <a:noFill/>
            </a:ln>
          </c:spPr>
        </c:title>
        <c:numFmt formatCode="#,##0.0" sourceLinked="0"/>
        <c:majorTickMark val="out"/>
        <c:minorTickMark val="none"/>
        <c:tickLblPos val="nextTo"/>
        <c:spPr>
          <a:solidFill>
            <a:srgbClr val="FFFFFF"/>
          </a:solidFill>
          <a:ln w="12700">
            <a:solidFill>
              <a:schemeClr val="tx1"/>
            </a:solidFill>
            <a:prstDash val="solid"/>
          </a:ln>
        </c:spPr>
        <c:txPr>
          <a:bodyPr rot="0" vert="horz" anchor="ctr" anchorCtr="0"/>
          <a:lstStyle/>
          <a:p>
            <a:pPr>
              <a:defRPr sz="600" b="0" i="0" u="none" strike="noStrike" baseline="0">
                <a:solidFill>
                  <a:srgbClr val="000000"/>
                </a:solidFill>
                <a:latin typeface="Arial"/>
                <a:ea typeface="Arial"/>
                <a:cs typeface="Arial"/>
              </a:defRPr>
            </a:pPr>
            <a:endParaRPr lang="es-CO"/>
          </a:p>
        </c:txPr>
        <c:crossAx val="-1529581424"/>
        <c:crosses val="autoZero"/>
        <c:crossBetween val="midCat"/>
        <c:majorUnit val="0.2"/>
      </c:valAx>
      <c:spPr>
        <a:noFill/>
        <a:ln w="25400">
          <a:noFill/>
        </a:ln>
      </c:spPr>
    </c:plotArea>
    <c:plotVisOnly val="1"/>
    <c:dispBlanksAs val="gap"/>
    <c:showDLblsOverMax val="0"/>
  </c:chart>
  <c:spPr>
    <a:solidFill>
      <a:srgbClr val="FFFFFF"/>
    </a:solidFill>
    <a:ln w="3175">
      <a:solidFill>
        <a:schemeClr val="bg1"/>
      </a:solidFill>
      <a:prstDash val="solid"/>
    </a:ln>
    <a:effectLst>
      <a:outerShdw blurRad="50800" dist="50800" dir="5400000" algn="ctr" rotWithShape="0">
        <a:schemeClr val="bg1">
          <a:lumMod val="85000"/>
          <a:alpha val="95000"/>
        </a:schemeClr>
      </a:outerShdw>
      <a:softEdge rad="63500"/>
    </a:effectLst>
    <a:scene3d>
      <a:camera prst="orthographicFront"/>
      <a:lightRig rig="threePt" dir="t"/>
    </a:scene3d>
    <a:sp3d prstMaterial="matte"/>
  </c:spPr>
  <c:txPr>
    <a:bodyPr/>
    <a:lstStyle/>
    <a:p>
      <a:pPr>
        <a:defRPr sz="115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256" orientation="landscape" horizontalDpi="360" verticalDpi="36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2" Type="http://schemas.openxmlformats.org/officeDocument/2006/relationships/image" Target="../media/image18.png"/><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image" Target="../media/image1.jpeg"/><Relationship Id="rId4" Type="http://schemas.openxmlformats.org/officeDocument/2006/relationships/image" Target="../media/image19.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13.jpe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2.jpeg"/><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13.jpeg"/><Relationship Id="rId1" Type="http://schemas.openxmlformats.org/officeDocument/2006/relationships/image" Target="../media/image1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image" Target="../media/image13.jpeg"/><Relationship Id="rId1" Type="http://schemas.openxmlformats.org/officeDocument/2006/relationships/image" Target="../media/image1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5.png"/></Relationships>
</file>

<file path=xl/drawings/_rels/drawing8.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105682</xdr:colOff>
      <xdr:row>0</xdr:row>
      <xdr:rowOff>147864</xdr:rowOff>
    </xdr:from>
    <xdr:to>
      <xdr:col>3</xdr:col>
      <xdr:colOff>105682</xdr:colOff>
      <xdr:row>4</xdr:row>
      <xdr:rowOff>105864</xdr:rowOff>
    </xdr:to>
    <xdr:pic>
      <xdr:nvPicPr>
        <xdr:cNvPr id="2" name="Imagen 18">
          <a:extLst>
            <a:ext uri="{FF2B5EF4-FFF2-40B4-BE49-F238E27FC236}">
              <a16:creationId xmlns:a16="http://schemas.microsoft.com/office/drawing/2014/main" id="{F8B308F9-B209-477F-B3C1-5DCCE8504B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682" y="147864"/>
          <a:ext cx="714375" cy="72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142875</xdr:colOff>
          <xdr:row>39</xdr:row>
          <xdr:rowOff>38100</xdr:rowOff>
        </xdr:from>
        <xdr:to>
          <xdr:col>9</xdr:col>
          <xdr:colOff>28575</xdr:colOff>
          <xdr:row>41</xdr:row>
          <xdr:rowOff>171449</xdr:rowOff>
        </xdr:to>
        <xdr:pic>
          <xdr:nvPicPr>
            <xdr:cNvPr id="3" name="Picture 3">
              <a:extLst>
                <a:ext uri="{FF2B5EF4-FFF2-40B4-BE49-F238E27FC236}">
                  <a16:creationId xmlns:a16="http://schemas.microsoft.com/office/drawing/2014/main" id="{96F6153E-09DF-4846-B5FC-09D65875B393}"/>
                </a:ext>
              </a:extLst>
            </xdr:cNvPr>
            <xdr:cNvPicPr>
              <a:picLocks noChangeAspect="1"/>
              <a:extLst>
                <a:ext uri="{84589F7E-364E-4C9E-8A38-B11213B215E9}">
                  <a14:cameraTool cellRange="revisofirmas5" spid="_x0000_s404115"/>
                </a:ext>
              </a:extLst>
            </xdr:cNvPicPr>
          </xdr:nvPicPr>
          <xdr:blipFill rotWithShape="1">
            <a:blip xmlns:r="http://schemas.openxmlformats.org/officeDocument/2006/relationships" r:embed="rId2"/>
            <a:srcRect r="4916" b="11321"/>
            <a:stretch>
              <a:fillRect/>
            </a:stretch>
          </xdr:blipFill>
          <xdr:spPr bwMode="auto">
            <a:xfrm>
              <a:off x="857250" y="7467600"/>
              <a:ext cx="1314450" cy="514349"/>
            </a:xfrm>
            <a:prstGeom prst="rect">
              <a:avLst/>
            </a:prstGeom>
            <a:noFill/>
            <a:ln>
              <a:solidFill>
                <a:schemeClr val="bg1"/>
              </a:solidFill>
            </a:ln>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100679</xdr:colOff>
          <xdr:row>39</xdr:row>
          <xdr:rowOff>104774</xdr:rowOff>
        </xdr:from>
        <xdr:to>
          <xdr:col>21</xdr:col>
          <xdr:colOff>224504</xdr:colOff>
          <xdr:row>41</xdr:row>
          <xdr:rowOff>142875</xdr:rowOff>
        </xdr:to>
        <xdr:pic>
          <xdr:nvPicPr>
            <xdr:cNvPr id="4" name="Picture 4">
              <a:extLst>
                <a:ext uri="{FF2B5EF4-FFF2-40B4-BE49-F238E27FC236}">
                  <a16:creationId xmlns:a16="http://schemas.microsoft.com/office/drawing/2014/main" id="{3B40CE03-89A5-43D4-9AE2-9480BA7C987B}"/>
                </a:ext>
              </a:extLst>
            </xdr:cNvPr>
            <xdr:cNvPicPr>
              <a:picLocks noChangeAspect="1"/>
              <a:extLst>
                <a:ext uri="{84589F7E-364E-4C9E-8A38-B11213B215E9}">
                  <a14:cameraTool cellRange="Aprobofirmas5" spid="_x0000_s404116"/>
                </a:ext>
              </a:extLst>
            </xdr:cNvPicPr>
          </xdr:nvPicPr>
          <xdr:blipFill rotWithShape="1">
            <a:blip xmlns:r="http://schemas.openxmlformats.org/officeDocument/2006/relationships" r:embed="rId3"/>
            <a:srcRect t="4524" r="2796" b="24377"/>
            <a:stretch>
              <a:fillRect/>
            </a:stretch>
          </xdr:blipFill>
          <xdr:spPr bwMode="auto">
            <a:xfrm>
              <a:off x="3910679" y="7534274"/>
              <a:ext cx="1314450" cy="419101"/>
            </a:xfrm>
            <a:prstGeom prst="rect">
              <a:avLst/>
            </a:prstGeom>
            <a:noFill/>
            <a:ln>
              <a:solidFill>
                <a:schemeClr val="bg1"/>
              </a:solidFill>
            </a:ln>
            <a:extLst>
              <a:ext uri="{909E8E84-426E-40DD-AFC4-6F175D3DCCD1}">
                <a14:hiddenFill>
                  <a:solidFill>
                    <a:srgbClr val="FFFFFF"/>
                  </a:solidFill>
                </a14:hiddenFill>
              </a:ext>
            </a:extLst>
          </xdr:spPr>
        </xdr:pic>
        <xdr:clientData/>
      </xdr:twoCellAnchor>
    </mc:Choice>
    <mc:Fallback/>
  </mc:AlternateContent>
  <xdr:twoCellAnchor editAs="oneCell">
    <xdr:from>
      <xdr:col>31</xdr:col>
      <xdr:colOff>85725</xdr:colOff>
      <xdr:row>7</xdr:row>
      <xdr:rowOff>85724</xdr:rowOff>
    </xdr:from>
    <xdr:to>
      <xdr:col>31</xdr:col>
      <xdr:colOff>1257300</xdr:colOff>
      <xdr:row>9</xdr:row>
      <xdr:rowOff>95250</xdr:rowOff>
    </xdr:to>
    <xdr:pic>
      <xdr:nvPicPr>
        <xdr:cNvPr id="5" name="Imagen 4"/>
        <xdr:cNvPicPr>
          <a:picLocks noChangeAspect="1"/>
        </xdr:cNvPicPr>
      </xdr:nvPicPr>
      <xdr:blipFill rotWithShape="1">
        <a:blip xmlns:r="http://schemas.openxmlformats.org/officeDocument/2006/relationships" r:embed="rId4"/>
        <a:srcRect l="4930" t="1" r="4930" b="-2513"/>
        <a:stretch/>
      </xdr:blipFill>
      <xdr:spPr>
        <a:xfrm>
          <a:off x="12639675" y="1419224"/>
          <a:ext cx="1171575" cy="390526"/>
        </a:xfrm>
        <a:prstGeom prst="rect">
          <a:avLst/>
        </a:prstGeom>
      </xdr:spPr>
    </xdr:pic>
    <xdr:clientData/>
  </xdr:twoCellAnchor>
  <xdr:twoCellAnchor editAs="oneCell">
    <xdr:from>
      <xdr:col>31</xdr:col>
      <xdr:colOff>95250</xdr:colOff>
      <xdr:row>22</xdr:row>
      <xdr:rowOff>47625</xdr:rowOff>
    </xdr:from>
    <xdr:to>
      <xdr:col>31</xdr:col>
      <xdr:colOff>1257300</xdr:colOff>
      <xdr:row>24</xdr:row>
      <xdr:rowOff>57150</xdr:rowOff>
    </xdr:to>
    <xdr:pic>
      <xdr:nvPicPr>
        <xdr:cNvPr id="6" name="Imagen 5">
          <a:extLst>
            <a:ext uri="{FF2B5EF4-FFF2-40B4-BE49-F238E27FC236}">
              <a16:creationId xmlns:a16="http://schemas.microsoft.com/office/drawing/2014/main" id="{9003FD31-1D1D-46E3-A953-F144E6434BA2}"/>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2649200" y="3667125"/>
          <a:ext cx="116205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31</xdr:col>
      <xdr:colOff>66675</xdr:colOff>
      <xdr:row>13</xdr:row>
      <xdr:rowOff>133350</xdr:rowOff>
    </xdr:from>
    <xdr:ext cx="1190626" cy="342900"/>
    <xdr:pic>
      <xdr:nvPicPr>
        <xdr:cNvPr id="7" name="Imagen 6"/>
        <xdr:cNvPicPr>
          <a:picLocks noChangeAspect="1"/>
        </xdr:cNvPicPr>
      </xdr:nvPicPr>
      <xdr:blipFill rotWithShape="1">
        <a:blip xmlns:r="http://schemas.openxmlformats.org/officeDocument/2006/relationships" r:embed="rId6"/>
        <a:srcRect b="18172"/>
        <a:stretch/>
      </xdr:blipFill>
      <xdr:spPr>
        <a:xfrm>
          <a:off x="12620625" y="2038350"/>
          <a:ext cx="1190626" cy="342900"/>
        </a:xfrm>
        <a:prstGeom prst="rect">
          <a:avLst/>
        </a:prstGeom>
      </xdr:spPr>
    </xdr:pic>
    <xdr:clientData/>
  </xdr:oneCellAnchor>
  <xdr:twoCellAnchor editAs="oneCell">
    <xdr:from>
      <xdr:col>31</xdr:col>
      <xdr:colOff>228601</xdr:colOff>
      <xdr:row>16</xdr:row>
      <xdr:rowOff>66675</xdr:rowOff>
    </xdr:from>
    <xdr:to>
      <xdr:col>31</xdr:col>
      <xdr:colOff>1200151</xdr:colOff>
      <xdr:row>18</xdr:row>
      <xdr:rowOff>62245</xdr:rowOff>
    </xdr:to>
    <xdr:pic>
      <xdr:nvPicPr>
        <xdr:cNvPr id="8" name="Picture 2">
          <a:extLst>
            <a:ext uri="{FF2B5EF4-FFF2-40B4-BE49-F238E27FC236}">
              <a16:creationId xmlns:a16="http://schemas.microsoft.com/office/drawing/2014/main" id="{5F248C92-AB40-41EA-BFC8-BFE1CA64D731}"/>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2782551" y="2543175"/>
          <a:ext cx="971550" cy="376570"/>
        </a:xfrm>
        <a:prstGeom prst="rect">
          <a:avLst/>
        </a:prstGeom>
        <a:noFill/>
      </xdr:spPr>
    </xdr:pic>
    <xdr:clientData/>
  </xdr:twoCellAnchor>
  <xdr:oneCellAnchor>
    <xdr:from>
      <xdr:col>31</xdr:col>
      <xdr:colOff>85725</xdr:colOff>
      <xdr:row>25</xdr:row>
      <xdr:rowOff>104775</xdr:rowOff>
    </xdr:from>
    <xdr:ext cx="1162050" cy="394174"/>
    <xdr:pic>
      <xdr:nvPicPr>
        <xdr:cNvPr id="9" name="Imagen 8">
          <a:extLst>
            <a:ext uri="{FF2B5EF4-FFF2-40B4-BE49-F238E27FC236}">
              <a16:creationId xmlns:a16="http://schemas.microsoft.com/office/drawing/2014/main" id="{8A883A2C-536E-4314-BCC3-A84DFD1D41E3}"/>
            </a:ext>
          </a:extLst>
        </xdr:cNvPr>
        <xdr:cNvPicPr>
          <a:picLocks noChangeAspect="1"/>
        </xdr:cNvPicPr>
      </xdr:nvPicPr>
      <xdr:blipFill>
        <a:blip xmlns:r="http://schemas.openxmlformats.org/officeDocument/2006/relationships" r:embed="rId8"/>
        <a:stretch>
          <a:fillRect/>
        </a:stretch>
      </xdr:blipFill>
      <xdr:spPr>
        <a:xfrm>
          <a:off x="12639675" y="4295775"/>
          <a:ext cx="1162050" cy="394174"/>
        </a:xfrm>
        <a:prstGeom prst="rect">
          <a:avLst/>
        </a:prstGeom>
      </xdr:spPr>
    </xdr:pic>
    <xdr:clientData/>
  </xdr:oneCellAnchor>
  <xdr:oneCellAnchor>
    <xdr:from>
      <xdr:col>31</xdr:col>
      <xdr:colOff>228601</xdr:colOff>
      <xdr:row>28</xdr:row>
      <xdr:rowOff>66675</xdr:rowOff>
    </xdr:from>
    <xdr:ext cx="971550" cy="376570"/>
    <xdr:pic>
      <xdr:nvPicPr>
        <xdr:cNvPr id="10" name="Picture 2">
          <a:extLst>
            <a:ext uri="{FF2B5EF4-FFF2-40B4-BE49-F238E27FC236}">
              <a16:creationId xmlns:a16="http://schemas.microsoft.com/office/drawing/2014/main" id="{5F248C92-AB40-41EA-BFC8-BFE1CA64D731}"/>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2782551" y="4829175"/>
          <a:ext cx="971550" cy="376570"/>
        </a:xfrm>
        <a:prstGeom prst="rect">
          <a:avLst/>
        </a:prstGeom>
        <a:noFill/>
      </xdr:spPr>
    </xdr:pic>
    <xdr:clientData/>
  </xdr:oneCellAnchor>
  <xdr:twoCellAnchor editAs="oneCell">
    <xdr:from>
      <xdr:col>31</xdr:col>
      <xdr:colOff>200026</xdr:colOff>
      <xdr:row>10</xdr:row>
      <xdr:rowOff>47625</xdr:rowOff>
    </xdr:from>
    <xdr:to>
      <xdr:col>31</xdr:col>
      <xdr:colOff>1114426</xdr:colOff>
      <xdr:row>12</xdr:row>
      <xdr:rowOff>95251</xdr:rowOff>
    </xdr:to>
    <xdr:pic>
      <xdr:nvPicPr>
        <xdr:cNvPr id="11" name="Imagen 10"/>
        <xdr:cNvPicPr>
          <a:picLocks noChangeAspect="1"/>
        </xdr:cNvPicPr>
      </xdr:nvPicPr>
      <xdr:blipFill rotWithShape="1">
        <a:blip xmlns:r="http://schemas.openxmlformats.org/officeDocument/2006/relationships" r:embed="rId9"/>
        <a:srcRect t="8574" b="14262"/>
        <a:stretch/>
      </xdr:blipFill>
      <xdr:spPr>
        <a:xfrm>
          <a:off x="12753976" y="1952625"/>
          <a:ext cx="914400" cy="4286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85726</xdr:colOff>
      <xdr:row>20</xdr:row>
      <xdr:rowOff>95249</xdr:rowOff>
    </xdr:from>
    <xdr:to>
      <xdr:col>33</xdr:col>
      <xdr:colOff>142875</xdr:colOff>
      <xdr:row>38</xdr:row>
      <xdr:rowOff>114299</xdr:rowOff>
    </xdr:to>
    <xdr:graphicFrame macro="">
      <xdr:nvGraphicFramePr>
        <xdr:cNvPr id="2" name="Gráfico 3">
          <a:extLst>
            <a:ext uri="{FF2B5EF4-FFF2-40B4-BE49-F238E27FC236}">
              <a16:creationId xmlns:a16="http://schemas.microsoft.com/office/drawing/2014/main" id="{6C2B3F86-3F68-4412-87B0-07CF3F951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104777</xdr:colOff>
      <xdr:row>0</xdr:row>
      <xdr:rowOff>133349</xdr:rowOff>
    </xdr:from>
    <xdr:to>
      <xdr:col>4</xdr:col>
      <xdr:colOff>100876</xdr:colOff>
      <xdr:row>4</xdr:row>
      <xdr:rowOff>91349</xdr:rowOff>
    </xdr:to>
    <xdr:pic>
      <xdr:nvPicPr>
        <xdr:cNvPr id="3" name="Imagen 2">
          <a:extLst>
            <a:ext uri="{FF2B5EF4-FFF2-40B4-BE49-F238E27FC236}">
              <a16:creationId xmlns:a16="http://schemas.microsoft.com/office/drawing/2014/main" id="{ADA28F78-D9BD-4536-8ABC-BC2C499A7391}"/>
            </a:ext>
          </a:extLst>
        </xdr:cNvPr>
        <xdr:cNvPicPr>
          <a:picLocks noChangeAspect="1"/>
        </xdr:cNvPicPr>
      </xdr:nvPicPr>
      <xdr:blipFill>
        <a:blip xmlns:r="http://schemas.openxmlformats.org/officeDocument/2006/relationships" r:embed="rId2" cstate="print"/>
        <a:srcRect/>
        <a:stretch>
          <a:fillRect/>
        </a:stretch>
      </xdr:blipFill>
      <xdr:spPr bwMode="auto">
        <a:xfrm>
          <a:off x="104777" y="133349"/>
          <a:ext cx="719999" cy="72000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2</xdr:col>
      <xdr:colOff>148500</xdr:colOff>
      <xdr:row>3</xdr:row>
      <xdr:rowOff>146942</xdr:rowOff>
    </xdr:to>
    <xdr:pic>
      <xdr:nvPicPr>
        <xdr:cNvPr id="2" name="Imagen 18">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720000" cy="7184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95250</xdr:colOff>
      <xdr:row>0</xdr:row>
      <xdr:rowOff>85726</xdr:rowOff>
    </xdr:from>
    <xdr:to>
      <xdr:col>2</xdr:col>
      <xdr:colOff>209550</xdr:colOff>
      <xdr:row>3</xdr:row>
      <xdr:rowOff>72301</xdr:rowOff>
    </xdr:to>
    <xdr:pic>
      <xdr:nvPicPr>
        <xdr:cNvPr id="2" name="Imagen 2">
          <a:extLst>
            <a:ext uri="{FF2B5EF4-FFF2-40B4-BE49-F238E27FC236}">
              <a16:creationId xmlns:a16="http://schemas.microsoft.com/office/drawing/2014/main" id="{28AAB735-8629-47E1-B243-BF5953C9E8CA}"/>
            </a:ext>
          </a:extLst>
        </xdr:cNvPr>
        <xdr:cNvPicPr>
          <a:picLocks noChangeAspect="1"/>
        </xdr:cNvPicPr>
      </xdr:nvPicPr>
      <xdr:blipFill>
        <a:blip xmlns:r="http://schemas.openxmlformats.org/officeDocument/2006/relationships" r:embed="rId1" cstate="print"/>
        <a:srcRect l="4348" r="4348"/>
        <a:stretch>
          <a:fillRect/>
        </a:stretch>
      </xdr:blipFill>
      <xdr:spPr bwMode="auto">
        <a:xfrm>
          <a:off x="95250" y="85726"/>
          <a:ext cx="723900" cy="72000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104775</xdr:colOff>
      <xdr:row>0</xdr:row>
      <xdr:rowOff>148070</xdr:rowOff>
    </xdr:from>
    <xdr:to>
      <xdr:col>3</xdr:col>
      <xdr:colOff>224040</xdr:colOff>
      <xdr:row>4</xdr:row>
      <xdr:rowOff>106070</xdr:rowOff>
    </xdr:to>
    <xdr:pic>
      <xdr:nvPicPr>
        <xdr:cNvPr id="2" name="Imagen 2">
          <a:extLst>
            <a:ext uri="{FF2B5EF4-FFF2-40B4-BE49-F238E27FC236}">
              <a16:creationId xmlns:a16="http://schemas.microsoft.com/office/drawing/2014/main" id="{B57C4C08-190F-4A09-9128-E807ADBEECF4}"/>
            </a:ext>
          </a:extLst>
        </xdr:cNvPr>
        <xdr:cNvPicPr>
          <a:picLocks noChangeAspect="1"/>
        </xdr:cNvPicPr>
      </xdr:nvPicPr>
      <xdr:blipFill>
        <a:blip xmlns:r="http://schemas.openxmlformats.org/officeDocument/2006/relationships" r:embed="rId1" cstate="print"/>
        <a:srcRect/>
        <a:stretch>
          <a:fillRect/>
        </a:stretch>
      </xdr:blipFill>
      <xdr:spPr bwMode="auto">
        <a:xfrm>
          <a:off x="104775" y="148070"/>
          <a:ext cx="719340" cy="720000"/>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85725</xdr:colOff>
      <xdr:row>0</xdr:row>
      <xdr:rowOff>85725</xdr:rowOff>
    </xdr:from>
    <xdr:to>
      <xdr:col>4</xdr:col>
      <xdr:colOff>81215</xdr:colOff>
      <xdr:row>4</xdr:row>
      <xdr:rowOff>43115</xdr:rowOff>
    </xdr:to>
    <xdr:pic>
      <xdr:nvPicPr>
        <xdr:cNvPr id="2" name="Imagen 1"/>
        <xdr:cNvPicPr>
          <a:picLocks noChangeAspect="1"/>
        </xdr:cNvPicPr>
      </xdr:nvPicPr>
      <xdr:blipFill>
        <a:blip xmlns:r="http://schemas.openxmlformats.org/officeDocument/2006/relationships" r:embed="rId1"/>
        <a:stretch>
          <a:fillRect/>
        </a:stretch>
      </xdr:blipFill>
      <xdr:spPr>
        <a:xfrm>
          <a:off x="85725" y="85725"/>
          <a:ext cx="719390" cy="7193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133350</xdr:colOff>
      <xdr:row>0</xdr:row>
      <xdr:rowOff>0</xdr:rowOff>
    </xdr:to>
    <xdr:sp macro="" textlink="">
      <xdr:nvSpPr>
        <xdr:cNvPr id="2" name="Text Box 1">
          <a:extLst>
            <a:ext uri="{FF2B5EF4-FFF2-40B4-BE49-F238E27FC236}">
              <a16:creationId xmlns:a16="http://schemas.microsoft.com/office/drawing/2014/main" id="{56FBF49F-B8F8-46AD-B0A4-02DCE0B7D0A3}"/>
            </a:ext>
          </a:extLst>
        </xdr:cNvPr>
        <xdr:cNvSpPr txBox="1">
          <a:spLocks noChangeArrowheads="1"/>
        </xdr:cNvSpPr>
      </xdr:nvSpPr>
      <xdr:spPr bwMode="auto">
        <a:xfrm>
          <a:off x="9525" y="0"/>
          <a:ext cx="361950" cy="0"/>
        </a:xfrm>
        <a:prstGeom prst="rect">
          <a:avLst/>
        </a:prstGeom>
        <a:noFill/>
        <a:ln>
          <a:noFill/>
        </a:ln>
      </xdr:spPr>
      <xdr:txBody>
        <a:bodyPr vertOverflow="clip" wrap="square" lIns="27432" tIns="22860" rIns="0" bIns="0" anchor="t" upright="1"/>
        <a:lstStyle/>
        <a:p>
          <a:pPr algn="l" rtl="0">
            <a:defRPr sz="1000"/>
          </a:pPr>
          <a:r>
            <a:rPr lang="es-CO" sz="1000" b="0" i="0" u="none" strike="noStrike" baseline="0">
              <a:solidFill>
                <a:srgbClr val="000000"/>
              </a:solidFill>
              <a:latin typeface="Arial"/>
              <a:cs typeface="Arial"/>
            </a:rPr>
            <a:t>Mi = </a:t>
          </a:r>
        </a:p>
        <a:p>
          <a:pPr algn="l" rtl="0">
            <a:defRPr sz="1000"/>
          </a:pPr>
          <a:endParaRPr lang="es-CO" sz="1000" b="0" i="0" u="none" strike="noStrike" baseline="0">
            <a:solidFill>
              <a:srgbClr val="000000"/>
            </a:solidFill>
            <a:latin typeface="Arial"/>
            <a:cs typeface="Arial"/>
          </a:endParaRPr>
        </a:p>
      </xdr:txBody>
    </xdr:sp>
    <xdr:clientData/>
  </xdr:twoCellAnchor>
  <xdr:twoCellAnchor>
    <xdr:from>
      <xdr:col>6</xdr:col>
      <xdr:colOff>28575</xdr:colOff>
      <xdr:row>0</xdr:row>
      <xdr:rowOff>0</xdr:rowOff>
    </xdr:from>
    <xdr:to>
      <xdr:col>8</xdr:col>
      <xdr:colOff>66675</xdr:colOff>
      <xdr:row>0</xdr:row>
      <xdr:rowOff>0</xdr:rowOff>
    </xdr:to>
    <xdr:sp macro="" textlink="">
      <xdr:nvSpPr>
        <xdr:cNvPr id="3" name="Text Box 2">
          <a:extLst>
            <a:ext uri="{FF2B5EF4-FFF2-40B4-BE49-F238E27FC236}">
              <a16:creationId xmlns:a16="http://schemas.microsoft.com/office/drawing/2014/main" id="{3D639A81-B224-4764-A653-5692F401E9D2}"/>
            </a:ext>
          </a:extLst>
        </xdr:cNvPr>
        <xdr:cNvSpPr txBox="1">
          <a:spLocks noChangeArrowheads="1"/>
        </xdr:cNvSpPr>
      </xdr:nvSpPr>
      <xdr:spPr bwMode="auto">
        <a:xfrm>
          <a:off x="1285875" y="0"/>
          <a:ext cx="400050" cy="0"/>
        </a:xfrm>
        <a:prstGeom prst="rect">
          <a:avLst/>
        </a:prstGeom>
        <a:noFill/>
        <a:ln>
          <a:noFill/>
        </a:ln>
      </xdr:spPr>
      <xdr:txBody>
        <a:bodyPr vertOverflow="clip" wrap="square" lIns="27432" tIns="22860" rIns="0" bIns="0" anchor="t" upright="1"/>
        <a:lstStyle/>
        <a:p>
          <a:pPr algn="l" rtl="0">
            <a:defRPr sz="1000"/>
          </a:pPr>
          <a:r>
            <a:rPr lang="es-CO" sz="1000" b="0" i="0" u="none" strike="noStrike" baseline="0">
              <a:solidFill>
                <a:srgbClr val="000000"/>
              </a:solidFill>
              <a:latin typeface="Arial"/>
              <a:cs typeface="Arial"/>
            </a:rPr>
            <a:t>Mf = </a:t>
          </a:r>
        </a:p>
        <a:p>
          <a:pPr algn="l" rtl="0">
            <a:defRPr sz="1000"/>
          </a:pPr>
          <a:endParaRPr lang="es-CO" sz="1000" b="0" i="0" u="none" strike="noStrike" baseline="0">
            <a:solidFill>
              <a:srgbClr val="000000"/>
            </a:solidFill>
            <a:latin typeface="Arial"/>
            <a:cs typeface="Arial"/>
          </a:endParaRPr>
        </a:p>
      </xdr:txBody>
    </xdr:sp>
    <xdr:clientData/>
  </xdr:twoCellAnchor>
  <xdr:twoCellAnchor>
    <xdr:from>
      <xdr:col>15</xdr:col>
      <xdr:colOff>171450</xdr:colOff>
      <xdr:row>0</xdr:row>
      <xdr:rowOff>0</xdr:rowOff>
    </xdr:from>
    <xdr:to>
      <xdr:col>21</xdr:col>
      <xdr:colOff>104775</xdr:colOff>
      <xdr:row>0</xdr:row>
      <xdr:rowOff>0</xdr:rowOff>
    </xdr:to>
    <xdr:sp macro="" textlink="">
      <xdr:nvSpPr>
        <xdr:cNvPr id="4" name="Text Box 3">
          <a:extLst>
            <a:ext uri="{FF2B5EF4-FFF2-40B4-BE49-F238E27FC236}">
              <a16:creationId xmlns:a16="http://schemas.microsoft.com/office/drawing/2014/main" id="{15EAA75A-05F0-432B-93D2-4233E00FA56B}"/>
            </a:ext>
          </a:extLst>
        </xdr:cNvPr>
        <xdr:cNvSpPr txBox="1">
          <a:spLocks noChangeArrowheads="1"/>
        </xdr:cNvSpPr>
      </xdr:nvSpPr>
      <xdr:spPr bwMode="auto">
        <a:xfrm>
          <a:off x="3057525" y="0"/>
          <a:ext cx="1019175" cy="0"/>
        </a:xfrm>
        <a:prstGeom prst="rect">
          <a:avLst/>
        </a:prstGeom>
        <a:solidFill>
          <a:srgbClr val="FFFFFF"/>
        </a:solidFill>
        <a:ln>
          <a:noFill/>
        </a:ln>
        <a:effectLst/>
      </xdr:spPr>
      <xdr:txBody>
        <a:bodyPr vertOverflow="clip" wrap="square" lIns="27432" tIns="22860" rIns="0" bIns="22860" anchor="ctr" upright="1"/>
        <a:lstStyle/>
        <a:p>
          <a:pPr algn="l" rtl="0">
            <a:defRPr sz="1000"/>
          </a:pPr>
          <a:r>
            <a:rPr lang="es-CO" sz="1000" b="0" i="0" u="none" strike="noStrike" baseline="0">
              <a:solidFill>
                <a:srgbClr val="000000"/>
              </a:solidFill>
              <a:latin typeface="Arial"/>
              <a:cs typeface="Arial"/>
            </a:rPr>
            <a:t>Fecha de ensayo</a:t>
          </a:r>
        </a:p>
      </xdr:txBody>
    </xdr:sp>
    <xdr:clientData/>
  </xdr:twoCellAnchor>
  <xdr:twoCellAnchor editAs="oneCell">
    <xdr:from>
      <xdr:col>0</xdr:col>
      <xdr:colOff>57150</xdr:colOff>
      <xdr:row>0</xdr:row>
      <xdr:rowOff>85725</xdr:rowOff>
    </xdr:from>
    <xdr:to>
      <xdr:col>3</xdr:col>
      <xdr:colOff>68262</xdr:colOff>
      <xdr:row>4</xdr:row>
      <xdr:rowOff>43115</xdr:rowOff>
    </xdr:to>
    <xdr:pic>
      <xdr:nvPicPr>
        <xdr:cNvPr id="5" name="Imagen 4"/>
        <xdr:cNvPicPr>
          <a:picLocks noChangeAspect="1"/>
        </xdr:cNvPicPr>
      </xdr:nvPicPr>
      <xdr:blipFill>
        <a:blip xmlns:r="http://schemas.openxmlformats.org/officeDocument/2006/relationships" r:embed="rId1"/>
        <a:stretch>
          <a:fillRect/>
        </a:stretch>
      </xdr:blipFill>
      <xdr:spPr>
        <a:xfrm>
          <a:off x="57150" y="85725"/>
          <a:ext cx="725487" cy="7193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447675</xdr:colOff>
      <xdr:row>9</xdr:row>
      <xdr:rowOff>104775</xdr:rowOff>
    </xdr:from>
    <xdr:to>
      <xdr:col>8</xdr:col>
      <xdr:colOff>628650</xdr:colOff>
      <xdr:row>25</xdr:row>
      <xdr:rowOff>66675</xdr:rowOff>
    </xdr:to>
    <xdr:graphicFrame macro="">
      <xdr:nvGraphicFramePr>
        <xdr:cNvPr id="2" name="8 Gráfico">
          <a:extLst>
            <a:ext uri="{FF2B5EF4-FFF2-40B4-BE49-F238E27FC236}">
              <a16:creationId xmlns:a16="http://schemas.microsoft.com/office/drawing/2014/main" id="{40EB5020-12E5-4A9E-A504-E7BB3800DF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569595</xdr:colOff>
      <xdr:row>9</xdr:row>
      <xdr:rowOff>171450</xdr:rowOff>
    </xdr:from>
    <xdr:to>
      <xdr:col>7</xdr:col>
      <xdr:colOff>314324</xdr:colOff>
      <xdr:row>11</xdr:row>
      <xdr:rowOff>38100</xdr:rowOff>
    </xdr:to>
    <xdr:sp macro="" textlink="">
      <xdr:nvSpPr>
        <xdr:cNvPr id="3" name="8 CuadroTexto">
          <a:extLst>
            <a:ext uri="{FF2B5EF4-FFF2-40B4-BE49-F238E27FC236}">
              <a16:creationId xmlns:a16="http://schemas.microsoft.com/office/drawing/2014/main" id="{E3D7D401-1539-4FFB-8DB5-6150FEA87C63}"/>
            </a:ext>
          </a:extLst>
        </xdr:cNvPr>
        <xdr:cNvSpPr txBox="1"/>
      </xdr:nvSpPr>
      <xdr:spPr>
        <a:xfrm>
          <a:off x="1988820" y="1885950"/>
          <a:ext cx="2049779"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900" b="1">
              <a:latin typeface="Arial" panose="020B0604020202020204" pitchFamily="34" charset="0"/>
              <a:cs typeface="Arial" panose="020B0604020202020204" pitchFamily="34" charset="0"/>
            </a:rPr>
            <a:t>CURVAS DE COMPACTACIÓN</a:t>
          </a:r>
        </a:p>
      </xdr:txBody>
    </xdr:sp>
    <xdr:clientData/>
  </xdr:twoCellAnchor>
  <xdr:oneCellAnchor>
    <xdr:from>
      <xdr:col>1</xdr:col>
      <xdr:colOff>538921</xdr:colOff>
      <xdr:row>10</xdr:row>
      <xdr:rowOff>59056</xdr:rowOff>
    </xdr:from>
    <xdr:ext cx="224998" cy="2669028"/>
    <xdr:sp macro="" textlink="">
      <xdr:nvSpPr>
        <xdr:cNvPr id="4" name="9 CuadroTexto">
          <a:extLst>
            <a:ext uri="{FF2B5EF4-FFF2-40B4-BE49-F238E27FC236}">
              <a16:creationId xmlns:a16="http://schemas.microsoft.com/office/drawing/2014/main" id="{CE854F92-D53F-4874-9556-A78F05CB3D70}"/>
            </a:ext>
          </a:extLst>
        </xdr:cNvPr>
        <xdr:cNvSpPr txBox="1"/>
      </xdr:nvSpPr>
      <xdr:spPr>
        <a:xfrm rot="16200000">
          <a:off x="-444969" y="3186071"/>
          <a:ext cx="2669028"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s-CO" sz="900">
              <a:latin typeface="Arial" panose="020B0604020202020204" pitchFamily="34" charset="0"/>
              <a:cs typeface="Arial" panose="020B0604020202020204" pitchFamily="34" charset="0"/>
            </a:rPr>
            <a:t>PESO</a:t>
          </a:r>
          <a:r>
            <a:rPr lang="es-CO" sz="900" baseline="0">
              <a:latin typeface="Arial" panose="020B0604020202020204" pitchFamily="34" charset="0"/>
              <a:cs typeface="Arial" panose="020B0604020202020204" pitchFamily="34" charset="0"/>
            </a:rPr>
            <a:t> UNITARIO (kN/m</a:t>
          </a:r>
          <a:r>
            <a:rPr lang="es-CO" sz="900" baseline="30000">
              <a:latin typeface="Arial" panose="020B0604020202020204" pitchFamily="34" charset="0"/>
              <a:cs typeface="Arial" panose="020B0604020202020204" pitchFamily="34" charset="0"/>
            </a:rPr>
            <a:t>3</a:t>
          </a:r>
          <a:r>
            <a:rPr lang="es-CO" sz="900" baseline="0">
              <a:latin typeface="Arial" panose="020B0604020202020204" pitchFamily="34" charset="0"/>
              <a:cs typeface="Arial" panose="020B0604020202020204" pitchFamily="34" charset="0"/>
            </a:rPr>
            <a:t>)</a:t>
          </a:r>
          <a:endParaRPr lang="es-CO" sz="900">
            <a:latin typeface="Arial" panose="020B0604020202020204" pitchFamily="34" charset="0"/>
            <a:cs typeface="Arial" panose="020B0604020202020204" pitchFamily="34" charset="0"/>
          </a:endParaRPr>
        </a:p>
      </xdr:txBody>
    </xdr:sp>
    <xdr:clientData/>
  </xdr:oneCellAnchor>
  <xdr:oneCellAnchor>
    <xdr:from>
      <xdr:col>3</xdr:col>
      <xdr:colOff>95250</xdr:colOff>
      <xdr:row>23</xdr:row>
      <xdr:rowOff>190499</xdr:rowOff>
    </xdr:from>
    <xdr:ext cx="3045721" cy="238125"/>
    <xdr:sp macro="" textlink="">
      <xdr:nvSpPr>
        <xdr:cNvPr id="5" name="10 CuadroTexto">
          <a:extLst>
            <a:ext uri="{FF2B5EF4-FFF2-40B4-BE49-F238E27FC236}">
              <a16:creationId xmlns:a16="http://schemas.microsoft.com/office/drawing/2014/main" id="{CFF9D046-5735-4536-983A-BDEADD3ECB88}"/>
            </a:ext>
          </a:extLst>
        </xdr:cNvPr>
        <xdr:cNvSpPr txBox="1"/>
      </xdr:nvSpPr>
      <xdr:spPr>
        <a:xfrm>
          <a:off x="1514475" y="4571999"/>
          <a:ext cx="3045721"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900">
              <a:latin typeface="Arial" panose="020B0604020202020204" pitchFamily="34" charset="0"/>
              <a:cs typeface="Arial" panose="020B0604020202020204" pitchFamily="34" charset="0"/>
            </a:rPr>
            <a:t>% HUMEDAD</a:t>
          </a:r>
        </a:p>
      </xdr:txBody>
    </xdr:sp>
    <xdr:clientData/>
  </xdr:oneCellAnchor>
  <xdr:twoCellAnchor editAs="oneCell">
    <xdr:from>
      <xdr:col>0</xdr:col>
      <xdr:colOff>114299</xdr:colOff>
      <xdr:row>0</xdr:row>
      <xdr:rowOff>76201</xdr:rowOff>
    </xdr:from>
    <xdr:to>
      <xdr:col>1</xdr:col>
      <xdr:colOff>596175</xdr:colOff>
      <xdr:row>4</xdr:row>
      <xdr:rowOff>34201</xdr:rowOff>
    </xdr:to>
    <xdr:pic>
      <xdr:nvPicPr>
        <xdr:cNvPr id="6" name="Imagen 2">
          <a:extLst>
            <a:ext uri="{FF2B5EF4-FFF2-40B4-BE49-F238E27FC236}">
              <a16:creationId xmlns:a16="http://schemas.microsoft.com/office/drawing/2014/main" id="{9F6748A3-76C9-4A81-9355-12EAA6FD3478}"/>
            </a:ext>
          </a:extLst>
        </xdr:cNvPr>
        <xdr:cNvPicPr>
          <a:picLocks noChangeAspect="1"/>
        </xdr:cNvPicPr>
      </xdr:nvPicPr>
      <xdr:blipFill>
        <a:blip xmlns:r="http://schemas.openxmlformats.org/officeDocument/2006/relationships" r:embed="rId2" cstate="print"/>
        <a:srcRect/>
        <a:stretch>
          <a:fillRect/>
        </a:stretch>
      </xdr:blipFill>
      <xdr:spPr bwMode="auto">
        <a:xfrm>
          <a:off x="114299" y="76201"/>
          <a:ext cx="720001" cy="72000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419100</xdr:colOff>
      <xdr:row>0</xdr:row>
      <xdr:rowOff>133350</xdr:rowOff>
    </xdr:from>
    <xdr:to>
      <xdr:col>0</xdr:col>
      <xdr:colOff>1158181</xdr:colOff>
      <xdr:row>4</xdr:row>
      <xdr:rowOff>91350</xdr:rowOff>
    </xdr:to>
    <xdr:pic>
      <xdr:nvPicPr>
        <xdr:cNvPr id="3" name="Imagen 19">
          <a:extLst>
            <a:ext uri="{FF2B5EF4-FFF2-40B4-BE49-F238E27FC236}">
              <a16:creationId xmlns:a16="http://schemas.microsoft.com/office/drawing/2014/main" id="{CEC684D4-2481-4C30-AC59-F5219D5C1D41}"/>
            </a:ext>
          </a:extLst>
        </xdr:cNvPr>
        <xdr:cNvPicPr>
          <a:picLocks noChangeAspect="1"/>
        </xdr:cNvPicPr>
      </xdr:nvPicPr>
      <xdr:blipFill>
        <a:blip xmlns:r="http://schemas.openxmlformats.org/officeDocument/2006/relationships" r:embed="rId1" cstate="print"/>
        <a:srcRect/>
        <a:stretch>
          <a:fillRect/>
        </a:stretch>
      </xdr:blipFill>
      <xdr:spPr bwMode="auto">
        <a:xfrm>
          <a:off x="419100" y="133350"/>
          <a:ext cx="739081" cy="720000"/>
        </a:xfrm>
        <a:prstGeom prst="rect">
          <a:avLst/>
        </a:prstGeom>
        <a:noFill/>
        <a:ln w="9525">
          <a:noFill/>
          <a:miter lim="800000"/>
          <a:headEnd/>
          <a:tailEnd/>
        </a:ln>
      </xdr:spPr>
    </xdr:pic>
    <xdr:clientData/>
  </xdr:twoCellAnchor>
  <xdr:twoCellAnchor editAs="oneCell">
    <xdr:from>
      <xdr:col>0</xdr:col>
      <xdr:colOff>38100</xdr:colOff>
      <xdr:row>30</xdr:row>
      <xdr:rowOff>38100</xdr:rowOff>
    </xdr:from>
    <xdr:to>
      <xdr:col>6</xdr:col>
      <xdr:colOff>694555</xdr:colOff>
      <xdr:row>50</xdr:row>
      <xdr:rowOff>9104</xdr:rowOff>
    </xdr:to>
    <xdr:pic>
      <xdr:nvPicPr>
        <xdr:cNvPr id="4" name="Imagen 3"/>
        <xdr:cNvPicPr>
          <a:picLocks noChangeAspect="1"/>
        </xdr:cNvPicPr>
      </xdr:nvPicPr>
      <xdr:blipFill>
        <a:blip xmlns:r="http://schemas.openxmlformats.org/officeDocument/2006/relationships" r:embed="rId2"/>
        <a:stretch>
          <a:fillRect/>
        </a:stretch>
      </xdr:blipFill>
      <xdr:spPr>
        <a:xfrm>
          <a:off x="38100" y="5410200"/>
          <a:ext cx="6161905" cy="337142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0</xdr:colOff>
      <xdr:row>10</xdr:row>
      <xdr:rowOff>0</xdr:rowOff>
    </xdr:to>
    <xdr:sp macro="" textlink="">
      <xdr:nvSpPr>
        <xdr:cNvPr id="3" name="Rectangle 4">
          <a:extLst>
            <a:ext uri="{FF2B5EF4-FFF2-40B4-BE49-F238E27FC236}">
              <a16:creationId xmlns:a16="http://schemas.microsoft.com/office/drawing/2014/main" id="{65E5E673-5172-43F2-BE75-1EFE70FA0B41}"/>
            </a:ext>
          </a:extLst>
        </xdr:cNvPr>
        <xdr:cNvSpPr>
          <a:spLocks noChangeArrowheads="1"/>
        </xdr:cNvSpPr>
      </xdr:nvSpPr>
      <xdr:spPr bwMode="auto">
        <a:xfrm>
          <a:off x="0" y="1438275"/>
          <a:ext cx="0" cy="161925"/>
        </a:xfrm>
        <a:prstGeom prst="rect">
          <a:avLst/>
        </a:prstGeom>
        <a:noFill/>
        <a:ln w="9525">
          <a:noFill/>
          <a:miter lim="800000"/>
          <a:headEnd/>
          <a:tailEnd/>
        </a:ln>
      </xdr:spPr>
    </xdr:sp>
    <xdr:clientData/>
  </xdr:twoCellAnchor>
  <xdr:twoCellAnchor editAs="oneCell">
    <xdr:from>
      <xdr:col>0</xdr:col>
      <xdr:colOff>0</xdr:colOff>
      <xdr:row>9</xdr:row>
      <xdr:rowOff>0</xdr:rowOff>
    </xdr:from>
    <xdr:to>
      <xdr:col>0</xdr:col>
      <xdr:colOff>0</xdr:colOff>
      <xdr:row>10</xdr:row>
      <xdr:rowOff>0</xdr:rowOff>
    </xdr:to>
    <xdr:sp macro="" textlink="">
      <xdr:nvSpPr>
        <xdr:cNvPr id="4" name="Rectangle 5">
          <a:extLst>
            <a:ext uri="{FF2B5EF4-FFF2-40B4-BE49-F238E27FC236}">
              <a16:creationId xmlns:a16="http://schemas.microsoft.com/office/drawing/2014/main" id="{E0A1F349-8D86-43AF-B65C-A86356006D8E}"/>
            </a:ext>
          </a:extLst>
        </xdr:cNvPr>
        <xdr:cNvSpPr>
          <a:spLocks noChangeArrowheads="1"/>
        </xdr:cNvSpPr>
      </xdr:nvSpPr>
      <xdr:spPr bwMode="auto">
        <a:xfrm>
          <a:off x="0" y="1438275"/>
          <a:ext cx="0" cy="161925"/>
        </a:xfrm>
        <a:prstGeom prst="rect">
          <a:avLst/>
        </a:prstGeom>
        <a:noFill/>
        <a:ln w="9525">
          <a:noFill/>
          <a:miter lim="800000"/>
          <a:headEnd/>
          <a:tailEnd/>
        </a:ln>
      </xdr:spPr>
    </xdr:sp>
    <xdr:clientData/>
  </xdr:twoCellAnchor>
  <xdr:twoCellAnchor editAs="oneCell">
    <xdr:from>
      <xdr:col>0</xdr:col>
      <xdr:colOff>0</xdr:colOff>
      <xdr:row>9</xdr:row>
      <xdr:rowOff>0</xdr:rowOff>
    </xdr:from>
    <xdr:to>
      <xdr:col>0</xdr:col>
      <xdr:colOff>0</xdr:colOff>
      <xdr:row>10</xdr:row>
      <xdr:rowOff>0</xdr:rowOff>
    </xdr:to>
    <xdr:sp macro="" textlink="">
      <xdr:nvSpPr>
        <xdr:cNvPr id="5" name="Rectangle 6">
          <a:extLst>
            <a:ext uri="{FF2B5EF4-FFF2-40B4-BE49-F238E27FC236}">
              <a16:creationId xmlns:a16="http://schemas.microsoft.com/office/drawing/2014/main" id="{5FA0B5E5-0A2E-40DC-ABCA-81E52517F933}"/>
            </a:ext>
          </a:extLst>
        </xdr:cNvPr>
        <xdr:cNvSpPr>
          <a:spLocks noChangeArrowheads="1"/>
        </xdr:cNvSpPr>
      </xdr:nvSpPr>
      <xdr:spPr bwMode="auto">
        <a:xfrm>
          <a:off x="0" y="1438275"/>
          <a:ext cx="0" cy="161925"/>
        </a:xfrm>
        <a:prstGeom prst="rect">
          <a:avLst/>
        </a:prstGeom>
        <a:noFill/>
        <a:ln w="9525">
          <a:noFill/>
          <a:miter lim="800000"/>
          <a:headEnd/>
          <a:tailEnd/>
        </a:ln>
      </xdr:spPr>
    </xdr:sp>
    <xdr:clientData/>
  </xdr:twoCellAnchor>
  <xdr:twoCellAnchor editAs="oneCell">
    <xdr:from>
      <xdr:col>8</xdr:col>
      <xdr:colOff>285750</xdr:colOff>
      <xdr:row>6</xdr:row>
      <xdr:rowOff>28575</xdr:rowOff>
    </xdr:from>
    <xdr:to>
      <xdr:col>8</xdr:col>
      <xdr:colOff>0</xdr:colOff>
      <xdr:row>7</xdr:row>
      <xdr:rowOff>104775</xdr:rowOff>
    </xdr:to>
    <xdr:sp macro="" textlink="">
      <xdr:nvSpPr>
        <xdr:cNvPr id="6" name="Rectangle 2">
          <a:extLst>
            <a:ext uri="{FF2B5EF4-FFF2-40B4-BE49-F238E27FC236}">
              <a16:creationId xmlns:a16="http://schemas.microsoft.com/office/drawing/2014/main" id="{6A36797A-B462-4C06-9890-19CD9AA2A6B6}"/>
            </a:ext>
          </a:extLst>
        </xdr:cNvPr>
        <xdr:cNvSpPr>
          <a:spLocks noChangeArrowheads="1"/>
        </xdr:cNvSpPr>
      </xdr:nvSpPr>
      <xdr:spPr bwMode="auto">
        <a:xfrm>
          <a:off x="6600825" y="1123950"/>
          <a:ext cx="0" cy="228600"/>
        </a:xfrm>
        <a:prstGeom prst="rect">
          <a:avLst/>
        </a:prstGeom>
        <a:noFill/>
        <a:ln w="9525">
          <a:noFill/>
          <a:miter lim="800000"/>
          <a:headEnd/>
          <a:tailEnd/>
        </a:ln>
      </xdr:spPr>
    </xdr:sp>
    <xdr:clientData/>
  </xdr:twoCellAnchor>
  <xdr:twoCellAnchor editAs="oneCell">
    <xdr:from>
      <xdr:col>0</xdr:col>
      <xdr:colOff>47626</xdr:colOff>
      <xdr:row>0</xdr:row>
      <xdr:rowOff>19050</xdr:rowOff>
    </xdr:from>
    <xdr:to>
      <xdr:col>0</xdr:col>
      <xdr:colOff>786707</xdr:colOff>
      <xdr:row>3</xdr:row>
      <xdr:rowOff>167550</xdr:rowOff>
    </xdr:to>
    <xdr:pic>
      <xdr:nvPicPr>
        <xdr:cNvPr id="9" name="Imagen 19">
          <a:extLst>
            <a:ext uri="{FF2B5EF4-FFF2-40B4-BE49-F238E27FC236}">
              <a16:creationId xmlns:a16="http://schemas.microsoft.com/office/drawing/2014/main" id="{CEC684D4-2481-4C30-AC59-F5219D5C1D41}"/>
            </a:ext>
          </a:extLst>
        </xdr:cNvPr>
        <xdr:cNvPicPr>
          <a:picLocks noChangeAspect="1"/>
        </xdr:cNvPicPr>
      </xdr:nvPicPr>
      <xdr:blipFill>
        <a:blip xmlns:r="http://schemas.openxmlformats.org/officeDocument/2006/relationships" r:embed="rId1" cstate="print"/>
        <a:srcRect/>
        <a:stretch>
          <a:fillRect/>
        </a:stretch>
      </xdr:blipFill>
      <xdr:spPr bwMode="auto">
        <a:xfrm>
          <a:off x="47626" y="19050"/>
          <a:ext cx="737349" cy="720000"/>
        </a:xfrm>
        <a:prstGeom prst="rect">
          <a:avLst/>
        </a:prstGeom>
        <a:noFill/>
        <a:ln w="9525">
          <a:noFill/>
          <a:miter lim="800000"/>
          <a:headEnd/>
          <a:tailEnd/>
        </a:ln>
      </xdr:spPr>
    </xdr:pic>
    <xdr:clientData/>
  </xdr:twoCellAnchor>
  <xdr:twoCellAnchor editAs="oneCell">
    <xdr:from>
      <xdr:col>6</xdr:col>
      <xdr:colOff>104775</xdr:colOff>
      <xdr:row>4</xdr:row>
      <xdr:rowOff>104775</xdr:rowOff>
    </xdr:from>
    <xdr:to>
      <xdr:col>6</xdr:col>
      <xdr:colOff>104775</xdr:colOff>
      <xdr:row>6</xdr:row>
      <xdr:rowOff>28575</xdr:rowOff>
    </xdr:to>
    <xdr:sp macro="" textlink="">
      <xdr:nvSpPr>
        <xdr:cNvPr id="11" name="Rectangle 2">
          <a:extLst>
            <a:ext uri="{FF2B5EF4-FFF2-40B4-BE49-F238E27FC236}">
              <a16:creationId xmlns:a16="http://schemas.microsoft.com/office/drawing/2014/main" id="{8854D4EA-4241-4EFF-804A-72AAB9800657}"/>
            </a:ext>
          </a:extLst>
        </xdr:cNvPr>
        <xdr:cNvSpPr>
          <a:spLocks noChangeArrowheads="1"/>
        </xdr:cNvSpPr>
      </xdr:nvSpPr>
      <xdr:spPr bwMode="auto">
        <a:xfrm>
          <a:off x="4857750" y="866775"/>
          <a:ext cx="0" cy="228600"/>
        </a:xfrm>
        <a:prstGeom prst="rect">
          <a:avLst/>
        </a:prstGeom>
        <a:noFill/>
        <a:ln w="9525">
          <a:noFill/>
          <a:miter lim="800000"/>
          <a:headEnd/>
          <a:tailEnd/>
        </a:ln>
      </xdr:spPr>
    </xdr:sp>
    <xdr:clientData/>
  </xdr:twoCellAnchor>
  <xdr:twoCellAnchor editAs="oneCell">
    <xdr:from>
      <xdr:col>6</xdr:col>
      <xdr:colOff>180975</xdr:colOff>
      <xdr:row>4</xdr:row>
      <xdr:rowOff>104775</xdr:rowOff>
    </xdr:from>
    <xdr:to>
      <xdr:col>6</xdr:col>
      <xdr:colOff>180975</xdr:colOff>
      <xdr:row>6</xdr:row>
      <xdr:rowOff>28575</xdr:rowOff>
    </xdr:to>
    <xdr:sp macro="" textlink="">
      <xdr:nvSpPr>
        <xdr:cNvPr id="12" name="Rectangle 3">
          <a:extLst>
            <a:ext uri="{FF2B5EF4-FFF2-40B4-BE49-F238E27FC236}">
              <a16:creationId xmlns:a16="http://schemas.microsoft.com/office/drawing/2014/main" id="{4C3F8FEE-6773-4538-A9B2-25DE808C42B3}"/>
            </a:ext>
          </a:extLst>
        </xdr:cNvPr>
        <xdr:cNvSpPr>
          <a:spLocks noChangeArrowheads="1"/>
        </xdr:cNvSpPr>
      </xdr:nvSpPr>
      <xdr:spPr bwMode="auto">
        <a:xfrm>
          <a:off x="4933950" y="866775"/>
          <a:ext cx="0" cy="228600"/>
        </a:xfrm>
        <a:prstGeom prst="rect">
          <a:avLst/>
        </a:prstGeom>
        <a:noFill/>
        <a:ln w="9525">
          <a:noFill/>
          <a:miter lim="800000"/>
          <a:headEnd/>
          <a:tailEnd/>
        </a:ln>
      </xdr:spPr>
    </xdr:sp>
    <xdr:clientData/>
  </xdr:twoCellAnchor>
  <xdr:twoCellAnchor editAs="oneCell">
    <xdr:from>
      <xdr:col>6</xdr:col>
      <xdr:colOff>104775</xdr:colOff>
      <xdr:row>4</xdr:row>
      <xdr:rowOff>104775</xdr:rowOff>
    </xdr:from>
    <xdr:to>
      <xdr:col>6</xdr:col>
      <xdr:colOff>104775</xdr:colOff>
      <xdr:row>6</xdr:row>
      <xdr:rowOff>28575</xdr:rowOff>
    </xdr:to>
    <xdr:sp macro="" textlink="">
      <xdr:nvSpPr>
        <xdr:cNvPr id="13" name="Rectangle 2">
          <a:extLst>
            <a:ext uri="{FF2B5EF4-FFF2-40B4-BE49-F238E27FC236}">
              <a16:creationId xmlns:a16="http://schemas.microsoft.com/office/drawing/2014/main" id="{C839F424-979F-48AB-AD49-E7ED3C7CD305}"/>
            </a:ext>
          </a:extLst>
        </xdr:cNvPr>
        <xdr:cNvSpPr>
          <a:spLocks noChangeArrowheads="1"/>
        </xdr:cNvSpPr>
      </xdr:nvSpPr>
      <xdr:spPr bwMode="auto">
        <a:xfrm>
          <a:off x="4857750" y="866775"/>
          <a:ext cx="0" cy="228600"/>
        </a:xfrm>
        <a:prstGeom prst="rect">
          <a:avLst/>
        </a:prstGeom>
        <a:noFill/>
        <a:ln w="9525">
          <a:noFill/>
          <a:miter lim="800000"/>
          <a:headEnd/>
          <a:tailEnd/>
        </a:ln>
      </xdr:spPr>
    </xdr:sp>
    <xdr:clientData/>
  </xdr:twoCellAnchor>
  <xdr:twoCellAnchor editAs="oneCell">
    <xdr:from>
      <xdr:col>6</xdr:col>
      <xdr:colOff>180975</xdr:colOff>
      <xdr:row>4</xdr:row>
      <xdr:rowOff>104775</xdr:rowOff>
    </xdr:from>
    <xdr:to>
      <xdr:col>6</xdr:col>
      <xdr:colOff>180975</xdr:colOff>
      <xdr:row>6</xdr:row>
      <xdr:rowOff>28575</xdr:rowOff>
    </xdr:to>
    <xdr:sp macro="" textlink="">
      <xdr:nvSpPr>
        <xdr:cNvPr id="14" name="Rectangle 3">
          <a:extLst>
            <a:ext uri="{FF2B5EF4-FFF2-40B4-BE49-F238E27FC236}">
              <a16:creationId xmlns:a16="http://schemas.microsoft.com/office/drawing/2014/main" id="{8543353C-4BAF-469C-B7A0-02961147E6FF}"/>
            </a:ext>
          </a:extLst>
        </xdr:cNvPr>
        <xdr:cNvSpPr>
          <a:spLocks noChangeArrowheads="1"/>
        </xdr:cNvSpPr>
      </xdr:nvSpPr>
      <xdr:spPr bwMode="auto">
        <a:xfrm>
          <a:off x="4933950" y="866775"/>
          <a:ext cx="0" cy="228600"/>
        </a:xfrm>
        <a:prstGeom prst="rect">
          <a:avLst/>
        </a:prstGeom>
        <a:noFill/>
        <a:ln w="9525">
          <a:noFill/>
          <a:miter lim="800000"/>
          <a:headEnd/>
          <a:tailEnd/>
        </a:ln>
      </xdr:spPr>
    </xdr:sp>
    <xdr:clientData/>
  </xdr:twoCellAnchor>
  <xdr:twoCellAnchor editAs="oneCell">
    <xdr:from>
      <xdr:col>6</xdr:col>
      <xdr:colOff>619125</xdr:colOff>
      <xdr:row>1</xdr:row>
      <xdr:rowOff>0</xdr:rowOff>
    </xdr:from>
    <xdr:to>
      <xdr:col>6</xdr:col>
      <xdr:colOff>619125</xdr:colOff>
      <xdr:row>2</xdr:row>
      <xdr:rowOff>38100</xdr:rowOff>
    </xdr:to>
    <xdr:sp macro="" textlink="">
      <xdr:nvSpPr>
        <xdr:cNvPr id="15" name="Rectangle 2">
          <a:extLst>
            <a:ext uri="{FF2B5EF4-FFF2-40B4-BE49-F238E27FC236}">
              <a16:creationId xmlns:a16="http://schemas.microsoft.com/office/drawing/2014/main" id="{C27CC63D-08BA-49F0-93E1-0DFAA8EBC8DD}"/>
            </a:ext>
          </a:extLst>
        </xdr:cNvPr>
        <xdr:cNvSpPr>
          <a:spLocks noChangeArrowheads="1"/>
        </xdr:cNvSpPr>
      </xdr:nvSpPr>
      <xdr:spPr bwMode="auto">
        <a:xfrm>
          <a:off x="5372100" y="190500"/>
          <a:ext cx="0" cy="228600"/>
        </a:xfrm>
        <a:prstGeom prst="rect">
          <a:avLst/>
        </a:prstGeom>
        <a:noFill/>
        <a:ln w="9525">
          <a:noFill/>
          <a:miter lim="800000"/>
          <a:headEnd/>
          <a:tailEnd/>
        </a:ln>
      </xdr:spPr>
    </xdr:sp>
    <xdr:clientData/>
  </xdr:twoCellAnchor>
  <xdr:twoCellAnchor>
    <xdr:from>
      <xdr:col>4</xdr:col>
      <xdr:colOff>77931</xdr:colOff>
      <xdr:row>32</xdr:row>
      <xdr:rowOff>40697</xdr:rowOff>
    </xdr:from>
    <xdr:to>
      <xdr:col>7</xdr:col>
      <xdr:colOff>725632</xdr:colOff>
      <xdr:row>46</xdr:row>
      <xdr:rowOff>118630</xdr:rowOff>
    </xdr:to>
    <xdr:graphicFrame macro="">
      <xdr:nvGraphicFramePr>
        <xdr:cNvPr id="18" name="Gráfico 17">
          <a:extLst>
            <a:ext uri="{FF2B5EF4-FFF2-40B4-BE49-F238E27FC236}">
              <a16:creationId xmlns:a16="http://schemas.microsoft.com/office/drawing/2014/main" id="{2AC61167-EBDA-4555-8475-56FF885BC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0</xdr:col>
      <xdr:colOff>107372</xdr:colOff>
      <xdr:row>32</xdr:row>
      <xdr:rowOff>32904</xdr:rowOff>
    </xdr:from>
    <xdr:to>
      <xdr:col>3</xdr:col>
      <xdr:colOff>678874</xdr:colOff>
      <xdr:row>46</xdr:row>
      <xdr:rowOff>110837</xdr:rowOff>
    </xdr:to>
    <xdr:graphicFrame macro="">
      <xdr:nvGraphicFramePr>
        <xdr:cNvPr id="20" name="Gráfico 19">
          <a:extLst>
            <a:ext uri="{FF2B5EF4-FFF2-40B4-BE49-F238E27FC236}">
              <a16:creationId xmlns:a16="http://schemas.microsoft.com/office/drawing/2014/main" id="{2AC61167-EBDA-4555-8475-56FF885BC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4</xdr:col>
      <xdr:colOff>28575</xdr:colOff>
      <xdr:row>32</xdr:row>
      <xdr:rowOff>38100</xdr:rowOff>
    </xdr:from>
    <xdr:to>
      <xdr:col>7</xdr:col>
      <xdr:colOff>685425</xdr:colOff>
      <xdr:row>46</xdr:row>
      <xdr:rowOff>133005</xdr:rowOff>
    </xdr:to>
    <xdr:pic>
      <xdr:nvPicPr>
        <xdr:cNvPr id="2" name="Imagen 1"/>
        <xdr:cNvPicPr>
          <a:picLocks noChangeAspect="1"/>
        </xdr:cNvPicPr>
      </xdr:nvPicPr>
      <xdr:blipFill>
        <a:blip xmlns:r="http://schemas.openxmlformats.org/officeDocument/2006/relationships" r:embed="rId4"/>
        <a:stretch>
          <a:fillRect/>
        </a:stretch>
      </xdr:blipFill>
      <xdr:spPr>
        <a:xfrm>
          <a:off x="3190875" y="5410200"/>
          <a:ext cx="3000000" cy="27619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57150</xdr:rowOff>
    </xdr:from>
    <xdr:to>
      <xdr:col>3</xdr:col>
      <xdr:colOff>152399</xdr:colOff>
      <xdr:row>3</xdr:row>
      <xdr:rowOff>161924</xdr:rowOff>
    </xdr:to>
    <xdr:pic>
      <xdr:nvPicPr>
        <xdr:cNvPr id="2" name="Imagen 18">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57150"/>
          <a:ext cx="723899" cy="704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361950</xdr:colOff>
      <xdr:row>0</xdr:row>
      <xdr:rowOff>0</xdr:rowOff>
    </xdr:to>
    <xdr:graphicFrame macro="">
      <xdr:nvGraphicFramePr>
        <xdr:cNvPr id="2" name="Gráfico 1">
          <a:extLst>
            <a:ext uri="{FF2B5EF4-FFF2-40B4-BE49-F238E27FC236}">
              <a16:creationId xmlns:a16="http://schemas.microsoft.com/office/drawing/2014/main" id="{F8C1C4A1-9587-4CC4-844C-9612BB5AFA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142875</xdr:colOff>
      <xdr:row>0</xdr:row>
      <xdr:rowOff>0</xdr:rowOff>
    </xdr:from>
    <xdr:to>
      <xdr:col>7</xdr:col>
      <xdr:colOff>142875</xdr:colOff>
      <xdr:row>0</xdr:row>
      <xdr:rowOff>0</xdr:rowOff>
    </xdr:to>
    <xdr:sp macro="" textlink="">
      <xdr:nvSpPr>
        <xdr:cNvPr id="3" name="Line 2">
          <a:extLst>
            <a:ext uri="{FF2B5EF4-FFF2-40B4-BE49-F238E27FC236}">
              <a16:creationId xmlns:a16="http://schemas.microsoft.com/office/drawing/2014/main" id="{AAF6404C-61E1-427D-A4D4-FD3470E20039}"/>
            </a:ext>
          </a:extLst>
        </xdr:cNvPr>
        <xdr:cNvSpPr>
          <a:spLocks noChangeShapeType="1"/>
        </xdr:cNvSpPr>
      </xdr:nvSpPr>
      <xdr:spPr bwMode="auto">
        <a:xfrm>
          <a:off x="1409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171450</xdr:colOff>
      <xdr:row>0</xdr:row>
      <xdr:rowOff>0</xdr:rowOff>
    </xdr:from>
    <xdr:to>
      <xdr:col>16</xdr:col>
      <xdr:colOff>171450</xdr:colOff>
      <xdr:row>0</xdr:row>
      <xdr:rowOff>0</xdr:rowOff>
    </xdr:to>
    <xdr:sp macro="" textlink="">
      <xdr:nvSpPr>
        <xdr:cNvPr id="4" name="Line 3">
          <a:extLst>
            <a:ext uri="{FF2B5EF4-FFF2-40B4-BE49-F238E27FC236}">
              <a16:creationId xmlns:a16="http://schemas.microsoft.com/office/drawing/2014/main" id="{66C36AFE-AEF2-4A9B-9F7B-8E900BD5D187}"/>
            </a:ext>
          </a:extLst>
        </xdr:cNvPr>
        <xdr:cNvSpPr>
          <a:spLocks noChangeShapeType="1"/>
        </xdr:cNvSpPr>
      </xdr:nvSpPr>
      <xdr:spPr bwMode="auto">
        <a:xfrm>
          <a:off x="29146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47625</xdr:colOff>
      <xdr:row>0</xdr:row>
      <xdr:rowOff>0</xdr:rowOff>
    </xdr:from>
    <xdr:to>
      <xdr:col>6</xdr:col>
      <xdr:colOff>47625</xdr:colOff>
      <xdr:row>0</xdr:row>
      <xdr:rowOff>0</xdr:rowOff>
    </xdr:to>
    <xdr:sp macro="" textlink="">
      <xdr:nvSpPr>
        <xdr:cNvPr id="5" name="Line 4">
          <a:extLst>
            <a:ext uri="{FF2B5EF4-FFF2-40B4-BE49-F238E27FC236}">
              <a16:creationId xmlns:a16="http://schemas.microsoft.com/office/drawing/2014/main" id="{AD889025-546B-4367-838C-7CB7D4D946EF}"/>
            </a:ext>
          </a:extLst>
        </xdr:cNvPr>
        <xdr:cNvSpPr>
          <a:spLocks noChangeShapeType="1"/>
        </xdr:cNvSpPr>
      </xdr:nvSpPr>
      <xdr:spPr bwMode="auto">
        <a:xfrm>
          <a:off x="113347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76200</xdr:colOff>
      <xdr:row>0</xdr:row>
      <xdr:rowOff>0</xdr:rowOff>
    </xdr:from>
    <xdr:to>
      <xdr:col>6</xdr:col>
      <xdr:colOff>76200</xdr:colOff>
      <xdr:row>0</xdr:row>
      <xdr:rowOff>0</xdr:rowOff>
    </xdr:to>
    <xdr:sp macro="" textlink="">
      <xdr:nvSpPr>
        <xdr:cNvPr id="6" name="Line 5">
          <a:extLst>
            <a:ext uri="{FF2B5EF4-FFF2-40B4-BE49-F238E27FC236}">
              <a16:creationId xmlns:a16="http://schemas.microsoft.com/office/drawing/2014/main" id="{F03A0035-C849-4EAC-847D-AF54521329F2}"/>
            </a:ext>
          </a:extLst>
        </xdr:cNvPr>
        <xdr:cNvSpPr>
          <a:spLocks noChangeShapeType="1"/>
        </xdr:cNvSpPr>
      </xdr:nvSpPr>
      <xdr:spPr bwMode="auto">
        <a:xfrm>
          <a:off x="11620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28575</xdr:colOff>
      <xdr:row>0</xdr:row>
      <xdr:rowOff>0</xdr:rowOff>
    </xdr:from>
    <xdr:to>
      <xdr:col>11</xdr:col>
      <xdr:colOff>28575</xdr:colOff>
      <xdr:row>0</xdr:row>
      <xdr:rowOff>0</xdr:rowOff>
    </xdr:to>
    <xdr:sp macro="" textlink="">
      <xdr:nvSpPr>
        <xdr:cNvPr id="7" name="Line 6">
          <a:extLst>
            <a:ext uri="{FF2B5EF4-FFF2-40B4-BE49-F238E27FC236}">
              <a16:creationId xmlns:a16="http://schemas.microsoft.com/office/drawing/2014/main" id="{8191459A-F2C5-4081-90E7-D0B0E1E1318F}"/>
            </a:ext>
          </a:extLst>
        </xdr:cNvPr>
        <xdr:cNvSpPr>
          <a:spLocks noChangeShapeType="1"/>
        </xdr:cNvSpPr>
      </xdr:nvSpPr>
      <xdr:spPr bwMode="auto">
        <a:xfrm flipV="1">
          <a:off x="22098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20</xdr:col>
      <xdr:colOff>361950</xdr:colOff>
      <xdr:row>0</xdr:row>
      <xdr:rowOff>0</xdr:rowOff>
    </xdr:to>
    <xdr:graphicFrame macro="">
      <xdr:nvGraphicFramePr>
        <xdr:cNvPr id="8" name="Gráfico 7">
          <a:extLst>
            <a:ext uri="{FF2B5EF4-FFF2-40B4-BE49-F238E27FC236}">
              <a16:creationId xmlns:a16="http://schemas.microsoft.com/office/drawing/2014/main" id="{F2A1A2CA-D19A-46F3-8315-7F8A2C5D3E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142875</xdr:colOff>
      <xdr:row>0</xdr:row>
      <xdr:rowOff>0</xdr:rowOff>
    </xdr:from>
    <xdr:to>
      <xdr:col>7</xdr:col>
      <xdr:colOff>142875</xdr:colOff>
      <xdr:row>0</xdr:row>
      <xdr:rowOff>0</xdr:rowOff>
    </xdr:to>
    <xdr:sp macro="" textlink="">
      <xdr:nvSpPr>
        <xdr:cNvPr id="9" name="Line 10">
          <a:extLst>
            <a:ext uri="{FF2B5EF4-FFF2-40B4-BE49-F238E27FC236}">
              <a16:creationId xmlns:a16="http://schemas.microsoft.com/office/drawing/2014/main" id="{0344D119-395C-4E69-84F8-7FC4643CAE56}"/>
            </a:ext>
          </a:extLst>
        </xdr:cNvPr>
        <xdr:cNvSpPr>
          <a:spLocks noChangeShapeType="1"/>
        </xdr:cNvSpPr>
      </xdr:nvSpPr>
      <xdr:spPr bwMode="auto">
        <a:xfrm>
          <a:off x="1409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171450</xdr:colOff>
      <xdr:row>0</xdr:row>
      <xdr:rowOff>0</xdr:rowOff>
    </xdr:from>
    <xdr:to>
      <xdr:col>16</xdr:col>
      <xdr:colOff>171450</xdr:colOff>
      <xdr:row>0</xdr:row>
      <xdr:rowOff>0</xdr:rowOff>
    </xdr:to>
    <xdr:sp macro="" textlink="">
      <xdr:nvSpPr>
        <xdr:cNvPr id="10" name="Line 11">
          <a:extLst>
            <a:ext uri="{FF2B5EF4-FFF2-40B4-BE49-F238E27FC236}">
              <a16:creationId xmlns:a16="http://schemas.microsoft.com/office/drawing/2014/main" id="{0FBC84E4-FF5C-4177-B2A6-4B26D6241CA8}"/>
            </a:ext>
          </a:extLst>
        </xdr:cNvPr>
        <xdr:cNvSpPr>
          <a:spLocks noChangeShapeType="1"/>
        </xdr:cNvSpPr>
      </xdr:nvSpPr>
      <xdr:spPr bwMode="auto">
        <a:xfrm>
          <a:off x="29146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47625</xdr:colOff>
      <xdr:row>0</xdr:row>
      <xdr:rowOff>0</xdr:rowOff>
    </xdr:from>
    <xdr:to>
      <xdr:col>6</xdr:col>
      <xdr:colOff>47625</xdr:colOff>
      <xdr:row>0</xdr:row>
      <xdr:rowOff>0</xdr:rowOff>
    </xdr:to>
    <xdr:sp macro="" textlink="">
      <xdr:nvSpPr>
        <xdr:cNvPr id="11" name="Line 14">
          <a:extLst>
            <a:ext uri="{FF2B5EF4-FFF2-40B4-BE49-F238E27FC236}">
              <a16:creationId xmlns:a16="http://schemas.microsoft.com/office/drawing/2014/main" id="{0E0DBF4C-906D-4A85-92CA-C07A74046A49}"/>
            </a:ext>
          </a:extLst>
        </xdr:cNvPr>
        <xdr:cNvSpPr>
          <a:spLocks noChangeShapeType="1"/>
        </xdr:cNvSpPr>
      </xdr:nvSpPr>
      <xdr:spPr bwMode="auto">
        <a:xfrm>
          <a:off x="113347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76200</xdr:colOff>
      <xdr:row>0</xdr:row>
      <xdr:rowOff>0</xdr:rowOff>
    </xdr:from>
    <xdr:to>
      <xdr:col>6</xdr:col>
      <xdr:colOff>76200</xdr:colOff>
      <xdr:row>0</xdr:row>
      <xdr:rowOff>0</xdr:rowOff>
    </xdr:to>
    <xdr:sp macro="" textlink="">
      <xdr:nvSpPr>
        <xdr:cNvPr id="12" name="Line 15">
          <a:extLst>
            <a:ext uri="{FF2B5EF4-FFF2-40B4-BE49-F238E27FC236}">
              <a16:creationId xmlns:a16="http://schemas.microsoft.com/office/drawing/2014/main" id="{BFBDAC9E-89AE-47A2-AEB3-597BA8B06FD3}"/>
            </a:ext>
          </a:extLst>
        </xdr:cNvPr>
        <xdr:cNvSpPr>
          <a:spLocks noChangeShapeType="1"/>
        </xdr:cNvSpPr>
      </xdr:nvSpPr>
      <xdr:spPr bwMode="auto">
        <a:xfrm>
          <a:off x="11620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28575</xdr:colOff>
      <xdr:row>0</xdr:row>
      <xdr:rowOff>0</xdr:rowOff>
    </xdr:from>
    <xdr:to>
      <xdr:col>11</xdr:col>
      <xdr:colOff>28575</xdr:colOff>
      <xdr:row>0</xdr:row>
      <xdr:rowOff>0</xdr:rowOff>
    </xdr:to>
    <xdr:sp macro="" textlink="">
      <xdr:nvSpPr>
        <xdr:cNvPr id="13" name="Line 17">
          <a:extLst>
            <a:ext uri="{FF2B5EF4-FFF2-40B4-BE49-F238E27FC236}">
              <a16:creationId xmlns:a16="http://schemas.microsoft.com/office/drawing/2014/main" id="{6A163AAB-DB06-4EC4-8BA6-589D76308BE2}"/>
            </a:ext>
          </a:extLst>
        </xdr:cNvPr>
        <xdr:cNvSpPr>
          <a:spLocks noChangeShapeType="1"/>
        </xdr:cNvSpPr>
      </xdr:nvSpPr>
      <xdr:spPr bwMode="auto">
        <a:xfrm flipV="1">
          <a:off x="22098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38101</xdr:colOff>
      <xdr:row>25</xdr:row>
      <xdr:rowOff>57150</xdr:rowOff>
    </xdr:from>
    <xdr:to>
      <xdr:col>39</xdr:col>
      <xdr:colOff>47625</xdr:colOff>
      <xdr:row>41</xdr:row>
      <xdr:rowOff>57151</xdr:rowOff>
    </xdr:to>
    <xdr:graphicFrame macro="">
      <xdr:nvGraphicFramePr>
        <xdr:cNvPr id="14" name="Gráfico 19">
          <a:extLst>
            <a:ext uri="{FF2B5EF4-FFF2-40B4-BE49-F238E27FC236}">
              <a16:creationId xmlns:a16="http://schemas.microsoft.com/office/drawing/2014/main" id="{0C691797-D7F4-4DD9-BF3E-694AA28D72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0</xdr:col>
      <xdr:colOff>38101</xdr:colOff>
      <xdr:row>25</xdr:row>
      <xdr:rowOff>57150</xdr:rowOff>
    </xdr:from>
    <xdr:to>
      <xdr:col>39</xdr:col>
      <xdr:colOff>47625</xdr:colOff>
      <xdr:row>41</xdr:row>
      <xdr:rowOff>38101</xdr:rowOff>
    </xdr:to>
    <xdr:graphicFrame macro="">
      <xdr:nvGraphicFramePr>
        <xdr:cNvPr id="22" name="Gráfico 19">
          <a:extLst>
            <a:ext uri="{FF2B5EF4-FFF2-40B4-BE49-F238E27FC236}">
              <a16:creationId xmlns:a16="http://schemas.microsoft.com/office/drawing/2014/main" id="{0B256D2B-12B3-42A3-BD1D-E6DD54964F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xdr:from>
      <xdr:col>0</xdr:col>
      <xdr:colOff>38101</xdr:colOff>
      <xdr:row>25</xdr:row>
      <xdr:rowOff>57150</xdr:rowOff>
    </xdr:from>
    <xdr:to>
      <xdr:col>39</xdr:col>
      <xdr:colOff>47625</xdr:colOff>
      <xdr:row>41</xdr:row>
      <xdr:rowOff>19051</xdr:rowOff>
    </xdr:to>
    <xdr:graphicFrame macro="">
      <xdr:nvGraphicFramePr>
        <xdr:cNvPr id="27" name="Gráfico 19">
          <a:extLst>
            <a:ext uri="{FF2B5EF4-FFF2-40B4-BE49-F238E27FC236}">
              <a16:creationId xmlns:a16="http://schemas.microsoft.com/office/drawing/2014/main" id="{3FACA70A-3256-424B-A055-BB9DD6F918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xdr:from>
      <xdr:col>0</xdr:col>
      <xdr:colOff>85725</xdr:colOff>
      <xdr:row>0</xdr:row>
      <xdr:rowOff>19050</xdr:rowOff>
    </xdr:from>
    <xdr:to>
      <xdr:col>8</xdr:col>
      <xdr:colOff>241934</xdr:colOff>
      <xdr:row>4</xdr:row>
      <xdr:rowOff>160655</xdr:rowOff>
    </xdr:to>
    <xdr:grpSp>
      <xdr:nvGrpSpPr>
        <xdr:cNvPr id="32" name="Grupo 31">
          <a:extLst>
            <a:ext uri="{FF2B5EF4-FFF2-40B4-BE49-F238E27FC236}">
              <a16:creationId xmlns:a16="http://schemas.microsoft.com/office/drawing/2014/main" id="{D23D8BFF-F8A0-44E8-91E0-8347BEC687E1}"/>
            </a:ext>
          </a:extLst>
        </xdr:cNvPr>
        <xdr:cNvGrpSpPr/>
      </xdr:nvGrpSpPr>
      <xdr:grpSpPr>
        <a:xfrm>
          <a:off x="85725" y="19050"/>
          <a:ext cx="1604009" cy="827405"/>
          <a:chOff x="0" y="0"/>
          <a:chExt cx="1604111" cy="827405"/>
        </a:xfrm>
      </xdr:grpSpPr>
      <xdr:grpSp>
        <xdr:nvGrpSpPr>
          <xdr:cNvPr id="33" name="Grupo 32">
            <a:extLst>
              <a:ext uri="{FF2B5EF4-FFF2-40B4-BE49-F238E27FC236}">
                <a16:creationId xmlns:a16="http://schemas.microsoft.com/office/drawing/2014/main" id="{12761CC2-E481-440A-B3DE-362B24EAD4A6}"/>
              </a:ext>
            </a:extLst>
          </xdr:cNvPr>
          <xdr:cNvGrpSpPr/>
        </xdr:nvGrpSpPr>
        <xdr:grpSpPr>
          <a:xfrm>
            <a:off x="0" y="20688"/>
            <a:ext cx="914400" cy="769620"/>
            <a:chOff x="-9122" y="0"/>
            <a:chExt cx="875760" cy="769620"/>
          </a:xfrm>
          <a:solidFill>
            <a:schemeClr val="bg1"/>
          </a:solidFill>
        </xdr:grpSpPr>
        <xdr:pic>
          <xdr:nvPicPr>
            <xdr:cNvPr id="35" name="Imagen 34">
              <a:extLst>
                <a:ext uri="{FF2B5EF4-FFF2-40B4-BE49-F238E27FC236}">
                  <a16:creationId xmlns:a16="http://schemas.microsoft.com/office/drawing/2014/main" id="{09DB9054-8420-403C-B204-28460B842A91}"/>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r="31669"/>
            <a:stretch/>
          </xdr:blipFill>
          <xdr:spPr bwMode="auto">
            <a:xfrm>
              <a:off x="0" y="0"/>
              <a:ext cx="858520" cy="535940"/>
            </a:xfrm>
            <a:prstGeom prst="rect">
              <a:avLst/>
            </a:prstGeom>
            <a:grpFill/>
            <a:ln>
              <a:noFill/>
            </a:ln>
            <a:extLst>
              <a:ext uri="{53640926-AAD7-44D8-BBD7-CCE9431645EC}">
                <a14:shadowObscured xmlns:a14="http://schemas.microsoft.com/office/drawing/2010/main"/>
              </a:ext>
            </a:extLst>
          </xdr:spPr>
          <xdr:style>
            <a:lnRef idx="2">
              <a:schemeClr val="accent1"/>
            </a:lnRef>
            <a:fillRef idx="1">
              <a:schemeClr val="lt1"/>
            </a:fillRef>
            <a:effectRef idx="0">
              <a:schemeClr val="accent1"/>
            </a:effectRef>
            <a:fontRef idx="minor">
              <a:schemeClr val="dk1"/>
            </a:fontRef>
          </xdr:style>
        </xdr:pic>
        <xdr:sp macro="" textlink="">
          <xdr:nvSpPr>
            <xdr:cNvPr id="36" name="Cuadro de texto 20">
              <a:extLst>
                <a:ext uri="{FF2B5EF4-FFF2-40B4-BE49-F238E27FC236}">
                  <a16:creationId xmlns:a16="http://schemas.microsoft.com/office/drawing/2014/main" id="{034ECEBC-C231-407C-BBB7-E85AA5FB8DAF}"/>
                </a:ext>
              </a:extLst>
            </xdr:cNvPr>
            <xdr:cNvSpPr txBox="1"/>
          </xdr:nvSpPr>
          <xdr:spPr>
            <a:xfrm>
              <a:off x="-9122" y="518160"/>
              <a:ext cx="875760" cy="251460"/>
            </a:xfrm>
            <a:prstGeom prst="rect">
              <a:avLst/>
            </a:prstGeom>
            <a:grpFill/>
            <a:ln>
              <a:noFill/>
            </a:ln>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07000"/>
                </a:lnSpc>
                <a:spcAft>
                  <a:spcPts val="0"/>
                </a:spcAft>
              </a:pPr>
              <a:r>
                <a:rPr lang="es-ES" sz="500">
                  <a:effectLst/>
                  <a:latin typeface="Century Gothic" panose="020B0502020202020204" pitchFamily="34" charset="0"/>
                  <a:ea typeface="Calibri" panose="020F0502020204030204" pitchFamily="34" charset="0"/>
                  <a:cs typeface="Times New Roman" panose="02020603050405020304" pitchFamily="18" charset="0"/>
                </a:rPr>
                <a:t>ISO/IEC 17025:2017</a:t>
              </a:r>
              <a:endParaRPr lang="es-CO" sz="1100">
                <a:effectLst/>
                <a:ea typeface="Calibri" panose="020F0502020204030204" pitchFamily="34" charset="0"/>
                <a:cs typeface="Times New Roman" panose="02020603050405020304" pitchFamily="18" charset="0"/>
              </a:endParaRPr>
            </a:p>
            <a:p>
              <a:pPr algn="ctr">
                <a:lnSpc>
                  <a:spcPct val="107000"/>
                </a:lnSpc>
                <a:spcAft>
                  <a:spcPts val="0"/>
                </a:spcAft>
              </a:pPr>
              <a:r>
                <a:rPr lang="es-ES" sz="500">
                  <a:effectLst/>
                  <a:latin typeface="Century Gothic" panose="020B0502020202020204" pitchFamily="34" charset="0"/>
                  <a:ea typeface="Calibri" panose="020F0502020204030204" pitchFamily="34" charset="0"/>
                  <a:cs typeface="Times New Roman" panose="02020603050405020304" pitchFamily="18" charset="0"/>
                </a:rPr>
                <a:t>19-LAB-016</a:t>
              </a:r>
              <a:endParaRPr lang="es-CO" sz="1100">
                <a:effectLst/>
                <a:ea typeface="Calibri" panose="020F0502020204030204" pitchFamily="34" charset="0"/>
                <a:cs typeface="Times New Roman" panose="02020603050405020304" pitchFamily="18" charset="0"/>
              </a:endParaRPr>
            </a:p>
          </xdr:txBody>
        </xdr:sp>
      </xdr:grpSp>
      <xdr:pic>
        <xdr:nvPicPr>
          <xdr:cNvPr id="34" name="Imagen 33">
            <a:extLst>
              <a:ext uri="{FF2B5EF4-FFF2-40B4-BE49-F238E27FC236}">
                <a16:creationId xmlns:a16="http://schemas.microsoft.com/office/drawing/2014/main" id="{209BDF8C-A066-4FA1-9012-575709309B5A}"/>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71240" t="9419" r="1903" b="10248"/>
          <a:stretch/>
        </xdr:blipFill>
        <xdr:spPr bwMode="auto">
          <a:xfrm>
            <a:off x="955776" y="0"/>
            <a:ext cx="648335" cy="827405"/>
          </a:xfrm>
          <a:prstGeom prst="rect">
            <a:avLst/>
          </a:prstGeom>
          <a:noFill/>
          <a:ln>
            <a:noFill/>
          </a:ln>
          <a:extLst>
            <a:ext uri="{53640926-AAD7-44D8-BBD7-CCE9431645EC}">
              <a14:shadowObscured xmlns:a14="http://schemas.microsoft.com/office/drawing/2010/main"/>
            </a:ext>
          </a:extLst>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1</xdr:row>
      <xdr:rowOff>0</xdr:rowOff>
    </xdr:from>
    <xdr:to>
      <xdr:col>2</xdr:col>
      <xdr:colOff>556259</xdr:colOff>
      <xdr:row>5</xdr:row>
      <xdr:rowOff>65405</xdr:rowOff>
    </xdr:to>
    <xdr:grpSp>
      <xdr:nvGrpSpPr>
        <xdr:cNvPr id="2" name="Grupo 1">
          <a:extLst>
            <a:ext uri="{FF2B5EF4-FFF2-40B4-BE49-F238E27FC236}">
              <a16:creationId xmlns:a16="http://schemas.microsoft.com/office/drawing/2014/main" id="{1F6E28CA-48DC-44D7-931E-3DA25498A1D3}"/>
            </a:ext>
          </a:extLst>
        </xdr:cNvPr>
        <xdr:cNvGrpSpPr/>
      </xdr:nvGrpSpPr>
      <xdr:grpSpPr>
        <a:xfrm>
          <a:off x="85725" y="190500"/>
          <a:ext cx="1632584" cy="827405"/>
          <a:chOff x="0" y="0"/>
          <a:chExt cx="1604111" cy="827405"/>
        </a:xfrm>
      </xdr:grpSpPr>
      <xdr:grpSp>
        <xdr:nvGrpSpPr>
          <xdr:cNvPr id="3" name="Grupo 2">
            <a:extLst>
              <a:ext uri="{FF2B5EF4-FFF2-40B4-BE49-F238E27FC236}">
                <a16:creationId xmlns:a16="http://schemas.microsoft.com/office/drawing/2014/main" id="{91FC0976-5886-47DC-BC05-82B2D55C1268}"/>
              </a:ext>
            </a:extLst>
          </xdr:cNvPr>
          <xdr:cNvGrpSpPr/>
        </xdr:nvGrpSpPr>
        <xdr:grpSpPr>
          <a:xfrm>
            <a:off x="0" y="20688"/>
            <a:ext cx="914400" cy="769620"/>
            <a:chOff x="-9122" y="0"/>
            <a:chExt cx="875760" cy="769620"/>
          </a:xfrm>
          <a:solidFill>
            <a:schemeClr val="bg1"/>
          </a:solidFill>
        </xdr:grpSpPr>
        <xdr:pic>
          <xdr:nvPicPr>
            <xdr:cNvPr id="5" name="Imagen 4">
              <a:extLst>
                <a:ext uri="{FF2B5EF4-FFF2-40B4-BE49-F238E27FC236}">
                  <a16:creationId xmlns:a16="http://schemas.microsoft.com/office/drawing/2014/main" id="{9968AABD-D40E-40B6-92F7-3B77172C194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31669"/>
            <a:stretch/>
          </xdr:blipFill>
          <xdr:spPr bwMode="auto">
            <a:xfrm>
              <a:off x="0" y="0"/>
              <a:ext cx="858520" cy="535940"/>
            </a:xfrm>
            <a:prstGeom prst="rect">
              <a:avLst/>
            </a:prstGeom>
            <a:grpFill/>
            <a:ln>
              <a:noFill/>
            </a:ln>
            <a:extLst>
              <a:ext uri="{53640926-AAD7-44D8-BBD7-CCE9431645EC}">
                <a14:shadowObscured xmlns:a14="http://schemas.microsoft.com/office/drawing/2010/main"/>
              </a:ext>
            </a:extLst>
          </xdr:spPr>
          <xdr:style>
            <a:lnRef idx="2">
              <a:schemeClr val="accent1"/>
            </a:lnRef>
            <a:fillRef idx="1">
              <a:schemeClr val="lt1"/>
            </a:fillRef>
            <a:effectRef idx="0">
              <a:schemeClr val="accent1"/>
            </a:effectRef>
            <a:fontRef idx="minor">
              <a:schemeClr val="dk1"/>
            </a:fontRef>
          </xdr:style>
        </xdr:pic>
        <xdr:sp macro="" textlink="">
          <xdr:nvSpPr>
            <xdr:cNvPr id="6" name="Cuadro de texto 20">
              <a:extLst>
                <a:ext uri="{FF2B5EF4-FFF2-40B4-BE49-F238E27FC236}">
                  <a16:creationId xmlns:a16="http://schemas.microsoft.com/office/drawing/2014/main" id="{085F8CFE-AB12-403B-B7E9-80297875FE81}"/>
                </a:ext>
              </a:extLst>
            </xdr:cNvPr>
            <xdr:cNvSpPr txBox="1"/>
          </xdr:nvSpPr>
          <xdr:spPr>
            <a:xfrm>
              <a:off x="-9122" y="518160"/>
              <a:ext cx="875760" cy="251460"/>
            </a:xfrm>
            <a:prstGeom prst="rect">
              <a:avLst/>
            </a:prstGeom>
            <a:grpFill/>
            <a:ln>
              <a:noFill/>
            </a:ln>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07000"/>
                </a:lnSpc>
                <a:spcAft>
                  <a:spcPts val="0"/>
                </a:spcAft>
              </a:pPr>
              <a:r>
                <a:rPr lang="es-ES" sz="500">
                  <a:effectLst/>
                  <a:latin typeface="Century Gothic" panose="020B0502020202020204" pitchFamily="34" charset="0"/>
                  <a:ea typeface="Calibri" panose="020F0502020204030204" pitchFamily="34" charset="0"/>
                  <a:cs typeface="Times New Roman" panose="02020603050405020304" pitchFamily="18" charset="0"/>
                </a:rPr>
                <a:t>ISO/IEC 17025:2017</a:t>
              </a:r>
              <a:endParaRPr lang="es-CO" sz="1100">
                <a:effectLst/>
                <a:ea typeface="Calibri" panose="020F0502020204030204" pitchFamily="34" charset="0"/>
                <a:cs typeface="Times New Roman" panose="02020603050405020304" pitchFamily="18" charset="0"/>
              </a:endParaRPr>
            </a:p>
            <a:p>
              <a:pPr algn="ctr">
                <a:lnSpc>
                  <a:spcPct val="107000"/>
                </a:lnSpc>
                <a:spcAft>
                  <a:spcPts val="0"/>
                </a:spcAft>
              </a:pPr>
              <a:r>
                <a:rPr lang="es-ES" sz="500">
                  <a:effectLst/>
                  <a:latin typeface="Century Gothic" panose="020B0502020202020204" pitchFamily="34" charset="0"/>
                  <a:ea typeface="Calibri" panose="020F0502020204030204" pitchFamily="34" charset="0"/>
                  <a:cs typeface="Times New Roman" panose="02020603050405020304" pitchFamily="18" charset="0"/>
                </a:rPr>
                <a:t>19-LAB-016</a:t>
              </a:r>
              <a:endParaRPr lang="es-CO" sz="1100">
                <a:effectLst/>
                <a:ea typeface="Calibri" panose="020F0502020204030204" pitchFamily="34" charset="0"/>
                <a:cs typeface="Times New Roman" panose="02020603050405020304" pitchFamily="18" charset="0"/>
              </a:endParaRPr>
            </a:p>
          </xdr:txBody>
        </xdr:sp>
      </xdr:grpSp>
      <xdr:pic>
        <xdr:nvPicPr>
          <xdr:cNvPr id="4" name="Imagen 3">
            <a:extLst>
              <a:ext uri="{FF2B5EF4-FFF2-40B4-BE49-F238E27FC236}">
                <a16:creationId xmlns:a16="http://schemas.microsoft.com/office/drawing/2014/main" id="{CE9CA2B6-DE6D-4143-906D-C92BB688EC1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1240" t="9419" r="1903" b="10248"/>
          <a:stretch/>
        </xdr:blipFill>
        <xdr:spPr bwMode="auto">
          <a:xfrm>
            <a:off x="955776" y="0"/>
            <a:ext cx="648335" cy="827405"/>
          </a:xfrm>
          <a:prstGeom prst="rect">
            <a:avLst/>
          </a:prstGeom>
          <a:noFill/>
          <a:ln>
            <a:noFill/>
          </a:ln>
          <a:extLst>
            <a:ext uri="{53640926-AAD7-44D8-BBD7-CCE9431645EC}">
              <a14:shadowObscured xmlns:a14="http://schemas.microsoft.com/office/drawing/2010/main"/>
            </a:ext>
          </a:extLst>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104776</xdr:colOff>
      <xdr:row>23</xdr:row>
      <xdr:rowOff>123826</xdr:rowOff>
    </xdr:from>
    <xdr:to>
      <xdr:col>22</xdr:col>
      <xdr:colOff>38101</xdr:colOff>
      <xdr:row>37</xdr:row>
      <xdr:rowOff>171450</xdr:rowOff>
    </xdr:to>
    <xdr:graphicFrame macro="">
      <xdr:nvGraphicFramePr>
        <xdr:cNvPr id="2" name="Chart 10">
          <a:extLst>
            <a:ext uri="{FF2B5EF4-FFF2-40B4-BE49-F238E27FC236}">
              <a16:creationId xmlns:a16="http://schemas.microsoft.com/office/drawing/2014/main" id="{36E34140-805C-4C1B-A304-5B52BED1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38100</xdr:colOff>
      <xdr:row>0</xdr:row>
      <xdr:rowOff>66675</xdr:rowOff>
    </xdr:from>
    <xdr:to>
      <xdr:col>6</xdr:col>
      <xdr:colOff>212737</xdr:colOff>
      <xdr:row>4</xdr:row>
      <xdr:rowOff>133803</xdr:rowOff>
    </xdr:to>
    <xdr:pic>
      <xdr:nvPicPr>
        <xdr:cNvPr id="3" name="Imagen 2">
          <a:extLst>
            <a:ext uri="{FF2B5EF4-FFF2-40B4-BE49-F238E27FC236}">
              <a16:creationId xmlns:a16="http://schemas.microsoft.com/office/drawing/2014/main" id="{5C980B80-400D-4320-A9B6-2AB147AC4488}"/>
            </a:ext>
          </a:extLst>
        </xdr:cNvPr>
        <xdr:cNvPicPr>
          <a:picLocks noChangeAspect="1"/>
        </xdr:cNvPicPr>
      </xdr:nvPicPr>
      <xdr:blipFill>
        <a:blip xmlns:r="http://schemas.openxmlformats.org/officeDocument/2006/relationships" r:embed="rId2"/>
        <a:stretch>
          <a:fillRect/>
        </a:stretch>
      </xdr:blipFill>
      <xdr:spPr>
        <a:xfrm>
          <a:off x="38100" y="66675"/>
          <a:ext cx="1603387" cy="829128"/>
        </a:xfrm>
        <a:prstGeom prst="rect">
          <a:avLst/>
        </a:prstGeom>
      </xdr:spPr>
    </xdr:pic>
    <xdr:clientData/>
  </xdr:twoCellAnchor>
  <xdr:twoCellAnchor editAs="oneCell">
    <xdr:from>
      <xdr:col>25</xdr:col>
      <xdr:colOff>0</xdr:colOff>
      <xdr:row>12</xdr:row>
      <xdr:rowOff>0</xdr:rowOff>
    </xdr:from>
    <xdr:to>
      <xdr:col>25</xdr:col>
      <xdr:colOff>304800</xdr:colOff>
      <xdr:row>13</xdr:row>
      <xdr:rowOff>114300</xdr:rowOff>
    </xdr:to>
    <xdr:sp macro="" textlink="">
      <xdr:nvSpPr>
        <xdr:cNvPr id="4" name="AutoShape 3" descr="data:image/jpeg;base64,/9j/4AAQSkZJRgABAQEAYABgAAD/2wBDAAgGBgcGBQgHBwcJCQgKDBQNDAsLDBkSEw8UHRofHh0aHBwgJC4nICIsIxwcKDcpLDAxNDQ0Hyc5PTgyPC4zNDL/2wBDAQkJCQwLDBgNDRgyIRwhMjIyMjIyMjIyMjIyMjIyMjIyMjIyMjIyMjIyMjIyMjIyMjIyMjIyMjIyMjIyMjIyMjL/wAARCABDARs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3+iot83/PEf8AfdG+b/niP++6AFm/1D/SnL9xfpUMzy+S+YRjH9+lV5di4h7f36AJhS1Dvm/54j/vul3zf88R/wB90AS0VFvm/wCeI/77o3zf88R/33QBLRUW+b/niP8AvujfN/zxH/fdAEtFRb5v+eI/77o3zf8APEf990AS1HB/qR9T/Om75sf6kf8AfdQidooDI4REUElmfAA+tAFyisT/AISjSv7NOpDUbE2IbYbgXK+Xu9N3TNaizO6hlRSrDIIfqKAJ6Kg82X/nkP8Avul8yb/niP8AvugCajNZEfiCxmnuoIryzkmtV3TxpcKWiHqw7VNZalFqdql1ZSQ3Nu/3ZYZQyn6EUAaNFQB5v+eQ/wC+qdvm/wCeI/76oAlqKL70v+//AEFG+b/niP8Avuo4mlDSfuh97+97CgCzRUW+b/nkP++6N83/ADxH/ff/ANagCWiovMm/54j/AL7/APrUeZN/zxH/AH3/APWoAloqLzJv+eI/77/+tR5k3/PEf99//WoAloqLzJv+eI/77/8ArUeZN/zxH/ff/wBagCWoh/x8t/uD+Zo3zf8APEf991GHl89v3XO0fxe5oAs0VFvm/wCeI/77o8yX/niP++6AJaKKKAI5+YJP9005P9Wv0FJKQI2/3TWL4i8T6f4U0kX+oicxAY2wRF29zj0HrQBu0VhaT4r03XLtbfTvPnUwiYzrEfKXP8Jbpu9q0L3VLDTQhvryG3D52mVwucUgLtFYy+KNBkdUTWLJmY4CrMCSa1+gyegouA6iuLT4m+Hpbm+tkN4bi0IHk/Z23zZ6eWvVs11tvN9ogjm2OgkUMFcYYZ7EetFwJ6KSsrV9Vk0260uFIRIL26EDEnGwFSc/pTA1qqPbQXlibe5jWWFyQyMOG571arH1W31a60Vo9Gu4bS+3gpLPGXUANyCB6imI8h0HQ5JvFHibwOlq39mPqcd3K235I4R820e7HA/A17fcQSPbGK3mNu23Cuqg7fwPFZvh7QV0S3maWY3N/dP5l1dMMGV/p2AHAHpWzSGY39k6r/0MNx/4Dxf/ABNakCSQwIk0xmcDBkZQC34DipaiuFkaCRYmCyFSEYjIBxwaLgeNeJ7NvC/xas5tGsQP7X06S2SKNcK0v95vYZyTXbXl1B8NPAkCW9jLdRWcaq2whRkkZYn3Jq5oPhvUILz+1PEOopqOqLH5UTxR7I4k77R6nuad430DUPE3hubSLKa3g+0EeZJOGO0AgjAH0pAdFby+dbxy4xvUNj0zUtU9NiuodPhjvPKMyKFYw528ccZ5qeWaOBN8rhFzjcxwMnpRcCWooz80n+9/QVBZ6lZ6ghe0uY5QOoU8jkjkfUGuf13UbmTW9P8AD9lM0E16zyzTL95IUAzt9ySBmi4HV5HrS1y+v+L9G8GRWkWoNcBJSEVlQybcnAZ27DPc1o6Xr9nrM1wtkJnhhIH2gxkRSf7jfxY9qLga9FNBp1MAopDVPU9Rg0rT5b253+VGMkRqWY+gAHU0AXaK5LR/iBouvR2Tad9quGunK7EhO6HHeT+6PrXVZHrSuA+oh/x8t/uD+Zrmrm7m0DxZp8PnySafqzPHsdt3kzAbhg9lIzx610oI+0tz/AP60wJaKKKAI/Ij/un/AL6NHkR/3T/30akooAgkt49h4PT1Ncv4pjvb60l0PT9Lkle+t2VruQfuIVPXJzkt6AV1sn+rb6GhP9Wv0FAHAfCqz1LT/CUOk6po01i9kCnmSHHnHceQB2xjmut1DTJ7tYxbXhtdpOSIlk3f99dK1KKAOej0C+SRWbWXZQeV+yRDP4gVp3hW0s5rhbWacxoWEUOS7+wGetXqKVgPHn07xHB8TbLxP/wjcksF5am38lMbrb+6ZDng4znHTpXV+K9X1LRta8PwW624ttQvltpSwZnxtJOOcDpXa5rnfEHhKDxDe2N1cahewNYyiaFIGUKHHG7lT2NOwG79miII2nn/AGjXIa94QspL/RWtrKd0W9DTlZ5DtTa3J+bjnFdlGpVFUuXIHLN1NPoAoWmk2VhGyW8bKrHJ3SM3P4k1RTwzpMo8x4JSzMScXEg7/wC9W4elea+KNf8AEHhrxX4fl+2wHRdQuzbSQeWMr6Et6/pxTEdh/wAIro//ADwl/wDAmT/4qk/4RTR/+eEv/gTJ/wDFVl+F9WvHt9V1LWNRj/s57xlsWlCoBECRnPGcnp9K6azvrXUIBPZ3MNxETgPE4YZ+oqWMzf8AhFNH/wCfeX/wJl/+Kpf+EU0b/n2k/wDAmX/4qp7/AFZrCZYhpmoXWRnfbRBlHscsOaZaa093cpCdI1KAN/y0mhAVfqdxp2Ai/wCEU0b/AJ9pP/AmX/4qj/hFdG/59pf/AAJl/wDiqTxSurtoVwdFu47W7RC4kePeeB0A6ZPvXDeGPF2ueKLXwmbe8VbiYyvqiLGCDGhx/wAByeOKQHdjwro46W8v/gTL/wDFVcvtMhvbJ7be8auApZG5x+NWFurd7hrdJ4mnQbmjDgsB6kdalosBz3hzwpb+HbWSGKVn8xizcY5yTn16Hv6VkavbpZfEPQ9Um4tZIprHcTwsj7WXP12kV3NUZ7G21CGe2u4UmhZuUYZHQUWA4X4jadqvibRNS0DTdHlwsQlN1MvySEchI+eWz3PStDQRrc3gqzVdPTRruFY43W8PCoAN7BR074zXZwQJbwJChYqgwCzFj+Zqhr+iReINIm02a5ubaKXG97Zwr49M4PFOwGP4LutU1K2v5dT2yW63JSyuAnltNEP4iv16etbl5oen6g6vcwu7KMDbM6/yIqn4d8Mw+HVmEeo6hetLty97N5hUAYAHAwK3KAMmHwzpNtMk0VvIJEOVJnkP6Fqj1y5n063i+w6XcX08z+Wixn5UOPvOc8LW3RSA8r+Gmi6z4c1XWtL1DRmWKW6M638Y2xOp7Duee3at7TtY1Gf4g3+iXa24tYbNLiNYt2QS2OSTzxXaGubt/CENt4qk8QjU797uVBFIjsnlsg6Ljb0H50AUPEdsL/xb4bsLcAvBO95PyTsjVSBn6k4rrFhT7S+R/AO/1qOz0y0spp5oIsTTtukkJyzfie3tVgf8fLf7g/maYB9nj9D+ZpfIj/u/qakooAi81/8Ang/5j/GjzX/54P8AmP8AGpaKAK8kr+W37h+h7j/GlSV9i/uH6eo/xqSb/Uv/ALp/lSx/6tfpQAzzX/54P+Y/xo81/wDng/5j/GpaKAIvNf8A54P+Y/xo81/+eD/mP8alooAh81/+eD/p/jR5r/8APB/0/wAamooAh81/+eD/AKf40vmv/wA8H/Mf41LRQBF5r/8APB/0/wAa8y8SRw/EOW28OwWV8i2F6ZLq5aPYqBc8Ke5bOOK9RNR2/wDqV/H+dAHK+KrrSvD/AIdt5rrSmnhtHT7JAE3BXHCnA9PpVD4bNYLo96dOiu5DJdNNcSywGFXkbk7FbB2jp+Fd7S0AQLI//PF/0pfMf/ni/wClTUUAc54i8TRaD9nSbTr25e6LJElvFv3MBwDjpmsj4eeEh4T0iUvbSfbbxzLNyCEBJIQewzXdUUgPL9DurC2+MGq/ZomSOexjjVghw8obkbjwT+NelCR/+eD/AJj/ABqXFGKYEfmv/wA8H/Mf41FFI+6T9y/3/b0HvVqo4vvS/wC9/QUAM81/+eL/AKUea/8Azxk/Sp6KAIBK/wDzxf8ASnea/wDzxf8AT/GpaKAIvNf/AJ4v+n+NHmv/AM8X/T/GpaKAIfNc/wDLF/0/xo8xv+eL/p/jU1FAEQkf/ni/6VGJX+0MfJb7o4yPU1ZqMf8AHy3+4P5mgBvnP/zwf8xS+c//ADwk/T/GpaKACiiigBk3+pf/AHT/ACpU+4v0oooAdRRRQAUUUUAFFFFABRRRQAhqO3/1K/j/ADoooAlooooAKKKKACiiigAooooAKjj+9J/vf0FFFAElFFFABRRRQAUUUUAFFFFABUY/4+W/3B/M0UUASUUUUAf/2Q=="/>
        <xdr:cNvSpPr>
          <a:spLocks noChangeAspect="1" noChangeArrowheads="1"/>
        </xdr:cNvSpPr>
      </xdr:nvSpPr>
      <xdr:spPr bwMode="auto">
        <a:xfrm>
          <a:off x="7096125" y="22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25</xdr:col>
      <xdr:colOff>0</xdr:colOff>
      <xdr:row>12</xdr:row>
      <xdr:rowOff>0</xdr:rowOff>
    </xdr:from>
    <xdr:to>
      <xdr:col>25</xdr:col>
      <xdr:colOff>304800</xdr:colOff>
      <xdr:row>13</xdr:row>
      <xdr:rowOff>114300</xdr:rowOff>
    </xdr:to>
    <xdr:sp macro="" textlink="">
      <xdr:nvSpPr>
        <xdr:cNvPr id="5" name="media-preview-main-content" descr="https://us-prod.asyncgw.teams.microsoft.com/v1/objects/0-eus-d8-74d1b27cd94bfe1961e4f8e4b8a2d9a1/views/imgpsh_mobile_save"/>
        <xdr:cNvSpPr>
          <a:spLocks noChangeAspect="1" noChangeArrowheads="1"/>
        </xdr:cNvSpPr>
      </xdr:nvSpPr>
      <xdr:spPr bwMode="auto">
        <a:xfrm>
          <a:off x="7096125" y="22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28575</xdr:colOff>
      <xdr:row>0</xdr:row>
      <xdr:rowOff>76200</xdr:rowOff>
    </xdr:from>
    <xdr:to>
      <xdr:col>3</xdr:col>
      <xdr:colOff>337184</xdr:colOff>
      <xdr:row>4</xdr:row>
      <xdr:rowOff>141605</xdr:rowOff>
    </xdr:to>
    <xdr:grpSp>
      <xdr:nvGrpSpPr>
        <xdr:cNvPr id="2" name="Grupo 1">
          <a:extLst>
            <a:ext uri="{FF2B5EF4-FFF2-40B4-BE49-F238E27FC236}">
              <a16:creationId xmlns:a16="http://schemas.microsoft.com/office/drawing/2014/main" id="{BFD07FB7-6FD2-4897-BE11-C57578C9A032}"/>
            </a:ext>
          </a:extLst>
        </xdr:cNvPr>
        <xdr:cNvGrpSpPr/>
      </xdr:nvGrpSpPr>
      <xdr:grpSpPr>
        <a:xfrm>
          <a:off x="266700" y="76200"/>
          <a:ext cx="1604009" cy="827405"/>
          <a:chOff x="0" y="0"/>
          <a:chExt cx="1604111" cy="827405"/>
        </a:xfrm>
      </xdr:grpSpPr>
      <xdr:grpSp>
        <xdr:nvGrpSpPr>
          <xdr:cNvPr id="3" name="Grupo 2">
            <a:extLst>
              <a:ext uri="{FF2B5EF4-FFF2-40B4-BE49-F238E27FC236}">
                <a16:creationId xmlns:a16="http://schemas.microsoft.com/office/drawing/2014/main" id="{78CD2AF6-B735-4959-9728-695B6C488409}"/>
              </a:ext>
            </a:extLst>
          </xdr:cNvPr>
          <xdr:cNvGrpSpPr/>
        </xdr:nvGrpSpPr>
        <xdr:grpSpPr>
          <a:xfrm>
            <a:off x="0" y="20688"/>
            <a:ext cx="914400" cy="769620"/>
            <a:chOff x="-9122" y="0"/>
            <a:chExt cx="875760" cy="769620"/>
          </a:xfrm>
          <a:solidFill>
            <a:schemeClr val="bg1"/>
          </a:solidFill>
        </xdr:grpSpPr>
        <xdr:pic>
          <xdr:nvPicPr>
            <xdr:cNvPr id="5" name="Imagen 4">
              <a:extLst>
                <a:ext uri="{FF2B5EF4-FFF2-40B4-BE49-F238E27FC236}">
                  <a16:creationId xmlns:a16="http://schemas.microsoft.com/office/drawing/2014/main" id="{66F3C9C2-5B81-42FA-8927-2206E31D185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31669"/>
            <a:stretch/>
          </xdr:blipFill>
          <xdr:spPr bwMode="auto">
            <a:xfrm>
              <a:off x="0" y="0"/>
              <a:ext cx="858520" cy="535940"/>
            </a:xfrm>
            <a:prstGeom prst="rect">
              <a:avLst/>
            </a:prstGeom>
            <a:grpFill/>
            <a:ln>
              <a:noFill/>
            </a:ln>
            <a:extLst>
              <a:ext uri="{53640926-AAD7-44D8-BBD7-CCE9431645EC}">
                <a14:shadowObscured xmlns:a14="http://schemas.microsoft.com/office/drawing/2010/main"/>
              </a:ext>
            </a:extLst>
          </xdr:spPr>
          <xdr:style>
            <a:lnRef idx="2">
              <a:schemeClr val="accent1"/>
            </a:lnRef>
            <a:fillRef idx="1">
              <a:schemeClr val="lt1"/>
            </a:fillRef>
            <a:effectRef idx="0">
              <a:schemeClr val="accent1"/>
            </a:effectRef>
            <a:fontRef idx="minor">
              <a:schemeClr val="dk1"/>
            </a:fontRef>
          </xdr:style>
        </xdr:pic>
        <xdr:sp macro="" textlink="">
          <xdr:nvSpPr>
            <xdr:cNvPr id="6" name="Cuadro de texto 20">
              <a:extLst>
                <a:ext uri="{FF2B5EF4-FFF2-40B4-BE49-F238E27FC236}">
                  <a16:creationId xmlns:a16="http://schemas.microsoft.com/office/drawing/2014/main" id="{3A311872-7493-404B-9A91-91DFFB81787D}"/>
                </a:ext>
              </a:extLst>
            </xdr:cNvPr>
            <xdr:cNvSpPr txBox="1"/>
          </xdr:nvSpPr>
          <xdr:spPr>
            <a:xfrm>
              <a:off x="-9122" y="518160"/>
              <a:ext cx="875760" cy="251460"/>
            </a:xfrm>
            <a:prstGeom prst="rect">
              <a:avLst/>
            </a:prstGeom>
            <a:grpFill/>
            <a:ln>
              <a:noFill/>
            </a:ln>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07000"/>
                </a:lnSpc>
                <a:spcAft>
                  <a:spcPts val="0"/>
                </a:spcAft>
              </a:pPr>
              <a:r>
                <a:rPr lang="es-ES" sz="500">
                  <a:effectLst/>
                  <a:latin typeface="Century Gothic" panose="020B0502020202020204" pitchFamily="34" charset="0"/>
                  <a:ea typeface="Calibri" panose="020F0502020204030204" pitchFamily="34" charset="0"/>
                  <a:cs typeface="Times New Roman" panose="02020603050405020304" pitchFamily="18" charset="0"/>
                </a:rPr>
                <a:t>ISO/IEC 17025:2017</a:t>
              </a:r>
              <a:endParaRPr lang="es-CO" sz="1100">
                <a:effectLst/>
                <a:ea typeface="Calibri" panose="020F0502020204030204" pitchFamily="34" charset="0"/>
                <a:cs typeface="Times New Roman" panose="02020603050405020304" pitchFamily="18" charset="0"/>
              </a:endParaRPr>
            </a:p>
            <a:p>
              <a:pPr algn="ctr">
                <a:lnSpc>
                  <a:spcPct val="107000"/>
                </a:lnSpc>
                <a:spcAft>
                  <a:spcPts val="0"/>
                </a:spcAft>
              </a:pPr>
              <a:r>
                <a:rPr lang="es-ES" sz="500">
                  <a:effectLst/>
                  <a:latin typeface="Century Gothic" panose="020B0502020202020204" pitchFamily="34" charset="0"/>
                  <a:ea typeface="Calibri" panose="020F0502020204030204" pitchFamily="34" charset="0"/>
                  <a:cs typeface="Times New Roman" panose="02020603050405020304" pitchFamily="18" charset="0"/>
                </a:rPr>
                <a:t>19-LAB-016</a:t>
              </a:r>
              <a:endParaRPr lang="es-CO" sz="1100">
                <a:effectLst/>
                <a:ea typeface="Calibri" panose="020F0502020204030204" pitchFamily="34" charset="0"/>
                <a:cs typeface="Times New Roman" panose="02020603050405020304" pitchFamily="18" charset="0"/>
              </a:endParaRPr>
            </a:p>
          </xdr:txBody>
        </xdr:sp>
      </xdr:grpSp>
      <xdr:pic>
        <xdr:nvPicPr>
          <xdr:cNvPr id="4" name="Imagen 3">
            <a:extLst>
              <a:ext uri="{FF2B5EF4-FFF2-40B4-BE49-F238E27FC236}">
                <a16:creationId xmlns:a16="http://schemas.microsoft.com/office/drawing/2014/main" id="{52CDE8B2-A584-4327-BDCA-56085CAD7C0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1240" t="9419" r="1903" b="10248"/>
          <a:stretch/>
        </xdr:blipFill>
        <xdr:spPr bwMode="auto">
          <a:xfrm>
            <a:off x="955776" y="0"/>
            <a:ext cx="648335" cy="827405"/>
          </a:xfrm>
          <a:prstGeom prst="rect">
            <a:avLst/>
          </a:prstGeom>
          <a:noFill/>
          <a:ln>
            <a:noFill/>
          </a:ln>
          <a:extLst>
            <a:ext uri="{53640926-AAD7-44D8-BBD7-CCE9431645EC}">
              <a14:shadowObscured xmlns:a14="http://schemas.microsoft.com/office/drawing/2010/main"/>
            </a:ext>
          </a:extLst>
        </xdr:spPr>
      </xdr:pic>
    </xdr:grpSp>
    <xdr:clientData/>
  </xdr:twoCellAnchor>
</xdr:wsDr>
</file>

<file path=xl/drawings/drawing7.xml><?xml version="1.0" encoding="utf-8"?>
<xdr:wsDr xmlns:xdr="http://schemas.openxmlformats.org/drawingml/2006/spreadsheetDrawing" xmlns:a="http://schemas.openxmlformats.org/drawingml/2006/main">
  <xdr:oneCellAnchor>
    <xdr:from>
      <xdr:col>5</xdr:col>
      <xdr:colOff>299435</xdr:colOff>
      <xdr:row>10</xdr:row>
      <xdr:rowOff>9525</xdr:rowOff>
    </xdr:from>
    <xdr:ext cx="1453166" cy="238125"/>
    <xdr:sp macro="" textlink="">
      <xdr:nvSpPr>
        <xdr:cNvPr id="2" name="CuadroTexto 1">
          <a:extLst>
            <a:ext uri="{FF2B5EF4-FFF2-40B4-BE49-F238E27FC236}">
              <a16:creationId xmlns:a16="http://schemas.microsoft.com/office/drawing/2014/main" id="{D7159AF2-EA47-43DD-92A2-2D0D2642C05E}"/>
            </a:ext>
          </a:extLst>
        </xdr:cNvPr>
        <xdr:cNvSpPr txBox="1"/>
      </xdr:nvSpPr>
      <xdr:spPr>
        <a:xfrm>
          <a:off x="2537810" y="1914525"/>
          <a:ext cx="1453166"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ES" sz="1200"/>
            <a:t>P</a:t>
          </a:r>
          <a:r>
            <a:rPr lang="es-ES" sz="1200" i="0">
              <a:latin typeface="Cambria Math" panose="02040503050406030204" pitchFamily="18" charset="0"/>
            </a:rPr>
            <a:t>=((</a:t>
          </a:r>
          <a:r>
            <a:rPr lang="es-ES" sz="1200" b="0" i="0">
              <a:latin typeface="Cambria Math" panose="02040503050406030204" pitchFamily="18" charset="0"/>
            </a:rPr>
            <a:t>𝑀−𝑅)/𝑀)</a:t>
          </a:r>
          <a:r>
            <a:rPr lang="es-ES" sz="1200"/>
            <a:t>*100</a:t>
          </a:r>
        </a:p>
      </xdr:txBody>
    </xdr:sp>
    <xdr:clientData/>
  </xdr:oneCellAnchor>
  <xdr:oneCellAnchor>
    <xdr:from>
      <xdr:col>5</xdr:col>
      <xdr:colOff>299435</xdr:colOff>
      <xdr:row>10</xdr:row>
      <xdr:rowOff>9525</xdr:rowOff>
    </xdr:from>
    <xdr:ext cx="1453166" cy="238125"/>
    <xdr:sp macro="" textlink="">
      <xdr:nvSpPr>
        <xdr:cNvPr id="3" name="CuadroTexto 2">
          <a:extLst>
            <a:ext uri="{FF2B5EF4-FFF2-40B4-BE49-F238E27FC236}">
              <a16:creationId xmlns:a16="http://schemas.microsoft.com/office/drawing/2014/main" id="{70CB0B9F-76DA-4553-A090-15E1FBFEDB07}"/>
            </a:ext>
          </a:extLst>
        </xdr:cNvPr>
        <xdr:cNvSpPr txBox="1"/>
      </xdr:nvSpPr>
      <xdr:spPr>
        <a:xfrm>
          <a:off x="2537810" y="1914525"/>
          <a:ext cx="1453166"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ES" sz="1200"/>
            <a:t>P</a:t>
          </a:r>
          <a:r>
            <a:rPr lang="es-ES" sz="1200" i="0">
              <a:latin typeface="Cambria Math" panose="02040503050406030204" pitchFamily="18" charset="0"/>
            </a:rPr>
            <a:t>=((</a:t>
          </a:r>
          <a:r>
            <a:rPr lang="es-ES" sz="1200" b="0" i="0">
              <a:latin typeface="Cambria Math" panose="02040503050406030204" pitchFamily="18" charset="0"/>
            </a:rPr>
            <a:t>𝑀−𝑅)/𝑀)</a:t>
          </a:r>
          <a:r>
            <a:rPr lang="es-ES" sz="1200"/>
            <a:t>*100</a:t>
          </a:r>
        </a:p>
      </xdr:txBody>
    </xdr:sp>
    <xdr:clientData/>
  </xdr:oneCellAnchor>
  <xdr:oneCellAnchor>
    <xdr:from>
      <xdr:col>5</xdr:col>
      <xdr:colOff>299435</xdr:colOff>
      <xdr:row>10</xdr:row>
      <xdr:rowOff>9525</xdr:rowOff>
    </xdr:from>
    <xdr:ext cx="1453166" cy="238125"/>
    <xdr:sp macro="" textlink="">
      <xdr:nvSpPr>
        <xdr:cNvPr id="4" name="CuadroTexto 3">
          <a:extLst>
            <a:ext uri="{FF2B5EF4-FFF2-40B4-BE49-F238E27FC236}">
              <a16:creationId xmlns:a16="http://schemas.microsoft.com/office/drawing/2014/main" id="{05D496FB-352A-466E-85BD-F7658153717E}"/>
            </a:ext>
          </a:extLst>
        </xdr:cNvPr>
        <xdr:cNvSpPr txBox="1"/>
      </xdr:nvSpPr>
      <xdr:spPr>
        <a:xfrm>
          <a:off x="2537810" y="1914525"/>
          <a:ext cx="1453166"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ES" sz="1200"/>
            <a:t>P</a:t>
          </a:r>
          <a:r>
            <a:rPr lang="es-ES" sz="1200" i="0">
              <a:latin typeface="Cambria Math" panose="02040503050406030204" pitchFamily="18" charset="0"/>
            </a:rPr>
            <a:t>=((</a:t>
          </a:r>
          <a:r>
            <a:rPr lang="es-ES" sz="1200" b="0" i="0">
              <a:latin typeface="Cambria Math" panose="02040503050406030204" pitchFamily="18" charset="0"/>
            </a:rPr>
            <a:t>𝑀−𝑅)/𝑀)</a:t>
          </a:r>
          <a:r>
            <a:rPr lang="es-ES" sz="1200"/>
            <a:t>*100</a:t>
          </a:r>
        </a:p>
      </xdr:txBody>
    </xdr:sp>
    <xdr:clientData/>
  </xdr:oneCellAnchor>
  <xdr:twoCellAnchor editAs="oneCell">
    <xdr:from>
      <xdr:col>0</xdr:col>
      <xdr:colOff>114300</xdr:colOff>
      <xdr:row>0</xdr:row>
      <xdr:rowOff>104775</xdr:rowOff>
    </xdr:from>
    <xdr:to>
      <xdr:col>1</xdr:col>
      <xdr:colOff>601662</xdr:colOff>
      <xdr:row>4</xdr:row>
      <xdr:rowOff>62165</xdr:rowOff>
    </xdr:to>
    <xdr:pic>
      <xdr:nvPicPr>
        <xdr:cNvPr id="5" name="Imagen 4"/>
        <xdr:cNvPicPr>
          <a:picLocks noChangeAspect="1"/>
        </xdr:cNvPicPr>
      </xdr:nvPicPr>
      <xdr:blipFill>
        <a:blip xmlns:r="http://schemas.openxmlformats.org/officeDocument/2006/relationships" r:embed="rId1"/>
        <a:stretch>
          <a:fillRect/>
        </a:stretch>
      </xdr:blipFill>
      <xdr:spPr>
        <a:xfrm>
          <a:off x="114300" y="104775"/>
          <a:ext cx="725487" cy="7193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37</xdr:col>
      <xdr:colOff>134217</xdr:colOff>
      <xdr:row>5</xdr:row>
      <xdr:rowOff>10391</xdr:rowOff>
    </xdr:from>
    <xdr:to>
      <xdr:col>52</xdr:col>
      <xdr:colOff>171450</xdr:colOff>
      <xdr:row>17</xdr:row>
      <xdr:rowOff>35503</xdr:rowOff>
    </xdr:to>
    <xdr:pic>
      <xdr:nvPicPr>
        <xdr:cNvPr id="2" name="Picture 6">
          <a:extLst>
            <a:ext uri="{FF2B5EF4-FFF2-40B4-BE49-F238E27FC236}">
              <a16:creationId xmlns:a16="http://schemas.microsoft.com/office/drawing/2014/main" id="{9191A099-197A-45EA-ADF7-092913F089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78017" y="962891"/>
          <a:ext cx="2751858" cy="2234912"/>
        </a:xfrm>
        <a:prstGeom prst="rect">
          <a:avLst/>
        </a:prstGeom>
        <a:noFill/>
        <a:ln w="9525">
          <a:noFill/>
          <a:miter lim="800000"/>
          <a:headEnd/>
          <a:tailEnd/>
        </a:ln>
      </xdr:spPr>
    </xdr:pic>
    <xdr:clientData/>
  </xdr:twoCellAnchor>
  <xdr:twoCellAnchor editAs="oneCell">
    <xdr:from>
      <xdr:col>37</xdr:col>
      <xdr:colOff>134217</xdr:colOff>
      <xdr:row>5</xdr:row>
      <xdr:rowOff>10391</xdr:rowOff>
    </xdr:from>
    <xdr:to>
      <xdr:col>52</xdr:col>
      <xdr:colOff>171450</xdr:colOff>
      <xdr:row>17</xdr:row>
      <xdr:rowOff>35503</xdr:rowOff>
    </xdr:to>
    <xdr:pic>
      <xdr:nvPicPr>
        <xdr:cNvPr id="3" name="Picture 6">
          <a:extLst>
            <a:ext uri="{FF2B5EF4-FFF2-40B4-BE49-F238E27FC236}">
              <a16:creationId xmlns:a16="http://schemas.microsoft.com/office/drawing/2014/main" id="{0921FE0C-BEC2-4618-B985-6532B0FB414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78017" y="962891"/>
          <a:ext cx="2751858" cy="2234912"/>
        </a:xfrm>
        <a:prstGeom prst="rect">
          <a:avLst/>
        </a:prstGeom>
        <a:noFill/>
        <a:ln w="9525">
          <a:noFill/>
          <a:miter lim="800000"/>
          <a:headEnd/>
          <a:tailEnd/>
        </a:ln>
      </xdr:spPr>
    </xdr:pic>
    <xdr:clientData/>
  </xdr:twoCellAnchor>
  <xdr:twoCellAnchor editAs="oneCell">
    <xdr:from>
      <xdr:col>37</xdr:col>
      <xdr:colOff>134217</xdr:colOff>
      <xdr:row>5</xdr:row>
      <xdr:rowOff>10391</xdr:rowOff>
    </xdr:from>
    <xdr:to>
      <xdr:col>52</xdr:col>
      <xdr:colOff>171450</xdr:colOff>
      <xdr:row>17</xdr:row>
      <xdr:rowOff>35503</xdr:rowOff>
    </xdr:to>
    <xdr:pic>
      <xdr:nvPicPr>
        <xdr:cNvPr id="4" name="Picture 6">
          <a:extLst>
            <a:ext uri="{FF2B5EF4-FFF2-40B4-BE49-F238E27FC236}">
              <a16:creationId xmlns:a16="http://schemas.microsoft.com/office/drawing/2014/main" id="{9536FA81-689F-4965-B2AA-C22AEBD7A1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78017" y="962891"/>
          <a:ext cx="2751858" cy="2234912"/>
        </a:xfrm>
        <a:prstGeom prst="rect">
          <a:avLst/>
        </a:prstGeom>
        <a:noFill/>
        <a:ln w="9525">
          <a:noFill/>
          <a:miter lim="800000"/>
          <a:headEnd/>
          <a:tailEnd/>
        </a:ln>
      </xdr:spPr>
    </xdr:pic>
    <xdr:clientData/>
  </xdr:twoCellAnchor>
  <xdr:twoCellAnchor editAs="oneCell">
    <xdr:from>
      <xdr:col>0</xdr:col>
      <xdr:colOff>57152</xdr:colOff>
      <xdr:row>0</xdr:row>
      <xdr:rowOff>152400</xdr:rowOff>
    </xdr:from>
    <xdr:to>
      <xdr:col>3</xdr:col>
      <xdr:colOff>129450</xdr:colOff>
      <xdr:row>4</xdr:row>
      <xdr:rowOff>110400</xdr:rowOff>
    </xdr:to>
    <xdr:pic>
      <xdr:nvPicPr>
        <xdr:cNvPr id="5" name="Imagen 4">
          <a:extLst>
            <a:ext uri="{FF2B5EF4-FFF2-40B4-BE49-F238E27FC236}">
              <a16:creationId xmlns:a16="http://schemas.microsoft.com/office/drawing/2014/main" id="{DE4EF9E9-5D11-408C-9E7D-6F9D29D91142}"/>
            </a:ext>
          </a:extLst>
        </xdr:cNvPr>
        <xdr:cNvPicPr>
          <a:picLocks noChangeAspect="1"/>
        </xdr:cNvPicPr>
      </xdr:nvPicPr>
      <xdr:blipFill>
        <a:blip xmlns:r="http://schemas.openxmlformats.org/officeDocument/2006/relationships" r:embed="rId2" cstate="print"/>
        <a:srcRect/>
        <a:stretch>
          <a:fillRect/>
        </a:stretch>
      </xdr:blipFill>
      <xdr:spPr bwMode="auto">
        <a:xfrm>
          <a:off x="57152" y="152400"/>
          <a:ext cx="719998" cy="72000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95248</xdr:colOff>
      <xdr:row>0</xdr:row>
      <xdr:rowOff>152401</xdr:rowOff>
    </xdr:from>
    <xdr:to>
      <xdr:col>5</xdr:col>
      <xdr:colOff>51467</xdr:colOff>
      <xdr:row>4</xdr:row>
      <xdr:rowOff>110401</xdr:rowOff>
    </xdr:to>
    <xdr:pic>
      <xdr:nvPicPr>
        <xdr:cNvPr id="2" name="Imagen 2">
          <a:extLst>
            <a:ext uri="{FF2B5EF4-FFF2-40B4-BE49-F238E27FC236}">
              <a16:creationId xmlns:a16="http://schemas.microsoft.com/office/drawing/2014/main" id="{3302532A-05FB-46CD-BDCA-CF72683956B2}"/>
            </a:ext>
          </a:extLst>
        </xdr:cNvPr>
        <xdr:cNvPicPr>
          <a:picLocks noChangeAspect="1"/>
        </xdr:cNvPicPr>
      </xdr:nvPicPr>
      <xdr:blipFill>
        <a:blip xmlns:r="http://schemas.openxmlformats.org/officeDocument/2006/relationships" r:embed="rId1" cstate="print"/>
        <a:srcRect/>
        <a:stretch>
          <a:fillRect/>
        </a:stretch>
      </xdr:blipFill>
      <xdr:spPr bwMode="auto">
        <a:xfrm>
          <a:off x="95248" y="152401"/>
          <a:ext cx="727744" cy="720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AiuBPMarco9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UMV\ESCRITORIO\7.%20Petreos\Concreto\Agregado%20fino\Agregado%20fino%20(Mensual).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UMV\ESCRITORIO\Formatos%20acreditaci&#243;n\GLAB-FM-014%20V3%20Inf.%20%20Lavado%20sobre%20tamiz%2020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uaermv-my.sharepoint.com/Users/CINDY.SASTOQUE/Documents/Laboratorio2/1.Calidad/1.%20Formatos%20de%20informe/7.%20Petreos/Mezcla%20asfaltica/Agregado%20fino/Agregado%20fino%20(Mensual)..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aboratorio\1.%20Calidad\1.%20GLAB\1.%20Formatos\1.%20Formatos%20de%20informe\7.%20Petreos\GLAB-FM-164%20v2%20Inf.%20Granulometria%20diaria%20sept%20202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aboratorio\1.%20Calidad\1.%20Formatos\1.%20Formatos%20de%20informe\2.%20Apiques\Apiques.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UMV\ESCRITORIO\2.%20Apiques%20.xlsb.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r-lab-12781\LABORATORIO\1.%20Calidad\1.%20Formatos%20de%20Informe\7.%20Petreos\Concreto\Agregado%20Fino\Agregado%20fino%20(Mensual).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pr-lab-12781\LABORATORIO\9.%20Acreditacion\Formatos%20Marzo\2.%20Apiques.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Pr-lab-12781\laboratorio\9.%20Acreditacion\Formatos%20Marzo\Agregado%20grueso%20(Mensual).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192.168.1.206\Users\jennifer.arias\Desktop\LABORATORIO\1.%20Calidad\Formatos%20para%20digitar\7.%20Petreos\Mezcla\Agregado%20fino\Agregado%20fino%20(Mensual)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252098\COSTO%20DE%20PROPIEDA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r-lab-12781\laboratorio\1.%20Calidad\Formatos%20individuales\Informe\PRO-L-FM-006%20V6%20Inf.%20Equivalente%20de%20arena.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192.168.1.206\Users\Users\sonia.gaviria\Desktop\CNS\Frecuencias\Petreos\Mezcla\Agregados%20%20Finos\Agregado%20fino%20%20(Semanal).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Pr-lab-12781\laboratorio\9.%20Acreditacion\Formatos%20Marzo\Materiales%20Granulares%20(Mensual).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G:\Laboratorio\1.%20Calidad\1.%20Formatos%20de%20informe\8.%20Materiales%20Granulares%20oct\Materiales%20Granulares\Materiales%20Granulares%20(Mensual).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Pr-lab-12781\laboratorio\9.%20Acreditacion\Formatos%20Marzo\Clasificac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Laboratorio\1.%20Calidad\1.%20GLAB\1.%20Formatos\1.%20Formatos%20de%20informe\2.%20Apiques\2.%20Apique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uaermv-my.sharepoint.com/Users/CINDY.SASTOQUE/Desktop/Nueva%20carpeta/GLAB-FM-005%20V8%20Inf.%20Limite%20liquido,%20plastico%20e%20Indice%20de%20plasticidad.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s://uaermv-my.sharepoint.com/Users/CINDY.SASTOQUE/Documents/Laboratorio2/9.%20Acreditacion/1.%20Control%20de%20documentos/2.%20Aprobaciones/Julio/GLAB-FM-005%20V9%20Inf.%20Limite%20liquido,%20plastico%20e%20Indice%20de%20plasticidad.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UMV\ESCRITORIO\7.%20Petreos\Arena%20de%20pe&#241;a\Agregado%20fino%20(Mensual).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uaermv-my.sharepoint.com/Users/CINDY.SASTOQUE/Documents/Laboratorio2/1.Calidad/1.%20Formatos%20de%20informe/2.%20Apiques/2.%20Apiques%20.xlsb.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1.173\Users\Sonia.gaviria\Desktop\CNSG\Nueva%20carpeta\Listo\Documents%20and%20Settings\DIANA%20PAO\Configuraci&#243;n%20local\Archivos%20temporales%20de%20Internet\Content.IE5\S1MFOXQ3\DATOS\Equipos\COSTO%20DE%20PROPIEDA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92.168.1.206\Users\Frecuencias\Mezcla\Agregados%20%20Finos\19.%20PRO-L-FM-019%20(INV%20E-222-13)%20Gs%20Finos.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192.168.1.206\Users\CNSG\Para%20revision\20.%20PRO-L-FM-020%20(INV-223-13)%20Gs%20Gruesos.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192.168.1.206\Users\Users\sonia.gaviria\Desktop\Formatos\PRO-L-FM-014%20V.1%20Lavado%20tamiz%20N&#176;%20200.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92.168.1.206\Users\Users\sonia.gaviria\Desktop\Formatos\PRO-L-FM-003%20V.1%20Humedad%20Natural.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192.168.1.206\Users\Frecuencias\Mezcla\Agregados%20%20Finos\3.%20PRO-L-FM-003%20(INV-122-13)%20Humedad%20Natural.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192.168.1.206\Users\Users\sonia.gaviria\Desktop\Formatos\PRO-L-FM-017%20V.1%20Desgaste%20rajon.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uaermv-my.sharepoint.com/Users/CINDY.SASTOQUE/Desktop/Formatos/Contenido%20de%20agua%20(Humedad).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92.168.1.206\Users\Users\sonia.gaviria\Desktop\X.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Laboratorio\1.%20Calidad\1.%20GLAB\1.%20Formatos\1.%20Formatos%20de%20informe\7.%20Petreos\Concreto\Agregado%20fino\Agregado%20fino%20(Mensual)%20sept%20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5CDE8150\COSTO%20DE%20PROPIEDA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9A1960\COSTO%20DE%20PROPIEDA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00445B2B\COSTO%20DE%20PROPIEDA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ervidor\disco%20duro\irina\CLAS-BOG.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uaermv-my.sharepoint.com/Users/CINDY.SASTOQUE/Documents/Laboratorio2/1.Calidad/1.%20Formatos%20de%20informe/7.%20Petreos/Concreto/Agregado%20Fino/Agregado%20fino%20(Mensual).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r-lab-12781\laboratorio\9.%20Acreditacion\Formatos%20Marzo\Agregado%20fino%20(Mensu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IU"/>
      <sheetName val="Program"/>
      <sheetName val="COSTOS"/>
      <sheetName val="EVA"/>
    </sheetNames>
    <sheetDataSet>
      <sheetData sheetId="0" refreshError="1">
        <row r="12">
          <cell r="D12">
            <v>3</v>
          </cell>
        </row>
        <row r="338">
          <cell r="C338" t="str">
            <v>Activos</v>
          </cell>
          <cell r="D338">
            <v>9750</v>
          </cell>
        </row>
        <row r="339">
          <cell r="C339" t="str">
            <v>Direcc.</v>
          </cell>
          <cell r="D339">
            <v>53970</v>
          </cell>
        </row>
        <row r="340">
          <cell r="C340" t="str">
            <v>Admon</v>
          </cell>
          <cell r="D340">
            <v>48583.5</v>
          </cell>
        </row>
        <row r="341">
          <cell r="C341" t="str">
            <v>Topog</v>
          </cell>
          <cell r="D341">
            <v>0</v>
          </cell>
        </row>
        <row r="342">
          <cell r="C342" t="str">
            <v>Taller</v>
          </cell>
          <cell r="D342">
            <v>2898</v>
          </cell>
        </row>
        <row r="343">
          <cell r="C343" t="str">
            <v>Operad.</v>
          </cell>
          <cell r="D343">
            <v>0</v>
          </cell>
        </row>
        <row r="344">
          <cell r="C344" t="str">
            <v>Vigilan.</v>
          </cell>
          <cell r="D344">
            <v>10836</v>
          </cell>
        </row>
        <row r="345">
          <cell r="C345" t="str">
            <v>Prestac</v>
          </cell>
          <cell r="D345">
            <v>66283.875</v>
          </cell>
        </row>
        <row r="346">
          <cell r="C346" t="str">
            <v>Honor</v>
          </cell>
          <cell r="D346">
            <v>6700</v>
          </cell>
        </row>
        <row r="347">
          <cell r="C347" t="str">
            <v>Impues</v>
          </cell>
          <cell r="D347">
            <v>98630.90675611388</v>
          </cell>
        </row>
        <row r="348">
          <cell r="C348" t="str">
            <v>Arrend</v>
          </cell>
          <cell r="D348">
            <v>11295</v>
          </cell>
        </row>
        <row r="349">
          <cell r="C349" t="str">
            <v>Segur</v>
          </cell>
          <cell r="D349">
            <v>30840.71727788596</v>
          </cell>
        </row>
        <row r="350">
          <cell r="C350" t="str">
            <v>Sevic</v>
          </cell>
          <cell r="D350">
            <v>7366.9087499999996</v>
          </cell>
        </row>
        <row r="351">
          <cell r="C351" t="str">
            <v>Legal</v>
          </cell>
          <cell r="D351">
            <v>1.1868038433000001</v>
          </cell>
        </row>
        <row r="352">
          <cell r="C352" t="str">
            <v>Manten</v>
          </cell>
          <cell r="D352">
            <v>1283.2009599999999</v>
          </cell>
        </row>
        <row r="353">
          <cell r="C353" t="str">
            <v>Adecu</v>
          </cell>
          <cell r="D353">
            <v>6090</v>
          </cell>
        </row>
        <row r="354">
          <cell r="C354" t="str">
            <v>Viaje</v>
          </cell>
          <cell r="D354">
            <v>3030</v>
          </cell>
        </row>
        <row r="355">
          <cell r="C355" t="str">
            <v>Divers</v>
          </cell>
          <cell r="D355">
            <v>132161.02532999997</v>
          </cell>
        </row>
        <row r="356">
          <cell r="C356" t="str">
            <v>Financ.</v>
          </cell>
          <cell r="D356">
            <v>360.00599999999997</v>
          </cell>
        </row>
        <row r="357">
          <cell r="C357" t="str">
            <v>Costos</v>
          </cell>
          <cell r="D357">
            <v>68623.484200000006</v>
          </cell>
        </row>
      </sheetData>
      <sheetData sheetId="1" refreshError="1">
        <row r="3">
          <cell r="B3">
            <v>3</v>
          </cell>
        </row>
        <row r="120">
          <cell r="B120">
            <v>608.87199999999996</v>
          </cell>
          <cell r="C120">
            <v>1834.31</v>
          </cell>
          <cell r="D120">
            <v>1512.259</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row>
      </sheetData>
      <sheetData sheetId="2" refreshError="1"/>
      <sheetData sheetId="3" refreshError="1">
        <row r="6">
          <cell r="D6">
            <v>1</v>
          </cell>
          <cell r="E6">
            <v>2</v>
          </cell>
          <cell r="F6">
            <v>3</v>
          </cell>
          <cell r="G6">
            <v>4</v>
          </cell>
          <cell r="H6">
            <v>5</v>
          </cell>
          <cell r="I6">
            <v>6</v>
          </cell>
          <cell r="J6">
            <v>7</v>
          </cell>
          <cell r="K6">
            <v>8</v>
          </cell>
          <cell r="L6">
            <v>9</v>
          </cell>
          <cell r="M6">
            <v>10</v>
          </cell>
          <cell r="N6">
            <v>11</v>
          </cell>
          <cell r="O6">
            <v>12</v>
          </cell>
          <cell r="P6">
            <v>13</v>
          </cell>
          <cell r="Q6">
            <v>14</v>
          </cell>
          <cell r="R6">
            <v>15</v>
          </cell>
          <cell r="S6">
            <v>16</v>
          </cell>
          <cell r="T6">
            <v>17</v>
          </cell>
          <cell r="U6">
            <v>18</v>
          </cell>
          <cell r="V6">
            <v>19</v>
          </cell>
          <cell r="W6">
            <v>20</v>
          </cell>
          <cell r="X6">
            <v>21</v>
          </cell>
          <cell r="Y6">
            <v>22</v>
          </cell>
          <cell r="Z6">
            <v>23</v>
          </cell>
          <cell r="AA6">
            <v>24</v>
          </cell>
          <cell r="AB6">
            <v>25</v>
          </cell>
          <cell r="AC6">
            <v>26</v>
          </cell>
          <cell r="AD6">
            <v>27</v>
          </cell>
        </row>
        <row r="39">
          <cell r="D39">
            <v>1730.192047133291</v>
          </cell>
          <cell r="E39">
            <v>0</v>
          </cell>
          <cell r="F39">
            <v>568.1776190974831</v>
          </cell>
          <cell r="G39">
            <v>1711.712623485239</v>
          </cell>
          <cell r="H39">
            <v>1411.1861246349654</v>
          </cell>
          <cell r="I39">
            <v>288.36534118888187</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-163.02452898987548</v>
          </cell>
        </row>
        <row r="56">
          <cell r="D56">
            <v>-767.6282221604198</v>
          </cell>
          <cell r="E56">
            <v>-974.18899821035302</v>
          </cell>
          <cell r="F56">
            <v>-1650.8315993601529</v>
          </cell>
          <cell r="G56">
            <v>-1128.6689947358216</v>
          </cell>
          <cell r="H56">
            <v>-362.41393413528147</v>
          </cell>
          <cell r="I56">
            <v>0</v>
          </cell>
          <cell r="J56">
            <v>0</v>
          </cell>
          <cell r="K56">
            <v>-0.16814699999999999</v>
          </cell>
          <cell r="L56">
            <v>0</v>
          </cell>
          <cell r="M56">
            <v>-0.61653900000000006</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-4.0400000000000001E-9</v>
          </cell>
        </row>
        <row r="58">
          <cell r="D58">
            <v>962.5638249728712</v>
          </cell>
          <cell r="E58">
            <v>-11.625173237481818</v>
          </cell>
          <cell r="F58">
            <v>-1094.2791535001516</v>
          </cell>
          <cell r="G58">
            <v>-511.23552475073416</v>
          </cell>
          <cell r="H58">
            <v>537.53666574894964</v>
          </cell>
          <cell r="I58">
            <v>825.90200693783152</v>
          </cell>
          <cell r="J58">
            <v>825.90200693783152</v>
          </cell>
          <cell r="K58">
            <v>825.73385993783154</v>
          </cell>
          <cell r="L58">
            <v>825.73385993783154</v>
          </cell>
          <cell r="M58">
            <v>825.11732093783155</v>
          </cell>
          <cell r="N58">
            <v>825.11732093783155</v>
          </cell>
          <cell r="O58">
            <v>825.11732093783155</v>
          </cell>
          <cell r="P58">
            <v>825.11732093783155</v>
          </cell>
          <cell r="Q58">
            <v>825.11732093783155</v>
          </cell>
          <cell r="R58">
            <v>825.11732093783155</v>
          </cell>
          <cell r="S58">
            <v>825.11732093783155</v>
          </cell>
          <cell r="T58">
            <v>825.11732093783155</v>
          </cell>
          <cell r="U58">
            <v>825.11732093783155</v>
          </cell>
          <cell r="V58">
            <v>825.11732093783155</v>
          </cell>
          <cell r="W58">
            <v>825.11732093783155</v>
          </cell>
          <cell r="X58">
            <v>825.11732093783155</v>
          </cell>
          <cell r="Y58">
            <v>825.11732093783155</v>
          </cell>
          <cell r="Z58">
            <v>825.11732093783155</v>
          </cell>
          <cell r="AA58">
            <v>825.11732093783155</v>
          </cell>
          <cell r="AB58">
            <v>825.11732093783155</v>
          </cell>
          <cell r="AC58">
            <v>825.11732093783155</v>
          </cell>
          <cell r="AD58">
            <v>662.09279194391604</v>
          </cell>
        </row>
        <row r="61">
          <cell r="D61">
            <v>962.5638249728712</v>
          </cell>
          <cell r="E61">
            <v>254.53053020849541</v>
          </cell>
          <cell r="F61">
            <v>-292.44877143628497</v>
          </cell>
          <cell r="G61">
            <v>149.81697550795735</v>
          </cell>
          <cell r="H61">
            <v>681.71933634339052</v>
          </cell>
          <cell r="I61">
            <v>825.90200693783152</v>
          </cell>
          <cell r="J61">
            <v>825.90200693783152</v>
          </cell>
          <cell r="K61">
            <v>825.73385993783154</v>
          </cell>
          <cell r="L61">
            <v>825.73385993783154</v>
          </cell>
          <cell r="M61">
            <v>825.11732093783155</v>
          </cell>
          <cell r="N61">
            <v>825.11732093783155</v>
          </cell>
          <cell r="O61">
            <v>825.11732093783155</v>
          </cell>
          <cell r="P61">
            <v>825.11732093783155</v>
          </cell>
          <cell r="Q61">
            <v>825.11732093783155</v>
          </cell>
          <cell r="R61">
            <v>825.11732093783155</v>
          </cell>
          <cell r="S61">
            <v>825.11732093783155</v>
          </cell>
          <cell r="T61">
            <v>825.11732093783155</v>
          </cell>
          <cell r="U61">
            <v>825.11732093783155</v>
          </cell>
          <cell r="V61">
            <v>825.11732093783155</v>
          </cell>
          <cell r="W61">
            <v>825.11732093783155</v>
          </cell>
          <cell r="X61">
            <v>825.11732093783155</v>
          </cell>
          <cell r="Y61">
            <v>825.11732093783155</v>
          </cell>
          <cell r="Z61">
            <v>825.11732093783155</v>
          </cell>
          <cell r="AA61">
            <v>825.11732093783155</v>
          </cell>
          <cell r="AB61">
            <v>825.11732093783155</v>
          </cell>
          <cell r="AC61">
            <v>825.11732093783155</v>
          </cell>
          <cell r="AD61">
            <v>662.09279194391604</v>
          </cell>
        </row>
        <row r="95">
          <cell r="F95">
            <v>412.9</v>
          </cell>
          <cell r="G95">
            <v>367</v>
          </cell>
          <cell r="H95">
            <v>321.10000000000002</v>
          </cell>
          <cell r="I95">
            <v>232</v>
          </cell>
          <cell r="K95">
            <v>3.0149999999999997</v>
          </cell>
        </row>
        <row r="96">
          <cell r="F96">
            <v>404.6</v>
          </cell>
          <cell r="G96">
            <v>358.70000000000005</v>
          </cell>
          <cell r="H96">
            <v>312.8</v>
          </cell>
          <cell r="I96">
            <v>223.7</v>
          </cell>
        </row>
        <row r="97">
          <cell r="F97">
            <v>396.3</v>
          </cell>
          <cell r="G97">
            <v>350.4</v>
          </cell>
          <cell r="H97">
            <v>304.5</v>
          </cell>
          <cell r="I97">
            <v>215.3</v>
          </cell>
        </row>
        <row r="98">
          <cell r="H98">
            <v>5339</v>
          </cell>
          <cell r="I98">
            <v>7.0000000000000007E-2</v>
          </cell>
        </row>
        <row r="99">
          <cell r="F99" t="str">
            <v>Localizacion Dato</v>
          </cell>
          <cell r="H99">
            <v>404.642</v>
          </cell>
          <cell r="I99">
            <v>404.642</v>
          </cell>
        </row>
        <row r="103">
          <cell r="F103">
            <v>30</v>
          </cell>
          <cell r="G103">
            <v>45</v>
          </cell>
          <cell r="H103">
            <v>60</v>
          </cell>
          <cell r="I103">
            <v>90</v>
          </cell>
        </row>
        <row r="104">
          <cell r="F104">
            <v>146.9</v>
          </cell>
          <cell r="G104">
            <v>119.85</v>
          </cell>
          <cell r="H104">
            <v>92.8</v>
          </cell>
          <cell r="I104">
            <v>40.4</v>
          </cell>
        </row>
        <row r="105">
          <cell r="F105">
            <v>412.9</v>
          </cell>
          <cell r="G105">
            <v>367</v>
          </cell>
          <cell r="H105">
            <v>321.10000000000002</v>
          </cell>
          <cell r="I105">
            <v>232</v>
          </cell>
        </row>
        <row r="106">
          <cell r="F106">
            <v>487.4</v>
          </cell>
          <cell r="G106">
            <v>457.25</v>
          </cell>
          <cell r="H106">
            <v>427.1</v>
          </cell>
          <cell r="I106">
            <v>368.5</v>
          </cell>
        </row>
        <row r="109">
          <cell r="G109">
            <v>0</v>
          </cell>
          <cell r="H109">
            <v>3752.1</v>
          </cell>
        </row>
        <row r="110">
          <cell r="G110">
            <v>7.0000000000000007E-2</v>
          </cell>
          <cell r="H110">
            <v>5339</v>
          </cell>
        </row>
        <row r="111">
          <cell r="G111">
            <v>0.1</v>
          </cell>
          <cell r="H111">
            <v>4193.5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Desgaste"/>
      <sheetName val="Microdeval "/>
      <sheetName val="10% De Finos"/>
      <sheetName val=" HUMEDAD"/>
      <sheetName val="Gradacion "/>
      <sheetName val="Lavado tamiz N°200 "/>
      <sheetName val="HUMEDAD "/>
      <sheetName val="Solidez"/>
      <sheetName val="LIMITES  "/>
      <sheetName val="EQUIVALENTE "/>
      <sheetName val="TERRONES DE ARCILLA "/>
      <sheetName val="INV 222-13 "/>
      <sheetName val="GRAVEDAD"/>
      <sheetName val="COLORIMETRIA"/>
      <sheetName val="CF - IF "/>
      <sheetName val="ANGULARIDAD"/>
      <sheetName val="PROCTOR"/>
      <sheetName val=" CBR 1"/>
      <sheetName val=" CBR (2)"/>
      <sheetName val="firmas"/>
      <sheetName val="Hoja1"/>
    </sheetNames>
    <sheetDataSet>
      <sheetData sheetId="0"/>
      <sheetData sheetId="1" refreshError="1"/>
      <sheetData sheetId="2" refreshError="1"/>
      <sheetData sheetId="3" refreshError="1"/>
      <sheetData sheetId="4" refreshError="1"/>
      <sheetData sheetId="5">
        <row r="14">
          <cell r="AC14" t="str">
            <v/>
          </cell>
        </row>
      </sheetData>
      <sheetData sheetId="6"/>
      <sheetData sheetId="7" refreshError="1"/>
      <sheetData sheetId="8" refreshError="1"/>
      <sheetData sheetId="9" refreshError="1"/>
      <sheetData sheetId="10" refreshError="1"/>
      <sheetData sheetId="11" refreshError="1"/>
      <sheetData sheetId="12">
        <row r="45">
          <cell r="AA45" t="str">
            <v>--</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ow r="28">
          <cell r="A28" t="str">
            <v>RINCON SATURNINO</v>
          </cell>
          <cell r="C28">
            <v>1</v>
          </cell>
        </row>
        <row r="29">
          <cell r="A29" t="str">
            <v xml:space="preserve">VARGAS PABLO </v>
          </cell>
        </row>
        <row r="30">
          <cell r="A30" t="str">
            <v>--</v>
          </cell>
          <cell r="C30">
            <v>1</v>
          </cell>
        </row>
        <row r="31">
          <cell r="A31" t="str">
            <v>--</v>
          </cell>
        </row>
        <row r="33">
          <cell r="A33" t="str">
            <v xml:space="preserve">VARGAS PABLO </v>
          </cell>
        </row>
        <row r="34">
          <cell r="A34" t="str">
            <v xml:space="preserve">CONTRERAS WILINTONG </v>
          </cell>
        </row>
        <row r="35">
          <cell r="A35" t="str">
            <v>--</v>
          </cell>
        </row>
      </sheetData>
      <sheetData sheetId="2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gaste"/>
      <sheetName val="Microdeval "/>
      <sheetName val="10% De Finos"/>
      <sheetName val=" HUMEDAD"/>
      <sheetName val="Lavado tamiz N°200"/>
      <sheetName val="CF - IF "/>
      <sheetName val="ANGULARIDAD"/>
      <sheetName val="PROCTOR"/>
      <sheetName val=" CBR 1"/>
      <sheetName val=" CBR (2)"/>
      <sheetName val="firmas"/>
      <sheetName val="Hoja1"/>
      <sheetName val="Lavado tamiz N°200 "/>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RINCON SATURNINO</v>
          </cell>
          <cell r="C28">
            <v>1</v>
          </cell>
        </row>
        <row r="29">
          <cell r="A29" t="str">
            <v xml:space="preserve">VARGAS PABLO </v>
          </cell>
        </row>
        <row r="30">
          <cell r="A30" t="str">
            <v>--</v>
          </cell>
          <cell r="C30">
            <v>1</v>
          </cell>
        </row>
        <row r="31">
          <cell r="A31" t="str">
            <v>--</v>
          </cell>
        </row>
        <row r="33">
          <cell r="A33" t="str">
            <v xml:space="preserve">VARGAS PABLO </v>
          </cell>
        </row>
        <row r="34">
          <cell r="A34" t="str">
            <v xml:space="preserve">CONTRERAS WILINTONG </v>
          </cell>
        </row>
        <row r="35">
          <cell r="A35" t="str">
            <v>--</v>
          </cell>
        </row>
      </sheetData>
      <sheetData sheetId="11" refreshError="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RESUMEN BG"/>
      <sheetName val="Gradacion "/>
      <sheetName val="HUMEDAD "/>
      <sheetName val="Solidez"/>
      <sheetName val="A"/>
      <sheetName val="ANGULARIDAD"/>
      <sheetName val="INV 222-13"/>
      <sheetName val="GRAVEDAD"/>
      <sheetName val="Desgaste"/>
      <sheetName val="Microdeval "/>
      <sheetName val="10% De Finos"/>
      <sheetName val="LIMITES"/>
      <sheetName val="EQUIVALENTE"/>
      <sheetName val="TERRONES DE ARCILLA"/>
      <sheetName val="CF - IF "/>
      <sheetName val="PROCTOR"/>
      <sheetName val=" CBR 1"/>
      <sheetName val=" CBR (2)"/>
      <sheetName val="firmas"/>
      <sheetName val="Hoja1"/>
    </sheetNames>
    <sheetDataSet>
      <sheetData sheetId="0">
        <row r="46">
          <cell r="G46" t="str">
            <v>--</v>
          </cell>
          <cell r="P46" t="str">
            <v>--</v>
          </cell>
          <cell r="V46" t="str">
            <v>--</v>
          </cell>
        </row>
      </sheetData>
      <sheetData sheetId="1" refreshError="1"/>
      <sheetData sheetId="2"/>
      <sheetData sheetId="3" refreshError="1"/>
      <sheetData sheetId="4" refreshError="1"/>
      <sheetData sheetId="5" refreshError="1"/>
      <sheetData sheetId="6">
        <row r="29">
          <cell r="L29" t="str">
            <v>--</v>
          </cell>
          <cell r="W29" t="str">
            <v>--</v>
          </cell>
          <cell r="AK29" t="str">
            <v>--</v>
          </cell>
        </row>
        <row r="30">
          <cell r="W30" t="str">
            <v/>
          </cell>
        </row>
      </sheetData>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7">
          <cell r="A17" t="str">
            <v>GALVIS DANIEL</v>
          </cell>
        </row>
        <row r="18">
          <cell r="A18" t="str">
            <v>GOMEZ LUIS CARLOS</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RINCON SATURNINO</v>
          </cell>
        </row>
        <row r="30">
          <cell r="C30">
            <v>1</v>
          </cell>
        </row>
        <row r="31">
          <cell r="A31" t="str">
            <v>--</v>
          </cell>
        </row>
        <row r="33">
          <cell r="A33" t="str">
            <v xml:space="preserve">VARGAS PABLO </v>
          </cell>
        </row>
        <row r="34">
          <cell r="A34" t="str">
            <v>RIVERA MERCY</v>
          </cell>
        </row>
        <row r="35">
          <cell r="A35" t="str">
            <v>--</v>
          </cell>
        </row>
      </sheetData>
      <sheetData sheetId="2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Desgaste"/>
      <sheetName val="Microdeval "/>
      <sheetName val="10% De Finos"/>
      <sheetName val=" HUMEDAD"/>
      <sheetName val="HUMEDAD"/>
      <sheetName val="Solidez"/>
      <sheetName val="LIMITES"/>
      <sheetName val="EQUIVALENTE"/>
      <sheetName val="TERRONES DE ARCILLA"/>
      <sheetName val="Lavado tamiz N°200"/>
      <sheetName val="INV 222-13"/>
      <sheetName val="GRAVEDAD"/>
      <sheetName val="COLORIMETRIA"/>
      <sheetName val="CF - IF "/>
      <sheetName val="ANGULARIDAD"/>
      <sheetName val="PROCTOR"/>
      <sheetName val=" CBR 1"/>
      <sheetName val=" CBR (2)"/>
      <sheetName val="1. Encabezado"/>
      <sheetName val="RESUMEN BG"/>
      <sheetName val="Formato "/>
      <sheetName val="firma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row r="2">
          <cell r="A2" t="str">
            <v>CHAPARRO CARLOS</v>
          </cell>
          <cell r="C2">
            <v>2</v>
          </cell>
        </row>
        <row r="3">
          <cell r="A3" t="str">
            <v>CORDOBA ALEXANDER</v>
          </cell>
          <cell r="C3">
            <v>3</v>
          </cell>
        </row>
        <row r="4">
          <cell r="A4" t="str">
            <v>CRISTANCHO VICTOR</v>
          </cell>
          <cell r="C4">
            <v>7</v>
          </cell>
        </row>
        <row r="5">
          <cell r="A5" t="str">
            <v>DIAZ CESAR</v>
          </cell>
          <cell r="C5">
            <v>0</v>
          </cell>
        </row>
        <row r="6">
          <cell r="A6" t="str">
            <v>FLOREZ KAREN</v>
          </cell>
          <cell r="C6">
            <v>6</v>
          </cell>
        </row>
        <row r="7">
          <cell r="A7" t="str">
            <v>GALVIS DAVID</v>
          </cell>
          <cell r="C7">
            <v>4</v>
          </cell>
        </row>
        <row r="8">
          <cell r="A8" t="str">
            <v>OSPINA JUAN GABRIEL</v>
          </cell>
        </row>
        <row r="9">
          <cell r="A9" t="str">
            <v>SUAREZ  WILLIAM</v>
          </cell>
          <cell r="C9">
            <v>9</v>
          </cell>
        </row>
        <row r="10">
          <cell r="A10" t="str">
            <v>YARA FABIAN</v>
          </cell>
        </row>
        <row r="11">
          <cell r="A11" t="str">
            <v>RINCON SATURNINO</v>
          </cell>
          <cell r="C11">
            <v>1</v>
          </cell>
        </row>
        <row r="12">
          <cell r="A12" t="str">
            <v>ACHIARDI LEONARDO</v>
          </cell>
          <cell r="C12">
            <v>0</v>
          </cell>
        </row>
        <row r="13">
          <cell r="A13" t="str">
            <v>SAENZ JESSICA</v>
          </cell>
          <cell r="C13">
            <v>0</v>
          </cell>
        </row>
        <row r="14">
          <cell r="A14" t="str">
            <v>PRADA CESAR</v>
          </cell>
          <cell r="C14">
            <v>0</v>
          </cell>
        </row>
        <row r="15">
          <cell r="A15" t="str">
            <v xml:space="preserve">VARGAS JUAN </v>
          </cell>
          <cell r="C15">
            <v>0</v>
          </cell>
        </row>
        <row r="16">
          <cell r="A16" t="str">
            <v>CANO LUIS EDUARDO</v>
          </cell>
          <cell r="C16">
            <v>0</v>
          </cell>
        </row>
        <row r="17">
          <cell r="A17" t="str">
            <v xml:space="preserve">RIAÑO JOSE </v>
          </cell>
          <cell r="C17">
            <v>0</v>
          </cell>
        </row>
        <row r="18">
          <cell r="A18" t="str">
            <v>GALVIS DANIEL</v>
          </cell>
        </row>
        <row r="19">
          <cell r="A19" t="str">
            <v>GOMEZ LUIS CARLOS</v>
          </cell>
          <cell r="C19">
            <v>0</v>
          </cell>
        </row>
        <row r="20">
          <cell r="A20" t="str">
            <v xml:space="preserve">VELASQUEZ JUAN CAMILO </v>
          </cell>
          <cell r="C20">
            <v>0</v>
          </cell>
        </row>
        <row r="21">
          <cell r="A21" t="str">
            <v xml:space="preserve">QUIÑONES ETIEL </v>
          </cell>
          <cell r="C21">
            <v>0</v>
          </cell>
        </row>
        <row r="22">
          <cell r="A22" t="str">
            <v>VANEGAS BRAYAN</v>
          </cell>
          <cell r="C22">
            <v>0</v>
          </cell>
        </row>
        <row r="23">
          <cell r="A23" t="str">
            <v>RIOS JOSE</v>
          </cell>
        </row>
        <row r="24">
          <cell r="A24" t="str">
            <v xml:space="preserve">VAQUIRO JUAN CAMILO </v>
          </cell>
        </row>
        <row r="25">
          <cell r="A25" t="str">
            <v xml:space="preserve">RINCON ALVARO JOSE </v>
          </cell>
        </row>
        <row r="26">
          <cell r="A26" t="str">
            <v>VILLALBA ROBINSSON</v>
          </cell>
          <cell r="C26">
            <v>0</v>
          </cell>
        </row>
        <row r="27">
          <cell r="A27" t="str">
            <v>JUNCO DIEGO</v>
          </cell>
          <cell r="C27">
            <v>0</v>
          </cell>
        </row>
        <row r="28">
          <cell r="A28" t="str">
            <v>GONZALEZ CAMILO</v>
          </cell>
          <cell r="C28">
            <v>0</v>
          </cell>
        </row>
        <row r="29">
          <cell r="A29" t="str">
            <v>MONTENEGRO EDGAR</v>
          </cell>
          <cell r="C29">
            <v>0</v>
          </cell>
        </row>
        <row r="30">
          <cell r="A30" t="str">
            <v>PRADA PEDRO</v>
          </cell>
          <cell r="C30">
            <v>0</v>
          </cell>
        </row>
        <row r="31">
          <cell r="A31" t="str">
            <v>SUAREZ DIEGO</v>
          </cell>
          <cell r="C31">
            <v>0</v>
          </cell>
        </row>
        <row r="32">
          <cell r="A32" t="str">
            <v>--</v>
          </cell>
          <cell r="C32">
            <v>0</v>
          </cell>
        </row>
        <row r="34">
          <cell r="A34" t="str">
            <v>RINCON SATURNINO</v>
          </cell>
          <cell r="C34">
            <v>1</v>
          </cell>
        </row>
        <row r="35">
          <cell r="A35" t="str">
            <v>JENNYFER ARIAS</v>
          </cell>
          <cell r="C35">
            <v>0</v>
          </cell>
        </row>
        <row r="36">
          <cell r="A36">
            <v>0</v>
          </cell>
          <cell r="C36">
            <v>1</v>
          </cell>
        </row>
        <row r="37">
          <cell r="A37" t="str">
            <v>--</v>
          </cell>
          <cell r="C37">
            <v>0</v>
          </cell>
        </row>
        <row r="39">
          <cell r="A39" t="str">
            <v>CINDY NATHALY SASTOQUE</v>
          </cell>
          <cell r="C39">
            <v>0</v>
          </cell>
        </row>
        <row r="40">
          <cell r="A40" t="str">
            <v>CONTRERAS WILINTONG</v>
          </cell>
          <cell r="C40">
            <v>0</v>
          </cell>
        </row>
        <row r="41">
          <cell r="A41" t="str">
            <v>--</v>
          </cell>
          <cell r="C41">
            <v>0</v>
          </cell>
        </row>
      </sheetData>
      <sheetData sheetId="2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CONCENCIONES USC"/>
      <sheetName val="1. PERFIL ESTRATIGRAFICO"/>
      <sheetName val="2. REG FOTOGRAFICO"/>
      <sheetName val="3. CONO DINAMICO"/>
      <sheetName val="firmas"/>
      <sheetName val="4. CLASIFICACION M1"/>
      <sheetName val="5. LIMITES M1"/>
      <sheetName val="5. LIMITES "/>
      <sheetName val="6. HUMEDAD M1"/>
      <sheetName val="6. HUMEDAD "/>
      <sheetName val="7. EQUIVALENTE M1"/>
      <sheetName val="7. M.O. M1"/>
      <sheetName val="8. CLASIFICACION M2"/>
      <sheetName val="9. LIMITES M2"/>
      <sheetName val="9. LIMITES  (M2)"/>
      <sheetName val="10. HUMEDAD M2"/>
      <sheetName val="10. HUMEDAD  (M2)"/>
      <sheetName val="11. EQUIVALENTE M2"/>
      <sheetName val="11. M.O.  M2"/>
      <sheetName val="12. CLASIFICACION M3"/>
      <sheetName val="13. LIMITES M3"/>
      <sheetName val="13. LIMITES  (M3)"/>
      <sheetName val="14. HUMEDAD M3"/>
      <sheetName val="14. HUMEDAD  (M3)"/>
      <sheetName val="15. EQUIVALENTE M3"/>
      <sheetName val="15. M.O.  M3"/>
    </sheetNames>
    <sheetDataSet>
      <sheetData sheetId="0" refreshError="1"/>
      <sheetData sheetId="1" refreshError="1"/>
      <sheetData sheetId="2">
        <row r="56">
          <cell r="A56" t="str">
            <v>--</v>
          </cell>
        </row>
      </sheetData>
      <sheetData sheetId="3" refreshError="1"/>
      <sheetData sheetId="4">
        <row r="32">
          <cell r="A32" t="str">
            <v>--</v>
          </cell>
        </row>
        <row r="39">
          <cell r="A39" t="str">
            <v>CINDY NATHALY SASTOQUE</v>
          </cell>
          <cell r="C39">
            <v>0</v>
          </cell>
        </row>
        <row r="40">
          <cell r="A40" t="str">
            <v>CONTRERAS WILINTONG</v>
          </cell>
          <cell r="C40">
            <v>0</v>
          </cell>
        </row>
        <row r="41">
          <cell r="A41" t="str">
            <v>--</v>
          </cell>
        </row>
      </sheetData>
      <sheetData sheetId="5">
        <row r="48">
          <cell r="J48" t="str">
            <v>--</v>
          </cell>
          <cell r="K48">
            <v>0</v>
          </cell>
          <cell r="L48">
            <v>0</v>
          </cell>
          <cell r="M48">
            <v>0</v>
          </cell>
          <cell r="N48">
            <v>0</v>
          </cell>
          <cell r="O48">
            <v>0</v>
          </cell>
          <cell r="P48">
            <v>0</v>
          </cell>
        </row>
      </sheetData>
      <sheetData sheetId="6" refreshError="1"/>
      <sheetData sheetId="7" refreshError="1"/>
      <sheetData sheetId="8" refreshError="1"/>
      <sheetData sheetId="9" refreshError="1"/>
      <sheetData sheetId="10" refreshError="1"/>
      <sheetData sheetId="11" refreshError="1"/>
      <sheetData sheetId="12">
        <row r="48">
          <cell r="J48" t="str">
            <v>--</v>
          </cell>
          <cell r="K48">
            <v>0</v>
          </cell>
          <cell r="L48">
            <v>0</v>
          </cell>
          <cell r="M48">
            <v>0</v>
          </cell>
          <cell r="N48">
            <v>0</v>
          </cell>
          <cell r="O48">
            <v>0</v>
          </cell>
          <cell r="P48">
            <v>0</v>
          </cell>
        </row>
      </sheetData>
      <sheetData sheetId="13" refreshError="1"/>
      <sheetData sheetId="14" refreshError="1"/>
      <sheetData sheetId="15" refreshError="1"/>
      <sheetData sheetId="16" refreshError="1"/>
      <sheetData sheetId="17" refreshError="1"/>
      <sheetData sheetId="18" refreshError="1"/>
      <sheetData sheetId="19">
        <row r="48">
          <cell r="J48" t="str">
            <v>--</v>
          </cell>
          <cell r="K48">
            <v>0</v>
          </cell>
          <cell r="L48">
            <v>0</v>
          </cell>
          <cell r="M48">
            <v>0</v>
          </cell>
          <cell r="N48">
            <v>0</v>
          </cell>
          <cell r="O48">
            <v>0</v>
          </cell>
          <cell r="P48">
            <v>0</v>
          </cell>
        </row>
      </sheetData>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CIONES USC"/>
      <sheetName val="PERFIL ESTRATIGRAFICO"/>
      <sheetName val="REG FOTOGRAFICO"/>
      <sheetName val="CONO DINAMICO"/>
      <sheetName val="CLASIFICACION M1"/>
      <sheetName val="LIMITES M1"/>
      <sheetName val="HUMEDAD M1"/>
      <sheetName val="EQUIVALENTE"/>
      <sheetName val="M.O.  M1"/>
      <sheetName val="CLASIFICACION M2"/>
      <sheetName val="LIMITES M2"/>
      <sheetName val="HUMEDAD 2"/>
      <sheetName val="EQUIVALENTE M2"/>
      <sheetName val="M.O.  M2"/>
      <sheetName val="CLASIFICACION M3"/>
      <sheetName val="LIMITES M3"/>
      <sheetName val="HUMEDAD 3"/>
      <sheetName val="EQUIVALENTE M3"/>
      <sheetName val="M.O.  M3"/>
      <sheetName val="firmas"/>
      <sheetName val="#¡REF"/>
    </sheetNames>
    <sheetDataSet>
      <sheetData sheetId="0"/>
      <sheetData sheetId="1"/>
      <sheetData sheetId="2"/>
      <sheetData sheetId="3"/>
      <sheetData sheetId="4"/>
      <sheetData sheetId="5">
        <row r="24">
          <cell r="G24" t="str">
            <v/>
          </cell>
        </row>
      </sheetData>
      <sheetData sheetId="6">
        <row r="26">
          <cell r="H26" t="str">
            <v/>
          </cell>
        </row>
      </sheetData>
      <sheetData sheetId="7">
        <row r="23">
          <cell r="G23" t="str">
            <v/>
          </cell>
        </row>
      </sheetData>
      <sheetData sheetId="8">
        <row r="29">
          <cell r="C29" t="str">
            <v>--</v>
          </cell>
        </row>
      </sheetData>
      <sheetData sheetId="9">
        <row r="30">
          <cell r="E30" t="str">
            <v/>
          </cell>
        </row>
      </sheetData>
      <sheetData sheetId="10">
        <row r="24">
          <cell r="G24" t="str">
            <v/>
          </cell>
        </row>
      </sheetData>
      <sheetData sheetId="11">
        <row r="26">
          <cell r="H26" t="str">
            <v/>
          </cell>
        </row>
      </sheetData>
      <sheetData sheetId="12"/>
      <sheetData sheetId="13">
        <row r="23">
          <cell r="F23" t="str">
            <v/>
          </cell>
        </row>
        <row r="29">
          <cell r="C29" t="str">
            <v>--</v>
          </cell>
          <cell r="D29">
            <v>0</v>
          </cell>
          <cell r="E29">
            <v>0</v>
          </cell>
          <cell r="F29" t="str">
            <v>--</v>
          </cell>
          <cell r="G29">
            <v>0</v>
          </cell>
          <cell r="H29">
            <v>0</v>
          </cell>
          <cell r="I29" t="str">
            <v>--</v>
          </cell>
          <cell r="J29">
            <v>0</v>
          </cell>
          <cell r="K29">
            <v>0</v>
          </cell>
          <cell r="L29">
            <v>0</v>
          </cell>
          <cell r="M29">
            <v>0</v>
          </cell>
          <cell r="N29">
            <v>0</v>
          </cell>
          <cell r="O29">
            <v>0</v>
          </cell>
        </row>
      </sheetData>
      <sheetData sheetId="14">
        <row r="30">
          <cell r="E30" t="str">
            <v/>
          </cell>
        </row>
      </sheetData>
      <sheetData sheetId="15">
        <row r="24">
          <cell r="G24" t="str">
            <v/>
          </cell>
        </row>
        <row r="52">
          <cell r="C52" t="str">
            <v>--</v>
          </cell>
          <cell r="D52">
            <v>0</v>
          </cell>
          <cell r="E52">
            <v>0</v>
          </cell>
        </row>
      </sheetData>
      <sheetData sheetId="16">
        <row r="26">
          <cell r="H26" t="str">
            <v/>
          </cell>
        </row>
      </sheetData>
      <sheetData sheetId="17"/>
      <sheetData sheetId="18">
        <row r="23">
          <cell r="F23" t="str">
            <v/>
          </cell>
        </row>
        <row r="29">
          <cell r="C29" t="str">
            <v>--</v>
          </cell>
          <cell r="D29">
            <v>0</v>
          </cell>
          <cell r="E29">
            <v>0</v>
          </cell>
          <cell r="F29" t="str">
            <v>--</v>
          </cell>
          <cell r="G29">
            <v>0</v>
          </cell>
          <cell r="H29">
            <v>0</v>
          </cell>
          <cell r="I29" t="str">
            <v>--</v>
          </cell>
          <cell r="J29">
            <v>0</v>
          </cell>
          <cell r="K29">
            <v>0</v>
          </cell>
          <cell r="L29">
            <v>0</v>
          </cell>
          <cell r="M29">
            <v>0</v>
          </cell>
          <cell r="N29">
            <v>0</v>
          </cell>
          <cell r="O29">
            <v>0</v>
          </cell>
        </row>
      </sheetData>
      <sheetData sheetId="19">
        <row r="2">
          <cell r="A2" t="str">
            <v>CHAPARRO CARLOS</v>
          </cell>
          <cell r="C2">
            <v>2</v>
          </cell>
        </row>
        <row r="3">
          <cell r="A3" t="str">
            <v>CORDOBA ALEXANDER</v>
          </cell>
          <cell r="C3">
            <v>3</v>
          </cell>
        </row>
        <row r="4">
          <cell r="A4" t="str">
            <v>CRISTANCHO VICTOR</v>
          </cell>
          <cell r="C4">
            <v>7</v>
          </cell>
        </row>
        <row r="5">
          <cell r="A5" t="str">
            <v>DIAZ CESAR</v>
          </cell>
          <cell r="C5">
            <v>0</v>
          </cell>
        </row>
        <row r="6">
          <cell r="A6" t="str">
            <v>FLOREZ KAREN</v>
          </cell>
          <cell r="C6">
            <v>6</v>
          </cell>
        </row>
        <row r="7">
          <cell r="A7" t="str">
            <v>GALVIS DAVID</v>
          </cell>
          <cell r="C7">
            <v>4</v>
          </cell>
        </row>
        <row r="8">
          <cell r="A8" t="str">
            <v>ACHIARDI LEONARDO</v>
          </cell>
          <cell r="C8">
            <v>8</v>
          </cell>
        </row>
        <row r="9">
          <cell r="A9" t="str">
            <v>OSPINA JUAN GABRIEL</v>
          </cell>
          <cell r="C9">
            <v>0</v>
          </cell>
        </row>
        <row r="10">
          <cell r="A10" t="str">
            <v>SUAREZ  WILLIAM</v>
          </cell>
          <cell r="C10">
            <v>9</v>
          </cell>
        </row>
        <row r="11">
          <cell r="A11" t="str">
            <v>YARA FABIAN</v>
          </cell>
          <cell r="C11">
            <v>0</v>
          </cell>
        </row>
        <row r="12">
          <cell r="A12" t="str">
            <v>RINCON SATURNINO</v>
          </cell>
          <cell r="C12">
            <v>1</v>
          </cell>
        </row>
        <row r="13">
          <cell r="A13" t="str">
            <v>ALBARRACIN JAIRO</v>
          </cell>
          <cell r="C13">
            <v>0</v>
          </cell>
        </row>
        <row r="14">
          <cell r="A14" t="str">
            <v>GOMEZ LUIS CARLOS</v>
          </cell>
          <cell r="C14">
            <v>0</v>
          </cell>
        </row>
        <row r="15">
          <cell r="A15" t="str">
            <v>ALMONACID JIMMY</v>
          </cell>
          <cell r="C15">
            <v>0</v>
          </cell>
        </row>
        <row r="16">
          <cell r="A16" t="str">
            <v>CANO LUIS EDUARDO</v>
          </cell>
          <cell r="C16">
            <v>0</v>
          </cell>
        </row>
        <row r="17">
          <cell r="A17" t="str">
            <v>MONTENEGRO YON</v>
          </cell>
          <cell r="C17">
            <v>0</v>
          </cell>
        </row>
        <row r="18">
          <cell r="A18" t="str">
            <v>VILLANUEVA BRAYAN</v>
          </cell>
          <cell r="C18">
            <v>0</v>
          </cell>
        </row>
        <row r="19">
          <cell r="A19" t="str">
            <v>RINCON JOSE</v>
          </cell>
          <cell r="C19">
            <v>0</v>
          </cell>
        </row>
        <row r="20">
          <cell r="A20" t="str">
            <v xml:space="preserve">VELASQUEZ JUAN </v>
          </cell>
          <cell r="C20">
            <v>0</v>
          </cell>
        </row>
        <row r="21">
          <cell r="A21" t="str">
            <v xml:space="preserve">VAQUIRO JUAN  CAMILO </v>
          </cell>
          <cell r="C21">
            <v>0</v>
          </cell>
        </row>
        <row r="22">
          <cell r="A22" t="str">
            <v xml:space="preserve">RIOS JOSE </v>
          </cell>
          <cell r="C22">
            <v>0</v>
          </cell>
        </row>
        <row r="23">
          <cell r="A23">
            <v>0</v>
          </cell>
          <cell r="C23">
            <v>0</v>
          </cell>
        </row>
        <row r="24">
          <cell r="A24" t="str">
            <v>--</v>
          </cell>
          <cell r="C24">
            <v>0</v>
          </cell>
        </row>
        <row r="26">
          <cell r="A26" t="str">
            <v>ARIAS JENNIFER</v>
          </cell>
          <cell r="C26">
            <v>0</v>
          </cell>
        </row>
        <row r="27">
          <cell r="A27" t="str">
            <v xml:space="preserve">VARGAS PABLO </v>
          </cell>
          <cell r="C27">
            <v>0</v>
          </cell>
        </row>
        <row r="28">
          <cell r="A28" t="str">
            <v>--</v>
          </cell>
          <cell r="C28">
            <v>1</v>
          </cell>
        </row>
        <row r="29">
          <cell r="A29" t="str">
            <v>--</v>
          </cell>
          <cell r="C29">
            <v>0</v>
          </cell>
        </row>
        <row r="31">
          <cell r="A31" t="str">
            <v xml:space="preserve">VARGAS PABLO </v>
          </cell>
          <cell r="C31">
            <v>0</v>
          </cell>
        </row>
        <row r="32">
          <cell r="A32" t="str">
            <v>CONTRERAS WILINTONG</v>
          </cell>
          <cell r="C32">
            <v>0</v>
          </cell>
        </row>
        <row r="33">
          <cell r="A33" t="str">
            <v>--</v>
          </cell>
          <cell r="C33">
            <v>0</v>
          </cell>
        </row>
      </sheetData>
      <sheetData sheetId="2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Gradacion "/>
      <sheetName val="Desgaste"/>
      <sheetName val="Microdeval "/>
      <sheetName val="10% De Finos"/>
      <sheetName val=" HUMEDAD"/>
      <sheetName val="HUMEDAD"/>
      <sheetName val="Solidez"/>
      <sheetName val="LIMITES"/>
      <sheetName val="EQUIVALENTE"/>
      <sheetName val="TERRONES DE ARCILLA"/>
      <sheetName val="Lavado tamiz N°200"/>
      <sheetName val="INV 222-13"/>
      <sheetName val="GRAVEDAD"/>
      <sheetName val="COLORIMETRIA"/>
      <sheetName val="CF - IF "/>
      <sheetName val="ANGULARIDAD"/>
      <sheetName val="PROCTOR"/>
      <sheetName val=" CBR 1"/>
      <sheetName val=" CBR (2)"/>
      <sheetName val="firmas"/>
      <sheetName val="Hoja1"/>
    </sheetNames>
    <sheetDataSet>
      <sheetData sheetId="0">
        <row r="50">
          <cell r="G50" t="str">
            <v>--</v>
          </cell>
          <cell r="H50">
            <v>0</v>
          </cell>
          <cell r="I50">
            <v>0</v>
          </cell>
          <cell r="J50">
            <v>0</v>
          </cell>
          <cell r="K50">
            <v>0</v>
          </cell>
          <cell r="L50">
            <v>0</v>
          </cell>
          <cell r="M50">
            <v>0</v>
          </cell>
          <cell r="N50">
            <v>0</v>
          </cell>
          <cell r="O50">
            <v>0</v>
          </cell>
          <cell r="P50" t="str">
            <v>--</v>
          </cell>
          <cell r="Q50">
            <v>0</v>
          </cell>
          <cell r="R50">
            <v>0</v>
          </cell>
          <cell r="S50">
            <v>0</v>
          </cell>
          <cell r="T50">
            <v>0</v>
          </cell>
          <cell r="U50">
            <v>0</v>
          </cell>
          <cell r="V50" t="str">
            <v>--</v>
          </cell>
          <cell r="W50">
            <v>0</v>
          </cell>
          <cell r="X50">
            <v>0</v>
          </cell>
        </row>
      </sheetData>
      <sheetData sheetId="1">
        <row r="6">
          <cell r="E6">
            <v>0</v>
          </cell>
        </row>
      </sheetData>
      <sheetData sheetId="2">
        <row r="38">
          <cell r="F38" t="str">
            <v>--</v>
          </cell>
          <cell r="L38" t="str">
            <v>--</v>
          </cell>
          <cell r="T38" t="str">
            <v>--</v>
          </cell>
        </row>
      </sheetData>
      <sheetData sheetId="3">
        <row r="44">
          <cell r="I44" t="str">
            <v>--</v>
          </cell>
          <cell r="R44" t="str">
            <v>--</v>
          </cell>
          <cell r="AC44" t="str">
            <v>--</v>
          </cell>
        </row>
      </sheetData>
      <sheetData sheetId="4">
        <row r="23">
          <cell r="D23" t="str">
            <v>--</v>
          </cell>
          <cell r="E23">
            <v>0</v>
          </cell>
          <cell r="F23" t="str">
            <v>--</v>
          </cell>
          <cell r="I23" t="str">
            <v>--</v>
          </cell>
          <cell r="J23">
            <v>0</v>
          </cell>
          <cell r="K23">
            <v>0</v>
          </cell>
        </row>
      </sheetData>
      <sheetData sheetId="5"/>
      <sheetData sheetId="6"/>
      <sheetData sheetId="7">
        <row r="47">
          <cell r="H47" t="str">
            <v>--</v>
          </cell>
        </row>
      </sheetData>
      <sheetData sheetId="8">
        <row r="47">
          <cell r="C47" t="str">
            <v>--</v>
          </cell>
        </row>
      </sheetData>
      <sheetData sheetId="9">
        <row r="29">
          <cell r="D29" t="str">
            <v>--</v>
          </cell>
          <cell r="G29" t="str">
            <v>--</v>
          </cell>
          <cell r="J29" t="str">
            <v>--</v>
          </cell>
        </row>
      </sheetData>
      <sheetData sheetId="10">
        <row r="27">
          <cell r="C27" t="str">
            <v>--</v>
          </cell>
        </row>
      </sheetData>
      <sheetData sheetId="11"/>
      <sheetData sheetId="12"/>
      <sheetData sheetId="13"/>
      <sheetData sheetId="14">
        <row r="31">
          <cell r="D31" t="str">
            <v>--</v>
          </cell>
          <cell r="G31" t="str">
            <v>--</v>
          </cell>
          <cell r="J31" t="str">
            <v>--</v>
          </cell>
        </row>
      </sheetData>
      <sheetData sheetId="15"/>
      <sheetData sheetId="16">
        <row r="29">
          <cell r="L29" t="str">
            <v>--</v>
          </cell>
        </row>
      </sheetData>
      <sheetData sheetId="17">
        <row r="42">
          <cell r="C42" t="str">
            <v>--</v>
          </cell>
          <cell r="F42" t="str">
            <v>--</v>
          </cell>
          <cell r="I42" t="str">
            <v>--</v>
          </cell>
        </row>
      </sheetData>
      <sheetData sheetId="18">
        <row r="55">
          <cell r="AL55" t="str">
            <v>--</v>
          </cell>
          <cell r="AM55">
            <v>0</v>
          </cell>
          <cell r="AN55" t="str">
            <v>--</v>
          </cell>
          <cell r="AO55">
            <v>0</v>
          </cell>
          <cell r="AP55" t="str">
            <v>--</v>
          </cell>
          <cell r="AQ55">
            <v>0</v>
          </cell>
        </row>
      </sheetData>
      <sheetData sheetId="19">
        <row r="55">
          <cell r="C55" t="str">
            <v>--</v>
          </cell>
          <cell r="E55" t="str">
            <v>--</v>
          </cell>
          <cell r="F55">
            <v>0</v>
          </cell>
          <cell r="G55" t="str">
            <v>--</v>
          </cell>
          <cell r="H55">
            <v>0</v>
          </cell>
        </row>
      </sheetData>
      <sheetData sheetId="20">
        <row r="2">
          <cell r="A2" t="str">
            <v>CHAPARRO CARLOS</v>
          </cell>
          <cell r="C2">
            <v>2</v>
          </cell>
        </row>
        <row r="3">
          <cell r="A3" t="str">
            <v>CORDOBA ALEXANDER</v>
          </cell>
          <cell r="C3">
            <v>3</v>
          </cell>
        </row>
        <row r="4">
          <cell r="A4" t="str">
            <v>CRISTANCHO VICTOR</v>
          </cell>
          <cell r="C4">
            <v>7</v>
          </cell>
        </row>
        <row r="5">
          <cell r="A5" t="str">
            <v>DIAZ CESAR</v>
          </cell>
          <cell r="C5">
            <v>0</v>
          </cell>
        </row>
        <row r="6">
          <cell r="A6" t="str">
            <v>FLOREZ KAREN</v>
          </cell>
          <cell r="C6">
            <v>6</v>
          </cell>
        </row>
        <row r="7">
          <cell r="A7" t="str">
            <v>GALVIS DAVID</v>
          </cell>
          <cell r="C7">
            <v>4</v>
          </cell>
        </row>
        <row r="8">
          <cell r="A8" t="str">
            <v>ACHIARDI LEONARDO</v>
          </cell>
          <cell r="C8">
            <v>8</v>
          </cell>
        </row>
        <row r="9">
          <cell r="A9" t="str">
            <v>OSPINA JUAN GABRIEL</v>
          </cell>
          <cell r="C9">
            <v>0</v>
          </cell>
        </row>
        <row r="10">
          <cell r="A10" t="str">
            <v>SUAREZ  WILLIAM</v>
          </cell>
          <cell r="C10">
            <v>9</v>
          </cell>
        </row>
        <row r="11">
          <cell r="A11" t="str">
            <v>YARA FABIAN</v>
          </cell>
          <cell r="C11">
            <v>0</v>
          </cell>
        </row>
        <row r="12">
          <cell r="A12" t="str">
            <v>RINCON SATURNINO</v>
          </cell>
          <cell r="C12">
            <v>1</v>
          </cell>
        </row>
        <row r="13">
          <cell r="A13">
            <v>0</v>
          </cell>
          <cell r="C13">
            <v>0</v>
          </cell>
        </row>
        <row r="14">
          <cell r="A14" t="str">
            <v>ALBARRACIN JAIRO</v>
          </cell>
          <cell r="C14">
            <v>0</v>
          </cell>
        </row>
        <row r="15">
          <cell r="A15" t="str">
            <v>ALMONACID JIMMY</v>
          </cell>
          <cell r="C15">
            <v>0</v>
          </cell>
        </row>
        <row r="16">
          <cell r="A16" t="str">
            <v>CANO LUIS EDUARDO</v>
          </cell>
          <cell r="C16">
            <v>0</v>
          </cell>
        </row>
        <row r="17">
          <cell r="A17" t="str">
            <v>GALVIS DANIEL</v>
          </cell>
          <cell r="C17">
            <v>0</v>
          </cell>
        </row>
        <row r="18">
          <cell r="A18" t="str">
            <v>GOMEZ LUIS CARLOS</v>
          </cell>
          <cell r="C18">
            <v>0</v>
          </cell>
        </row>
        <row r="19">
          <cell r="A19" t="str">
            <v>FAJARDO HUGO</v>
          </cell>
          <cell r="C19">
            <v>0</v>
          </cell>
        </row>
        <row r="20">
          <cell r="A20" t="str">
            <v>PATIÑO MARLON</v>
          </cell>
          <cell r="C20">
            <v>0</v>
          </cell>
        </row>
        <row r="21">
          <cell r="A21" t="str">
            <v>PRIETO YULY PAOLA</v>
          </cell>
          <cell r="C21">
            <v>0</v>
          </cell>
        </row>
        <row r="22">
          <cell r="A22" t="str">
            <v>SASTOQUE CINDY</v>
          </cell>
          <cell r="C22">
            <v>0</v>
          </cell>
        </row>
        <row r="23">
          <cell r="A23" t="str">
            <v>TEUTA DIEGO</v>
          </cell>
          <cell r="C23">
            <v>0</v>
          </cell>
        </row>
        <row r="24">
          <cell r="A24" t="str">
            <v>VARGAS RODOLFO</v>
          </cell>
          <cell r="C24">
            <v>0</v>
          </cell>
        </row>
        <row r="25">
          <cell r="A25" t="str">
            <v>VILLANUEVA BRAYAN</v>
          </cell>
          <cell r="C25">
            <v>0</v>
          </cell>
        </row>
        <row r="26">
          <cell r="A26" t="str">
            <v>--</v>
          </cell>
          <cell r="C26">
            <v>0</v>
          </cell>
        </row>
        <row r="28">
          <cell r="A28" t="str">
            <v>ARIAS JENNIFER</v>
          </cell>
          <cell r="C28">
            <v>0</v>
          </cell>
        </row>
        <row r="29">
          <cell r="A29" t="str">
            <v>RINCON SATURNINO</v>
          </cell>
          <cell r="C29">
            <v>0</v>
          </cell>
        </row>
        <row r="30">
          <cell r="A30">
            <v>0</v>
          </cell>
          <cell r="C30">
            <v>1</v>
          </cell>
        </row>
        <row r="31">
          <cell r="A31" t="str">
            <v>--</v>
          </cell>
          <cell r="C31">
            <v>0</v>
          </cell>
        </row>
        <row r="33">
          <cell r="A33" t="str">
            <v xml:space="preserve">VARGAS PABLO </v>
          </cell>
          <cell r="C33">
            <v>0</v>
          </cell>
        </row>
        <row r="34">
          <cell r="A34" t="str">
            <v>RIVERA MERCY</v>
          </cell>
          <cell r="C34">
            <v>0</v>
          </cell>
        </row>
        <row r="35">
          <cell r="A35" t="str">
            <v>--</v>
          </cell>
          <cell r="C35">
            <v>0</v>
          </cell>
        </row>
      </sheetData>
      <sheetData sheetId="2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CIONES USC"/>
      <sheetName val="PERFIL ESTRATIGRAFICO"/>
      <sheetName val="REG FOTOGRAFICO"/>
      <sheetName val="CONO DINAMICO"/>
      <sheetName val="EQUIVALENTE"/>
      <sheetName val="M.O.  M1"/>
      <sheetName val="CLASIFICACION M2"/>
      <sheetName val="M.O.  M2"/>
      <sheetName val="CLASIFICACION M3"/>
      <sheetName val="M.O.  M3"/>
      <sheetName val="firmas"/>
    </sheetNames>
    <sheetDataSet>
      <sheetData sheetId="0" refreshError="1"/>
      <sheetData sheetId="1" refreshError="1"/>
      <sheetData sheetId="2" refreshError="1">
        <row r="55">
          <cell r="F55" t="str">
            <v>--</v>
          </cell>
          <cell r="J55" t="str">
            <v>--</v>
          </cell>
          <cell r="N55" t="str">
            <v>--</v>
          </cell>
        </row>
      </sheetData>
      <sheetData sheetId="3" refreshError="1">
        <row r="57">
          <cell r="C57" t="str">
            <v>--</v>
          </cell>
          <cell r="G57" t="str">
            <v>--</v>
          </cell>
          <cell r="L57" t="str">
            <v>--</v>
          </cell>
        </row>
      </sheetData>
      <sheetData sheetId="4" refreshError="1">
        <row r="29">
          <cell r="G29" t="str">
            <v>--</v>
          </cell>
        </row>
      </sheetData>
      <sheetData sheetId="5" refreshError="1"/>
      <sheetData sheetId="6" refreshError="1">
        <row r="61">
          <cell r="E61" t="str">
            <v>--</v>
          </cell>
          <cell r="J61" t="str">
            <v>--</v>
          </cell>
          <cell r="N61" t="str">
            <v>--</v>
          </cell>
        </row>
      </sheetData>
      <sheetData sheetId="7" refreshError="1">
        <row r="27">
          <cell r="C27" t="str">
            <v>--</v>
          </cell>
          <cell r="F27" t="str">
            <v>--</v>
          </cell>
          <cell r="I27" t="str">
            <v>--</v>
          </cell>
        </row>
      </sheetData>
      <sheetData sheetId="8" refreshError="1">
        <row r="61">
          <cell r="E61" t="str">
            <v>--</v>
          </cell>
          <cell r="J61" t="str">
            <v>--</v>
          </cell>
          <cell r="N61" t="str">
            <v>--</v>
          </cell>
        </row>
      </sheetData>
      <sheetData sheetId="9" refreshError="1">
        <row r="27">
          <cell r="C27" t="str">
            <v>--</v>
          </cell>
          <cell r="F27" t="str">
            <v>--</v>
          </cell>
          <cell r="I27" t="str">
            <v>--</v>
          </cell>
        </row>
      </sheetData>
      <sheetData sheetId="10" refreshError="1">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cell r="B11" t="str">
            <v>Laboratorista</v>
          </cell>
        </row>
        <row r="12">
          <cell r="A12" t="str">
            <v>RINCON SATURNINO</v>
          </cell>
          <cell r="B12" t="str">
            <v>Coordinador Operativo</v>
          </cell>
          <cell r="C12">
            <v>1</v>
          </cell>
        </row>
        <row r="13">
          <cell r="A13" t="str">
            <v xml:space="preserve">MOLINA JOSE </v>
          </cell>
          <cell r="B13" t="str">
            <v>Auxiliar</v>
          </cell>
        </row>
        <row r="14">
          <cell r="A14" t="str">
            <v>ALBARRACIN JAIRO</v>
          </cell>
        </row>
        <row r="15">
          <cell r="A15" t="str">
            <v>ALMONACID JIMMY</v>
          </cell>
        </row>
        <row r="16">
          <cell r="A16" t="str">
            <v>CANO LUIS EDUARDO</v>
          </cell>
        </row>
        <row r="18">
          <cell r="A18" t="str">
            <v>GOMEZ LUIS CARLOS</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cell r="B28" t="str">
            <v>Analista  técnico</v>
          </cell>
        </row>
        <row r="29">
          <cell r="A29" t="str">
            <v>RINCON SATURNINO</v>
          </cell>
          <cell r="B29" t="str">
            <v>Coordinador operativo</v>
          </cell>
        </row>
        <row r="30">
          <cell r="C30">
            <v>1</v>
          </cell>
        </row>
        <row r="31">
          <cell r="A31" t="str">
            <v>--</v>
          </cell>
        </row>
        <row r="33">
          <cell r="A33" t="str">
            <v xml:space="preserve">VARGAS PABLO </v>
          </cell>
        </row>
        <row r="34">
          <cell r="A34" t="str">
            <v>RIVERA MERCY</v>
          </cell>
        </row>
        <row r="35">
          <cell r="A35" t="str">
            <v>--</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Gradacion "/>
      <sheetName val="Gradacion"/>
      <sheetName val="Desgaste"/>
      <sheetName val="Microdeval "/>
      <sheetName val="10% De Finos"/>
      <sheetName val="Solidez"/>
      <sheetName val="LIMITES"/>
      <sheetName val="EQUIVALENTE"/>
      <sheetName val="TERRONES DE ARCILLA"/>
      <sheetName val="CF - IF "/>
      <sheetName val="ANGULARIDAD"/>
      <sheetName val="PROCTOR"/>
      <sheetName val=" CBR 1"/>
      <sheetName val=" CBR (2)"/>
      <sheetName val="INV 223-13 "/>
      <sheetName val="GRAVEDAD "/>
      <sheetName val="firmas"/>
      <sheetName val="Hoja1"/>
    </sheetNames>
    <sheetDataSet>
      <sheetData sheetId="0">
        <row r="45">
          <cell r="G45" t="str">
            <v>--</v>
          </cell>
          <cell r="P45" t="str">
            <v>--</v>
          </cell>
          <cell r="V45" t="str">
            <v>--</v>
          </cell>
        </row>
      </sheetData>
      <sheetData sheetId="1"/>
      <sheetData sheetId="2">
        <row r="46">
          <cell r="I46" t="str">
            <v>--</v>
          </cell>
        </row>
      </sheetData>
      <sheetData sheetId="3">
        <row r="38">
          <cell r="F38" t="str">
            <v>--</v>
          </cell>
        </row>
      </sheetData>
      <sheetData sheetId="4">
        <row r="6">
          <cell r="AL6">
            <v>1</v>
          </cell>
        </row>
        <row r="44">
          <cell r="I44" t="str">
            <v>--</v>
          </cell>
          <cell r="R44" t="str">
            <v>--</v>
          </cell>
          <cell r="AC44" t="str">
            <v>--</v>
          </cell>
        </row>
      </sheetData>
      <sheetData sheetId="5">
        <row r="23">
          <cell r="D23" t="str">
            <v>--</v>
          </cell>
          <cell r="F23" t="str">
            <v>--</v>
          </cell>
          <cell r="I23" t="str">
            <v>--</v>
          </cell>
        </row>
      </sheetData>
      <sheetData sheetId="6">
        <row r="47">
          <cell r="H47" t="str">
            <v>--</v>
          </cell>
          <cell r="Q47" t="str">
            <v>--</v>
          </cell>
          <cell r="Y47" t="str">
            <v>--</v>
          </cell>
        </row>
      </sheetData>
      <sheetData sheetId="7">
        <row r="47">
          <cell r="C47" t="str">
            <v>--</v>
          </cell>
          <cell r="F47" t="str">
            <v>--</v>
          </cell>
          <cell r="H47" t="str">
            <v>--</v>
          </cell>
        </row>
      </sheetData>
      <sheetData sheetId="8">
        <row r="29">
          <cell r="D29" t="str">
            <v>--</v>
          </cell>
          <cell r="G29" t="str">
            <v>--</v>
          </cell>
          <cell r="J29" t="str">
            <v>--</v>
          </cell>
        </row>
      </sheetData>
      <sheetData sheetId="9">
        <row r="27">
          <cell r="C27" t="str">
            <v>--</v>
          </cell>
          <cell r="F27" t="str">
            <v>--</v>
          </cell>
          <cell r="I27" t="str">
            <v>--</v>
          </cell>
        </row>
      </sheetData>
      <sheetData sheetId="10">
        <row r="43">
          <cell r="G43" t="str">
            <v>--</v>
          </cell>
        </row>
      </sheetData>
      <sheetData sheetId="11">
        <row r="29">
          <cell r="L29" t="str">
            <v>--</v>
          </cell>
          <cell r="W29" t="str">
            <v>--</v>
          </cell>
          <cell r="AK29" t="str">
            <v>--</v>
          </cell>
        </row>
        <row r="30">
          <cell r="W30" t="str">
            <v/>
          </cell>
        </row>
      </sheetData>
      <sheetData sheetId="12">
        <row r="42">
          <cell r="C42" t="str">
            <v>--</v>
          </cell>
          <cell r="F42" t="str">
            <v>--</v>
          </cell>
          <cell r="I42" t="str">
            <v>--</v>
          </cell>
        </row>
      </sheetData>
      <sheetData sheetId="13">
        <row r="55">
          <cell r="AL55" t="str">
            <v>--</v>
          </cell>
          <cell r="AN55" t="str">
            <v>--</v>
          </cell>
          <cell r="AP55" t="str">
            <v>--</v>
          </cell>
        </row>
      </sheetData>
      <sheetData sheetId="14">
        <row r="55">
          <cell r="C55" t="str">
            <v>--</v>
          </cell>
          <cell r="E55" t="str">
            <v>--</v>
          </cell>
          <cell r="G55" t="str">
            <v>--</v>
          </cell>
        </row>
      </sheetData>
      <sheetData sheetId="15"/>
      <sheetData sheetId="16"/>
      <sheetData sheetId="17">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RINCON SATURNINO</v>
          </cell>
        </row>
        <row r="30">
          <cell r="C30">
            <v>1</v>
          </cell>
        </row>
        <row r="31">
          <cell r="A31" t="str">
            <v>--</v>
          </cell>
        </row>
        <row r="33">
          <cell r="A33" t="str">
            <v xml:space="preserve">VARGAS PABLO </v>
          </cell>
        </row>
        <row r="34">
          <cell r="A34" t="str">
            <v>RIVERA MERCY</v>
          </cell>
        </row>
        <row r="35">
          <cell r="A35" t="str">
            <v>--</v>
          </cell>
        </row>
      </sheetData>
      <sheetData sheetId="1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RESUMEN BG"/>
      <sheetName val="Gradacion "/>
      <sheetName val="HUMEDAD"/>
      <sheetName val="Solidez"/>
      <sheetName val="ANGULARIDAD"/>
      <sheetName val="INV 222-13"/>
      <sheetName val="GRAVEDAD"/>
      <sheetName val="Desgaste"/>
      <sheetName val="Microdeval "/>
      <sheetName val="10% De Finos"/>
      <sheetName val="LIMITES"/>
      <sheetName val="EQUIVALENTE"/>
      <sheetName val="TERRONES DE ARCILLA"/>
      <sheetName val="CF - IF "/>
      <sheetName val="PROCTOR"/>
      <sheetName val=" CBR 1"/>
      <sheetName val=" CBR (2)"/>
      <sheetName val="firmas"/>
      <sheetName val="Hoja1"/>
    </sheetNames>
    <sheetDataSet>
      <sheetData sheetId="0">
        <row r="45">
          <cell r="G45" t="str">
            <v>--</v>
          </cell>
          <cell r="V45" t="str">
            <v>--</v>
          </cell>
        </row>
      </sheetData>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9">
          <cell r="D29" t="str">
            <v>--</v>
          </cell>
          <cell r="G29" t="str">
            <v>--</v>
          </cell>
          <cell r="J29" t="str">
            <v>--</v>
          </cell>
        </row>
      </sheetData>
      <sheetData sheetId="13" refreshError="1"/>
      <sheetData sheetId="14" refreshError="1"/>
      <sheetData sheetId="15" refreshError="1"/>
      <sheetData sheetId="16" refreshError="1"/>
      <sheetData sheetId="17" refreshError="1"/>
      <sheetData sheetId="18">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MANCILLA EDGAR</v>
          </cell>
          <cell r="C8">
            <v>8</v>
          </cell>
        </row>
        <row r="9">
          <cell r="A9" t="str">
            <v>OSPINA JUAN GABRIEL</v>
          </cell>
        </row>
        <row r="10">
          <cell r="A10" t="str">
            <v>SUAREZ  WILLIAM</v>
          </cell>
          <cell r="C10">
            <v>9</v>
          </cell>
        </row>
        <row r="11">
          <cell r="A11" t="str">
            <v>YARA FABIAN</v>
          </cell>
        </row>
        <row r="12">
          <cell r="A12" t="str">
            <v>RINCON SATURNINO</v>
          </cell>
          <cell r="C12">
            <v>1</v>
          </cell>
        </row>
        <row r="13">
          <cell r="A13" t="str">
            <v>ACHIARDI LEONARDO</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ARIAS JEIMY</v>
          </cell>
        </row>
        <row r="30">
          <cell r="A30" t="str">
            <v>RINCON SATURNINO</v>
          </cell>
          <cell r="C30">
            <v>1</v>
          </cell>
        </row>
        <row r="31">
          <cell r="A31" t="str">
            <v>--</v>
          </cell>
        </row>
        <row r="33">
          <cell r="A33" t="str">
            <v>GAVIRIA SONIA</v>
          </cell>
        </row>
        <row r="34">
          <cell r="A34" t="str">
            <v>RIVERA MERCY</v>
          </cell>
        </row>
        <row r="35">
          <cell r="A35" t="str">
            <v>--</v>
          </cell>
        </row>
      </sheetData>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s>
    <sheetDataSet>
      <sheetData sheetId="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BG"/>
      <sheetName val="Gradacion "/>
      <sheetName val="Desgaste"/>
      <sheetName val="Microdeval "/>
      <sheetName val="10% De Finos"/>
      <sheetName val="Solidez"/>
      <sheetName val="LIMITES"/>
      <sheetName val="EQUIVALENTE"/>
      <sheetName val="TERRONES DE ARCILLA"/>
      <sheetName val="CF - IF "/>
      <sheetName val="ANGULARIDAD"/>
      <sheetName val="PROCTOR"/>
      <sheetName val=" CBR 1"/>
      <sheetName val=" CBR (2)"/>
      <sheetName val="firmas"/>
      <sheetName val="Hoja1"/>
    </sheetNames>
    <sheetDataSet>
      <sheetData sheetId="0">
        <row r="43">
          <cell r="G43" t="str">
            <v>--</v>
          </cell>
        </row>
      </sheetData>
      <sheetData sheetId="1">
        <row r="46">
          <cell r="I46" t="str">
            <v>--</v>
          </cell>
        </row>
      </sheetData>
      <sheetData sheetId="2">
        <row r="38">
          <cell r="F38" t="str">
            <v>--</v>
          </cell>
        </row>
      </sheetData>
      <sheetData sheetId="3">
        <row r="44">
          <cell r="I44" t="str">
            <v>--</v>
          </cell>
        </row>
      </sheetData>
      <sheetData sheetId="4">
        <row r="23">
          <cell r="D23" t="str">
            <v>--</v>
          </cell>
        </row>
      </sheetData>
      <sheetData sheetId="5">
        <row r="47">
          <cell r="H47" t="str">
            <v>--</v>
          </cell>
        </row>
      </sheetData>
      <sheetData sheetId="6">
        <row r="47">
          <cell r="C47" t="str">
            <v>--</v>
          </cell>
        </row>
      </sheetData>
      <sheetData sheetId="7"/>
      <sheetData sheetId="8">
        <row r="27">
          <cell r="C27" t="str">
            <v>--</v>
          </cell>
        </row>
      </sheetData>
      <sheetData sheetId="9">
        <row r="43">
          <cell r="G43" t="str">
            <v>--</v>
          </cell>
          <cell r="M43" t="str">
            <v>--</v>
          </cell>
          <cell r="N43">
            <v>0</v>
          </cell>
          <cell r="O43">
            <v>0</v>
          </cell>
          <cell r="P43">
            <v>0</v>
          </cell>
          <cell r="Q43">
            <v>0</v>
          </cell>
          <cell r="R43">
            <v>0</v>
          </cell>
          <cell r="S43">
            <v>0</v>
          </cell>
          <cell r="T43">
            <v>0</v>
          </cell>
          <cell r="U43">
            <v>0</v>
          </cell>
          <cell r="V43">
            <v>0</v>
          </cell>
          <cell r="W43">
            <v>0</v>
          </cell>
          <cell r="X43">
            <v>0</v>
          </cell>
          <cell r="Y43" t="str">
            <v>--</v>
          </cell>
        </row>
      </sheetData>
      <sheetData sheetId="10">
        <row r="29">
          <cell r="L29" t="str">
            <v>--</v>
          </cell>
          <cell r="W29" t="str">
            <v>--</v>
          </cell>
          <cell r="X29">
            <v>0</v>
          </cell>
          <cell r="AK29" t="str">
            <v>--</v>
          </cell>
        </row>
        <row r="30">
          <cell r="W30">
            <v>0</v>
          </cell>
          <cell r="X30">
            <v>0</v>
          </cell>
        </row>
        <row r="31">
          <cell r="W31">
            <v>0</v>
          </cell>
          <cell r="X31">
            <v>0</v>
          </cell>
        </row>
        <row r="32">
          <cell r="W32">
            <v>0</v>
          </cell>
          <cell r="X32">
            <v>0</v>
          </cell>
        </row>
        <row r="33">
          <cell r="W33">
            <v>0</v>
          </cell>
          <cell r="X33">
            <v>0</v>
          </cell>
        </row>
      </sheetData>
      <sheetData sheetId="11">
        <row r="42">
          <cell r="C42" t="str">
            <v>--</v>
          </cell>
          <cell r="F42" t="str">
            <v>--</v>
          </cell>
          <cell r="I42" t="str">
            <v>--</v>
          </cell>
        </row>
      </sheetData>
      <sheetData sheetId="12">
        <row r="55">
          <cell r="AL55" t="str">
            <v>--</v>
          </cell>
          <cell r="AM55">
            <v>0</v>
          </cell>
          <cell r="AN55" t="str">
            <v>--</v>
          </cell>
          <cell r="AO55">
            <v>0</v>
          </cell>
          <cell r="AP55" t="str">
            <v>--</v>
          </cell>
          <cell r="AQ55">
            <v>0</v>
          </cell>
        </row>
      </sheetData>
      <sheetData sheetId="13">
        <row r="55">
          <cell r="C55" t="str">
            <v>--</v>
          </cell>
          <cell r="E55" t="str">
            <v>--</v>
          </cell>
          <cell r="F55">
            <v>0</v>
          </cell>
          <cell r="G55" t="str">
            <v>--</v>
          </cell>
          <cell r="H55">
            <v>0</v>
          </cell>
        </row>
      </sheetData>
      <sheetData sheetId="14">
        <row r="2">
          <cell r="A2" t="str">
            <v>CHAPARRO CARLOS</v>
          </cell>
          <cell r="C2">
            <v>2</v>
          </cell>
        </row>
        <row r="3">
          <cell r="A3" t="str">
            <v>CORDOBA ALEXANDER</v>
          </cell>
          <cell r="C3">
            <v>3</v>
          </cell>
        </row>
        <row r="4">
          <cell r="A4" t="str">
            <v>CRISTANCHO VICTOR</v>
          </cell>
          <cell r="C4">
            <v>7</v>
          </cell>
        </row>
        <row r="5">
          <cell r="A5" t="str">
            <v>DIAZ CESAR</v>
          </cell>
          <cell r="C5">
            <v>0</v>
          </cell>
        </row>
        <row r="6">
          <cell r="A6" t="str">
            <v>FLOREZ KAREN</v>
          </cell>
          <cell r="C6">
            <v>6</v>
          </cell>
        </row>
        <row r="7">
          <cell r="A7" t="str">
            <v>GALVIS DAVID</v>
          </cell>
          <cell r="C7">
            <v>4</v>
          </cell>
        </row>
        <row r="8">
          <cell r="A8" t="str">
            <v>MANCILLA EDGAR</v>
          </cell>
          <cell r="C8">
            <v>8</v>
          </cell>
        </row>
        <row r="9">
          <cell r="A9" t="str">
            <v>OSPINA JUAN GABRIEL</v>
          </cell>
          <cell r="C9">
            <v>0</v>
          </cell>
        </row>
        <row r="10">
          <cell r="A10" t="str">
            <v>SUAREZ  WILLIAM</v>
          </cell>
          <cell r="C10">
            <v>9</v>
          </cell>
        </row>
        <row r="11">
          <cell r="A11" t="str">
            <v>YARA FABIAN</v>
          </cell>
          <cell r="C11">
            <v>0</v>
          </cell>
        </row>
        <row r="12">
          <cell r="A12" t="str">
            <v>RINCON SATURNINO</v>
          </cell>
          <cell r="C12">
            <v>1</v>
          </cell>
        </row>
        <row r="13">
          <cell r="A13" t="str">
            <v>ACHIARDI LEONARDO</v>
          </cell>
          <cell r="C13">
            <v>0</v>
          </cell>
        </row>
        <row r="14">
          <cell r="A14" t="str">
            <v>ALBARRACIN JAIRO</v>
          </cell>
          <cell r="C14">
            <v>0</v>
          </cell>
        </row>
        <row r="15">
          <cell r="A15" t="str">
            <v>ALMONACID JIMMY</v>
          </cell>
          <cell r="C15">
            <v>0</v>
          </cell>
        </row>
        <row r="16">
          <cell r="A16" t="str">
            <v>CANO LUIS EDUARDO</v>
          </cell>
          <cell r="C16">
            <v>0</v>
          </cell>
        </row>
        <row r="17">
          <cell r="A17" t="str">
            <v>GALVIS DANIEL</v>
          </cell>
          <cell r="C17">
            <v>0</v>
          </cell>
        </row>
        <row r="18">
          <cell r="A18" t="str">
            <v>GOMEZ LUIS CARLOS</v>
          </cell>
          <cell r="C18">
            <v>0</v>
          </cell>
        </row>
        <row r="19">
          <cell r="A19" t="str">
            <v>FAJARDO HUGO</v>
          </cell>
          <cell r="C19">
            <v>0</v>
          </cell>
        </row>
        <row r="20">
          <cell r="A20" t="str">
            <v>PATIÑO MARLON</v>
          </cell>
          <cell r="C20">
            <v>0</v>
          </cell>
        </row>
        <row r="21">
          <cell r="A21" t="str">
            <v>PRIETO YULY PAOLA</v>
          </cell>
          <cell r="C21">
            <v>0</v>
          </cell>
        </row>
        <row r="22">
          <cell r="A22" t="str">
            <v>SASTOQUE CINDY</v>
          </cell>
          <cell r="C22">
            <v>0</v>
          </cell>
        </row>
        <row r="23">
          <cell r="A23" t="str">
            <v>TEUTA DIEGO</v>
          </cell>
          <cell r="C23">
            <v>0</v>
          </cell>
        </row>
        <row r="24">
          <cell r="A24" t="str">
            <v>VARGAS RODOLFO</v>
          </cell>
          <cell r="C24">
            <v>0</v>
          </cell>
        </row>
        <row r="25">
          <cell r="A25" t="str">
            <v>VILLANUEVA BRAYAN</v>
          </cell>
          <cell r="C25">
            <v>0</v>
          </cell>
        </row>
        <row r="26">
          <cell r="A26" t="str">
            <v>--</v>
          </cell>
          <cell r="C26">
            <v>0</v>
          </cell>
        </row>
        <row r="28">
          <cell r="A28" t="str">
            <v>ARIAS JENNIFER</v>
          </cell>
          <cell r="C28">
            <v>0</v>
          </cell>
        </row>
        <row r="29">
          <cell r="A29" t="str">
            <v>ARIAS JEIMY</v>
          </cell>
          <cell r="C29">
            <v>0</v>
          </cell>
        </row>
        <row r="30">
          <cell r="A30" t="str">
            <v>RINCON SATURNINO</v>
          </cell>
          <cell r="C30">
            <v>1</v>
          </cell>
        </row>
        <row r="31">
          <cell r="A31" t="str">
            <v>--</v>
          </cell>
          <cell r="C31">
            <v>0</v>
          </cell>
        </row>
        <row r="33">
          <cell r="A33" t="str">
            <v>GAVIRIA SONIA</v>
          </cell>
          <cell r="C33">
            <v>0</v>
          </cell>
        </row>
        <row r="34">
          <cell r="A34" t="str">
            <v>RIVERA MERCY</v>
          </cell>
          <cell r="C34">
            <v>0</v>
          </cell>
        </row>
        <row r="35">
          <cell r="A35" t="str">
            <v>--</v>
          </cell>
          <cell r="C35">
            <v>0</v>
          </cell>
        </row>
      </sheetData>
      <sheetData sheetId="1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BG"/>
      <sheetName val="FM-003 HUMEDAD"/>
      <sheetName val="Gradacion "/>
      <sheetName val="Desgaste"/>
      <sheetName val="Microdeval "/>
      <sheetName val="10% De Finos"/>
      <sheetName val="Solidez"/>
      <sheetName val="LIMITES"/>
      <sheetName val="EQUIVALENTE"/>
      <sheetName val="TERRONES DE ARCILLA"/>
      <sheetName val="CF - IF "/>
      <sheetName val="ANGULARIDAD"/>
      <sheetName val="PROCTOR"/>
      <sheetName val=" CBR 1"/>
      <sheetName val=" CBR (2)"/>
      <sheetName val="INV 222-13"/>
      <sheetName val="GRAVEDAD"/>
      <sheetName val="firmas"/>
      <sheetName val="Hoja1"/>
    </sheetNames>
    <sheetDataSet>
      <sheetData sheetId="0"/>
      <sheetData sheetId="1"/>
      <sheetData sheetId="2">
        <row r="55">
          <cell r="I55" t="str">
            <v>--</v>
          </cell>
        </row>
      </sheetData>
      <sheetData sheetId="3">
        <row r="38">
          <cell r="F38" t="str">
            <v>--</v>
          </cell>
          <cell r="L38" t="str">
            <v>--</v>
          </cell>
          <cell r="T38" t="str">
            <v>--</v>
          </cell>
        </row>
      </sheetData>
      <sheetData sheetId="4">
        <row r="44">
          <cell r="I44" t="str">
            <v>--</v>
          </cell>
          <cell r="R44" t="str">
            <v>--</v>
          </cell>
          <cell r="AC44" t="str">
            <v>--</v>
          </cell>
        </row>
      </sheetData>
      <sheetData sheetId="5">
        <row r="23">
          <cell r="D23" t="str">
            <v>--</v>
          </cell>
          <cell r="E23">
            <v>0</v>
          </cell>
          <cell r="F23" t="str">
            <v>--</v>
          </cell>
          <cell r="I23" t="str">
            <v>--</v>
          </cell>
          <cell r="J23">
            <v>0</v>
          </cell>
          <cell r="K23">
            <v>0</v>
          </cell>
        </row>
      </sheetData>
      <sheetData sheetId="6"/>
      <sheetData sheetId="7">
        <row r="47">
          <cell r="C47" t="str">
            <v>--</v>
          </cell>
          <cell r="F47" t="str">
            <v>--</v>
          </cell>
          <cell r="H47" t="str">
            <v>--</v>
          </cell>
        </row>
      </sheetData>
      <sheetData sheetId="8">
        <row r="29">
          <cell r="D29" t="str">
            <v>--</v>
          </cell>
          <cell r="G29" t="str">
            <v>--</v>
          </cell>
          <cell r="J29" t="str">
            <v>--</v>
          </cell>
        </row>
      </sheetData>
      <sheetData sheetId="9">
        <row r="27">
          <cell r="C27" t="str">
            <v>--</v>
          </cell>
          <cell r="D27">
            <v>0</v>
          </cell>
          <cell r="E27">
            <v>0</v>
          </cell>
          <cell r="F27" t="str">
            <v>--</v>
          </cell>
          <cell r="I27" t="str">
            <v>--</v>
          </cell>
          <cell r="J27">
            <v>0</v>
          </cell>
          <cell r="K27">
            <v>0</v>
          </cell>
        </row>
      </sheetData>
      <sheetData sheetId="10">
        <row r="43">
          <cell r="G43" t="str">
            <v>--</v>
          </cell>
          <cell r="M43" t="str">
            <v>--</v>
          </cell>
          <cell r="N43">
            <v>0</v>
          </cell>
          <cell r="O43">
            <v>0</v>
          </cell>
          <cell r="P43">
            <v>0</v>
          </cell>
          <cell r="Q43">
            <v>0</v>
          </cell>
          <cell r="R43">
            <v>0</v>
          </cell>
          <cell r="S43">
            <v>0</v>
          </cell>
          <cell r="T43">
            <v>0</v>
          </cell>
          <cell r="U43">
            <v>0</v>
          </cell>
          <cell r="V43">
            <v>0</v>
          </cell>
          <cell r="W43">
            <v>0</v>
          </cell>
          <cell r="X43">
            <v>0</v>
          </cell>
          <cell r="Y43" t="str">
            <v>--</v>
          </cell>
        </row>
      </sheetData>
      <sheetData sheetId="11">
        <row r="29">
          <cell r="L29" t="str">
            <v>--</v>
          </cell>
          <cell r="W29" t="str">
            <v>--</v>
          </cell>
          <cell r="X29">
            <v>0</v>
          </cell>
          <cell r="AK29" t="str">
            <v>--</v>
          </cell>
        </row>
        <row r="30">
          <cell r="W30">
            <v>0</v>
          </cell>
          <cell r="X30">
            <v>0</v>
          </cell>
        </row>
        <row r="31">
          <cell r="W31">
            <v>0</v>
          </cell>
          <cell r="X31">
            <v>0</v>
          </cell>
        </row>
        <row r="32">
          <cell r="W32">
            <v>0</v>
          </cell>
          <cell r="X32">
            <v>0</v>
          </cell>
        </row>
        <row r="33">
          <cell r="W33">
            <v>0</v>
          </cell>
          <cell r="X33">
            <v>0</v>
          </cell>
        </row>
      </sheetData>
      <sheetData sheetId="12">
        <row r="42">
          <cell r="C42" t="str">
            <v>--</v>
          </cell>
          <cell r="F42" t="str">
            <v>--</v>
          </cell>
          <cell r="I42" t="str">
            <v>--</v>
          </cell>
        </row>
      </sheetData>
      <sheetData sheetId="13">
        <row r="55">
          <cell r="AL55" t="str">
            <v>--</v>
          </cell>
          <cell r="AM55">
            <v>0</v>
          </cell>
          <cell r="AN55" t="str">
            <v>--</v>
          </cell>
          <cell r="AO55">
            <v>0</v>
          </cell>
          <cell r="AP55" t="str">
            <v>--</v>
          </cell>
          <cell r="AQ55">
            <v>0</v>
          </cell>
        </row>
      </sheetData>
      <sheetData sheetId="14">
        <row r="55">
          <cell r="C55" t="str">
            <v>--</v>
          </cell>
          <cell r="E55" t="str">
            <v>--</v>
          </cell>
          <cell r="F55">
            <v>0</v>
          </cell>
          <cell r="G55" t="str">
            <v>--</v>
          </cell>
          <cell r="H55">
            <v>0</v>
          </cell>
        </row>
      </sheetData>
      <sheetData sheetId="15"/>
      <sheetData sheetId="16"/>
      <sheetData sheetId="17">
        <row r="2">
          <cell r="A2" t="str">
            <v>CHAPARRO CARLOS</v>
          </cell>
          <cell r="C2">
            <v>2</v>
          </cell>
        </row>
        <row r="3">
          <cell r="A3" t="str">
            <v>CORDOBA ALEXANDER</v>
          </cell>
          <cell r="C3">
            <v>3</v>
          </cell>
        </row>
        <row r="4">
          <cell r="A4" t="str">
            <v>CRISTANCHO VICTOR</v>
          </cell>
          <cell r="C4">
            <v>7</v>
          </cell>
        </row>
        <row r="5">
          <cell r="A5" t="str">
            <v>DIAZ CESAR</v>
          </cell>
          <cell r="C5">
            <v>0</v>
          </cell>
        </row>
        <row r="6">
          <cell r="A6" t="str">
            <v>FLOREZ KAREN</v>
          </cell>
          <cell r="C6">
            <v>6</v>
          </cell>
        </row>
        <row r="7">
          <cell r="A7" t="str">
            <v>GALVIS DAVID</v>
          </cell>
          <cell r="C7">
            <v>4</v>
          </cell>
        </row>
        <row r="8">
          <cell r="A8" t="str">
            <v>MANCILLA EDGAR</v>
          </cell>
          <cell r="C8">
            <v>8</v>
          </cell>
        </row>
        <row r="9">
          <cell r="A9" t="str">
            <v>OSPINA JUAN GABRIEL</v>
          </cell>
          <cell r="C9">
            <v>0</v>
          </cell>
        </row>
        <row r="10">
          <cell r="A10" t="str">
            <v>SUAREZ  WILLIAM</v>
          </cell>
          <cell r="C10">
            <v>9</v>
          </cell>
        </row>
        <row r="11">
          <cell r="A11" t="str">
            <v>YARA FABIAN</v>
          </cell>
          <cell r="C11">
            <v>0</v>
          </cell>
        </row>
        <row r="12">
          <cell r="A12" t="str">
            <v>RINCON SATURNINO</v>
          </cell>
          <cell r="C12">
            <v>1</v>
          </cell>
        </row>
        <row r="13">
          <cell r="A13" t="str">
            <v>ACHIARDI LEONARDO</v>
          </cell>
          <cell r="C13">
            <v>0</v>
          </cell>
        </row>
        <row r="14">
          <cell r="A14" t="str">
            <v>ALBARRACIN JAIRO</v>
          </cell>
          <cell r="C14">
            <v>0</v>
          </cell>
        </row>
        <row r="15">
          <cell r="A15" t="str">
            <v>ALMONACID JIMMY</v>
          </cell>
          <cell r="C15">
            <v>0</v>
          </cell>
        </row>
        <row r="16">
          <cell r="A16" t="str">
            <v>CANO LUIS EDUARDO</v>
          </cell>
          <cell r="C16">
            <v>0</v>
          </cell>
        </row>
        <row r="17">
          <cell r="A17" t="str">
            <v>GALVIS DANIEL</v>
          </cell>
          <cell r="C17">
            <v>0</v>
          </cell>
        </row>
        <row r="18">
          <cell r="A18" t="str">
            <v>GOMEZ LUIS CARLOS</v>
          </cell>
          <cell r="C18">
            <v>0</v>
          </cell>
        </row>
        <row r="19">
          <cell r="A19" t="str">
            <v>FAJARDO HUGO</v>
          </cell>
          <cell r="C19">
            <v>0</v>
          </cell>
        </row>
        <row r="20">
          <cell r="A20" t="str">
            <v>PATIÑO MARLON</v>
          </cell>
          <cell r="C20">
            <v>0</v>
          </cell>
        </row>
        <row r="21">
          <cell r="A21" t="str">
            <v>PRIETO YULY PAOLA</v>
          </cell>
          <cell r="C21">
            <v>0</v>
          </cell>
        </row>
        <row r="22">
          <cell r="A22" t="str">
            <v>SASTOQUE CINDY</v>
          </cell>
          <cell r="C22">
            <v>0</v>
          </cell>
        </row>
        <row r="23">
          <cell r="A23" t="str">
            <v>TEUTA DIEGO</v>
          </cell>
          <cell r="C23">
            <v>0</v>
          </cell>
        </row>
        <row r="24">
          <cell r="A24" t="str">
            <v>VARGAS RODOLFO</v>
          </cell>
          <cell r="C24">
            <v>0</v>
          </cell>
        </row>
        <row r="25">
          <cell r="A25" t="str">
            <v>VILLANUEVA BRAYAN</v>
          </cell>
          <cell r="C25">
            <v>0</v>
          </cell>
        </row>
        <row r="26">
          <cell r="A26" t="str">
            <v>--</v>
          </cell>
          <cell r="C26">
            <v>0</v>
          </cell>
        </row>
        <row r="28">
          <cell r="A28" t="str">
            <v>ARIAS JENNIFER</v>
          </cell>
          <cell r="C28">
            <v>0</v>
          </cell>
        </row>
        <row r="29">
          <cell r="A29" t="str">
            <v>ARIAS JEIMY</v>
          </cell>
          <cell r="C29">
            <v>0</v>
          </cell>
        </row>
        <row r="30">
          <cell r="A30" t="str">
            <v>RINCON SATURNINO</v>
          </cell>
          <cell r="C30">
            <v>1</v>
          </cell>
        </row>
        <row r="31">
          <cell r="A31" t="str">
            <v>--</v>
          </cell>
          <cell r="C31">
            <v>0</v>
          </cell>
        </row>
        <row r="33">
          <cell r="A33" t="str">
            <v>GAVIRIA SONIA</v>
          </cell>
          <cell r="C33">
            <v>0</v>
          </cell>
        </row>
        <row r="34">
          <cell r="A34" t="str">
            <v>RIVERA MERCY</v>
          </cell>
          <cell r="C34">
            <v>0</v>
          </cell>
        </row>
        <row r="35">
          <cell r="A35" t="str">
            <v>--</v>
          </cell>
          <cell r="C35">
            <v>0</v>
          </cell>
        </row>
      </sheetData>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BG"/>
      <sheetName val="Gradacion "/>
      <sheetName val="Desgaste"/>
      <sheetName val="Microdeval "/>
      <sheetName val="10% De Finos"/>
      <sheetName val="Solidez"/>
      <sheetName val="LIMITES"/>
      <sheetName val="EQUIVALENTE"/>
      <sheetName val="TERRONES DE ARCILLA"/>
      <sheetName val="CF - IF "/>
      <sheetName val="ANGULARIDAD"/>
      <sheetName val="PROCTOR"/>
      <sheetName val=" CBR 1"/>
      <sheetName val=" CBR (2)"/>
      <sheetName val="firmas"/>
      <sheetName val="Hoja1"/>
      <sheetName val=""/>
    </sheetNames>
    <sheetDataSet>
      <sheetData sheetId="0">
        <row r="43">
          <cell r="G43" t="str">
            <v>--</v>
          </cell>
        </row>
      </sheetData>
      <sheetData sheetId="1">
        <row r="46">
          <cell r="I46" t="str">
            <v>--</v>
          </cell>
          <cell r="Q46" t="str">
            <v>--</v>
          </cell>
          <cell r="Y46" t="str">
            <v>--</v>
          </cell>
        </row>
      </sheetData>
      <sheetData sheetId="2">
        <row r="38">
          <cell r="F38" t="str">
            <v>--</v>
          </cell>
        </row>
      </sheetData>
      <sheetData sheetId="3">
        <row r="44">
          <cell r="I44" t="str">
            <v>--</v>
          </cell>
          <cell r="R44" t="str">
            <v>--</v>
          </cell>
          <cell r="AC44" t="str">
            <v>--</v>
          </cell>
        </row>
      </sheetData>
      <sheetData sheetId="4">
        <row r="23">
          <cell r="D23" t="str">
            <v>--</v>
          </cell>
          <cell r="F23" t="str">
            <v>--</v>
          </cell>
          <cell r="I23" t="str">
            <v>--</v>
          </cell>
        </row>
      </sheetData>
      <sheetData sheetId="5">
        <row r="47">
          <cell r="H47" t="str">
            <v>--</v>
          </cell>
          <cell r="Q47" t="str">
            <v>--</v>
          </cell>
          <cell r="Y47" t="str">
            <v>--</v>
          </cell>
        </row>
      </sheetData>
      <sheetData sheetId="6">
        <row r="47">
          <cell r="C47" t="str">
            <v>--</v>
          </cell>
        </row>
      </sheetData>
      <sheetData sheetId="7">
        <row r="29">
          <cell r="D29" t="str">
            <v>--</v>
          </cell>
        </row>
      </sheetData>
      <sheetData sheetId="8">
        <row r="27">
          <cell r="C27" t="str">
            <v>--</v>
          </cell>
        </row>
      </sheetData>
      <sheetData sheetId="9">
        <row r="43">
          <cell r="G43" t="str">
            <v>--</v>
          </cell>
          <cell r="M43" t="str">
            <v>--</v>
          </cell>
          <cell r="Y43" t="str">
            <v>--</v>
          </cell>
        </row>
      </sheetData>
      <sheetData sheetId="10">
        <row r="29">
          <cell r="L29" t="str">
            <v>--</v>
          </cell>
          <cell r="W29" t="str">
            <v>--</v>
          </cell>
          <cell r="AK29" t="str">
            <v>--</v>
          </cell>
        </row>
        <row r="30">
          <cell r="W30" t="str">
            <v/>
          </cell>
        </row>
      </sheetData>
      <sheetData sheetId="11">
        <row r="13">
          <cell r="P13" t="str">
            <v/>
          </cell>
        </row>
      </sheetData>
      <sheetData sheetId="12">
        <row r="16">
          <cell r="AK16">
            <v>0</v>
          </cell>
        </row>
        <row r="55">
          <cell r="AL55" t="str">
            <v>--</v>
          </cell>
          <cell r="AN55" t="str">
            <v>--</v>
          </cell>
          <cell r="AP55" t="str">
            <v>--</v>
          </cell>
        </row>
      </sheetData>
      <sheetData sheetId="13">
        <row r="26">
          <cell r="F26" t="str">
            <v/>
          </cell>
        </row>
        <row r="55">
          <cell r="C55" t="str">
            <v>--</v>
          </cell>
          <cell r="E55" t="str">
            <v>--</v>
          </cell>
          <cell r="G55" t="str">
            <v>--</v>
          </cell>
        </row>
      </sheetData>
      <sheetData sheetId="14">
        <row r="2">
          <cell r="A2" t="str">
            <v>CHAPARRO CARLOS</v>
          </cell>
        </row>
      </sheetData>
      <sheetData sheetId="15"/>
      <sheetData sheetId="1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BG"/>
      <sheetName val="Gradacion"/>
      <sheetName val="Lavado tamiz N°200"/>
      <sheetName val="Desgaste "/>
      <sheetName val="Microdeval "/>
      <sheetName val="10% De Finos"/>
      <sheetName val="Solidez"/>
      <sheetName val="LIMITES "/>
      <sheetName val="EQUIVALENTE"/>
      <sheetName val="TERRONES DE ARCILLA"/>
      <sheetName val="CF - IF "/>
      <sheetName val="ANGULARIDAD"/>
      <sheetName val="PROCTOR"/>
      <sheetName val=" CBR 1"/>
      <sheetName val=" CBR (2)"/>
      <sheetName val="firmas"/>
      <sheetName val="Hoja2"/>
      <sheetName val="Hoja1"/>
    </sheetNames>
    <sheetDataSet>
      <sheetData sheetId="0" refreshError="1"/>
      <sheetData sheetId="1" refreshError="1"/>
      <sheetData sheetId="2" refreshError="1"/>
      <sheetData sheetId="3" refreshError="1"/>
      <sheetData sheetId="4" refreshError="1">
        <row r="15">
          <cell r="Y15" t="str">
            <v/>
          </cell>
        </row>
        <row r="44">
          <cell r="I44" t="str">
            <v>--</v>
          </cell>
          <cell r="R44" t="str">
            <v>--</v>
          </cell>
          <cell r="AC44" t="str">
            <v>--</v>
          </cell>
        </row>
      </sheetData>
      <sheetData sheetId="5" refreshError="1">
        <row r="17">
          <cell r="H17" t="str">
            <v/>
          </cell>
        </row>
        <row r="23">
          <cell r="D23" t="str">
            <v>--</v>
          </cell>
          <cell r="F23" t="str">
            <v>--</v>
          </cell>
          <cell r="I23" t="str">
            <v>--</v>
          </cell>
        </row>
      </sheetData>
      <sheetData sheetId="6" refreshError="1">
        <row r="27">
          <cell r="U27" t="str">
            <v/>
          </cell>
        </row>
        <row r="47">
          <cell r="H47" t="str">
            <v>--</v>
          </cell>
          <cell r="Q47" t="str">
            <v>--</v>
          </cell>
          <cell r="Y47" t="str">
            <v>--</v>
          </cell>
        </row>
      </sheetData>
      <sheetData sheetId="7" refreshError="1"/>
      <sheetData sheetId="8" refreshError="1"/>
      <sheetData sheetId="9" refreshError="1"/>
      <sheetData sheetId="10" refreshError="1">
        <row r="20">
          <cell r="I20" t="str">
            <v/>
          </cell>
        </row>
        <row r="43">
          <cell r="G43" t="str">
            <v>--</v>
          </cell>
          <cell r="M43" t="str">
            <v>--</v>
          </cell>
          <cell r="Y43" t="str">
            <v>--</v>
          </cell>
        </row>
      </sheetData>
      <sheetData sheetId="11" refreshError="1">
        <row r="24">
          <cell r="R24" t="str">
            <v xml:space="preserve"> </v>
          </cell>
        </row>
        <row r="29">
          <cell r="L29" t="str">
            <v>--</v>
          </cell>
          <cell r="W29" t="str">
            <v>--</v>
          </cell>
          <cell r="AK29" t="str">
            <v>--</v>
          </cell>
        </row>
        <row r="30">
          <cell r="W30" t="str">
            <v/>
          </cell>
        </row>
      </sheetData>
      <sheetData sheetId="12" refreshError="1">
        <row r="33">
          <cell r="J33" t="str">
            <v/>
          </cell>
        </row>
        <row r="42">
          <cell r="C42" t="str">
            <v>--</v>
          </cell>
          <cell r="F42" t="str">
            <v>--</v>
          </cell>
          <cell r="I42" t="str">
            <v>--</v>
          </cell>
        </row>
      </sheetData>
      <sheetData sheetId="13" refreshError="1">
        <row r="117">
          <cell r="AL117" t="str">
            <v>--</v>
          </cell>
          <cell r="AN117" t="str">
            <v>--</v>
          </cell>
          <cell r="AP117" t="str">
            <v>--</v>
          </cell>
        </row>
      </sheetData>
      <sheetData sheetId="14" refreshError="1">
        <row r="45">
          <cell r="H45" t="str">
            <v/>
          </cell>
        </row>
        <row r="55">
          <cell r="C55" t="str">
            <v>--</v>
          </cell>
          <cell r="E55" t="str">
            <v>--</v>
          </cell>
          <cell r="G55" t="str">
            <v>--</v>
          </cell>
        </row>
      </sheetData>
      <sheetData sheetId="15" refreshError="1"/>
      <sheetData sheetId="16" refreshError="1"/>
      <sheetData sheetId="1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M1"/>
    </sheetNames>
    <sheetDataSet>
      <sheetData sheetId="0">
        <row r="18">
          <cell r="C18">
            <v>50</v>
          </cell>
        </row>
        <row r="61">
          <cell r="E61" t="str">
            <v>--</v>
          </cell>
          <cell r="J61" t="str">
            <v>--</v>
          </cell>
          <cell r="N61"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CIONES USC"/>
      <sheetName val="PERFIL ESTRATIGRAFICO"/>
      <sheetName val="REG FOTOGRAFICO"/>
      <sheetName val="CONO DINAMICO"/>
      <sheetName val="CLASIFICACION M1"/>
      <sheetName val="LIMITES M1"/>
      <sheetName val="HUMEDAD M1"/>
      <sheetName val="EQUIVALENTE M1"/>
      <sheetName val="M.O.  M1"/>
      <sheetName val="CLASIFICACION M2"/>
      <sheetName val="LIMITES M2"/>
      <sheetName val="HUMEDAD 2"/>
      <sheetName val="EQUIVALENTE M2"/>
      <sheetName val="M.O.  M2"/>
      <sheetName val="CLASIFICACION M3"/>
      <sheetName val="LIMITES M3"/>
      <sheetName val="HUMEDAD 2 (2)"/>
      <sheetName val="EQUIVALENTE M3"/>
      <sheetName val="M.O.  M3"/>
      <sheetName val="firmas"/>
    </sheetNames>
    <sheetDataSet>
      <sheetData sheetId="0" refreshError="1"/>
      <sheetData sheetId="1" refreshError="1"/>
      <sheetData sheetId="2" refreshError="1"/>
      <sheetData sheetId="3" refreshError="1"/>
      <sheetData sheetId="4" refreshError="1">
        <row r="6">
          <cell r="E6" t="str">
            <v/>
          </cell>
        </row>
        <row r="48">
          <cell r="J48" t="str">
            <v>--</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26">
          <cell r="A26" t="str">
            <v>--</v>
          </cell>
        </row>
        <row r="33">
          <cell r="A33" t="str">
            <v>VARGAS PABLO</v>
          </cell>
        </row>
        <row r="34">
          <cell r="A34" t="str">
            <v>CONTRERAS WILINTONG</v>
          </cell>
        </row>
        <row r="35">
          <cell r="A35" t="str">
            <v>--</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acion "/>
      <sheetName val="Desgaste"/>
      <sheetName val="Microdeval "/>
      <sheetName val="10% De Finos"/>
      <sheetName val="Solidez"/>
      <sheetName val="Desgaste "/>
      <sheetName val="LIMITES "/>
      <sheetName val="EQUIVALENTE"/>
      <sheetName val="TERRONES DE ARCILLA"/>
      <sheetName val="CF - IF "/>
      <sheetName val="ANGULARIDAD"/>
      <sheetName val="PROCTOR"/>
      <sheetName val=" CBR 1"/>
      <sheetName val=" CBR (2)"/>
      <sheetName val="firmas"/>
      <sheetName val="Hoja1"/>
    </sheetNames>
    <sheetDataSet>
      <sheetData sheetId="0">
        <row r="46">
          <cell r="I46" t="str">
            <v>--</v>
          </cell>
        </row>
      </sheetData>
      <sheetData sheetId="1">
        <row r="38">
          <cell r="F38" t="str">
            <v>--</v>
          </cell>
        </row>
      </sheetData>
      <sheetData sheetId="2">
        <row r="44">
          <cell r="I44" t="str">
            <v>--</v>
          </cell>
        </row>
      </sheetData>
      <sheetData sheetId="3">
        <row r="23">
          <cell r="D23" t="str">
            <v>--</v>
          </cell>
        </row>
      </sheetData>
      <sheetData sheetId="4">
        <row r="47">
          <cell r="H47" t="str">
            <v>--</v>
          </cell>
        </row>
      </sheetData>
      <sheetData sheetId="5">
        <row r="36">
          <cell r="F36" t="str">
            <v>MANCILLA EDGAR</v>
          </cell>
          <cell r="G36">
            <v>0</v>
          </cell>
          <cell r="H36">
            <v>0</v>
          </cell>
          <cell r="I36">
            <v>0</v>
          </cell>
          <cell r="J36">
            <v>0</v>
          </cell>
          <cell r="K36">
            <v>0</v>
          </cell>
          <cell r="L36">
            <v>0</v>
          </cell>
          <cell r="M36" t="str">
            <v>ARIAS JENNIFER</v>
          </cell>
          <cell r="N36">
            <v>0</v>
          </cell>
          <cell r="O36">
            <v>0</v>
          </cell>
          <cell r="P36">
            <v>0</v>
          </cell>
          <cell r="Q36">
            <v>0</v>
          </cell>
          <cell r="R36">
            <v>0</v>
          </cell>
          <cell r="S36">
            <v>0</v>
          </cell>
          <cell r="T36" t="str">
            <v>GAVIRIA SONIA</v>
          </cell>
          <cell r="U36">
            <v>0</v>
          </cell>
          <cell r="V36">
            <v>0</v>
          </cell>
          <cell r="W36">
            <v>0</v>
          </cell>
          <cell r="X36">
            <v>0</v>
          </cell>
          <cell r="Y36">
            <v>0</v>
          </cell>
          <cell r="Z36">
            <v>0</v>
          </cell>
        </row>
      </sheetData>
      <sheetData sheetId="6"/>
      <sheetData sheetId="7">
        <row r="29">
          <cell r="D29" t="str">
            <v>--</v>
          </cell>
        </row>
      </sheetData>
      <sheetData sheetId="8">
        <row r="27">
          <cell r="C27" t="str">
            <v>--</v>
          </cell>
        </row>
      </sheetData>
      <sheetData sheetId="9">
        <row r="43">
          <cell r="G43" t="str">
            <v>--</v>
          </cell>
        </row>
      </sheetData>
      <sheetData sheetId="10">
        <row r="29">
          <cell r="L29" t="str">
            <v>--</v>
          </cell>
        </row>
      </sheetData>
      <sheetData sheetId="11">
        <row r="42">
          <cell r="C42" t="str">
            <v>--</v>
          </cell>
        </row>
      </sheetData>
      <sheetData sheetId="12">
        <row r="55">
          <cell r="AL55" t="str">
            <v>--</v>
          </cell>
        </row>
      </sheetData>
      <sheetData sheetId="13">
        <row r="55">
          <cell r="C55" t="str">
            <v>--</v>
          </cell>
        </row>
      </sheetData>
      <sheetData sheetId="14">
        <row r="2">
          <cell r="A2" t="str">
            <v>CHAPARRO CARLOS</v>
          </cell>
          <cell r="C2">
            <v>2</v>
          </cell>
        </row>
        <row r="3">
          <cell r="A3" t="str">
            <v>CORDOBA ALEXANDER</v>
          </cell>
          <cell r="C3">
            <v>3</v>
          </cell>
        </row>
        <row r="4">
          <cell r="A4" t="str">
            <v>CRISTANCHO VICTOR</v>
          </cell>
          <cell r="C4">
            <v>7</v>
          </cell>
        </row>
        <row r="5">
          <cell r="A5" t="str">
            <v>DIAZ CESAR</v>
          </cell>
          <cell r="C5">
            <v>0</v>
          </cell>
        </row>
        <row r="6">
          <cell r="A6" t="str">
            <v>FLOREZ KAREN</v>
          </cell>
          <cell r="C6">
            <v>6</v>
          </cell>
        </row>
        <row r="7">
          <cell r="A7" t="str">
            <v>GALVIS DAVID</v>
          </cell>
          <cell r="C7">
            <v>4</v>
          </cell>
        </row>
        <row r="8">
          <cell r="A8" t="str">
            <v>ACHIARDI LEONARDO</v>
          </cell>
          <cell r="C8">
            <v>8</v>
          </cell>
        </row>
        <row r="9">
          <cell r="A9" t="str">
            <v>OSPINA JUAN GABRIEL</v>
          </cell>
          <cell r="C9">
            <v>0</v>
          </cell>
        </row>
        <row r="10">
          <cell r="A10" t="str">
            <v>SUAREZ  WILLIAM</v>
          </cell>
          <cell r="C10">
            <v>9</v>
          </cell>
        </row>
        <row r="11">
          <cell r="A11" t="str">
            <v>YARA FABIAN</v>
          </cell>
          <cell r="C11">
            <v>0</v>
          </cell>
        </row>
        <row r="12">
          <cell r="A12" t="str">
            <v>RINCON SATURNINO</v>
          </cell>
          <cell r="C12">
            <v>1</v>
          </cell>
        </row>
        <row r="13">
          <cell r="A13">
            <v>0</v>
          </cell>
          <cell r="C13">
            <v>0</v>
          </cell>
        </row>
        <row r="14">
          <cell r="A14" t="str">
            <v>ALBARRACIN JAIRO</v>
          </cell>
          <cell r="C14">
            <v>0</v>
          </cell>
        </row>
        <row r="15">
          <cell r="A15" t="str">
            <v>ALMONACID JIMMY</v>
          </cell>
          <cell r="C15">
            <v>0</v>
          </cell>
        </row>
        <row r="16">
          <cell r="A16" t="str">
            <v>CANO LUIS EDUARDO</v>
          </cell>
          <cell r="C16">
            <v>0</v>
          </cell>
        </row>
        <row r="17">
          <cell r="A17">
            <v>0</v>
          </cell>
          <cell r="C17">
            <v>0</v>
          </cell>
        </row>
        <row r="18">
          <cell r="A18" t="str">
            <v>GOMEZ LUIS CARLOS</v>
          </cell>
          <cell r="C18">
            <v>0</v>
          </cell>
        </row>
        <row r="19">
          <cell r="A19">
            <v>0</v>
          </cell>
          <cell r="C19">
            <v>0</v>
          </cell>
        </row>
        <row r="20">
          <cell r="A20" t="str">
            <v>PATIÑO MARLON</v>
          </cell>
          <cell r="C20">
            <v>0</v>
          </cell>
        </row>
        <row r="21">
          <cell r="A21" t="str">
            <v>PRIETO YULY PAOLA</v>
          </cell>
          <cell r="C21">
            <v>0</v>
          </cell>
        </row>
        <row r="22">
          <cell r="A22" t="str">
            <v>SASTOQUE CINDY</v>
          </cell>
          <cell r="C22">
            <v>0</v>
          </cell>
        </row>
        <row r="23">
          <cell r="A23" t="str">
            <v>TEUTA DIEGO</v>
          </cell>
          <cell r="C23">
            <v>0</v>
          </cell>
        </row>
        <row r="24">
          <cell r="A24" t="str">
            <v>VARGAS RODOLFO</v>
          </cell>
          <cell r="C24">
            <v>0</v>
          </cell>
        </row>
        <row r="25">
          <cell r="A25" t="str">
            <v>VILLANUEVA BRAYAN</v>
          </cell>
          <cell r="C25">
            <v>0</v>
          </cell>
        </row>
        <row r="26">
          <cell r="A26" t="str">
            <v>--</v>
          </cell>
          <cell r="C26">
            <v>0</v>
          </cell>
        </row>
        <row r="28">
          <cell r="A28" t="str">
            <v>ARIAS JENNIFER</v>
          </cell>
          <cell r="C28">
            <v>0</v>
          </cell>
        </row>
        <row r="29">
          <cell r="A29" t="str">
            <v>RINCON SATURNINO</v>
          </cell>
          <cell r="C29">
            <v>0</v>
          </cell>
        </row>
        <row r="30">
          <cell r="A30">
            <v>0</v>
          </cell>
          <cell r="C30">
            <v>1</v>
          </cell>
        </row>
        <row r="31">
          <cell r="A31" t="str">
            <v>--</v>
          </cell>
          <cell r="C31">
            <v>0</v>
          </cell>
        </row>
        <row r="33">
          <cell r="A33" t="str">
            <v xml:space="preserve">VARGAS PABLO </v>
          </cell>
          <cell r="C33">
            <v>0</v>
          </cell>
        </row>
        <row r="34">
          <cell r="A34" t="str">
            <v>RIVERA MERCY</v>
          </cell>
          <cell r="C34">
            <v>0</v>
          </cell>
        </row>
        <row r="35">
          <cell r="A35" t="str">
            <v>--</v>
          </cell>
          <cell r="C35">
            <v>0</v>
          </cell>
        </row>
      </sheetData>
      <sheetData sheetId="1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acion "/>
      <sheetName val="Desgaste"/>
      <sheetName val="Microdeval "/>
      <sheetName val="10% De Finos"/>
      <sheetName val="Solidez"/>
      <sheetName val="Desgaste "/>
      <sheetName val="LIMITES "/>
      <sheetName val="EQUIVALENTE"/>
      <sheetName val="TERRONES DE ARCILLA"/>
      <sheetName val="CF - IF "/>
      <sheetName val="ANGULARIDAD"/>
      <sheetName val="PROCTOR"/>
      <sheetName val=" CBR 1"/>
      <sheetName val=" CBR (2)"/>
      <sheetName val="firmas"/>
      <sheetName val="Hoja1"/>
    </sheetNames>
    <sheetDataSet>
      <sheetData sheetId="0">
        <row r="46">
          <cell r="I46" t="str">
            <v>--</v>
          </cell>
        </row>
      </sheetData>
      <sheetData sheetId="1">
        <row r="38">
          <cell r="F38" t="str">
            <v>--</v>
          </cell>
        </row>
      </sheetData>
      <sheetData sheetId="2">
        <row r="44">
          <cell r="I44" t="str">
            <v>--</v>
          </cell>
        </row>
      </sheetData>
      <sheetData sheetId="3">
        <row r="23">
          <cell r="D23" t="str">
            <v>--</v>
          </cell>
        </row>
      </sheetData>
      <sheetData sheetId="4">
        <row r="47">
          <cell r="H47" t="str">
            <v>--</v>
          </cell>
        </row>
      </sheetData>
      <sheetData sheetId="5">
        <row r="36">
          <cell r="F36" t="str">
            <v>MANCILLA EDGAR</v>
          </cell>
          <cell r="M36" t="str">
            <v>ARIAS JENNIFER</v>
          </cell>
          <cell r="T36" t="str">
            <v>GAVIRIA SONIA</v>
          </cell>
        </row>
      </sheetData>
      <sheetData sheetId="6">
        <row r="40">
          <cell r="L40">
            <v>25</v>
          </cell>
        </row>
      </sheetData>
      <sheetData sheetId="7">
        <row r="29">
          <cell r="D29" t="str">
            <v>--</v>
          </cell>
        </row>
      </sheetData>
      <sheetData sheetId="8">
        <row r="27">
          <cell r="C27" t="str">
            <v>--</v>
          </cell>
        </row>
      </sheetData>
      <sheetData sheetId="9">
        <row r="43">
          <cell r="G43" t="str">
            <v>--</v>
          </cell>
        </row>
      </sheetData>
      <sheetData sheetId="10">
        <row r="29">
          <cell r="L29" t="str">
            <v>--</v>
          </cell>
        </row>
      </sheetData>
      <sheetData sheetId="11">
        <row r="42">
          <cell r="C42" t="str">
            <v>--</v>
          </cell>
        </row>
      </sheetData>
      <sheetData sheetId="12">
        <row r="55">
          <cell r="AL55" t="str">
            <v>--</v>
          </cell>
        </row>
      </sheetData>
      <sheetData sheetId="13">
        <row r="55">
          <cell r="C55" t="str">
            <v>--</v>
          </cell>
        </row>
      </sheetData>
      <sheetData sheetId="14">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8">
          <cell r="A18" t="str">
            <v>GOMEZ LUIS CARLOS</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RINCON SATURNINO</v>
          </cell>
        </row>
        <row r="30">
          <cell r="C30">
            <v>1</v>
          </cell>
        </row>
        <row r="31">
          <cell r="A31" t="str">
            <v>--</v>
          </cell>
        </row>
        <row r="33">
          <cell r="A33" t="str">
            <v xml:space="preserve">VARGAS PABLO </v>
          </cell>
        </row>
        <row r="34">
          <cell r="A34" t="str">
            <v>RIVERA MERCY</v>
          </cell>
        </row>
        <row r="35">
          <cell r="A35" t="str">
            <v>--</v>
          </cell>
        </row>
      </sheetData>
      <sheetData sheetId="1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RESUMEN BG"/>
      <sheetName val="Gradacion "/>
      <sheetName val="Lavado tamiz N°200 "/>
      <sheetName val="LIMITES "/>
      <sheetName val="EQUIVALENTE "/>
      <sheetName val="M.O.  M1"/>
      <sheetName val="A"/>
      <sheetName val="Desgaste"/>
      <sheetName val="Microdeval "/>
      <sheetName val="10% De Finos"/>
      <sheetName val="LIMITES"/>
      <sheetName val="EQUIVALENTE"/>
      <sheetName val="TERRONES DE ARCILLA"/>
      <sheetName val="CF - IF "/>
      <sheetName val="PROCTOR"/>
      <sheetName val=" CBR 1"/>
      <sheetName val=" CBR (2)"/>
      <sheetName val="firma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2">
          <cell r="A2" t="str">
            <v>CHAPARRO CARLOS</v>
          </cell>
        </row>
        <row r="28">
          <cell r="A28" t="str">
            <v>RINCON SATURNINO</v>
          </cell>
          <cell r="C28">
            <v>1</v>
          </cell>
        </row>
        <row r="29">
          <cell r="A29" t="str">
            <v xml:space="preserve">VARGAS PABLO </v>
          </cell>
        </row>
        <row r="30">
          <cell r="A30" t="str">
            <v>--</v>
          </cell>
          <cell r="C30">
            <v>1</v>
          </cell>
        </row>
        <row r="31">
          <cell r="A31" t="str">
            <v>--</v>
          </cell>
        </row>
        <row r="33">
          <cell r="A33" t="str">
            <v xml:space="preserve">VARGAS PABLO </v>
          </cell>
        </row>
        <row r="34">
          <cell r="A34" t="str">
            <v xml:space="preserve">CONTRERAS WILINTONG </v>
          </cell>
        </row>
        <row r="35">
          <cell r="A35" t="str">
            <v>--</v>
          </cell>
        </row>
      </sheetData>
      <sheetData sheetId="1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CIONES USC"/>
      <sheetName val="PERFIL ESTRATIGRAFICO"/>
      <sheetName val="REG FOTOGRAFICO"/>
      <sheetName val="CONO DINAMICO"/>
      <sheetName val="CLASIFICACION M1"/>
      <sheetName val="LIMITES M1"/>
      <sheetName val="HUMEDAD M1"/>
      <sheetName val="EQUIVALENTE"/>
      <sheetName val="M.O.  M1"/>
      <sheetName val="CLASIFICACION M2"/>
      <sheetName val="LIMITES M2"/>
      <sheetName val="HUMEDAD 2"/>
      <sheetName val="EQUIVALENTE M2"/>
      <sheetName val="M.O.  M2"/>
      <sheetName val="CLASIFICACION M3"/>
      <sheetName val="LIMITES M3"/>
      <sheetName val="HUMEDAD 3"/>
      <sheetName val="EQUIVALENTE M3"/>
      <sheetName val="M.O.  M3"/>
      <sheetName val="firmas"/>
      <sheetName val="Gradacion "/>
    </sheetNames>
    <sheetDataSet>
      <sheetData sheetId="0"/>
      <sheetData sheetId="1">
        <row r="6">
          <cell r="C6">
            <v>0</v>
          </cell>
        </row>
      </sheetData>
      <sheetData sheetId="2">
        <row r="7">
          <cell r="O7" t="str">
            <v/>
          </cell>
        </row>
      </sheetData>
      <sheetData sheetId="3">
        <row r="57">
          <cell r="C57" t="str">
            <v>TEUTA DIEGO</v>
          </cell>
        </row>
      </sheetData>
      <sheetData sheetId="4">
        <row r="7">
          <cell r="O7" t="str">
            <v/>
          </cell>
        </row>
      </sheetData>
      <sheetData sheetId="5">
        <row r="40">
          <cell r="L40">
            <v>25</v>
          </cell>
        </row>
      </sheetData>
      <sheetData sheetId="6"/>
      <sheetData sheetId="7"/>
      <sheetData sheetId="8">
        <row r="29">
          <cell r="C29" t="str">
            <v>--</v>
          </cell>
        </row>
      </sheetData>
      <sheetData sheetId="9"/>
      <sheetData sheetId="10"/>
      <sheetData sheetId="11"/>
      <sheetData sheetId="12"/>
      <sheetData sheetId="13">
        <row r="29">
          <cell r="C29" t="str">
            <v>--</v>
          </cell>
          <cell r="F29" t="str">
            <v>--</v>
          </cell>
          <cell r="I29" t="str">
            <v>--</v>
          </cell>
        </row>
      </sheetData>
      <sheetData sheetId="14"/>
      <sheetData sheetId="15">
        <row r="52">
          <cell r="C52" t="str">
            <v>--</v>
          </cell>
        </row>
      </sheetData>
      <sheetData sheetId="16"/>
      <sheetData sheetId="17"/>
      <sheetData sheetId="18">
        <row r="29">
          <cell r="C29" t="str">
            <v>--</v>
          </cell>
          <cell r="F29" t="str">
            <v>--</v>
          </cell>
          <cell r="I29" t="str">
            <v>--</v>
          </cell>
        </row>
      </sheetData>
      <sheetData sheetId="19">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7">
          <cell r="A17" t="str">
            <v>GOMEZ LUIS CARLOS</v>
          </cell>
        </row>
        <row r="18">
          <cell r="A18" t="str">
            <v>TEUTA DIEGO</v>
          </cell>
        </row>
        <row r="19">
          <cell r="A19" t="str">
            <v>VARGAS RODOLFO</v>
          </cell>
        </row>
        <row r="20">
          <cell r="A20" t="str">
            <v>VILLANUEVA BRAYAN</v>
          </cell>
        </row>
        <row r="21">
          <cell r="A21" t="str">
            <v xml:space="preserve">MOLINA JOSE </v>
          </cell>
        </row>
        <row r="22">
          <cell r="A22" t="str">
            <v>RINCON JOSE</v>
          </cell>
        </row>
        <row r="23">
          <cell r="A23" t="str">
            <v>ARANDA EDWIN</v>
          </cell>
        </row>
        <row r="24">
          <cell r="A24" t="str">
            <v>--</v>
          </cell>
        </row>
        <row r="26">
          <cell r="A26" t="str">
            <v>ARIAS JENNIFER</v>
          </cell>
          <cell r="B26" t="str">
            <v>Analista  técnico</v>
          </cell>
        </row>
        <row r="27">
          <cell r="A27" t="str">
            <v xml:space="preserve">VARGAS PABLO </v>
          </cell>
          <cell r="B27" t="str">
            <v>Coordinador técnico</v>
          </cell>
        </row>
        <row r="28">
          <cell r="A28" t="str">
            <v>--</v>
          </cell>
          <cell r="C28">
            <v>1</v>
          </cell>
        </row>
        <row r="29">
          <cell r="A29" t="str">
            <v>--</v>
          </cell>
        </row>
        <row r="31">
          <cell r="A31" t="str">
            <v xml:space="preserve">VARGAS PABLO </v>
          </cell>
        </row>
        <row r="32">
          <cell r="A32" t="str">
            <v>CONTRERAS WILINTONG</v>
          </cell>
        </row>
        <row r="33">
          <cell r="A33" t="str">
            <v>--</v>
          </cell>
        </row>
      </sheetData>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s>
    <sheetDataSet>
      <sheetData sheetId="0"/>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mas"/>
    </sheetNames>
    <sheetDataSet>
      <sheetData sheetId="0">
        <row r="2">
          <cell r="A2" t="str">
            <v>CHAPARRO CARLOS</v>
          </cell>
        </row>
        <row r="3">
          <cell r="A3" t="str">
            <v>CORDOBA ALEXANDER</v>
          </cell>
        </row>
        <row r="4">
          <cell r="A4" t="str">
            <v>CRISTANCHO VICTOR</v>
          </cell>
        </row>
        <row r="5">
          <cell r="A5" t="str">
            <v>DIAZ CESAR</v>
          </cell>
        </row>
        <row r="6">
          <cell r="A6" t="str">
            <v>FLOREZ KAREN</v>
          </cell>
        </row>
        <row r="7">
          <cell r="A7" t="str">
            <v>GALVIS DAVID</v>
          </cell>
        </row>
        <row r="8">
          <cell r="A8" t="str">
            <v>MANCILLA EDGAR</v>
          </cell>
        </row>
        <row r="9">
          <cell r="A9" t="str">
            <v>OSPINA JUAN GABRIEL</v>
          </cell>
        </row>
        <row r="10">
          <cell r="A10" t="str">
            <v>SUAREZ  WILLIAM</v>
          </cell>
        </row>
        <row r="11">
          <cell r="A11" t="str">
            <v>YARA FABIAN</v>
          </cell>
          <cell r="B11" t="str">
            <v>Laboratorista</v>
          </cell>
        </row>
        <row r="12">
          <cell r="A12" t="str">
            <v>RINCON SATURNINO</v>
          </cell>
          <cell r="B12" t="str">
            <v>Coordinador Operativo</v>
          </cell>
        </row>
        <row r="13">
          <cell r="A13" t="str">
            <v>ACHIARDI LEONARDO</v>
          </cell>
          <cell r="B13" t="str">
            <v>Auxiliar</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cell r="B28" t="str">
            <v>Analista  técnico</v>
          </cell>
        </row>
        <row r="29">
          <cell r="A29" t="str">
            <v>ARIAS JEIMY</v>
          </cell>
          <cell r="B29" t="str">
            <v>Analista  administrativo</v>
          </cell>
        </row>
        <row r="30">
          <cell r="A30" t="str">
            <v>RINCON SATURNINO</v>
          </cell>
          <cell r="B30" t="str">
            <v>Coordinador operativo</v>
          </cell>
        </row>
        <row r="31">
          <cell r="A31" t="str">
            <v>--</v>
          </cell>
        </row>
        <row r="33">
          <cell r="A33" t="str">
            <v>GAVIRIA SONIA</v>
          </cell>
        </row>
        <row r="34">
          <cell r="A34" t="str">
            <v>RIVERA MERCY</v>
          </cell>
        </row>
        <row r="35">
          <cell r="A35" t="str">
            <v>--</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 223-13 "/>
      <sheetName val="firmas"/>
    </sheetNames>
    <sheetDataSet>
      <sheetData sheetId="0"/>
      <sheetData sheetId="1">
        <row r="2">
          <cell r="A2" t="str">
            <v>CHAPARRO CARLOS</v>
          </cell>
        </row>
        <row r="3">
          <cell r="A3" t="str">
            <v>CORDOBA ALEXANDER</v>
          </cell>
        </row>
        <row r="4">
          <cell r="A4" t="str">
            <v>CRISTANCHO VICTOR</v>
          </cell>
        </row>
        <row r="5">
          <cell r="A5" t="str">
            <v>DIAZ CESAR</v>
          </cell>
        </row>
        <row r="6">
          <cell r="A6" t="str">
            <v>FLOREZ KAREN</v>
          </cell>
        </row>
        <row r="7">
          <cell r="A7" t="str">
            <v>GALVIS DAVID</v>
          </cell>
        </row>
        <row r="8">
          <cell r="A8" t="str">
            <v>MANCILLA EDGAR</v>
          </cell>
        </row>
        <row r="9">
          <cell r="A9" t="str">
            <v>OSPINA JUAN GABRIEL</v>
          </cell>
        </row>
        <row r="10">
          <cell r="A10" t="str">
            <v>SUAREZ  WILLIAM</v>
          </cell>
        </row>
        <row r="11">
          <cell r="A11" t="str">
            <v>YARA FABIAN</v>
          </cell>
          <cell r="B11" t="str">
            <v>Laboratorista</v>
          </cell>
        </row>
        <row r="12">
          <cell r="A12" t="str">
            <v>RINCON SATURNINO</v>
          </cell>
          <cell r="B12" t="str">
            <v>Coordinador Operativo</v>
          </cell>
        </row>
        <row r="13">
          <cell r="A13" t="str">
            <v>ACHIARDI LEONARDO</v>
          </cell>
          <cell r="B13" t="str">
            <v>Auxiliar</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cell r="B28" t="str">
            <v>Analista  técnico</v>
          </cell>
        </row>
        <row r="29">
          <cell r="A29" t="str">
            <v>ARIAS JEIMY</v>
          </cell>
          <cell r="B29" t="str">
            <v>Analista  administrativo</v>
          </cell>
        </row>
        <row r="30">
          <cell r="A30" t="str">
            <v>RINCON SATURNINO</v>
          </cell>
          <cell r="B30" t="str">
            <v>Coordinador operativo</v>
          </cell>
        </row>
        <row r="31">
          <cell r="A31" t="str">
            <v>--</v>
          </cell>
        </row>
        <row r="33">
          <cell r="A33" t="str">
            <v>GAVIRIA SONIA</v>
          </cell>
        </row>
        <row r="34">
          <cell r="A34" t="str">
            <v>RIVERA MERCY</v>
          </cell>
        </row>
        <row r="35">
          <cell r="A35" t="str">
            <v>--</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Gradacion "/>
      <sheetName val="Desgaste"/>
      <sheetName val="Microdeval "/>
      <sheetName val="10% De Finos"/>
      <sheetName val=" HUMEDAD"/>
      <sheetName val="Solidez"/>
      <sheetName val="LIMITES"/>
      <sheetName val="EQUIVALENTE"/>
      <sheetName val="TERRONES DE ARCILLA"/>
      <sheetName val="Lavado tamiz N°200"/>
      <sheetName val="INV 222-13"/>
      <sheetName val="GRAVEDAD"/>
      <sheetName val="COLORIMETRIA"/>
      <sheetName val="CF - IF "/>
      <sheetName val="ANGULARIDAD"/>
      <sheetName val="PROCTOR"/>
      <sheetName val=" CBR 1"/>
      <sheetName val=" CBR (2)"/>
      <sheetName val="firmas"/>
      <sheetName val="Hoja1"/>
      <sheetName val="012-019 (2)"/>
      <sheetName val="012-020 (1)"/>
      <sheetName val="012-020 (2)"/>
      <sheetName val="012-020 (6)"/>
      <sheetName val="012-029 (1)"/>
      <sheetName val="012-029 (2)"/>
      <sheetName val="012-030"/>
      <sheetName val="012-033"/>
      <sheetName val="012-034"/>
      <sheetName val="012-03"/>
      <sheetName val="012-107"/>
      <sheetName val="012-10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
          <cell r="A2" t="str">
            <v>CHAPARRO CARLOS</v>
          </cell>
        </row>
        <row r="3">
          <cell r="A3" t="str">
            <v>CORDOBA ALEXANDER</v>
          </cell>
        </row>
        <row r="4">
          <cell r="A4" t="str">
            <v>CRISTANCHO VICTOR</v>
          </cell>
        </row>
        <row r="5">
          <cell r="A5" t="str">
            <v>DIAZ CESAR</v>
          </cell>
        </row>
        <row r="6">
          <cell r="A6" t="str">
            <v>FLOREZ KAREN</v>
          </cell>
        </row>
        <row r="7">
          <cell r="A7" t="str">
            <v>GALVIS DAVID</v>
          </cell>
        </row>
        <row r="8">
          <cell r="A8" t="str">
            <v>MANCILLA EDGAR</v>
          </cell>
        </row>
        <row r="9">
          <cell r="A9" t="str">
            <v>OSPINA JUAN GABRIEL</v>
          </cell>
        </row>
        <row r="10">
          <cell r="A10" t="str">
            <v>SUAREZ  WILLIAM</v>
          </cell>
        </row>
        <row r="11">
          <cell r="A11" t="str">
            <v>YARA FABIAN</v>
          </cell>
          <cell r="B11" t="str">
            <v>Laboratorista</v>
          </cell>
        </row>
        <row r="12">
          <cell r="A12" t="str">
            <v>RINCON SATURNINO</v>
          </cell>
          <cell r="B12" t="str">
            <v>Coordinador Operativo</v>
          </cell>
        </row>
        <row r="13">
          <cell r="A13" t="str">
            <v>ACHIARDI LEONARDO</v>
          </cell>
          <cell r="B13" t="str">
            <v>Auxiliar</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cell r="B28" t="str">
            <v>Analista  técnico</v>
          </cell>
        </row>
        <row r="29">
          <cell r="A29" t="str">
            <v>ARIAS JEIMY</v>
          </cell>
          <cell r="B29" t="str">
            <v>Analista  administrativo</v>
          </cell>
        </row>
        <row r="30">
          <cell r="A30" t="str">
            <v>RINCON SATURNINO</v>
          </cell>
          <cell r="B30" t="str">
            <v>Coordinador operativo</v>
          </cell>
        </row>
        <row r="31">
          <cell r="A31" t="str">
            <v>--</v>
          </cell>
        </row>
        <row r="33">
          <cell r="A33" t="str">
            <v>GAVIRIA SONIA</v>
          </cell>
        </row>
        <row r="34">
          <cell r="A34" t="str">
            <v>RIVERA MERCY</v>
          </cell>
        </row>
        <row r="35">
          <cell r="A35" t="str">
            <v>--</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Gradacion "/>
      <sheetName val="Desgaste"/>
      <sheetName val="Microdeval "/>
      <sheetName val="10% De Finos"/>
      <sheetName val=" HUMEDAD"/>
      <sheetName val="Solidez"/>
      <sheetName val="LIMITES"/>
      <sheetName val="EQUIVALENTE"/>
      <sheetName val="TERRONES DE ARCILLA"/>
      <sheetName val="Lavado tamiz N°200"/>
      <sheetName val="INV 222-13"/>
      <sheetName val="GRAVEDAD"/>
      <sheetName val="COLORIMETRIA"/>
      <sheetName val="CF - IF "/>
      <sheetName val="ANGULARIDAD"/>
      <sheetName val="PROCTOR"/>
      <sheetName val=" CBR 1"/>
      <sheetName val=" CBR (2)"/>
      <sheetName val="firma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A2" t="str">
            <v>CHAPARRO CARLOS</v>
          </cell>
        </row>
        <row r="11">
          <cell r="B11" t="str">
            <v>Laboratorista</v>
          </cell>
        </row>
        <row r="12">
          <cell r="B12" t="str">
            <v>Coordinador Operativo</v>
          </cell>
        </row>
        <row r="13">
          <cell r="B13" t="str">
            <v>Auxiliar</v>
          </cell>
        </row>
        <row r="28">
          <cell r="B28" t="str">
            <v>Analista  técnico</v>
          </cell>
        </row>
        <row r="29">
          <cell r="B29" t="str">
            <v>Analista  administrativo</v>
          </cell>
        </row>
        <row r="30">
          <cell r="B30" t="str">
            <v>Coordinador operativo</v>
          </cell>
        </row>
      </sheetData>
      <sheetData sheetId="2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mas"/>
    </sheetNames>
    <sheetDataSet>
      <sheetData sheetId="0">
        <row r="2">
          <cell r="A2" t="str">
            <v>CHAPARRO CARLOS</v>
          </cell>
        </row>
        <row r="11">
          <cell r="B11" t="str">
            <v>Laboratorista</v>
          </cell>
        </row>
        <row r="12">
          <cell r="B12" t="str">
            <v>Coordinador Operativo</v>
          </cell>
        </row>
        <row r="13">
          <cell r="B13" t="str">
            <v>Auxiliar</v>
          </cell>
        </row>
        <row r="28">
          <cell r="B28" t="str">
            <v>Analista  técnico</v>
          </cell>
        </row>
        <row r="29">
          <cell r="B29" t="str">
            <v>Analista  administrativo</v>
          </cell>
        </row>
        <row r="30">
          <cell r="B30" t="str">
            <v>Coordinador operativo</v>
          </cell>
        </row>
      </sheetData>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gaste  INV E - 219 "/>
      <sheetName val="firmas"/>
    </sheetNames>
    <sheetDataSet>
      <sheetData sheetId="0"/>
      <sheetData sheetId="1">
        <row r="2">
          <cell r="A2" t="str">
            <v>CHAPARRO CARLOS</v>
          </cell>
        </row>
        <row r="28">
          <cell r="B28" t="str">
            <v>Analista  técnico</v>
          </cell>
        </row>
        <row r="29">
          <cell r="B29" t="str">
            <v>Analista  administrativo</v>
          </cell>
        </row>
        <row r="30">
          <cell r="B30" t="str">
            <v>Coordinador operativo</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MEDAD "/>
      <sheetName val="firmas"/>
    </sheetNames>
    <sheetDataSet>
      <sheetData sheetId="0"/>
      <sheetData sheetId="1">
        <row r="2">
          <cell r="A2" t="str">
            <v>CHAPARRO CARLOS</v>
          </cell>
        </row>
        <row r="28">
          <cell r="A28" t="str">
            <v>ARIAS JENNIFER</v>
          </cell>
        </row>
        <row r="29">
          <cell r="A29" t="str">
            <v>RINCON SATURNINO</v>
          </cell>
        </row>
        <row r="30">
          <cell r="C30">
            <v>1</v>
          </cell>
        </row>
        <row r="31">
          <cell r="A31" t="str">
            <v>--</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BG"/>
      <sheetName val="Gradacion "/>
      <sheetName val="Desgaste"/>
      <sheetName val="Microdeval "/>
      <sheetName val="10% De Finos"/>
      <sheetName val="Solidez"/>
      <sheetName val="LIMITES"/>
      <sheetName val="EQUIVALENTE"/>
      <sheetName val="TERRONES DE ARCILLA"/>
      <sheetName val="CF - IF "/>
      <sheetName val="ANGULARIDAD"/>
      <sheetName val="PROCTOR"/>
      <sheetName val=" CBR 1"/>
      <sheetName val=" CBR (2)"/>
      <sheetName val="firmas"/>
      <sheetName val="Hoja1"/>
    </sheetNames>
    <sheetDataSet>
      <sheetData sheetId="0">
        <row r="43">
          <cell r="G43" t="str">
            <v>--</v>
          </cell>
        </row>
      </sheetData>
      <sheetData sheetId="1">
        <row r="9">
          <cell r="AB9">
            <v>0</v>
          </cell>
        </row>
        <row r="14">
          <cell r="A14">
            <v>0</v>
          </cell>
          <cell r="U14">
            <v>0</v>
          </cell>
          <cell r="Y14">
            <v>0</v>
          </cell>
          <cell r="AC14">
            <v>0</v>
          </cell>
        </row>
        <row r="15">
          <cell r="A15">
            <v>0</v>
          </cell>
          <cell r="U15">
            <v>0</v>
          </cell>
          <cell r="Y15">
            <v>0</v>
          </cell>
          <cell r="AC15">
            <v>0</v>
          </cell>
        </row>
        <row r="16">
          <cell r="A16">
            <v>0</v>
          </cell>
          <cell r="U16">
            <v>0</v>
          </cell>
          <cell r="Y16">
            <v>0</v>
          </cell>
          <cell r="AC16">
            <v>0</v>
          </cell>
        </row>
        <row r="17">
          <cell r="A17">
            <v>0</v>
          </cell>
          <cell r="U17">
            <v>0</v>
          </cell>
          <cell r="Y17">
            <v>0</v>
          </cell>
          <cell r="AC17">
            <v>0</v>
          </cell>
        </row>
        <row r="18">
          <cell r="A18">
            <v>0</v>
          </cell>
          <cell r="U18">
            <v>0</v>
          </cell>
          <cell r="Y18">
            <v>0</v>
          </cell>
          <cell r="AC18">
            <v>0</v>
          </cell>
        </row>
        <row r="19">
          <cell r="A19">
            <v>0</v>
          </cell>
          <cell r="U19">
            <v>0</v>
          </cell>
          <cell r="Y19">
            <v>0</v>
          </cell>
          <cell r="AC19">
            <v>0</v>
          </cell>
        </row>
        <row r="20">
          <cell r="A20">
            <v>0</v>
          </cell>
          <cell r="U20">
            <v>0</v>
          </cell>
          <cell r="Y20">
            <v>0</v>
          </cell>
          <cell r="AC20">
            <v>0</v>
          </cell>
        </row>
        <row r="21">
          <cell r="A21">
            <v>0</v>
          </cell>
          <cell r="U21">
            <v>0</v>
          </cell>
          <cell r="Y21">
            <v>0</v>
          </cell>
          <cell r="AC21">
            <v>0</v>
          </cell>
        </row>
        <row r="22">
          <cell r="A22">
            <v>0</v>
          </cell>
          <cell r="U22">
            <v>0</v>
          </cell>
          <cell r="Y22">
            <v>0</v>
          </cell>
          <cell r="AC22">
            <v>0</v>
          </cell>
        </row>
        <row r="23">
          <cell r="A23">
            <v>0</v>
          </cell>
          <cell r="U23">
            <v>0</v>
          </cell>
          <cell r="Y23">
            <v>0</v>
          </cell>
          <cell r="AC23">
            <v>0</v>
          </cell>
        </row>
        <row r="34">
          <cell r="AM34" t="str">
            <v>Limite inferior</v>
          </cell>
          <cell r="AN34" t="str">
            <v>Limite superior</v>
          </cell>
        </row>
      </sheetData>
      <sheetData sheetId="2">
        <row r="38">
          <cell r="F38" t="str">
            <v>--</v>
          </cell>
        </row>
      </sheetData>
      <sheetData sheetId="3">
        <row r="44">
          <cell r="I44" t="str">
            <v>--</v>
          </cell>
        </row>
      </sheetData>
      <sheetData sheetId="4">
        <row r="23">
          <cell r="D23" t="str">
            <v>--</v>
          </cell>
        </row>
      </sheetData>
      <sheetData sheetId="5">
        <row r="47">
          <cell r="H47" t="str">
            <v>--</v>
          </cell>
        </row>
      </sheetData>
      <sheetData sheetId="6">
        <row r="47">
          <cell r="C47" t="str">
            <v>--</v>
          </cell>
        </row>
      </sheetData>
      <sheetData sheetId="7">
        <row r="29">
          <cell r="D29" t="str">
            <v>--</v>
          </cell>
        </row>
      </sheetData>
      <sheetData sheetId="8">
        <row r="27">
          <cell r="C27" t="str">
            <v>--</v>
          </cell>
        </row>
      </sheetData>
      <sheetData sheetId="9">
        <row r="43">
          <cell r="G43" t="str">
            <v>--</v>
          </cell>
        </row>
      </sheetData>
      <sheetData sheetId="10">
        <row r="29">
          <cell r="L29" t="str">
            <v>--</v>
          </cell>
        </row>
      </sheetData>
      <sheetData sheetId="11">
        <row r="42">
          <cell r="C42" t="str">
            <v>--</v>
          </cell>
        </row>
      </sheetData>
      <sheetData sheetId="12">
        <row r="55">
          <cell r="AL55" t="str">
            <v>--</v>
          </cell>
        </row>
      </sheetData>
      <sheetData sheetId="13">
        <row r="55">
          <cell r="C55" t="str">
            <v>--</v>
          </cell>
        </row>
      </sheetData>
      <sheetData sheetId="14">
        <row r="2">
          <cell r="A2" t="str">
            <v>CHAPARRO CARLOS</v>
          </cell>
        </row>
      </sheetData>
      <sheetData sheetId="15"/>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Encabezado"/>
      <sheetName val="RESUMEN "/>
      <sheetName val="4. W M1 "/>
      <sheetName val="Gradacion "/>
      <sheetName val="Lavado tamiz N°200 "/>
      <sheetName val="TERRONES DE ARCILLA (2)"/>
      <sheetName val="5. Limites M1"/>
      <sheetName val="7. E.A. M1"/>
      <sheetName val="COLORIMETRIA"/>
      <sheetName val="Solidez"/>
      <sheetName val="INV 222-13 "/>
      <sheetName val="GRAVEDAD (2)"/>
    </sheetNames>
    <sheetDataSet>
      <sheetData sheetId="0">
        <row r="10">
          <cell r="AB10">
            <v>11</v>
          </cell>
        </row>
      </sheetData>
      <sheetData sheetId="1"/>
      <sheetData sheetId="2"/>
      <sheetData sheetId="3"/>
      <sheetData sheetId="4"/>
      <sheetData sheetId="5"/>
      <sheetData sheetId="6"/>
      <sheetData sheetId="7"/>
      <sheetData sheetId="8"/>
      <sheetData sheetId="9"/>
      <sheetData sheetId="10">
        <row r="21">
          <cell r="N21" t="str">
            <v/>
          </cell>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
      <sheetName val="Recipiente"/>
      <sheetName val="Guia rec."/>
      <sheetName val="MEZCLAS"/>
      <sheetName val="Módulo1"/>
      <sheetName val="Módulo11"/>
      <sheetName val="2-6"/>
      <sheetName val="LIMITE"/>
      <sheetName val="Hoja1"/>
      <sheetName val="CLAS-BOG"/>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Desgaste"/>
      <sheetName val="Microdeval "/>
      <sheetName val="10% De Finos"/>
      <sheetName val=" HUMEDAD"/>
      <sheetName val="Gradacion "/>
      <sheetName val="HUMEDAD "/>
      <sheetName val="Solidez"/>
      <sheetName val="LIMITES "/>
      <sheetName val="EQUIVALENTE"/>
      <sheetName val="TERRONES DE ARCILLA "/>
      <sheetName val="Lavado tamiz N°200"/>
      <sheetName val="INV 222-13 "/>
      <sheetName val="GRAVEDAD"/>
      <sheetName val="COLORIMETRIA"/>
      <sheetName val="CF - IF "/>
      <sheetName val="ANGULARIDAD"/>
      <sheetName val="PROCTOR"/>
      <sheetName val=" CBR 1"/>
      <sheetName val=" CBR (2)"/>
      <sheetName val="firmas"/>
      <sheetName val="Hoja1"/>
    </sheetNames>
    <sheetDataSet>
      <sheetData sheetId="0">
        <row r="50">
          <cell r="G50" t="str">
            <v>--</v>
          </cell>
        </row>
      </sheetData>
      <sheetData sheetId="1">
        <row r="38">
          <cell r="F38" t="str">
            <v>--</v>
          </cell>
        </row>
      </sheetData>
      <sheetData sheetId="2">
        <row r="44">
          <cell r="I44" t="str">
            <v>--</v>
          </cell>
        </row>
      </sheetData>
      <sheetData sheetId="3">
        <row r="23">
          <cell r="D23" t="str">
            <v>--</v>
          </cell>
        </row>
      </sheetData>
      <sheetData sheetId="4"/>
      <sheetData sheetId="5"/>
      <sheetData sheetId="6"/>
      <sheetData sheetId="7">
        <row r="47">
          <cell r="H47" t="str">
            <v>--</v>
          </cell>
        </row>
      </sheetData>
      <sheetData sheetId="8"/>
      <sheetData sheetId="9"/>
      <sheetData sheetId="10"/>
      <sheetData sheetId="11">
        <row r="22">
          <cell r="E22" t="str">
            <v>--</v>
          </cell>
        </row>
      </sheetData>
      <sheetData sheetId="12">
        <row r="45">
          <cell r="AA45" t="str">
            <v>--</v>
          </cell>
        </row>
      </sheetData>
      <sheetData sheetId="13"/>
      <sheetData sheetId="14">
        <row r="31">
          <cell r="D31" t="str">
            <v>--</v>
          </cell>
        </row>
      </sheetData>
      <sheetData sheetId="15"/>
      <sheetData sheetId="16">
        <row r="29">
          <cell r="L29" t="str">
            <v>--</v>
          </cell>
        </row>
      </sheetData>
      <sheetData sheetId="17">
        <row r="42">
          <cell r="C42" t="str">
            <v>--</v>
          </cell>
        </row>
      </sheetData>
      <sheetData sheetId="18">
        <row r="55">
          <cell r="AL55" t="str">
            <v>--</v>
          </cell>
        </row>
      </sheetData>
      <sheetData sheetId="19">
        <row r="55">
          <cell r="C55" t="str">
            <v>--</v>
          </cell>
        </row>
      </sheetData>
      <sheetData sheetId="20">
        <row r="2">
          <cell r="A2" t="str">
            <v>CHAPARRO CARLOS</v>
          </cell>
        </row>
        <row r="33">
          <cell r="A33" t="str">
            <v xml:space="preserve">VARGAS PABLO </v>
          </cell>
        </row>
        <row r="34">
          <cell r="A34" t="str">
            <v xml:space="preserve">CONTRERAS WILINTONG </v>
          </cell>
        </row>
        <row r="35">
          <cell r="A35" t="str">
            <v>--</v>
          </cell>
        </row>
      </sheetData>
      <sheetData sheetId="2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Gradacion "/>
      <sheetName val="Desgaste"/>
      <sheetName val="Microdeval "/>
      <sheetName val="10% De Finos"/>
      <sheetName val=" HUMEDAD"/>
      <sheetName val="HUMEDAD"/>
      <sheetName val="Solidez"/>
      <sheetName val="LIMITES"/>
      <sheetName val="EQUIVALENTE"/>
      <sheetName val="TERRONES DE ARCILLA"/>
      <sheetName val="Lavado tamiz N°200"/>
      <sheetName val="INV 222-13"/>
      <sheetName val="GRAVEDAD"/>
      <sheetName val="COLORIMETRIA"/>
      <sheetName val="CF - IF "/>
      <sheetName val="ANGULARIDAD"/>
      <sheetName val="PROCTOR"/>
      <sheetName val=" CBR 1"/>
      <sheetName val=" CBR (2)"/>
      <sheetName val="firmas"/>
      <sheetName val="Hoja1"/>
      <sheetName val="RESUMEN BG"/>
      <sheetName val="A"/>
    </sheetNames>
    <sheetDataSet>
      <sheetData sheetId="0">
        <row r="46">
          <cell r="G46" t="str">
            <v>--</v>
          </cell>
          <cell r="P46" t="str">
            <v>--</v>
          </cell>
          <cell r="V46" t="str">
            <v>--</v>
          </cell>
        </row>
        <row r="50">
          <cell r="G50" t="str">
            <v>--</v>
          </cell>
          <cell r="P50" t="str">
            <v>--</v>
          </cell>
          <cell r="V50" t="str">
            <v>--</v>
          </cell>
        </row>
      </sheetData>
      <sheetData sheetId="1">
        <row r="11">
          <cell r="I11" t="str">
            <v/>
          </cell>
        </row>
        <row r="35">
          <cell r="AJ35" t="str">
            <v/>
          </cell>
        </row>
        <row r="36">
          <cell r="AJ36" t="str">
            <v/>
          </cell>
        </row>
        <row r="37">
          <cell r="AJ37" t="str">
            <v/>
          </cell>
        </row>
        <row r="38">
          <cell r="AJ38" t="str">
            <v/>
          </cell>
        </row>
        <row r="39">
          <cell r="AJ39" t="str">
            <v/>
          </cell>
        </row>
        <row r="40">
          <cell r="AJ40" t="str">
            <v/>
          </cell>
        </row>
        <row r="41">
          <cell r="AJ41" t="str">
            <v/>
          </cell>
        </row>
        <row r="42">
          <cell r="AJ42" t="str">
            <v/>
          </cell>
        </row>
        <row r="43">
          <cell r="AJ43" t="str">
            <v/>
          </cell>
        </row>
        <row r="44">
          <cell r="AJ44" t="str">
            <v/>
          </cell>
        </row>
        <row r="46">
          <cell r="I46" t="str">
            <v>--</v>
          </cell>
          <cell r="Q46" t="str">
            <v>--</v>
          </cell>
          <cell r="Y46" t="str">
            <v>--</v>
          </cell>
        </row>
      </sheetData>
      <sheetData sheetId="2">
        <row r="38">
          <cell r="F38" t="str">
            <v>--</v>
          </cell>
          <cell r="L38" t="str">
            <v>--</v>
          </cell>
          <cell r="T38" t="str">
            <v>--</v>
          </cell>
        </row>
      </sheetData>
      <sheetData sheetId="3">
        <row r="44">
          <cell r="I44" t="str">
            <v>--</v>
          </cell>
          <cell r="R44" t="str">
            <v>--</v>
          </cell>
          <cell r="AC44" t="str">
            <v>--</v>
          </cell>
        </row>
      </sheetData>
      <sheetData sheetId="4">
        <row r="23">
          <cell r="D23" t="str">
            <v>--</v>
          </cell>
          <cell r="F23" t="str">
            <v>--</v>
          </cell>
          <cell r="I23" t="str">
            <v>--</v>
          </cell>
        </row>
      </sheetData>
      <sheetData sheetId="5"/>
      <sheetData sheetId="6">
        <row r="26">
          <cell r="H26" t="str">
            <v/>
          </cell>
        </row>
      </sheetData>
      <sheetData sheetId="7">
        <row r="27">
          <cell r="U27" t="str">
            <v/>
          </cell>
        </row>
        <row r="47">
          <cell r="H47" t="str">
            <v>--</v>
          </cell>
          <cell r="Q47" t="str">
            <v>--</v>
          </cell>
          <cell r="Y47" t="str">
            <v>--</v>
          </cell>
        </row>
      </sheetData>
      <sheetData sheetId="8">
        <row r="21">
          <cell r="G21" t="str">
            <v/>
          </cell>
        </row>
        <row r="47">
          <cell r="C47" t="str">
            <v>--</v>
          </cell>
          <cell r="F47" t="str">
            <v>--</v>
          </cell>
          <cell r="H47" t="str">
            <v>--</v>
          </cell>
        </row>
      </sheetData>
      <sheetData sheetId="9">
        <row r="23">
          <cell r="G23" t="str">
            <v/>
          </cell>
        </row>
        <row r="29">
          <cell r="D29" t="str">
            <v>--</v>
          </cell>
          <cell r="G29" t="str">
            <v>--</v>
          </cell>
          <cell r="J29" t="str">
            <v>--</v>
          </cell>
        </row>
      </sheetData>
      <sheetData sheetId="10">
        <row r="21">
          <cell r="J21" t="str">
            <v/>
          </cell>
        </row>
        <row r="27">
          <cell r="C27" t="str">
            <v>--</v>
          </cell>
          <cell r="F27" t="str">
            <v>--</v>
          </cell>
          <cell r="I27" t="str">
            <v>--</v>
          </cell>
        </row>
      </sheetData>
      <sheetData sheetId="11">
        <row r="16">
          <cell r="H16" t="str">
            <v/>
          </cell>
        </row>
      </sheetData>
      <sheetData sheetId="12">
        <row r="20">
          <cell r="N20" t="str">
            <v/>
          </cell>
        </row>
        <row r="45">
          <cell r="AA45" t="str">
            <v>--</v>
          </cell>
        </row>
      </sheetData>
      <sheetData sheetId="13">
        <row r="30">
          <cell r="U30" t="str">
            <v/>
          </cell>
        </row>
      </sheetData>
      <sheetData sheetId="14">
        <row r="31">
          <cell r="D31" t="str">
            <v>--</v>
          </cell>
          <cell r="G31" t="str">
            <v>--</v>
          </cell>
          <cell r="J31" t="str">
            <v>--</v>
          </cell>
        </row>
      </sheetData>
      <sheetData sheetId="15">
        <row r="43">
          <cell r="G43" t="str">
            <v>--</v>
          </cell>
          <cell r="M43" t="str">
            <v>--</v>
          </cell>
          <cell r="Y43" t="str">
            <v>--</v>
          </cell>
        </row>
      </sheetData>
      <sheetData sheetId="16">
        <row r="29">
          <cell r="L29" t="str">
            <v>--</v>
          </cell>
          <cell r="W29" t="str">
            <v>--</v>
          </cell>
          <cell r="AK29" t="str">
            <v>--</v>
          </cell>
        </row>
        <row r="30">
          <cell r="W30" t="str">
            <v/>
          </cell>
        </row>
      </sheetData>
      <sheetData sheetId="17">
        <row r="42">
          <cell r="C42" t="str">
            <v>--</v>
          </cell>
          <cell r="F42" t="str">
            <v>--</v>
          </cell>
          <cell r="I42" t="str">
            <v>--</v>
          </cell>
        </row>
      </sheetData>
      <sheetData sheetId="18">
        <row r="55">
          <cell r="AL55" t="str">
            <v>--</v>
          </cell>
          <cell r="AN55" t="str">
            <v>--</v>
          </cell>
          <cell r="AP55" t="str">
            <v>--</v>
          </cell>
        </row>
      </sheetData>
      <sheetData sheetId="19">
        <row r="55">
          <cell r="C55" t="str">
            <v>--</v>
          </cell>
          <cell r="E55" t="str">
            <v>--</v>
          </cell>
          <cell r="G55" t="str">
            <v>--</v>
          </cell>
        </row>
      </sheetData>
      <sheetData sheetId="20">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RINCON SATURNINO</v>
          </cell>
        </row>
        <row r="30">
          <cell r="C30">
            <v>1</v>
          </cell>
        </row>
        <row r="31">
          <cell r="A31" t="str">
            <v>--</v>
          </cell>
        </row>
        <row r="33">
          <cell r="A33" t="str">
            <v xml:space="preserve">VARGAS PABLO </v>
          </cell>
        </row>
        <row r="34">
          <cell r="A34" t="str">
            <v>RIVERA MERCY</v>
          </cell>
        </row>
        <row r="35">
          <cell r="A35" t="str">
            <v>--</v>
          </cell>
        </row>
      </sheetData>
      <sheetData sheetId="21"/>
      <sheetData sheetId="22" refreshError="1"/>
      <sheetData sheetId="23" refreshError="1">
        <row r="29">
          <cell r="L29" t="str">
            <v>--</v>
          </cell>
          <cell r="W29" t="str">
            <v>--</v>
          </cell>
        </row>
        <row r="30">
          <cell r="W30" t="str">
            <v/>
          </cell>
        </row>
      </sheetData>
    </sheetDataSet>
  </externalBook>
</externalLink>
</file>

<file path=xl/tables/table1.xml><?xml version="1.0" encoding="utf-8"?>
<table xmlns="http://schemas.openxmlformats.org/spreadsheetml/2006/main" id="1" name="Tabla1" displayName="Tabla1" ref="AM32:AN35" totalsRowShown="0" headerRowDxfId="20" dataDxfId="19" totalsRowDxfId="17" tableBorderDxfId="18" headerRowCellStyle="Normal 10 2" dataCellStyle="Normal 10 2">
  <autoFilter ref="AM32:AN35"/>
  <tableColumns count="2">
    <tableColumn id="1" name="CBR" dataDxfId="16" totalsRowDxfId="15" dataCellStyle="Normal 10 2"/>
    <tableColumn id="2" name="Peso unitario seco" dataDxfId="14" totalsRowDxfId="13" dataCellStyle="Normal 10 2"/>
  </tableColumns>
  <tableStyleInfo name="TableStyleMedium2" showFirstColumn="0" showLastColumn="0" showRowStripes="1" showColumnStripes="0"/>
</table>
</file>

<file path=xl/tables/table2.xml><?xml version="1.0" encoding="utf-8"?>
<table xmlns="http://schemas.openxmlformats.org/spreadsheetml/2006/main" id="3" name="Tabla14" displayName="Tabla14" ref="AR27:AT30" totalsRowShown="0" headerRowDxfId="12" dataDxfId="11" headerRowCellStyle="Normal 10 2" dataCellStyle="Normal 10 2">
  <autoFilter ref="AR27:AT30"/>
  <tableColumns count="3">
    <tableColumn id="1" name="x" dataDxfId="10" dataCellStyle="Normal 10 2"/>
    <tableColumn id="2" name="x²" dataDxfId="9" dataCellStyle="Normal 10 2">
      <calculatedColumnFormula>+Tabla14[[#This Row],[x]]*Tabla14[[#This Row],[x]]</calculatedColumnFormula>
    </tableColumn>
    <tableColumn id="3" name="y" dataDxfId="8" dataCellStyle="Normal 10 2"/>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7.bin"/><Relationship Id="rId6" Type="http://schemas.openxmlformats.org/officeDocument/2006/relationships/comments" Target="../comments7.xml"/><Relationship Id="rId5" Type="http://schemas.openxmlformats.org/officeDocument/2006/relationships/table" Target="../tables/table2.xml"/><Relationship Id="rId4" Type="http://schemas.openxmlformats.org/officeDocument/2006/relationships/table" Target="../tables/table1.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M59"/>
  <sheetViews>
    <sheetView showGridLines="0" view="pageBreakPreview" zoomScaleSheetLayoutView="100" workbookViewId="0">
      <selection activeCell="AA43" sqref="AA43"/>
    </sheetView>
  </sheetViews>
  <sheetFormatPr baseColWidth="10" defaultColWidth="9.140625" defaultRowHeight="12.75"/>
  <cols>
    <col min="1" max="26" width="3.5703125" style="634" customWidth="1"/>
    <col min="27" max="27" width="13.28515625" style="634" customWidth="1"/>
    <col min="28" max="29" width="19.7109375" style="634" customWidth="1"/>
    <col min="30" max="30" width="23" style="634" customWidth="1"/>
    <col min="31" max="32" width="19.7109375" style="634" customWidth="1"/>
    <col min="33" max="33" width="3.5703125" style="634" customWidth="1"/>
    <col min="34" max="34" width="19.140625" style="634" customWidth="1"/>
    <col min="35" max="52" width="25.5703125" style="634" customWidth="1"/>
    <col min="53" max="53" width="7.28515625" style="634" customWidth="1"/>
    <col min="54" max="54" width="4.42578125" style="634" customWidth="1"/>
    <col min="55" max="55" width="25" style="634" customWidth="1"/>
    <col min="56" max="62" width="23.28515625" style="634" customWidth="1"/>
    <col min="63" max="63" width="15.85546875" style="634" customWidth="1"/>
    <col min="64" max="64" width="19.42578125" style="634" customWidth="1"/>
    <col min="65" max="277" width="9.140625" style="634"/>
    <col min="278" max="278" width="17.140625" style="634" customWidth="1"/>
    <col min="279" max="284" width="8.7109375" style="634" customWidth="1"/>
    <col min="285" max="285" width="6.7109375" style="634" customWidth="1"/>
    <col min="286" max="286" width="3.7109375" style="634" customWidth="1"/>
    <col min="287" max="287" width="15.7109375" style="634" customWidth="1"/>
    <col min="288" max="533" width="9.140625" style="634"/>
    <col min="534" max="534" width="17.140625" style="634" customWidth="1"/>
    <col min="535" max="540" width="8.7109375" style="634" customWidth="1"/>
    <col min="541" max="541" width="6.7109375" style="634" customWidth="1"/>
    <col min="542" max="542" width="3.7109375" style="634" customWidth="1"/>
    <col min="543" max="543" width="15.7109375" style="634" customWidth="1"/>
    <col min="544" max="789" width="9.140625" style="634"/>
    <col min="790" max="790" width="17.140625" style="634" customWidth="1"/>
    <col min="791" max="796" width="8.7109375" style="634" customWidth="1"/>
    <col min="797" max="797" width="6.7109375" style="634" customWidth="1"/>
    <col min="798" max="798" width="3.7109375" style="634" customWidth="1"/>
    <col min="799" max="799" width="15.7109375" style="634" customWidth="1"/>
    <col min="800" max="1045" width="9.140625" style="634"/>
    <col min="1046" max="1046" width="17.140625" style="634" customWidth="1"/>
    <col min="1047" max="1052" width="8.7109375" style="634" customWidth="1"/>
    <col min="1053" max="1053" width="6.7109375" style="634" customWidth="1"/>
    <col min="1054" max="1054" width="3.7109375" style="634" customWidth="1"/>
    <col min="1055" max="1055" width="15.7109375" style="634" customWidth="1"/>
    <col min="1056" max="1301" width="9.140625" style="634"/>
    <col min="1302" max="1302" width="17.140625" style="634" customWidth="1"/>
    <col min="1303" max="1308" width="8.7109375" style="634" customWidth="1"/>
    <col min="1309" max="1309" width="6.7109375" style="634" customWidth="1"/>
    <col min="1310" max="1310" width="3.7109375" style="634" customWidth="1"/>
    <col min="1311" max="1311" width="15.7109375" style="634" customWidth="1"/>
    <col min="1312" max="1557" width="9.140625" style="634"/>
    <col min="1558" max="1558" width="17.140625" style="634" customWidth="1"/>
    <col min="1559" max="1564" width="8.7109375" style="634" customWidth="1"/>
    <col min="1565" max="1565" width="6.7109375" style="634" customWidth="1"/>
    <col min="1566" max="1566" width="3.7109375" style="634" customWidth="1"/>
    <col min="1567" max="1567" width="15.7109375" style="634" customWidth="1"/>
    <col min="1568" max="1813" width="9.140625" style="634"/>
    <col min="1814" max="1814" width="17.140625" style="634" customWidth="1"/>
    <col min="1815" max="1820" width="8.7109375" style="634" customWidth="1"/>
    <col min="1821" max="1821" width="6.7109375" style="634" customWidth="1"/>
    <col min="1822" max="1822" width="3.7109375" style="634" customWidth="1"/>
    <col min="1823" max="1823" width="15.7109375" style="634" customWidth="1"/>
    <col min="1824" max="2069" width="9.140625" style="634"/>
    <col min="2070" max="2070" width="17.140625" style="634" customWidth="1"/>
    <col min="2071" max="2076" width="8.7109375" style="634" customWidth="1"/>
    <col min="2077" max="2077" width="6.7109375" style="634" customWidth="1"/>
    <col min="2078" max="2078" width="3.7109375" style="634" customWidth="1"/>
    <col min="2079" max="2079" width="15.7109375" style="634" customWidth="1"/>
    <col min="2080" max="2325" width="9.140625" style="634"/>
    <col min="2326" max="2326" width="17.140625" style="634" customWidth="1"/>
    <col min="2327" max="2332" width="8.7109375" style="634" customWidth="1"/>
    <col min="2333" max="2333" width="6.7109375" style="634" customWidth="1"/>
    <col min="2334" max="2334" width="3.7109375" style="634" customWidth="1"/>
    <col min="2335" max="2335" width="15.7109375" style="634" customWidth="1"/>
    <col min="2336" max="2581" width="9.140625" style="634"/>
    <col min="2582" max="2582" width="17.140625" style="634" customWidth="1"/>
    <col min="2583" max="2588" width="8.7109375" style="634" customWidth="1"/>
    <col min="2589" max="2589" width="6.7109375" style="634" customWidth="1"/>
    <col min="2590" max="2590" width="3.7109375" style="634" customWidth="1"/>
    <col min="2591" max="2591" width="15.7109375" style="634" customWidth="1"/>
    <col min="2592" max="2837" width="9.140625" style="634"/>
    <col min="2838" max="2838" width="17.140625" style="634" customWidth="1"/>
    <col min="2839" max="2844" width="8.7109375" style="634" customWidth="1"/>
    <col min="2845" max="2845" width="6.7109375" style="634" customWidth="1"/>
    <col min="2846" max="2846" width="3.7109375" style="634" customWidth="1"/>
    <col min="2847" max="2847" width="15.7109375" style="634" customWidth="1"/>
    <col min="2848" max="3093" width="9.140625" style="634"/>
    <col min="3094" max="3094" width="17.140625" style="634" customWidth="1"/>
    <col min="3095" max="3100" width="8.7109375" style="634" customWidth="1"/>
    <col min="3101" max="3101" width="6.7109375" style="634" customWidth="1"/>
    <col min="3102" max="3102" width="3.7109375" style="634" customWidth="1"/>
    <col min="3103" max="3103" width="15.7109375" style="634" customWidth="1"/>
    <col min="3104" max="3349" width="9.140625" style="634"/>
    <col min="3350" max="3350" width="17.140625" style="634" customWidth="1"/>
    <col min="3351" max="3356" width="8.7109375" style="634" customWidth="1"/>
    <col min="3357" max="3357" width="6.7109375" style="634" customWidth="1"/>
    <col min="3358" max="3358" width="3.7109375" style="634" customWidth="1"/>
    <col min="3359" max="3359" width="15.7109375" style="634" customWidth="1"/>
    <col min="3360" max="3605" width="9.140625" style="634"/>
    <col min="3606" max="3606" width="17.140625" style="634" customWidth="1"/>
    <col min="3607" max="3612" width="8.7109375" style="634" customWidth="1"/>
    <col min="3613" max="3613" width="6.7109375" style="634" customWidth="1"/>
    <col min="3614" max="3614" width="3.7109375" style="634" customWidth="1"/>
    <col min="3615" max="3615" width="15.7109375" style="634" customWidth="1"/>
    <col min="3616" max="3861" width="9.140625" style="634"/>
    <col min="3862" max="3862" width="17.140625" style="634" customWidth="1"/>
    <col min="3863" max="3868" width="8.7109375" style="634" customWidth="1"/>
    <col min="3869" max="3869" width="6.7109375" style="634" customWidth="1"/>
    <col min="3870" max="3870" width="3.7109375" style="634" customWidth="1"/>
    <col min="3871" max="3871" width="15.7109375" style="634" customWidth="1"/>
    <col min="3872" max="4117" width="9.140625" style="634"/>
    <col min="4118" max="4118" width="17.140625" style="634" customWidth="1"/>
    <col min="4119" max="4124" width="8.7109375" style="634" customWidth="1"/>
    <col min="4125" max="4125" width="6.7109375" style="634" customWidth="1"/>
    <col min="4126" max="4126" width="3.7109375" style="634" customWidth="1"/>
    <col min="4127" max="4127" width="15.7109375" style="634" customWidth="1"/>
    <col min="4128" max="4373" width="9.140625" style="634"/>
    <col min="4374" max="4374" width="17.140625" style="634" customWidth="1"/>
    <col min="4375" max="4380" width="8.7109375" style="634" customWidth="1"/>
    <col min="4381" max="4381" width="6.7109375" style="634" customWidth="1"/>
    <col min="4382" max="4382" width="3.7109375" style="634" customWidth="1"/>
    <col min="4383" max="4383" width="15.7109375" style="634" customWidth="1"/>
    <col min="4384" max="4629" width="9.140625" style="634"/>
    <col min="4630" max="4630" width="17.140625" style="634" customWidth="1"/>
    <col min="4631" max="4636" width="8.7109375" style="634" customWidth="1"/>
    <col min="4637" max="4637" width="6.7109375" style="634" customWidth="1"/>
    <col min="4638" max="4638" width="3.7109375" style="634" customWidth="1"/>
    <col min="4639" max="4639" width="15.7109375" style="634" customWidth="1"/>
    <col min="4640" max="4885" width="9.140625" style="634"/>
    <col min="4886" max="4886" width="17.140625" style="634" customWidth="1"/>
    <col min="4887" max="4892" width="8.7109375" style="634" customWidth="1"/>
    <col min="4893" max="4893" width="6.7109375" style="634" customWidth="1"/>
    <col min="4894" max="4894" width="3.7109375" style="634" customWidth="1"/>
    <col min="4895" max="4895" width="15.7109375" style="634" customWidth="1"/>
    <col min="4896" max="5141" width="9.140625" style="634"/>
    <col min="5142" max="5142" width="17.140625" style="634" customWidth="1"/>
    <col min="5143" max="5148" width="8.7109375" style="634" customWidth="1"/>
    <col min="5149" max="5149" width="6.7109375" style="634" customWidth="1"/>
    <col min="5150" max="5150" width="3.7109375" style="634" customWidth="1"/>
    <col min="5151" max="5151" width="15.7109375" style="634" customWidth="1"/>
    <col min="5152" max="5397" width="9.140625" style="634"/>
    <col min="5398" max="5398" width="17.140625" style="634" customWidth="1"/>
    <col min="5399" max="5404" width="8.7109375" style="634" customWidth="1"/>
    <col min="5405" max="5405" width="6.7109375" style="634" customWidth="1"/>
    <col min="5406" max="5406" width="3.7109375" style="634" customWidth="1"/>
    <col min="5407" max="5407" width="15.7109375" style="634" customWidth="1"/>
    <col min="5408" max="5653" width="9.140625" style="634"/>
    <col min="5654" max="5654" width="17.140625" style="634" customWidth="1"/>
    <col min="5655" max="5660" width="8.7109375" style="634" customWidth="1"/>
    <col min="5661" max="5661" width="6.7109375" style="634" customWidth="1"/>
    <col min="5662" max="5662" width="3.7109375" style="634" customWidth="1"/>
    <col min="5663" max="5663" width="15.7109375" style="634" customWidth="1"/>
    <col min="5664" max="5909" width="9.140625" style="634"/>
    <col min="5910" max="5910" width="17.140625" style="634" customWidth="1"/>
    <col min="5911" max="5916" width="8.7109375" style="634" customWidth="1"/>
    <col min="5917" max="5917" width="6.7109375" style="634" customWidth="1"/>
    <col min="5918" max="5918" width="3.7109375" style="634" customWidth="1"/>
    <col min="5919" max="5919" width="15.7109375" style="634" customWidth="1"/>
    <col min="5920" max="6165" width="9.140625" style="634"/>
    <col min="6166" max="6166" width="17.140625" style="634" customWidth="1"/>
    <col min="6167" max="6172" width="8.7109375" style="634" customWidth="1"/>
    <col min="6173" max="6173" width="6.7109375" style="634" customWidth="1"/>
    <col min="6174" max="6174" width="3.7109375" style="634" customWidth="1"/>
    <col min="6175" max="6175" width="15.7109375" style="634" customWidth="1"/>
    <col min="6176" max="6421" width="9.140625" style="634"/>
    <col min="6422" max="6422" width="17.140625" style="634" customWidth="1"/>
    <col min="6423" max="6428" width="8.7109375" style="634" customWidth="1"/>
    <col min="6429" max="6429" width="6.7109375" style="634" customWidth="1"/>
    <col min="6430" max="6430" width="3.7109375" style="634" customWidth="1"/>
    <col min="6431" max="6431" width="15.7109375" style="634" customWidth="1"/>
    <col min="6432" max="6677" width="9.140625" style="634"/>
    <col min="6678" max="6678" width="17.140625" style="634" customWidth="1"/>
    <col min="6679" max="6684" width="8.7109375" style="634" customWidth="1"/>
    <col min="6685" max="6685" width="6.7109375" style="634" customWidth="1"/>
    <col min="6686" max="6686" width="3.7109375" style="634" customWidth="1"/>
    <col min="6687" max="6687" width="15.7109375" style="634" customWidth="1"/>
    <col min="6688" max="6933" width="9.140625" style="634"/>
    <col min="6934" max="6934" width="17.140625" style="634" customWidth="1"/>
    <col min="6935" max="6940" width="8.7109375" style="634" customWidth="1"/>
    <col min="6941" max="6941" width="6.7109375" style="634" customWidth="1"/>
    <col min="6942" max="6942" width="3.7109375" style="634" customWidth="1"/>
    <col min="6943" max="6943" width="15.7109375" style="634" customWidth="1"/>
    <col min="6944" max="7189" width="9.140625" style="634"/>
    <col min="7190" max="7190" width="17.140625" style="634" customWidth="1"/>
    <col min="7191" max="7196" width="8.7109375" style="634" customWidth="1"/>
    <col min="7197" max="7197" width="6.7109375" style="634" customWidth="1"/>
    <col min="7198" max="7198" width="3.7109375" style="634" customWidth="1"/>
    <col min="7199" max="7199" width="15.7109375" style="634" customWidth="1"/>
    <col min="7200" max="7445" width="9.140625" style="634"/>
    <col min="7446" max="7446" width="17.140625" style="634" customWidth="1"/>
    <col min="7447" max="7452" width="8.7109375" style="634" customWidth="1"/>
    <col min="7453" max="7453" width="6.7109375" style="634" customWidth="1"/>
    <col min="7454" max="7454" width="3.7109375" style="634" customWidth="1"/>
    <col min="7455" max="7455" width="15.7109375" style="634" customWidth="1"/>
    <col min="7456" max="7701" width="9.140625" style="634"/>
    <col min="7702" max="7702" width="17.140625" style="634" customWidth="1"/>
    <col min="7703" max="7708" width="8.7109375" style="634" customWidth="1"/>
    <col min="7709" max="7709" width="6.7109375" style="634" customWidth="1"/>
    <col min="7710" max="7710" width="3.7109375" style="634" customWidth="1"/>
    <col min="7711" max="7711" width="15.7109375" style="634" customWidth="1"/>
    <col min="7712" max="7957" width="9.140625" style="634"/>
    <col min="7958" max="7958" width="17.140625" style="634" customWidth="1"/>
    <col min="7959" max="7964" width="8.7109375" style="634" customWidth="1"/>
    <col min="7965" max="7965" width="6.7109375" style="634" customWidth="1"/>
    <col min="7966" max="7966" width="3.7109375" style="634" customWidth="1"/>
    <col min="7967" max="7967" width="15.7109375" style="634" customWidth="1"/>
    <col min="7968" max="8213" width="9.140625" style="634"/>
    <col min="8214" max="8214" width="17.140625" style="634" customWidth="1"/>
    <col min="8215" max="8220" width="8.7109375" style="634" customWidth="1"/>
    <col min="8221" max="8221" width="6.7109375" style="634" customWidth="1"/>
    <col min="8222" max="8222" width="3.7109375" style="634" customWidth="1"/>
    <col min="8223" max="8223" width="15.7109375" style="634" customWidth="1"/>
    <col min="8224" max="8469" width="9.140625" style="634"/>
    <col min="8470" max="8470" width="17.140625" style="634" customWidth="1"/>
    <col min="8471" max="8476" width="8.7109375" style="634" customWidth="1"/>
    <col min="8477" max="8477" width="6.7109375" style="634" customWidth="1"/>
    <col min="8478" max="8478" width="3.7109375" style="634" customWidth="1"/>
    <col min="8479" max="8479" width="15.7109375" style="634" customWidth="1"/>
    <col min="8480" max="8725" width="9.140625" style="634"/>
    <col min="8726" max="8726" width="17.140625" style="634" customWidth="1"/>
    <col min="8727" max="8732" width="8.7109375" style="634" customWidth="1"/>
    <col min="8733" max="8733" width="6.7109375" style="634" customWidth="1"/>
    <col min="8734" max="8734" width="3.7109375" style="634" customWidth="1"/>
    <col min="8735" max="8735" width="15.7109375" style="634" customWidth="1"/>
    <col min="8736" max="8981" width="9.140625" style="634"/>
    <col min="8982" max="8982" width="17.140625" style="634" customWidth="1"/>
    <col min="8983" max="8988" width="8.7109375" style="634" customWidth="1"/>
    <col min="8989" max="8989" width="6.7109375" style="634" customWidth="1"/>
    <col min="8990" max="8990" width="3.7109375" style="634" customWidth="1"/>
    <col min="8991" max="8991" width="15.7109375" style="634" customWidth="1"/>
    <col min="8992" max="9237" width="9.140625" style="634"/>
    <col min="9238" max="9238" width="17.140625" style="634" customWidth="1"/>
    <col min="9239" max="9244" width="8.7109375" style="634" customWidth="1"/>
    <col min="9245" max="9245" width="6.7109375" style="634" customWidth="1"/>
    <col min="9246" max="9246" width="3.7109375" style="634" customWidth="1"/>
    <col min="9247" max="9247" width="15.7109375" style="634" customWidth="1"/>
    <col min="9248" max="9493" width="9.140625" style="634"/>
    <col min="9494" max="9494" width="17.140625" style="634" customWidth="1"/>
    <col min="9495" max="9500" width="8.7109375" style="634" customWidth="1"/>
    <col min="9501" max="9501" width="6.7109375" style="634" customWidth="1"/>
    <col min="9502" max="9502" width="3.7109375" style="634" customWidth="1"/>
    <col min="9503" max="9503" width="15.7109375" style="634" customWidth="1"/>
    <col min="9504" max="9749" width="9.140625" style="634"/>
    <col min="9750" max="9750" width="17.140625" style="634" customWidth="1"/>
    <col min="9751" max="9756" width="8.7109375" style="634" customWidth="1"/>
    <col min="9757" max="9757" width="6.7109375" style="634" customWidth="1"/>
    <col min="9758" max="9758" width="3.7109375" style="634" customWidth="1"/>
    <col min="9759" max="9759" width="15.7109375" style="634" customWidth="1"/>
    <col min="9760" max="10005" width="9.140625" style="634"/>
    <col min="10006" max="10006" width="17.140625" style="634" customWidth="1"/>
    <col min="10007" max="10012" width="8.7109375" style="634" customWidth="1"/>
    <col min="10013" max="10013" width="6.7109375" style="634" customWidth="1"/>
    <col min="10014" max="10014" width="3.7109375" style="634" customWidth="1"/>
    <col min="10015" max="10015" width="15.7109375" style="634" customWidth="1"/>
    <col min="10016" max="10261" width="9.140625" style="634"/>
    <col min="10262" max="10262" width="17.140625" style="634" customWidth="1"/>
    <col min="10263" max="10268" width="8.7109375" style="634" customWidth="1"/>
    <col min="10269" max="10269" width="6.7109375" style="634" customWidth="1"/>
    <col min="10270" max="10270" width="3.7109375" style="634" customWidth="1"/>
    <col min="10271" max="10271" width="15.7109375" style="634" customWidth="1"/>
    <col min="10272" max="10517" width="9.140625" style="634"/>
    <col min="10518" max="10518" width="17.140625" style="634" customWidth="1"/>
    <col min="10519" max="10524" width="8.7109375" style="634" customWidth="1"/>
    <col min="10525" max="10525" width="6.7109375" style="634" customWidth="1"/>
    <col min="10526" max="10526" width="3.7109375" style="634" customWidth="1"/>
    <col min="10527" max="10527" width="15.7109375" style="634" customWidth="1"/>
    <col min="10528" max="10773" width="9.140625" style="634"/>
    <col min="10774" max="10774" width="17.140625" style="634" customWidth="1"/>
    <col min="10775" max="10780" width="8.7109375" style="634" customWidth="1"/>
    <col min="10781" max="10781" width="6.7109375" style="634" customWidth="1"/>
    <col min="10782" max="10782" width="3.7109375" style="634" customWidth="1"/>
    <col min="10783" max="10783" width="15.7109375" style="634" customWidth="1"/>
    <col min="10784" max="11029" width="9.140625" style="634"/>
    <col min="11030" max="11030" width="17.140625" style="634" customWidth="1"/>
    <col min="11031" max="11036" width="8.7109375" style="634" customWidth="1"/>
    <col min="11037" max="11037" width="6.7109375" style="634" customWidth="1"/>
    <col min="11038" max="11038" width="3.7109375" style="634" customWidth="1"/>
    <col min="11039" max="11039" width="15.7109375" style="634" customWidth="1"/>
    <col min="11040" max="11285" width="9.140625" style="634"/>
    <col min="11286" max="11286" width="17.140625" style="634" customWidth="1"/>
    <col min="11287" max="11292" width="8.7109375" style="634" customWidth="1"/>
    <col min="11293" max="11293" width="6.7109375" style="634" customWidth="1"/>
    <col min="11294" max="11294" width="3.7109375" style="634" customWidth="1"/>
    <col min="11295" max="11295" width="15.7109375" style="634" customWidth="1"/>
    <col min="11296" max="11541" width="9.140625" style="634"/>
    <col min="11542" max="11542" width="17.140625" style="634" customWidth="1"/>
    <col min="11543" max="11548" width="8.7109375" style="634" customWidth="1"/>
    <col min="11549" max="11549" width="6.7109375" style="634" customWidth="1"/>
    <col min="11550" max="11550" width="3.7109375" style="634" customWidth="1"/>
    <col min="11551" max="11551" width="15.7109375" style="634" customWidth="1"/>
    <col min="11552" max="11797" width="9.140625" style="634"/>
    <col min="11798" max="11798" width="17.140625" style="634" customWidth="1"/>
    <col min="11799" max="11804" width="8.7109375" style="634" customWidth="1"/>
    <col min="11805" max="11805" width="6.7109375" style="634" customWidth="1"/>
    <col min="11806" max="11806" width="3.7109375" style="634" customWidth="1"/>
    <col min="11807" max="11807" width="15.7109375" style="634" customWidth="1"/>
    <col min="11808" max="12053" width="9.140625" style="634"/>
    <col min="12054" max="12054" width="17.140625" style="634" customWidth="1"/>
    <col min="12055" max="12060" width="8.7109375" style="634" customWidth="1"/>
    <col min="12061" max="12061" width="6.7109375" style="634" customWidth="1"/>
    <col min="12062" max="12062" width="3.7109375" style="634" customWidth="1"/>
    <col min="12063" max="12063" width="15.7109375" style="634" customWidth="1"/>
    <col min="12064" max="12309" width="9.140625" style="634"/>
    <col min="12310" max="12310" width="17.140625" style="634" customWidth="1"/>
    <col min="12311" max="12316" width="8.7109375" style="634" customWidth="1"/>
    <col min="12317" max="12317" width="6.7109375" style="634" customWidth="1"/>
    <col min="12318" max="12318" width="3.7109375" style="634" customWidth="1"/>
    <col min="12319" max="12319" width="15.7109375" style="634" customWidth="1"/>
    <col min="12320" max="12565" width="9.140625" style="634"/>
    <col min="12566" max="12566" width="17.140625" style="634" customWidth="1"/>
    <col min="12567" max="12572" width="8.7109375" style="634" customWidth="1"/>
    <col min="12573" max="12573" width="6.7109375" style="634" customWidth="1"/>
    <col min="12574" max="12574" width="3.7109375" style="634" customWidth="1"/>
    <col min="12575" max="12575" width="15.7109375" style="634" customWidth="1"/>
    <col min="12576" max="12821" width="9.140625" style="634"/>
    <col min="12822" max="12822" width="17.140625" style="634" customWidth="1"/>
    <col min="12823" max="12828" width="8.7109375" style="634" customWidth="1"/>
    <col min="12829" max="12829" width="6.7109375" style="634" customWidth="1"/>
    <col min="12830" max="12830" width="3.7109375" style="634" customWidth="1"/>
    <col min="12831" max="12831" width="15.7109375" style="634" customWidth="1"/>
    <col min="12832" max="13077" width="9.140625" style="634"/>
    <col min="13078" max="13078" width="17.140625" style="634" customWidth="1"/>
    <col min="13079" max="13084" width="8.7109375" style="634" customWidth="1"/>
    <col min="13085" max="13085" width="6.7109375" style="634" customWidth="1"/>
    <col min="13086" max="13086" width="3.7109375" style="634" customWidth="1"/>
    <col min="13087" max="13087" width="15.7109375" style="634" customWidth="1"/>
    <col min="13088" max="13333" width="9.140625" style="634"/>
    <col min="13334" max="13334" width="17.140625" style="634" customWidth="1"/>
    <col min="13335" max="13340" width="8.7109375" style="634" customWidth="1"/>
    <col min="13341" max="13341" width="6.7109375" style="634" customWidth="1"/>
    <col min="13342" max="13342" width="3.7109375" style="634" customWidth="1"/>
    <col min="13343" max="13343" width="15.7109375" style="634" customWidth="1"/>
    <col min="13344" max="13589" width="9.140625" style="634"/>
    <col min="13590" max="13590" width="17.140625" style="634" customWidth="1"/>
    <col min="13591" max="13596" width="8.7109375" style="634" customWidth="1"/>
    <col min="13597" max="13597" width="6.7109375" style="634" customWidth="1"/>
    <col min="13598" max="13598" width="3.7109375" style="634" customWidth="1"/>
    <col min="13599" max="13599" width="15.7109375" style="634" customWidth="1"/>
    <col min="13600" max="13845" width="9.140625" style="634"/>
    <col min="13846" max="13846" width="17.140625" style="634" customWidth="1"/>
    <col min="13847" max="13852" width="8.7109375" style="634" customWidth="1"/>
    <col min="13853" max="13853" width="6.7109375" style="634" customWidth="1"/>
    <col min="13854" max="13854" width="3.7109375" style="634" customWidth="1"/>
    <col min="13855" max="13855" width="15.7109375" style="634" customWidth="1"/>
    <col min="13856" max="14101" width="9.140625" style="634"/>
    <col min="14102" max="14102" width="17.140625" style="634" customWidth="1"/>
    <col min="14103" max="14108" width="8.7109375" style="634" customWidth="1"/>
    <col min="14109" max="14109" width="6.7109375" style="634" customWidth="1"/>
    <col min="14110" max="14110" width="3.7109375" style="634" customWidth="1"/>
    <col min="14111" max="14111" width="15.7109375" style="634" customWidth="1"/>
    <col min="14112" max="14357" width="9.140625" style="634"/>
    <col min="14358" max="14358" width="17.140625" style="634" customWidth="1"/>
    <col min="14359" max="14364" width="8.7109375" style="634" customWidth="1"/>
    <col min="14365" max="14365" width="6.7109375" style="634" customWidth="1"/>
    <col min="14366" max="14366" width="3.7109375" style="634" customWidth="1"/>
    <col min="14367" max="14367" width="15.7109375" style="634" customWidth="1"/>
    <col min="14368" max="14613" width="9.140625" style="634"/>
    <col min="14614" max="14614" width="17.140625" style="634" customWidth="1"/>
    <col min="14615" max="14620" width="8.7109375" style="634" customWidth="1"/>
    <col min="14621" max="14621" width="6.7109375" style="634" customWidth="1"/>
    <col min="14622" max="14622" width="3.7109375" style="634" customWidth="1"/>
    <col min="14623" max="14623" width="15.7109375" style="634" customWidth="1"/>
    <col min="14624" max="14869" width="9.140625" style="634"/>
    <col min="14870" max="14870" width="17.140625" style="634" customWidth="1"/>
    <col min="14871" max="14876" width="8.7109375" style="634" customWidth="1"/>
    <col min="14877" max="14877" width="6.7109375" style="634" customWidth="1"/>
    <col min="14878" max="14878" width="3.7109375" style="634" customWidth="1"/>
    <col min="14879" max="14879" width="15.7109375" style="634" customWidth="1"/>
    <col min="14880" max="15125" width="9.140625" style="634"/>
    <col min="15126" max="15126" width="17.140625" style="634" customWidth="1"/>
    <col min="15127" max="15132" width="8.7109375" style="634" customWidth="1"/>
    <col min="15133" max="15133" width="6.7109375" style="634" customWidth="1"/>
    <col min="15134" max="15134" width="3.7109375" style="634" customWidth="1"/>
    <col min="15135" max="15135" width="15.7109375" style="634" customWidth="1"/>
    <col min="15136" max="15381" width="9.140625" style="634"/>
    <col min="15382" max="15382" width="17.140625" style="634" customWidth="1"/>
    <col min="15383" max="15388" width="8.7109375" style="634" customWidth="1"/>
    <col min="15389" max="15389" width="6.7109375" style="634" customWidth="1"/>
    <col min="15390" max="15390" width="3.7109375" style="634" customWidth="1"/>
    <col min="15391" max="15391" width="15.7109375" style="634" customWidth="1"/>
    <col min="15392" max="15637" width="9.140625" style="634"/>
    <col min="15638" max="15638" width="17.140625" style="634" customWidth="1"/>
    <col min="15639" max="15644" width="8.7109375" style="634" customWidth="1"/>
    <col min="15645" max="15645" width="6.7109375" style="634" customWidth="1"/>
    <col min="15646" max="15646" width="3.7109375" style="634" customWidth="1"/>
    <col min="15647" max="15647" width="15.7109375" style="634" customWidth="1"/>
    <col min="15648" max="15893" width="9.140625" style="634"/>
    <col min="15894" max="15894" width="17.140625" style="634" customWidth="1"/>
    <col min="15895" max="15900" width="8.7109375" style="634" customWidth="1"/>
    <col min="15901" max="15901" width="6.7109375" style="634" customWidth="1"/>
    <col min="15902" max="15902" width="3.7109375" style="634" customWidth="1"/>
    <col min="15903" max="15903" width="15.7109375" style="634" customWidth="1"/>
    <col min="15904" max="16149" width="9.140625" style="634"/>
    <col min="16150" max="16150" width="17.140625" style="634" customWidth="1"/>
    <col min="16151" max="16156" width="8.7109375" style="634" customWidth="1"/>
    <col min="16157" max="16157" width="6.7109375" style="634" customWidth="1"/>
    <col min="16158" max="16158" width="3.7109375" style="634" customWidth="1"/>
    <col min="16159" max="16159" width="15.7109375" style="634" customWidth="1"/>
    <col min="16160" max="16384" width="9.140625" style="634"/>
  </cols>
  <sheetData>
    <row r="1" spans="1:65" s="533" customFormat="1" ht="15" customHeight="1">
      <c r="A1" s="1823"/>
      <c r="B1" s="1824"/>
      <c r="C1" s="1824"/>
      <c r="D1" s="1825"/>
      <c r="E1" s="1832" t="s">
        <v>7</v>
      </c>
      <c r="F1" s="1833"/>
      <c r="G1" s="1833"/>
      <c r="H1" s="1833"/>
      <c r="I1" s="1833"/>
      <c r="J1" s="1833"/>
      <c r="K1" s="1833"/>
      <c r="L1" s="1833"/>
      <c r="M1" s="1833"/>
      <c r="N1" s="1833"/>
      <c r="O1" s="1833"/>
      <c r="P1" s="1833"/>
      <c r="Q1" s="1833"/>
      <c r="R1" s="1833"/>
      <c r="S1" s="1833"/>
      <c r="T1" s="1833"/>
      <c r="U1" s="1833"/>
      <c r="V1" s="1833"/>
      <c r="W1" s="1833"/>
      <c r="X1" s="1833"/>
      <c r="Y1" s="1833"/>
      <c r="Z1" s="1834"/>
      <c r="AA1" s="532"/>
      <c r="AB1" s="532"/>
      <c r="AC1" s="532"/>
      <c r="AD1" s="532"/>
      <c r="AE1" s="532"/>
      <c r="AF1" s="532"/>
      <c r="AG1" s="532"/>
      <c r="AH1" s="532"/>
    </row>
    <row r="2" spans="1:65" s="533" customFormat="1" ht="15" customHeight="1">
      <c r="A2" s="1826"/>
      <c r="B2" s="1827"/>
      <c r="C2" s="1827"/>
      <c r="D2" s="1828"/>
      <c r="E2" s="1835"/>
      <c r="F2" s="1836"/>
      <c r="G2" s="1836"/>
      <c r="H2" s="1836"/>
      <c r="I2" s="1836"/>
      <c r="J2" s="1836"/>
      <c r="K2" s="1836"/>
      <c r="L2" s="1836"/>
      <c r="M2" s="1836"/>
      <c r="N2" s="1836"/>
      <c r="O2" s="1836"/>
      <c r="P2" s="1836"/>
      <c r="Q2" s="1836"/>
      <c r="R2" s="1836"/>
      <c r="S2" s="1836"/>
      <c r="T2" s="1836"/>
      <c r="U2" s="1836"/>
      <c r="V2" s="1836"/>
      <c r="W2" s="1836"/>
      <c r="X2" s="1836"/>
      <c r="Y2" s="1836"/>
      <c r="Z2" s="1837"/>
      <c r="AA2" s="532"/>
      <c r="AB2" s="532"/>
      <c r="AC2" s="532"/>
      <c r="AD2" s="532"/>
      <c r="AE2" s="532"/>
      <c r="AF2" s="532"/>
      <c r="AG2" s="532"/>
      <c r="AH2" s="532"/>
      <c r="AT2" s="534" t="str">
        <f>+IF(AA7="","",IF(OR(AA7=AH7,AH14),AT7,IF(OR(AA7=AH15,AA7=AH16,AA7=AH9,AA7=AH10),AU7,IF(AA7=AH8,AV7,IF(AA7=AH11,AW7,IF(AA7=AH12,AX7,IF(AA7=AH17,AY7,"")))))))</f>
        <v/>
      </c>
    </row>
    <row r="3" spans="1:65" s="533" customFormat="1" ht="15" customHeight="1">
      <c r="A3" s="1826"/>
      <c r="B3" s="1827"/>
      <c r="C3" s="1827"/>
      <c r="D3" s="1828"/>
      <c r="E3" s="1835"/>
      <c r="F3" s="1836"/>
      <c r="G3" s="1836"/>
      <c r="H3" s="1836"/>
      <c r="I3" s="1836"/>
      <c r="J3" s="1836"/>
      <c r="K3" s="1836"/>
      <c r="L3" s="1836"/>
      <c r="M3" s="1836"/>
      <c r="N3" s="1836"/>
      <c r="O3" s="1836"/>
      <c r="P3" s="1836"/>
      <c r="Q3" s="1836"/>
      <c r="R3" s="1836"/>
      <c r="S3" s="1836"/>
      <c r="T3" s="1836"/>
      <c r="U3" s="1836"/>
      <c r="V3" s="1836"/>
      <c r="W3" s="1836"/>
      <c r="X3" s="1836"/>
      <c r="Y3" s="1836"/>
      <c r="Z3" s="1837"/>
      <c r="AA3" s="532"/>
      <c r="AB3" s="532"/>
      <c r="AC3" s="532"/>
      <c r="AD3" s="532"/>
      <c r="AE3" s="532"/>
      <c r="AF3" s="532"/>
      <c r="AG3" s="532"/>
      <c r="AH3" s="532"/>
      <c r="AT3" s="1838" t="str">
        <f>CONCATENATE(AI7, " y ",AP7)</f>
        <v>Densidades y Materiales granulares</v>
      </c>
      <c r="AU3" s="1840" t="str">
        <f>CONCATENATE(AQ7," , ",AL7, " , ",AR7," y ",AK7)</f>
        <v>Mezcla asfaltica , Diseños , Concreto hidráulico y Núcleos</v>
      </c>
      <c r="AV3" s="1816" t="str">
        <f>+AJ7</f>
        <v>Apiques</v>
      </c>
      <c r="AW3" s="1816" t="str">
        <f>+AM7</f>
        <v>Cemento asfaltico</v>
      </c>
      <c r="AX3" s="1816" t="str">
        <f>+AN7</f>
        <v>Emulsión asfaltica</v>
      </c>
      <c r="AY3" s="1816" t="str">
        <f>+AS7</f>
        <v>Otros</v>
      </c>
      <c r="AZ3" s="1818" t="str">
        <f>+AH13</f>
        <v>Materiales pétreos</v>
      </c>
    </row>
    <row r="4" spans="1:65" s="533" customFormat="1" ht="15" customHeight="1">
      <c r="A4" s="1826"/>
      <c r="B4" s="1827"/>
      <c r="C4" s="1827"/>
      <c r="D4" s="1828"/>
      <c r="E4" s="1820" t="s">
        <v>336</v>
      </c>
      <c r="F4" s="1820"/>
      <c r="G4" s="1820"/>
      <c r="H4" s="1820"/>
      <c r="I4" s="1820"/>
      <c r="J4" s="1820"/>
      <c r="K4" s="1820"/>
      <c r="L4" s="1820"/>
      <c r="M4" s="1820"/>
      <c r="N4" s="1820"/>
      <c r="O4" s="1820"/>
      <c r="P4" s="1820"/>
      <c r="Q4" s="1820"/>
      <c r="R4" s="1820"/>
      <c r="S4" s="1820"/>
      <c r="T4" s="1820"/>
      <c r="U4" s="1820" t="s">
        <v>248</v>
      </c>
      <c r="V4" s="1820"/>
      <c r="W4" s="1820"/>
      <c r="X4" s="1820"/>
      <c r="Y4" s="1820"/>
      <c r="Z4" s="1820"/>
      <c r="AA4" s="535"/>
      <c r="AB4" s="535"/>
      <c r="AC4" s="535"/>
      <c r="AD4" s="535"/>
      <c r="AE4" s="535"/>
      <c r="AF4" s="535"/>
      <c r="AG4" s="535"/>
      <c r="AH4" s="535"/>
      <c r="AT4" s="1839"/>
      <c r="AU4" s="1841"/>
      <c r="AV4" s="1817"/>
      <c r="AW4" s="1817"/>
      <c r="AX4" s="1817"/>
      <c r="AY4" s="1817"/>
      <c r="AZ4" s="1819"/>
    </row>
    <row r="5" spans="1:65" s="533" customFormat="1" ht="15" customHeight="1">
      <c r="A5" s="1829"/>
      <c r="B5" s="1830"/>
      <c r="C5" s="1830"/>
      <c r="D5" s="1831"/>
      <c r="E5" s="1820" t="s">
        <v>313</v>
      </c>
      <c r="F5" s="1820"/>
      <c r="G5" s="1820"/>
      <c r="H5" s="1820"/>
      <c r="I5" s="1820"/>
      <c r="J5" s="1820"/>
      <c r="K5" s="1820"/>
      <c r="L5" s="1820"/>
      <c r="M5" s="1820"/>
      <c r="N5" s="1820"/>
      <c r="O5" s="1820"/>
      <c r="P5" s="1820"/>
      <c r="Q5" s="1820"/>
      <c r="R5" s="1820"/>
      <c r="S5" s="1820"/>
      <c r="T5" s="1820"/>
      <c r="U5" s="1820"/>
      <c r="V5" s="1820"/>
      <c r="W5" s="1820"/>
      <c r="X5" s="1820"/>
      <c r="Y5" s="1820"/>
      <c r="Z5" s="1820"/>
      <c r="AA5" s="536" t="s">
        <v>337</v>
      </c>
      <c r="AB5" s="535"/>
      <c r="AC5" s="535"/>
      <c r="AD5" s="535"/>
      <c r="AE5" s="535"/>
      <c r="AF5" s="535"/>
      <c r="AG5" s="535"/>
      <c r="AH5" s="535"/>
      <c r="AT5" s="1839"/>
      <c r="AU5" s="1841"/>
      <c r="AV5" s="1817"/>
      <c r="AW5" s="1817"/>
      <c r="AX5" s="1817"/>
      <c r="AY5" s="1817"/>
      <c r="AZ5" s="1819"/>
    </row>
    <row r="6" spans="1:65" s="546" customFormat="1" ht="15" customHeight="1">
      <c r="A6" s="537"/>
      <c r="B6" s="538"/>
      <c r="C6" s="538"/>
      <c r="D6" s="538"/>
      <c r="E6" s="538"/>
      <c r="F6" s="539"/>
      <c r="G6" s="539"/>
      <c r="H6" s="539"/>
      <c r="I6" s="539"/>
      <c r="J6" s="539"/>
      <c r="K6" s="539"/>
      <c r="L6" s="539"/>
      <c r="M6" s="539"/>
      <c r="N6" s="539"/>
      <c r="O6" s="539"/>
      <c r="P6" s="539"/>
      <c r="Q6" s="539"/>
      <c r="R6" s="539"/>
      <c r="S6" s="539"/>
      <c r="T6" s="538"/>
      <c r="U6" s="538"/>
      <c r="V6" s="538"/>
      <c r="W6" s="538"/>
      <c r="X6" s="538"/>
      <c r="Y6" s="538"/>
      <c r="Z6" s="540"/>
      <c r="AA6" s="541" t="str">
        <f>+AH6</f>
        <v>Servicios</v>
      </c>
      <c r="AB6" s="541" t="s">
        <v>314</v>
      </c>
      <c r="AC6" s="542" t="str">
        <f>+B25</f>
        <v>Cliente:</v>
      </c>
      <c r="AD6" s="1796" t="str">
        <f>+A39</f>
        <v>Revisó</v>
      </c>
      <c r="AE6" s="1797"/>
      <c r="AF6" s="1798"/>
      <c r="AG6" s="543"/>
      <c r="AH6" s="544" t="s">
        <v>338</v>
      </c>
      <c r="AI6" s="1821" t="str">
        <f>+B11</f>
        <v>Material ensayado:</v>
      </c>
      <c r="AJ6" s="1822"/>
      <c r="AK6" s="1822"/>
      <c r="AL6" s="1822"/>
      <c r="AM6" s="1822"/>
      <c r="AN6" s="1822"/>
      <c r="AO6" s="1822"/>
      <c r="AP6" s="1822"/>
      <c r="AQ6" s="1822"/>
      <c r="AR6" s="1822"/>
      <c r="AS6" s="1822"/>
      <c r="AT6" s="1839"/>
      <c r="AU6" s="1841"/>
      <c r="AV6" s="1817"/>
      <c r="AW6" s="1817"/>
      <c r="AX6" s="1817"/>
      <c r="AY6" s="1817"/>
      <c r="AZ6" s="1819"/>
      <c r="BA6" s="545"/>
      <c r="BB6" s="1808" t="str">
        <f>+B14</f>
        <v>Fuente:</v>
      </c>
      <c r="BC6" s="1809"/>
      <c r="BD6" s="1809"/>
      <c r="BE6" s="1809"/>
      <c r="BF6" s="1809"/>
      <c r="BG6" s="1809"/>
      <c r="BH6" s="1809"/>
      <c r="BI6" s="1809"/>
      <c r="BJ6" s="1809"/>
      <c r="BK6" s="1809"/>
      <c r="BL6" s="1809"/>
      <c r="BM6" s="1810"/>
    </row>
    <row r="7" spans="1:65" s="546" customFormat="1" ht="15" customHeight="1">
      <c r="A7" s="547"/>
      <c r="B7" s="548"/>
      <c r="C7" s="548"/>
      <c r="D7" s="548"/>
      <c r="E7" s="548"/>
      <c r="F7" s="549"/>
      <c r="G7" s="549"/>
      <c r="H7" s="549"/>
      <c r="I7" s="549"/>
      <c r="J7" s="549"/>
      <c r="K7" s="549"/>
      <c r="L7" s="549"/>
      <c r="M7" s="549"/>
      <c r="N7" s="549"/>
      <c r="O7" s="549"/>
      <c r="P7" s="549"/>
      <c r="Q7" s="550" t="s">
        <v>9</v>
      </c>
      <c r="R7" s="551"/>
      <c r="S7" s="552"/>
      <c r="T7" s="1811"/>
      <c r="U7" s="1811"/>
      <c r="V7" s="1811"/>
      <c r="W7" s="1811"/>
      <c r="X7" s="1811"/>
      <c r="Y7" s="1811"/>
      <c r="Z7" s="553"/>
      <c r="AA7" s="554" t="s">
        <v>410</v>
      </c>
      <c r="AB7" s="555" t="s">
        <v>315</v>
      </c>
      <c r="AC7" s="556" t="s">
        <v>339</v>
      </c>
      <c r="AD7" s="557" t="s">
        <v>340</v>
      </c>
      <c r="AE7" s="558" t="s">
        <v>341</v>
      </c>
      <c r="AF7" s="559" t="s">
        <v>342</v>
      </c>
      <c r="AG7" s="560">
        <v>1</v>
      </c>
      <c r="AH7" s="560" t="s">
        <v>343</v>
      </c>
      <c r="AI7" s="561" t="str">
        <f>+AH7</f>
        <v>Densidades</v>
      </c>
      <c r="AJ7" s="562" t="str">
        <f>+AH8</f>
        <v>Apiques</v>
      </c>
      <c r="AK7" s="562" t="str">
        <f>+AH9</f>
        <v>Núcleos</v>
      </c>
      <c r="AL7" s="562" t="str">
        <f>+AH10</f>
        <v>Diseños</v>
      </c>
      <c r="AM7" s="562" t="str">
        <f>+AH11</f>
        <v>Cemento asfaltico</v>
      </c>
      <c r="AN7" s="562" t="str">
        <f>+AH12</f>
        <v>Emulsión asfaltica</v>
      </c>
      <c r="AO7" s="562" t="str">
        <f>+AH13</f>
        <v>Materiales pétreos</v>
      </c>
      <c r="AP7" s="562" t="str">
        <f>+AH14</f>
        <v>Materiales granulares</v>
      </c>
      <c r="AQ7" s="562" t="str">
        <f>+AH15</f>
        <v>Mezcla asfaltica</v>
      </c>
      <c r="AR7" s="562" t="str">
        <f>+AH16</f>
        <v>Concreto hidráulico</v>
      </c>
      <c r="AS7" s="562" t="str">
        <f>+AH17</f>
        <v>Otros</v>
      </c>
      <c r="AT7" s="563">
        <v>1</v>
      </c>
      <c r="AU7" s="562">
        <v>2</v>
      </c>
      <c r="AV7" s="562">
        <v>3</v>
      </c>
      <c r="AW7" s="562">
        <v>4</v>
      </c>
      <c r="AX7" s="562">
        <v>5</v>
      </c>
      <c r="AY7" s="562">
        <v>6</v>
      </c>
      <c r="AZ7" s="564">
        <v>7</v>
      </c>
      <c r="BB7" s="565"/>
      <c r="BC7" s="566" t="str">
        <f>+AH7</f>
        <v>Densidades</v>
      </c>
      <c r="BD7" s="566" t="str">
        <f>+AH8</f>
        <v>Apiques</v>
      </c>
      <c r="BE7" s="566" t="str">
        <f>+AH9</f>
        <v>Núcleos</v>
      </c>
      <c r="BF7" s="566" t="str">
        <f>+AH10</f>
        <v>Diseños</v>
      </c>
      <c r="BG7" s="566" t="str">
        <f>+AH11</f>
        <v>Cemento asfaltico</v>
      </c>
      <c r="BH7" s="566" t="str">
        <f>+AH12</f>
        <v>Emulsión asfaltica</v>
      </c>
      <c r="BI7" s="566" t="str">
        <f>+AH13</f>
        <v>Materiales pétreos</v>
      </c>
      <c r="BJ7" s="566" t="str">
        <f>+AH14</f>
        <v>Materiales granulares</v>
      </c>
      <c r="BK7" s="566" t="str">
        <f>+AH15</f>
        <v>Mezcla asfaltica</v>
      </c>
      <c r="BL7" s="566" t="str">
        <f>+AH16</f>
        <v>Concreto hidráulico</v>
      </c>
      <c r="BM7" s="567" t="str">
        <f>+AH17</f>
        <v>Otros</v>
      </c>
    </row>
    <row r="8" spans="1:65" s="546" customFormat="1" ht="15" customHeight="1">
      <c r="A8" s="547"/>
      <c r="B8" s="548"/>
      <c r="C8" s="548"/>
      <c r="D8" s="548"/>
      <c r="E8" s="548"/>
      <c r="F8" s="549"/>
      <c r="G8" s="549"/>
      <c r="H8" s="549"/>
      <c r="I8" s="549"/>
      <c r="J8" s="549"/>
      <c r="K8" s="549"/>
      <c r="L8" s="549"/>
      <c r="M8" s="549"/>
      <c r="N8" s="549"/>
      <c r="O8" s="549"/>
      <c r="P8" s="549"/>
      <c r="Q8" s="549"/>
      <c r="R8" s="549"/>
      <c r="S8" s="549"/>
      <c r="T8" s="548"/>
      <c r="U8" s="549"/>
      <c r="V8" s="1812" t="str">
        <f>IF(T7="",AB11,CONCATENATE(AB7," ",AB8," ",AB9," ", AB10))</f>
        <v>Pagina xx de xx</v>
      </c>
      <c r="W8" s="1812"/>
      <c r="X8" s="1812"/>
      <c r="Y8" s="1812"/>
      <c r="Z8" s="553"/>
      <c r="AA8" s="560"/>
      <c r="AB8" s="530" t="str">
        <f>IF(T7="","",1)</f>
        <v/>
      </c>
      <c r="AC8" s="556" t="s">
        <v>344</v>
      </c>
      <c r="AD8" s="1785" t="s">
        <v>345</v>
      </c>
      <c r="AE8" s="1788" t="s">
        <v>141</v>
      </c>
      <c r="AF8" s="1790"/>
      <c r="AG8" s="550">
        <v>2</v>
      </c>
      <c r="AH8" s="550" t="s">
        <v>346</v>
      </c>
      <c r="AI8" s="569" t="s">
        <v>347</v>
      </c>
      <c r="AJ8" s="570" t="s">
        <v>348</v>
      </c>
      <c r="AK8" s="570" t="s">
        <v>349</v>
      </c>
      <c r="AL8" s="570" t="str">
        <f t="shared" ref="AL8:AL13" si="0">+AQ8</f>
        <v>MD-10</v>
      </c>
      <c r="AM8" s="570" t="s">
        <v>350</v>
      </c>
      <c r="AN8" s="570" t="s">
        <v>351</v>
      </c>
      <c r="AO8" s="570" t="s">
        <v>352</v>
      </c>
      <c r="AP8" s="570" t="s">
        <v>353</v>
      </c>
      <c r="AQ8" s="570" t="s">
        <v>349</v>
      </c>
      <c r="AR8" s="570" t="s">
        <v>354</v>
      </c>
      <c r="AS8" s="570" t="str">
        <f>+AI8:AI17</f>
        <v>Base granular tipo A</v>
      </c>
      <c r="AT8" s="569" t="str">
        <f>+AP8</f>
        <v>Base granular Tipo A</v>
      </c>
      <c r="AU8" s="570" t="str">
        <f>+AL8</f>
        <v>MD-10</v>
      </c>
      <c r="AV8" s="570" t="str">
        <f>+AJ8</f>
        <v>Ver perfil estratigráfico del suelo INV E-101 y 102-13</v>
      </c>
      <c r="AW8" s="570" t="str">
        <f t="shared" ref="AW8:AX10" si="1">+AM8</f>
        <v>Cemento asfaltico CA-14</v>
      </c>
      <c r="AX8" s="570" t="str">
        <f t="shared" si="1"/>
        <v>Emulsión asfaltica CRL-1 (60-100)</v>
      </c>
      <c r="AY8" s="570" t="str">
        <f>+AS8</f>
        <v>Base granular tipo A</v>
      </c>
      <c r="AZ8" s="571" t="str">
        <f>+AO8</f>
        <v>Grava 1"</v>
      </c>
      <c r="BB8" s="572">
        <v>1</v>
      </c>
      <c r="BC8" s="573" t="s">
        <v>355</v>
      </c>
      <c r="BD8" s="573" t="s">
        <v>356</v>
      </c>
      <c r="BE8" s="573" t="s">
        <v>355</v>
      </c>
      <c r="BF8" s="573"/>
      <c r="BG8" s="573" t="s">
        <v>8</v>
      </c>
      <c r="BH8" s="573" t="s">
        <v>8</v>
      </c>
      <c r="BI8" s="573" t="s">
        <v>8</v>
      </c>
      <c r="BJ8" s="573" t="s">
        <v>8</v>
      </c>
      <c r="BK8" s="574" t="s">
        <v>8</v>
      </c>
      <c r="BL8" s="573" t="s">
        <v>8</v>
      </c>
      <c r="BM8" s="575"/>
    </row>
    <row r="9" spans="1:65" s="546" customFormat="1" ht="15" customHeight="1">
      <c r="A9" s="576"/>
      <c r="B9" s="1813" t="s">
        <v>357</v>
      </c>
      <c r="C9" s="1813"/>
      <c r="D9" s="1813"/>
      <c r="E9" s="1813"/>
      <c r="F9" s="1813"/>
      <c r="G9" s="1813"/>
      <c r="H9" s="1813"/>
      <c r="I9" s="1813"/>
      <c r="J9" s="1813"/>
      <c r="K9" s="1813"/>
      <c r="L9" s="1813"/>
      <c r="M9" s="1813"/>
      <c r="N9" s="1813"/>
      <c r="O9" s="1813"/>
      <c r="P9" s="1813"/>
      <c r="Q9" s="1813"/>
      <c r="R9" s="1813"/>
      <c r="S9" s="1813"/>
      <c r="T9" s="1813"/>
      <c r="U9" s="1813"/>
      <c r="V9" s="1813"/>
      <c r="W9" s="1813"/>
      <c r="X9" s="1813"/>
      <c r="Y9" s="1813"/>
      <c r="Z9" s="577"/>
      <c r="AA9" s="550"/>
      <c r="AB9" s="578" t="s">
        <v>316</v>
      </c>
      <c r="AC9" s="556" t="s">
        <v>358</v>
      </c>
      <c r="AD9" s="1785"/>
      <c r="AE9" s="1788"/>
      <c r="AF9" s="1790"/>
      <c r="AG9" s="579">
        <v>3</v>
      </c>
      <c r="AH9" s="550" t="s">
        <v>359</v>
      </c>
      <c r="AI9" s="569" t="s">
        <v>360</v>
      </c>
      <c r="AJ9" s="570"/>
      <c r="AK9" s="570" t="s">
        <v>361</v>
      </c>
      <c r="AL9" s="570" t="str">
        <f t="shared" si="0"/>
        <v>MD-12</v>
      </c>
      <c r="AM9" s="570" t="s">
        <v>362</v>
      </c>
      <c r="AN9" s="570" t="s">
        <v>363</v>
      </c>
      <c r="AO9" s="570" t="s">
        <v>364</v>
      </c>
      <c r="AP9" s="570" t="s">
        <v>365</v>
      </c>
      <c r="AQ9" s="570" t="s">
        <v>361</v>
      </c>
      <c r="AR9" s="570" t="s">
        <v>366</v>
      </c>
      <c r="AS9" s="570" t="str">
        <f t="shared" ref="AS9:AS17" si="2">+AI9:AI18</f>
        <v>Base granular tipo B</v>
      </c>
      <c r="AT9" s="569" t="str">
        <f t="shared" ref="AT9:AT17" si="3">+AP9</f>
        <v>Base granular Tipo B</v>
      </c>
      <c r="AU9" s="570" t="str">
        <f t="shared" ref="AU9:AU16" si="4">+AL9</f>
        <v>MD-12</v>
      </c>
      <c r="AV9" s="570"/>
      <c r="AW9" s="570" t="str">
        <f t="shared" si="1"/>
        <v>Cemento asfaltico modificado con GCR</v>
      </c>
      <c r="AX9" s="570" t="str">
        <f t="shared" si="1"/>
        <v>Emulsión asfaltica CRL-1 (100-250)</v>
      </c>
      <c r="AY9" s="570" t="str">
        <f t="shared" ref="AY9:AY49" si="5">+AS9</f>
        <v>Base granular tipo B</v>
      </c>
      <c r="AZ9" s="571" t="str">
        <f t="shared" ref="AZ9:AZ17" si="6">+AO9</f>
        <v>Grava ¾"</v>
      </c>
      <c r="BB9" s="572">
        <v>2</v>
      </c>
      <c r="BC9" s="573" t="s">
        <v>356</v>
      </c>
      <c r="BD9" s="573" t="s">
        <v>367</v>
      </c>
      <c r="BE9" s="573" t="s">
        <v>367</v>
      </c>
      <c r="BF9" s="573"/>
      <c r="BG9" s="573" t="s">
        <v>368</v>
      </c>
      <c r="BH9" s="573" t="s">
        <v>368</v>
      </c>
      <c r="BI9" s="573" t="s">
        <v>369</v>
      </c>
      <c r="BJ9" s="580" t="s">
        <v>191</v>
      </c>
      <c r="BK9" s="574" t="s">
        <v>370</v>
      </c>
      <c r="BL9" s="574" t="s">
        <v>355</v>
      </c>
      <c r="BM9" s="575"/>
    </row>
    <row r="10" spans="1:65" s="546" customFormat="1" ht="15" customHeight="1">
      <c r="A10" s="581"/>
      <c r="B10" s="582"/>
      <c r="C10" s="582"/>
      <c r="D10" s="582"/>
      <c r="E10" s="582"/>
      <c r="F10" s="582"/>
      <c r="G10" s="1814"/>
      <c r="H10" s="1814"/>
      <c r="I10" s="1814"/>
      <c r="J10" s="1814"/>
      <c r="K10" s="1814"/>
      <c r="L10" s="1814"/>
      <c r="M10" s="1814"/>
      <c r="N10" s="1814"/>
      <c r="O10" s="1814"/>
      <c r="P10" s="1814"/>
      <c r="Q10" s="1814"/>
      <c r="R10" s="1814"/>
      <c r="S10" s="1814"/>
      <c r="T10" s="1814"/>
      <c r="U10" s="1814"/>
      <c r="V10" s="1814"/>
      <c r="W10" s="1814"/>
      <c r="X10" s="1814"/>
      <c r="Y10" s="1814"/>
      <c r="Z10" s="1815"/>
      <c r="AA10" s="583"/>
      <c r="AB10" s="1257">
        <v>17</v>
      </c>
      <c r="AC10" s="584" t="s">
        <v>371</v>
      </c>
      <c r="AD10" s="1785"/>
      <c r="AE10" s="1788"/>
      <c r="AF10" s="1790"/>
      <c r="AG10" s="560">
        <v>4</v>
      </c>
      <c r="AH10" s="579" t="s">
        <v>372</v>
      </c>
      <c r="AI10" s="569" t="s">
        <v>373</v>
      </c>
      <c r="AJ10" s="570"/>
      <c r="AK10" s="570" t="s">
        <v>374</v>
      </c>
      <c r="AL10" s="570" t="str">
        <f t="shared" si="0"/>
        <v>MGCR Tipo 1</v>
      </c>
      <c r="AM10" s="570" t="s">
        <v>375</v>
      </c>
      <c r="AN10" s="570" t="s">
        <v>376</v>
      </c>
      <c r="AO10" s="570" t="s">
        <v>377</v>
      </c>
      <c r="AP10" s="570" t="s">
        <v>378</v>
      </c>
      <c r="AQ10" s="570" t="s">
        <v>379</v>
      </c>
      <c r="AR10" s="570" t="s">
        <v>380</v>
      </c>
      <c r="AS10" s="570" t="str">
        <f t="shared" si="2"/>
        <v>Base granular tipo C</v>
      </c>
      <c r="AT10" s="569" t="str">
        <f t="shared" si="3"/>
        <v>Base granular Tipo C</v>
      </c>
      <c r="AU10" s="570" t="str">
        <f t="shared" si="4"/>
        <v>MGCR Tipo 1</v>
      </c>
      <c r="AV10" s="570"/>
      <c r="AW10" s="570" t="str">
        <f t="shared" si="1"/>
        <v>Asfalto modificado para sello de fisuras</v>
      </c>
      <c r="AX10" s="570" t="str">
        <f t="shared" si="1"/>
        <v>Emulsión asfaltica CRR-1</v>
      </c>
      <c r="AY10" s="570" t="str">
        <f t="shared" si="5"/>
        <v>Base granular tipo C</v>
      </c>
      <c r="AZ10" s="571" t="str">
        <f t="shared" si="6"/>
        <v>Grava ½"</v>
      </c>
      <c r="BB10" s="572">
        <v>3</v>
      </c>
      <c r="BC10" s="573" t="s">
        <v>367</v>
      </c>
      <c r="BD10" s="580" t="s">
        <v>252</v>
      </c>
      <c r="BE10" s="580" t="s">
        <v>191</v>
      </c>
      <c r="BF10" s="580"/>
      <c r="BG10" s="573" t="s">
        <v>381</v>
      </c>
      <c r="BH10" s="573" t="s">
        <v>381</v>
      </c>
      <c r="BI10" s="580" t="str">
        <f>""</f>
        <v/>
      </c>
      <c r="BJ10" s="580" t="str">
        <f>""</f>
        <v/>
      </c>
      <c r="BK10" s="574" t="s">
        <v>382</v>
      </c>
      <c r="BL10" s="573" t="s">
        <v>367</v>
      </c>
      <c r="BM10" s="575"/>
    </row>
    <row r="11" spans="1:65" s="546" customFormat="1" ht="15" customHeight="1">
      <c r="A11" s="581"/>
      <c r="B11" s="1805" t="s">
        <v>383</v>
      </c>
      <c r="C11" s="1805"/>
      <c r="D11" s="1805"/>
      <c r="E11" s="1805"/>
      <c r="F11" s="1805"/>
      <c r="G11" s="1805"/>
      <c r="H11" s="1805"/>
      <c r="I11" s="1793"/>
      <c r="J11" s="1793"/>
      <c r="K11" s="1793"/>
      <c r="L11" s="1793"/>
      <c r="M11" s="1793"/>
      <c r="N11" s="1793"/>
      <c r="O11" s="1793"/>
      <c r="P11" s="1793"/>
      <c r="Q11" s="1793"/>
      <c r="R11" s="1793"/>
      <c r="S11" s="1793"/>
      <c r="T11" s="1793"/>
      <c r="U11" s="1793"/>
      <c r="V11" s="1793"/>
      <c r="W11" s="1793"/>
      <c r="X11" s="1793"/>
      <c r="Y11" s="1793"/>
      <c r="Z11" s="577"/>
      <c r="AA11" s="579"/>
      <c r="AB11" s="585" t="s">
        <v>317</v>
      </c>
      <c r="AC11" s="586"/>
      <c r="AD11" s="1785" t="s">
        <v>753</v>
      </c>
      <c r="AE11" s="1788" t="s">
        <v>754</v>
      </c>
      <c r="AF11" s="1790"/>
      <c r="AG11" s="550">
        <v>5</v>
      </c>
      <c r="AH11" s="579" t="s">
        <v>386</v>
      </c>
      <c r="AI11" s="569" t="s">
        <v>387</v>
      </c>
      <c r="AJ11" s="570"/>
      <c r="AK11" s="570" t="s">
        <v>388</v>
      </c>
      <c r="AL11" s="570" t="str">
        <f t="shared" si="0"/>
        <v>Pavimento asfaltico reciclado MBR</v>
      </c>
      <c r="AM11" s="570"/>
      <c r="AN11" s="570"/>
      <c r="AO11" s="570" t="s">
        <v>389</v>
      </c>
      <c r="AP11" s="570" t="s">
        <v>390</v>
      </c>
      <c r="AQ11" s="570" t="s">
        <v>391</v>
      </c>
      <c r="AR11" s="570"/>
      <c r="AS11" s="570" t="str">
        <f t="shared" si="2"/>
        <v>Sub-base granular  tipo A</v>
      </c>
      <c r="AT11" s="569" t="str">
        <f t="shared" si="3"/>
        <v xml:space="preserve">Sub-base granular Tipo A </v>
      </c>
      <c r="AU11" s="570" t="str">
        <f t="shared" si="4"/>
        <v>Pavimento asfaltico reciclado MBR</v>
      </c>
      <c r="AV11" s="570"/>
      <c r="AW11" s="570"/>
      <c r="AX11" s="570"/>
      <c r="AY11" s="570" t="str">
        <f t="shared" si="5"/>
        <v>Sub-base granular  tipo A</v>
      </c>
      <c r="AZ11" s="571" t="str">
        <f t="shared" si="6"/>
        <v>Arena triturada de rio</v>
      </c>
      <c r="BB11" s="572">
        <v>4</v>
      </c>
      <c r="BC11" s="580" t="str">
        <f>""</f>
        <v/>
      </c>
      <c r="BD11" s="580" t="s">
        <v>191</v>
      </c>
      <c r="BE11" s="580" t="str">
        <f>""</f>
        <v/>
      </c>
      <c r="BF11" s="580"/>
      <c r="BG11" s="580" t="s">
        <v>369</v>
      </c>
      <c r="BH11" s="580" t="s">
        <v>369</v>
      </c>
      <c r="BI11" s="580" t="s">
        <v>392</v>
      </c>
      <c r="BJ11" s="580" t="s">
        <v>392</v>
      </c>
      <c r="BK11" s="580" t="str">
        <f>""</f>
        <v/>
      </c>
      <c r="BL11" s="574" t="s">
        <v>393</v>
      </c>
      <c r="BM11" s="575"/>
    </row>
    <row r="12" spans="1:65" s="546" customFormat="1" ht="15" customHeight="1">
      <c r="A12" s="581"/>
      <c r="B12" s="1806" t="s">
        <v>5</v>
      </c>
      <c r="C12" s="1806"/>
      <c r="D12" s="1806"/>
      <c r="E12" s="1806"/>
      <c r="F12" s="1806"/>
      <c r="G12" s="1806"/>
      <c r="H12" s="1806"/>
      <c r="I12" s="1807" t="str">
        <f>+IF(I11="","",CONCATENATE(I11," ",AB14))</f>
        <v/>
      </c>
      <c r="J12" s="1807"/>
      <c r="K12" s="1807"/>
      <c r="L12" s="1807"/>
      <c r="M12" s="1807"/>
      <c r="N12" s="1807"/>
      <c r="O12" s="1807"/>
      <c r="P12" s="1807"/>
      <c r="Q12" s="1807"/>
      <c r="R12" s="1807"/>
      <c r="S12" s="1807"/>
      <c r="T12" s="1807"/>
      <c r="U12" s="1807"/>
      <c r="V12" s="1807"/>
      <c r="W12" s="1807"/>
      <c r="X12" s="1807"/>
      <c r="Y12" s="1807"/>
      <c r="Z12" s="577"/>
      <c r="AB12" s="579"/>
      <c r="AD12" s="1785"/>
      <c r="AE12" s="1788"/>
      <c r="AF12" s="1790"/>
      <c r="AG12" s="579">
        <v>6</v>
      </c>
      <c r="AH12" s="329" t="s">
        <v>394</v>
      </c>
      <c r="AI12" s="569" t="s">
        <v>395</v>
      </c>
      <c r="AJ12" s="570"/>
      <c r="AK12" s="570" t="s">
        <v>396</v>
      </c>
      <c r="AL12" s="570" t="str">
        <f t="shared" si="0"/>
        <v>Fresado</v>
      </c>
      <c r="AM12" s="570"/>
      <c r="AN12" s="570"/>
      <c r="AO12" s="570" t="s">
        <v>397</v>
      </c>
      <c r="AP12" s="570" t="s">
        <v>398</v>
      </c>
      <c r="AQ12" s="570" t="s">
        <v>399</v>
      </c>
      <c r="AR12" s="570"/>
      <c r="AS12" s="570" t="str">
        <f t="shared" si="2"/>
        <v>Sub-base granular  tipo B</v>
      </c>
      <c r="AT12" s="569" t="str">
        <f t="shared" si="3"/>
        <v>Sub-base granular Tipo B</v>
      </c>
      <c r="AU12" s="570" t="str">
        <f t="shared" si="4"/>
        <v>Fresado</v>
      </c>
      <c r="AV12" s="570"/>
      <c r="AW12" s="570"/>
      <c r="AX12" s="570"/>
      <c r="AY12" s="570" t="str">
        <f t="shared" si="5"/>
        <v>Sub-base granular  tipo B</v>
      </c>
      <c r="AZ12" s="571" t="str">
        <f t="shared" si="6"/>
        <v>Arena triturada de cantera</v>
      </c>
      <c r="BB12" s="572">
        <v>5</v>
      </c>
      <c r="BC12" s="580" t="s">
        <v>400</v>
      </c>
      <c r="BD12" s="587" t="s">
        <v>401</v>
      </c>
      <c r="BE12" s="580" t="str">
        <f>""</f>
        <v/>
      </c>
      <c r="BF12" s="580"/>
      <c r="BG12" s="580" t="str">
        <f>""</f>
        <v/>
      </c>
      <c r="BH12" s="580" t="str">
        <f>""</f>
        <v/>
      </c>
      <c r="BI12" s="580" t="str">
        <f>""</f>
        <v/>
      </c>
      <c r="BJ12" s="580" t="str">
        <f>""</f>
        <v/>
      </c>
      <c r="BK12" s="580" t="str">
        <f>""</f>
        <v/>
      </c>
      <c r="BL12" s="580" t="str">
        <f>""</f>
        <v/>
      </c>
      <c r="BM12" s="575"/>
    </row>
    <row r="13" spans="1:65" s="591" customFormat="1" ht="15" customHeight="1">
      <c r="A13" s="588"/>
      <c r="B13" s="589"/>
      <c r="C13" s="589"/>
      <c r="D13" s="589"/>
      <c r="E13" s="589"/>
      <c r="F13" s="589"/>
      <c r="G13" s="589"/>
      <c r="H13" s="589"/>
      <c r="I13" s="1807"/>
      <c r="J13" s="1807"/>
      <c r="K13" s="1807"/>
      <c r="L13" s="1807"/>
      <c r="M13" s="1807"/>
      <c r="N13" s="1807"/>
      <c r="O13" s="1807"/>
      <c r="P13" s="1807"/>
      <c r="Q13" s="1807"/>
      <c r="R13" s="1807"/>
      <c r="S13" s="1807"/>
      <c r="T13" s="1807"/>
      <c r="U13" s="1807"/>
      <c r="V13" s="1807"/>
      <c r="W13" s="1807"/>
      <c r="X13" s="1807"/>
      <c r="Y13" s="1807"/>
      <c r="Z13" s="590"/>
      <c r="AA13" s="329"/>
      <c r="AB13" s="1329" t="s">
        <v>690</v>
      </c>
      <c r="AC13" s="329"/>
      <c r="AD13" s="1785"/>
      <c r="AE13" s="1788"/>
      <c r="AF13" s="1790"/>
      <c r="AG13" s="560">
        <v>7</v>
      </c>
      <c r="AH13" s="329" t="s">
        <v>402</v>
      </c>
      <c r="AI13" s="569" t="s">
        <v>403</v>
      </c>
      <c r="AJ13" s="570"/>
      <c r="AK13" s="570"/>
      <c r="AL13" s="570" t="str">
        <f t="shared" si="0"/>
        <v>Fresado estabilizado con emulsión y cemento</v>
      </c>
      <c r="AM13" s="570"/>
      <c r="AN13" s="570"/>
      <c r="AO13" s="570" t="s">
        <v>404</v>
      </c>
      <c r="AP13" s="570" t="s">
        <v>405</v>
      </c>
      <c r="AQ13" s="570" t="s">
        <v>406</v>
      </c>
      <c r="AR13" s="570"/>
      <c r="AS13" s="570" t="str">
        <f t="shared" si="2"/>
        <v>Sub-base granular  tipo C</v>
      </c>
      <c r="AT13" s="569" t="str">
        <f t="shared" si="3"/>
        <v>Sub-base granular Tipo C</v>
      </c>
      <c r="AU13" s="570" t="str">
        <f t="shared" si="4"/>
        <v>Fresado estabilizado con emulsión y cemento</v>
      </c>
      <c r="AV13" s="570"/>
      <c r="AW13" s="570"/>
      <c r="AX13" s="570"/>
      <c r="AY13" s="570" t="str">
        <f t="shared" si="5"/>
        <v>Sub-base granular  tipo C</v>
      </c>
      <c r="AZ13" s="571" t="str">
        <f t="shared" si="6"/>
        <v>Arena natural</v>
      </c>
      <c r="BB13" s="572">
        <v>6</v>
      </c>
      <c r="BC13" s="580" t="str">
        <f>""</f>
        <v/>
      </c>
      <c r="BD13" s="580" t="str">
        <f>""</f>
        <v/>
      </c>
      <c r="BE13" s="580" t="s">
        <v>407</v>
      </c>
      <c r="BF13" s="587"/>
      <c r="BG13" s="580" t="str">
        <f>""</f>
        <v/>
      </c>
      <c r="BH13" s="580" t="str">
        <f>""</f>
        <v/>
      </c>
      <c r="BI13" s="580" t="str">
        <f>""</f>
        <v/>
      </c>
      <c r="BJ13" s="580" t="str">
        <f>""</f>
        <v/>
      </c>
      <c r="BK13" s="574" t="s">
        <v>408</v>
      </c>
      <c r="BL13" s="574" t="s">
        <v>408</v>
      </c>
      <c r="BM13" s="575"/>
    </row>
    <row r="14" spans="1:65" s="157" customFormat="1" ht="15" customHeight="1">
      <c r="A14" s="592"/>
      <c r="B14" s="1803" t="s">
        <v>409</v>
      </c>
      <c r="C14" s="1803"/>
      <c r="D14" s="1803"/>
      <c r="E14" s="1803"/>
      <c r="F14" s="1803"/>
      <c r="G14" s="1803"/>
      <c r="H14" s="1803"/>
      <c r="I14" s="1803"/>
      <c r="J14" s="1803"/>
      <c r="K14" s="1803"/>
      <c r="L14" s="1803"/>
      <c r="M14" s="1803"/>
      <c r="N14" s="1803"/>
      <c r="O14" s="1803"/>
      <c r="P14" s="1803"/>
      <c r="Q14" s="1803"/>
      <c r="R14" s="1803"/>
      <c r="S14" s="1803"/>
      <c r="T14" s="1803"/>
      <c r="U14" s="1803"/>
      <c r="V14" s="1803"/>
      <c r="W14" s="1803"/>
      <c r="X14" s="1803"/>
      <c r="Y14" s="1803"/>
      <c r="Z14" s="593"/>
      <c r="AA14" s="594"/>
      <c r="AB14" s="1328" t="s">
        <v>755</v>
      </c>
      <c r="AC14" s="595"/>
      <c r="AD14" s="1785" t="s">
        <v>384</v>
      </c>
      <c r="AE14" s="1788" t="s">
        <v>385</v>
      </c>
      <c r="AF14" s="1790"/>
      <c r="AG14" s="550">
        <v>8</v>
      </c>
      <c r="AH14" s="329" t="s">
        <v>410</v>
      </c>
      <c r="AI14" s="569" t="s">
        <v>411</v>
      </c>
      <c r="AJ14" s="570"/>
      <c r="AK14" s="570"/>
      <c r="AL14" s="570" t="str">
        <f>+AR8</f>
        <v>MR-43</v>
      </c>
      <c r="AM14" s="570"/>
      <c r="AN14" s="570"/>
      <c r="AO14" s="596" t="s">
        <v>412</v>
      </c>
      <c r="AP14" s="570" t="s">
        <v>413</v>
      </c>
      <c r="AQ14" s="570"/>
      <c r="AR14" s="570"/>
      <c r="AS14" s="570" t="str">
        <f t="shared" si="2"/>
        <v>Remanente</v>
      </c>
      <c r="AT14" s="569" t="str">
        <f t="shared" si="3"/>
        <v>Piedra rajón</v>
      </c>
      <c r="AU14" s="570" t="str">
        <f t="shared" si="4"/>
        <v>MR-43</v>
      </c>
      <c r="AV14" s="570"/>
      <c r="AW14" s="570"/>
      <c r="AX14" s="570"/>
      <c r="AY14" s="570" t="str">
        <f t="shared" si="5"/>
        <v>Remanente</v>
      </c>
      <c r="AZ14" s="571" t="str">
        <f t="shared" si="6"/>
        <v>Arena de peña</v>
      </c>
      <c r="BB14" s="572">
        <v>7</v>
      </c>
      <c r="BC14" s="580" t="str">
        <f>""</f>
        <v/>
      </c>
      <c r="BD14" s="587" t="s">
        <v>414</v>
      </c>
      <c r="BE14" s="580" t="str">
        <f>""</f>
        <v/>
      </c>
      <c r="BF14" s="587"/>
      <c r="BG14" s="580" t="str">
        <f>""</f>
        <v/>
      </c>
      <c r="BH14" s="580" t="str">
        <f>""</f>
        <v/>
      </c>
      <c r="BI14" s="580" t="str">
        <f>""</f>
        <v/>
      </c>
      <c r="BJ14" s="580" t="str">
        <f>""</f>
        <v/>
      </c>
      <c r="BK14" s="574" t="s">
        <v>415</v>
      </c>
      <c r="BL14" s="574" t="s">
        <v>415</v>
      </c>
      <c r="BM14" s="575"/>
    </row>
    <row r="15" spans="1:65" s="157" customFormat="1" ht="15" customHeight="1">
      <c r="A15" s="572"/>
      <c r="B15" s="597"/>
      <c r="C15" s="597"/>
      <c r="D15" s="597"/>
      <c r="E15" s="597"/>
      <c r="F15" s="597"/>
      <c r="G15" s="597"/>
      <c r="H15" s="597"/>
      <c r="I15" s="598"/>
      <c r="J15" s="598"/>
      <c r="K15" s="598"/>
      <c r="L15" s="598"/>
      <c r="M15" s="598"/>
      <c r="N15" s="598"/>
      <c r="O15" s="598"/>
      <c r="P15" s="598"/>
      <c r="Q15" s="598"/>
      <c r="R15" s="598"/>
      <c r="S15" s="598"/>
      <c r="T15" s="598"/>
      <c r="U15" s="599"/>
      <c r="V15" s="599"/>
      <c r="W15" s="599"/>
      <c r="X15" s="599"/>
      <c r="Y15" s="599"/>
      <c r="Z15" s="593"/>
      <c r="AA15" s="600"/>
      <c r="AB15" s="1330" t="s">
        <v>691</v>
      </c>
      <c r="AC15" s="600"/>
      <c r="AD15" s="1785"/>
      <c r="AE15" s="1788"/>
      <c r="AF15" s="1790"/>
      <c r="AG15" s="579">
        <v>9</v>
      </c>
      <c r="AH15" s="329" t="s">
        <v>416</v>
      </c>
      <c r="AI15" s="569" t="s">
        <v>399</v>
      </c>
      <c r="AJ15" s="570"/>
      <c r="AK15" s="570"/>
      <c r="AL15" s="570" t="str">
        <f>+AR9</f>
        <v>3000 psi</v>
      </c>
      <c r="AM15" s="570"/>
      <c r="AN15" s="570"/>
      <c r="AO15" s="570" t="s">
        <v>417</v>
      </c>
      <c r="AP15" s="570" t="s">
        <v>418</v>
      </c>
      <c r="AQ15" s="570"/>
      <c r="AR15" s="570"/>
      <c r="AS15" s="570" t="str">
        <f t="shared" si="2"/>
        <v>Fresado</v>
      </c>
      <c r="AT15" s="569" t="str">
        <f t="shared" si="3"/>
        <v>Recebo común</v>
      </c>
      <c r="AU15" s="570" t="str">
        <f t="shared" si="4"/>
        <v>3000 psi</v>
      </c>
      <c r="AV15" s="570"/>
      <c r="AW15" s="570"/>
      <c r="AX15" s="570"/>
      <c r="AY15" s="570" t="str">
        <f t="shared" si="5"/>
        <v>Fresado</v>
      </c>
      <c r="AZ15" s="571" t="str">
        <f t="shared" si="6"/>
        <v>Agregados combinados MD-10</v>
      </c>
      <c r="BB15" s="572">
        <v>8</v>
      </c>
      <c r="BC15" s="580" t="str">
        <f>""</f>
        <v/>
      </c>
      <c r="BD15" s="580" t="str">
        <f>""</f>
        <v/>
      </c>
      <c r="BE15" s="580" t="str">
        <f>""</f>
        <v/>
      </c>
      <c r="BF15" s="596"/>
      <c r="BG15" s="580" t="str">
        <f>""</f>
        <v/>
      </c>
      <c r="BH15" s="580" t="str">
        <f>""</f>
        <v/>
      </c>
      <c r="BI15" s="580" t="str">
        <f>""</f>
        <v/>
      </c>
      <c r="BJ15" s="580" t="str">
        <f>""</f>
        <v/>
      </c>
      <c r="BK15" s="574" t="s">
        <v>400</v>
      </c>
      <c r="BL15" s="574" t="s">
        <v>400</v>
      </c>
      <c r="BM15" s="601"/>
    </row>
    <row r="16" spans="1:65" s="157" customFormat="1" ht="15" customHeight="1">
      <c r="A16" s="572"/>
      <c r="B16" s="1794" t="str">
        <f t="shared" ref="B16:B24" si="7">IF($T$7="","",IF($AA$7=$AH$7,BC8,IF($AA$7=$AH$8,BD8,IF($AA$7=$AH$9,BE8,IF($AA$7=$AH$10,BF8,IF($AA$7=$AH$11,BG8,IF($AA$7=$AH$12,BH8,IF($AA$7=$AH$13,BI8,IF($AA$7=$AH$14,BJ8,IF($AA$7=$AH$15,BK8,IF($AA$7=$AH$16,BL8,IF($AA$7=$AH$17,BM8,""))))))))))))</f>
        <v/>
      </c>
      <c r="C16" s="1794"/>
      <c r="D16" s="1794"/>
      <c r="E16" s="1794"/>
      <c r="F16" s="1794"/>
      <c r="G16" s="1794"/>
      <c r="H16" s="1794"/>
      <c r="I16" s="1793"/>
      <c r="J16" s="1793"/>
      <c r="K16" s="1793"/>
      <c r="L16" s="1793"/>
      <c r="M16" s="1793"/>
      <c r="N16" s="1793"/>
      <c r="O16" s="1793"/>
      <c r="P16" s="1793"/>
      <c r="Q16" s="1793"/>
      <c r="R16" s="1793"/>
      <c r="S16" s="1793"/>
      <c r="T16" s="1793"/>
      <c r="U16" s="1793"/>
      <c r="V16" s="1793"/>
      <c r="W16" s="1793"/>
      <c r="X16" s="1793"/>
      <c r="Y16" s="1793"/>
      <c r="Z16" s="593"/>
      <c r="AA16" s="600"/>
      <c r="AB16" s="600" t="s">
        <v>692</v>
      </c>
      <c r="AC16" s="600"/>
      <c r="AD16" s="1785"/>
      <c r="AE16" s="1788"/>
      <c r="AF16" s="1790"/>
      <c r="AG16" s="560">
        <v>10</v>
      </c>
      <c r="AH16" s="329" t="s">
        <v>419</v>
      </c>
      <c r="AI16" s="569" t="s">
        <v>420</v>
      </c>
      <c r="AJ16" s="570"/>
      <c r="AK16" s="570"/>
      <c r="AL16" s="570" t="str">
        <f>+AR10</f>
        <v>2500 psi</v>
      </c>
      <c r="AM16" s="570"/>
      <c r="AN16" s="570"/>
      <c r="AO16" s="570" t="s">
        <v>421</v>
      </c>
      <c r="AP16" s="570" t="s">
        <v>422</v>
      </c>
      <c r="AQ16" s="570"/>
      <c r="AR16" s="570"/>
      <c r="AS16" s="570" t="str">
        <f t="shared" si="2"/>
        <v>Base estabilizada con emulsión y cemento</v>
      </c>
      <c r="AT16" s="569" t="str">
        <f t="shared" si="3"/>
        <v>Material filtrante de 3"</v>
      </c>
      <c r="AU16" s="570" t="str">
        <f t="shared" si="4"/>
        <v>2500 psi</v>
      </c>
      <c r="AV16" s="570"/>
      <c r="AW16" s="570"/>
      <c r="AX16" s="570"/>
      <c r="AY16" s="570" t="str">
        <f t="shared" si="5"/>
        <v>Base estabilizada con emulsión y cemento</v>
      </c>
      <c r="AZ16" s="571" t="str">
        <f t="shared" si="6"/>
        <v>Agregados combinados MD-12</v>
      </c>
      <c r="BB16" s="328">
        <v>9</v>
      </c>
      <c r="BC16" s="602" t="str">
        <f>""</f>
        <v/>
      </c>
      <c r="BD16" s="602" t="str">
        <f>""</f>
        <v/>
      </c>
      <c r="BE16" s="602" t="str">
        <f>""</f>
        <v/>
      </c>
      <c r="BF16" s="602"/>
      <c r="BG16" s="602" t="str">
        <f>""</f>
        <v/>
      </c>
      <c r="BH16" s="602" t="str">
        <f>""</f>
        <v/>
      </c>
      <c r="BI16" s="602" t="str">
        <f>""</f>
        <v/>
      </c>
      <c r="BJ16" s="602" t="str">
        <f>""</f>
        <v/>
      </c>
      <c r="BK16" s="602" t="str">
        <f>""</f>
        <v/>
      </c>
      <c r="BL16" s="603"/>
      <c r="BM16" s="604"/>
    </row>
    <row r="17" spans="1:65" s="157" customFormat="1" ht="15" customHeight="1">
      <c r="A17" s="572"/>
      <c r="B17" s="1794" t="str">
        <f t="shared" si="7"/>
        <v/>
      </c>
      <c r="C17" s="1794"/>
      <c r="D17" s="1794"/>
      <c r="E17" s="1794"/>
      <c r="F17" s="1794"/>
      <c r="G17" s="1794"/>
      <c r="H17" s="1794"/>
      <c r="I17" s="1793"/>
      <c r="J17" s="1793"/>
      <c r="K17" s="1793"/>
      <c r="L17" s="1793"/>
      <c r="M17" s="1793"/>
      <c r="N17" s="1793"/>
      <c r="O17" s="1793"/>
      <c r="P17" s="1793"/>
      <c r="Q17" s="1793"/>
      <c r="R17" s="1793"/>
      <c r="S17" s="1793"/>
      <c r="T17" s="1793"/>
      <c r="U17" s="1793"/>
      <c r="V17" s="1793"/>
      <c r="W17" s="1793"/>
      <c r="X17" s="1793"/>
      <c r="Y17" s="1793"/>
      <c r="Z17" s="593"/>
      <c r="AA17" s="600"/>
      <c r="AB17" s="600" t="s">
        <v>693</v>
      </c>
      <c r="AC17" s="600"/>
      <c r="AD17" s="1784" t="s">
        <v>235</v>
      </c>
      <c r="AE17" s="1787" t="s">
        <v>235</v>
      </c>
      <c r="AF17" s="1790"/>
      <c r="AG17" s="603">
        <v>11</v>
      </c>
      <c r="AH17" s="603" t="s">
        <v>423</v>
      </c>
      <c r="AI17" s="569" t="s">
        <v>424</v>
      </c>
      <c r="AJ17" s="570"/>
      <c r="AK17" s="570"/>
      <c r="AL17" s="570"/>
      <c r="AM17" s="570"/>
      <c r="AN17" s="570"/>
      <c r="AO17" s="570" t="s">
        <v>425</v>
      </c>
      <c r="AP17" s="570" t="s">
        <v>426</v>
      </c>
      <c r="AQ17" s="570"/>
      <c r="AR17" s="570"/>
      <c r="AS17" s="570" t="str">
        <f t="shared" si="2"/>
        <v xml:space="preserve">70%SBG-A + 30% Fresado </v>
      </c>
      <c r="AT17" s="569" t="str">
        <f t="shared" si="3"/>
        <v>Material filtrante de 1"</v>
      </c>
      <c r="AU17" s="570" t="str">
        <f>+AK11</f>
        <v>Capa 1 MD-12 y Capa 2 MGCR-Tipo 1</v>
      </c>
      <c r="AV17" s="570"/>
      <c r="AW17" s="570"/>
      <c r="AX17" s="570"/>
      <c r="AY17" s="570" t="str">
        <f t="shared" si="5"/>
        <v xml:space="preserve">70%SBG-A + 30% Fresado </v>
      </c>
      <c r="AZ17" s="571" t="str">
        <f t="shared" si="6"/>
        <v>Agregados combinados MGCR Tipo 1</v>
      </c>
      <c r="BK17" s="596"/>
      <c r="BL17" s="596"/>
      <c r="BM17" s="596"/>
    </row>
    <row r="18" spans="1:65" s="157" customFormat="1" ht="15" customHeight="1">
      <c r="A18" s="572"/>
      <c r="B18" s="1794" t="str">
        <f t="shared" si="7"/>
        <v/>
      </c>
      <c r="C18" s="1794"/>
      <c r="D18" s="1794"/>
      <c r="E18" s="1794"/>
      <c r="F18" s="1794"/>
      <c r="G18" s="1794"/>
      <c r="H18" s="1794"/>
      <c r="I18" s="1804"/>
      <c r="J18" s="1804"/>
      <c r="K18" s="1804"/>
      <c r="L18" s="1804"/>
      <c r="M18" s="1804"/>
      <c r="N18" s="1804"/>
      <c r="O18" s="1804"/>
      <c r="P18" s="1804"/>
      <c r="Q18" s="1804"/>
      <c r="R18" s="1804"/>
      <c r="S18" s="1804"/>
      <c r="T18" s="1804"/>
      <c r="U18" s="1804"/>
      <c r="V18" s="1804"/>
      <c r="W18" s="1804"/>
      <c r="X18" s="1804"/>
      <c r="Y18" s="1804"/>
      <c r="Z18" s="593"/>
      <c r="AA18" s="600"/>
      <c r="AB18" s="600" t="s">
        <v>694</v>
      </c>
      <c r="AC18" s="600"/>
      <c r="AD18" s="1785"/>
      <c r="AE18" s="1788"/>
      <c r="AF18" s="1790"/>
      <c r="AG18" s="605">
        <v>12</v>
      </c>
      <c r="AH18" s="600"/>
      <c r="AI18" s="572"/>
      <c r="AJ18" s="596"/>
      <c r="AK18" s="596"/>
      <c r="AL18" s="596"/>
      <c r="AM18" s="596"/>
      <c r="AN18" s="596"/>
      <c r="AO18" s="596"/>
      <c r="AP18" s="596"/>
      <c r="AQ18" s="596"/>
      <c r="AR18" s="596"/>
      <c r="AS18" s="570" t="str">
        <f>+AP14</f>
        <v>Piedra rajón</v>
      </c>
      <c r="AT18" s="569" t="str">
        <f>+AI14</f>
        <v>Remanente</v>
      </c>
      <c r="AU18" s="570" t="str">
        <f>+AK12</f>
        <v>Capa 1 MGCR Tipo 1 y capa 2 MD-12</v>
      </c>
      <c r="AV18" s="570"/>
      <c r="AW18" s="570"/>
      <c r="AX18" s="570"/>
      <c r="AY18" s="570" t="str">
        <f t="shared" si="5"/>
        <v>Piedra rajón</v>
      </c>
      <c r="AZ18" s="571"/>
    </row>
    <row r="19" spans="1:65" s="157" customFormat="1" ht="15" customHeight="1">
      <c r="A19" s="572"/>
      <c r="B19" s="1794" t="str">
        <f t="shared" si="7"/>
        <v/>
      </c>
      <c r="C19" s="1794"/>
      <c r="D19" s="1794"/>
      <c r="E19" s="1794"/>
      <c r="F19" s="1794"/>
      <c r="G19" s="1794"/>
      <c r="H19" s="1794"/>
      <c r="I19" s="1793"/>
      <c r="J19" s="1793"/>
      <c r="K19" s="1793"/>
      <c r="L19" s="1793"/>
      <c r="M19" s="1793"/>
      <c r="N19" s="1793"/>
      <c r="O19" s="1793"/>
      <c r="P19" s="1793"/>
      <c r="Q19" s="1793"/>
      <c r="R19" s="1793"/>
      <c r="S19" s="1793"/>
      <c r="T19" s="1793"/>
      <c r="U19" s="1793"/>
      <c r="V19" s="1793"/>
      <c r="W19" s="1793"/>
      <c r="X19" s="1793"/>
      <c r="Y19" s="1793"/>
      <c r="Z19" s="593"/>
      <c r="AA19" s="600"/>
      <c r="AB19" s="600"/>
      <c r="AC19" s="600"/>
      <c r="AD19" s="1786"/>
      <c r="AE19" s="1789"/>
      <c r="AF19" s="1791"/>
      <c r="AG19" s="605">
        <v>13</v>
      </c>
      <c r="AH19" s="600"/>
      <c r="AI19" s="572"/>
      <c r="AJ19" s="596"/>
      <c r="AK19" s="596"/>
      <c r="AL19" s="596"/>
      <c r="AM19" s="596"/>
      <c r="AN19" s="596"/>
      <c r="AO19" s="596"/>
      <c r="AP19" s="596"/>
      <c r="AQ19" s="596"/>
      <c r="AR19" s="596"/>
      <c r="AS19" s="570" t="str">
        <f>+AP15</f>
        <v>Recebo común</v>
      </c>
      <c r="AT19" s="569" t="str">
        <f>+AI15</f>
        <v>Fresado</v>
      </c>
      <c r="AU19" s="570"/>
      <c r="AV19" s="570"/>
      <c r="AW19" s="570"/>
      <c r="AX19" s="570"/>
      <c r="AY19" s="570" t="str">
        <f t="shared" si="5"/>
        <v>Recebo común</v>
      </c>
      <c r="AZ19" s="571"/>
    </row>
    <row r="20" spans="1:65" s="157" customFormat="1" ht="15" customHeight="1">
      <c r="A20" s="572"/>
      <c r="B20" s="1794" t="str">
        <f t="shared" si="7"/>
        <v/>
      </c>
      <c r="C20" s="1794"/>
      <c r="D20" s="1794"/>
      <c r="E20" s="1794"/>
      <c r="F20" s="1794"/>
      <c r="G20" s="1794"/>
      <c r="H20" s="1794"/>
      <c r="I20" s="1793"/>
      <c r="J20" s="1793"/>
      <c r="K20" s="1793"/>
      <c r="L20" s="1793"/>
      <c r="M20" s="1793"/>
      <c r="N20" s="1793"/>
      <c r="O20" s="1793"/>
      <c r="P20" s="1793"/>
      <c r="Q20" s="1793"/>
      <c r="R20" s="1793"/>
      <c r="S20" s="1793"/>
      <c r="T20" s="1793"/>
      <c r="U20" s="1793"/>
      <c r="V20" s="1793"/>
      <c r="W20" s="1793"/>
      <c r="X20" s="1793"/>
      <c r="Y20" s="1793"/>
      <c r="Z20" s="593"/>
      <c r="AA20" s="600"/>
      <c r="AB20" s="600"/>
      <c r="AC20" s="600"/>
      <c r="AD20" s="595"/>
      <c r="AE20" s="595"/>
      <c r="AF20" s="595"/>
      <c r="AG20" s="605">
        <v>14</v>
      </c>
      <c r="AH20" s="600"/>
      <c r="AI20" s="572"/>
      <c r="AJ20" s="596"/>
      <c r="AK20" s="596"/>
      <c r="AL20" s="596"/>
      <c r="AM20" s="596"/>
      <c r="AN20" s="596"/>
      <c r="AO20" s="596"/>
      <c r="AP20" s="596"/>
      <c r="AQ20" s="596"/>
      <c r="AR20" s="596"/>
      <c r="AS20" s="570" t="str">
        <f>+AP16</f>
        <v>Material filtrante de 3"</v>
      </c>
      <c r="AT20" s="569" t="str">
        <f>+AI16</f>
        <v>Base estabilizada con emulsión y cemento</v>
      </c>
      <c r="AU20" s="570"/>
      <c r="AV20" s="570"/>
      <c r="AW20" s="570"/>
      <c r="AX20" s="570"/>
      <c r="AY20" s="570" t="str">
        <f t="shared" si="5"/>
        <v>Material filtrante de 3"</v>
      </c>
      <c r="AZ20" s="571"/>
    </row>
    <row r="21" spans="1:65" s="157" customFormat="1" ht="15" customHeight="1">
      <c r="A21" s="572"/>
      <c r="B21" s="1794" t="str">
        <f t="shared" si="7"/>
        <v/>
      </c>
      <c r="C21" s="1794"/>
      <c r="D21" s="1794"/>
      <c r="E21" s="1794"/>
      <c r="F21" s="1794"/>
      <c r="G21" s="1794"/>
      <c r="H21" s="1794"/>
      <c r="I21" s="1799"/>
      <c r="J21" s="1799"/>
      <c r="K21" s="1799"/>
      <c r="L21" s="1799"/>
      <c r="M21" s="1799"/>
      <c r="N21" s="1799"/>
      <c r="O21" s="1799"/>
      <c r="P21" s="1799"/>
      <c r="Q21" s="1799"/>
      <c r="R21" s="1799"/>
      <c r="S21" s="1799"/>
      <c r="T21" s="1799"/>
      <c r="U21" s="1799"/>
      <c r="V21" s="1799"/>
      <c r="W21" s="1799"/>
      <c r="X21" s="1799"/>
      <c r="Y21" s="1799"/>
      <c r="Z21" s="593"/>
      <c r="AA21" s="600"/>
      <c r="AB21" s="600"/>
      <c r="AC21" s="600"/>
      <c r="AD21" s="1796" t="str">
        <f>+N39</f>
        <v>Aprobó</v>
      </c>
      <c r="AE21" s="1797"/>
      <c r="AF21" s="1798"/>
      <c r="AG21" s="605">
        <v>15</v>
      </c>
      <c r="AH21" s="600"/>
      <c r="AI21" s="572"/>
      <c r="AJ21" s="596"/>
      <c r="AK21" s="596"/>
      <c r="AL21" s="596"/>
      <c r="AM21" s="596"/>
      <c r="AN21" s="596"/>
      <c r="AO21" s="596"/>
      <c r="AP21" s="596"/>
      <c r="AQ21" s="596"/>
      <c r="AR21" s="596"/>
      <c r="AS21" s="570" t="str">
        <f>+AP17</f>
        <v>Material filtrante de 1"</v>
      </c>
      <c r="AT21" s="569" t="str">
        <f>+AI17</f>
        <v xml:space="preserve">70%SBG-A + 30% Fresado </v>
      </c>
      <c r="AU21" s="570"/>
      <c r="AV21" s="570"/>
      <c r="AW21" s="570"/>
      <c r="AX21" s="570"/>
      <c r="AY21" s="570" t="str">
        <f t="shared" si="5"/>
        <v>Material filtrante de 1"</v>
      </c>
      <c r="AZ21" s="571"/>
    </row>
    <row r="22" spans="1:65" s="157" customFormat="1" ht="15" customHeight="1">
      <c r="A22" s="572"/>
      <c r="B22" s="1794" t="str">
        <f t="shared" si="7"/>
        <v/>
      </c>
      <c r="C22" s="1794"/>
      <c r="D22" s="1794"/>
      <c r="E22" s="1794"/>
      <c r="F22" s="1794"/>
      <c r="G22" s="1794"/>
      <c r="H22" s="1794"/>
      <c r="I22" s="1800"/>
      <c r="J22" s="1800"/>
      <c r="K22" s="606" t="str">
        <f>IF(I22="","",IF(AA7="Apiques","",$AA$5))</f>
        <v/>
      </c>
      <c r="L22" s="607"/>
      <c r="M22" s="607"/>
      <c r="N22" s="1801"/>
      <c r="O22" s="1801"/>
      <c r="P22" s="606" t="str">
        <f>IF(N22="","",$AA$5)</f>
        <v/>
      </c>
      <c r="Q22" s="607"/>
      <c r="R22" s="607"/>
      <c r="S22" s="607"/>
      <c r="T22" s="607"/>
      <c r="U22" s="607"/>
      <c r="V22" s="607"/>
      <c r="W22" s="607"/>
      <c r="X22" s="607"/>
      <c r="Y22" s="607"/>
      <c r="Z22" s="593"/>
      <c r="AA22" s="600"/>
      <c r="AB22" s="600"/>
      <c r="AC22" s="600"/>
      <c r="AD22" s="557" t="s">
        <v>340</v>
      </c>
      <c r="AE22" s="558" t="s">
        <v>341</v>
      </c>
      <c r="AF22" s="559" t="s">
        <v>342</v>
      </c>
      <c r="AG22" s="605">
        <v>16</v>
      </c>
      <c r="AH22" s="600"/>
      <c r="AI22" s="572"/>
      <c r="AJ22" s="596"/>
      <c r="AK22" s="596"/>
      <c r="AL22" s="596"/>
      <c r="AM22" s="596"/>
      <c r="AN22" s="596"/>
      <c r="AO22" s="596"/>
      <c r="AP22" s="596"/>
      <c r="AQ22" s="596"/>
      <c r="AR22" s="596"/>
      <c r="AS22" s="596" t="str">
        <f>+AO8</f>
        <v>Grava 1"</v>
      </c>
      <c r="AT22" s="572"/>
      <c r="AU22" s="596"/>
      <c r="AV22" s="596"/>
      <c r="AW22" s="596"/>
      <c r="AX22" s="596"/>
      <c r="AY22" s="570" t="str">
        <f t="shared" si="5"/>
        <v>Grava 1"</v>
      </c>
      <c r="AZ22" s="571"/>
    </row>
    <row r="23" spans="1:65" s="157" customFormat="1" ht="15" customHeight="1">
      <c r="A23" s="572"/>
      <c r="B23" s="1794" t="str">
        <f t="shared" si="7"/>
        <v/>
      </c>
      <c r="C23" s="1794"/>
      <c r="D23" s="1794"/>
      <c r="E23" s="1794"/>
      <c r="F23" s="1794"/>
      <c r="G23" s="1794"/>
      <c r="H23" s="1794"/>
      <c r="I23" s="1795"/>
      <c r="J23" s="1795"/>
      <c r="K23" s="1795"/>
      <c r="L23" s="1795"/>
      <c r="M23" s="1795"/>
      <c r="N23" s="1795"/>
      <c r="O23" s="1795"/>
      <c r="P23" s="1795"/>
      <c r="Q23" s="1795"/>
      <c r="R23" s="1795"/>
      <c r="S23" s="1795"/>
      <c r="T23" s="1795"/>
      <c r="U23" s="1795"/>
      <c r="V23" s="1795"/>
      <c r="W23" s="1795"/>
      <c r="X23" s="1795"/>
      <c r="Y23" s="1795"/>
      <c r="Z23" s="593"/>
      <c r="AA23" s="600"/>
      <c r="AB23" s="600"/>
      <c r="AC23" s="600"/>
      <c r="AD23" s="1785" t="s">
        <v>427</v>
      </c>
      <c r="AE23" s="1788" t="s">
        <v>428</v>
      </c>
      <c r="AF23" s="1790"/>
      <c r="AG23" s="600"/>
      <c r="AH23" s="600"/>
      <c r="AI23" s="572"/>
      <c r="AJ23" s="596"/>
      <c r="AK23" s="596"/>
      <c r="AL23" s="596"/>
      <c r="AM23" s="596"/>
      <c r="AN23" s="596"/>
      <c r="AO23" s="596"/>
      <c r="AP23" s="596"/>
      <c r="AQ23" s="596"/>
      <c r="AR23" s="596"/>
      <c r="AS23" s="596" t="str">
        <f t="shared" ref="AS23:AS31" si="8">+AO9</f>
        <v>Grava ¾"</v>
      </c>
      <c r="AT23" s="572"/>
      <c r="AU23" s="596"/>
      <c r="AV23" s="596"/>
      <c r="AW23" s="596"/>
      <c r="AX23" s="596"/>
      <c r="AY23" s="570" t="str">
        <f t="shared" si="5"/>
        <v>Grava ¾"</v>
      </c>
      <c r="AZ23" s="571"/>
    </row>
    <row r="24" spans="1:65" s="157" customFormat="1" ht="15" customHeight="1">
      <c r="A24" s="572"/>
      <c r="B24" s="1794" t="str">
        <f t="shared" si="7"/>
        <v/>
      </c>
      <c r="C24" s="1794"/>
      <c r="D24" s="1794"/>
      <c r="E24" s="1794"/>
      <c r="F24" s="1794"/>
      <c r="G24" s="1794"/>
      <c r="H24" s="1794"/>
      <c r="I24" s="1795"/>
      <c r="J24" s="1795"/>
      <c r="K24" s="1795"/>
      <c r="L24" s="1795"/>
      <c r="M24" s="1795"/>
      <c r="N24" s="1795"/>
      <c r="O24" s="1795"/>
      <c r="P24" s="1795"/>
      <c r="Q24" s="1795"/>
      <c r="R24" s="1795"/>
      <c r="S24" s="1795"/>
      <c r="T24" s="1795"/>
      <c r="U24" s="1795"/>
      <c r="V24" s="1795"/>
      <c r="W24" s="1795"/>
      <c r="X24" s="1795"/>
      <c r="Y24" s="1795"/>
      <c r="Z24" s="593"/>
      <c r="AA24" s="600"/>
      <c r="AB24" s="600"/>
      <c r="AC24" s="600"/>
      <c r="AD24" s="1785"/>
      <c r="AE24" s="1788"/>
      <c r="AF24" s="1790"/>
      <c r="AG24" s="600"/>
      <c r="AH24" s="600"/>
      <c r="AI24" s="572"/>
      <c r="AJ24" s="596"/>
      <c r="AK24" s="596"/>
      <c r="AL24" s="596"/>
      <c r="AM24" s="596"/>
      <c r="AN24" s="596"/>
      <c r="AO24" s="596"/>
      <c r="AP24" s="596"/>
      <c r="AQ24" s="596"/>
      <c r="AR24" s="596"/>
      <c r="AS24" s="596" t="str">
        <f t="shared" si="8"/>
        <v>Grava ½"</v>
      </c>
      <c r="AT24" s="572"/>
      <c r="AU24" s="596"/>
      <c r="AV24" s="596"/>
      <c r="AW24" s="596"/>
      <c r="AX24" s="596"/>
      <c r="AY24" s="570" t="str">
        <f t="shared" si="5"/>
        <v>Grava ½"</v>
      </c>
      <c r="AZ24" s="571"/>
    </row>
    <row r="25" spans="1:65" s="157" customFormat="1" ht="15" customHeight="1">
      <c r="A25" s="572"/>
      <c r="B25" s="597" t="s">
        <v>4</v>
      </c>
      <c r="C25" s="597"/>
      <c r="D25" s="597"/>
      <c r="E25" s="597"/>
      <c r="F25" s="597"/>
      <c r="G25" s="597"/>
      <c r="H25" s="597"/>
      <c r="I25" s="1802"/>
      <c r="J25" s="1802"/>
      <c r="K25" s="1802"/>
      <c r="L25" s="1802"/>
      <c r="M25" s="1802"/>
      <c r="N25" s="1802"/>
      <c r="O25" s="1802"/>
      <c r="P25" s="1802"/>
      <c r="Q25" s="1802"/>
      <c r="R25" s="1802"/>
      <c r="S25" s="1802"/>
      <c r="T25" s="1802"/>
      <c r="U25" s="1802"/>
      <c r="V25" s="1802"/>
      <c r="W25" s="1802"/>
      <c r="X25" s="1802"/>
      <c r="Y25" s="1802"/>
      <c r="Z25" s="577"/>
      <c r="AA25" s="579"/>
      <c r="AB25" s="579"/>
      <c r="AC25" s="579"/>
      <c r="AD25" s="1785"/>
      <c r="AE25" s="1788"/>
      <c r="AF25" s="1790"/>
      <c r="AG25" s="579"/>
      <c r="AI25" s="572"/>
      <c r="AJ25" s="596"/>
      <c r="AK25" s="596"/>
      <c r="AL25" s="596"/>
      <c r="AM25" s="596"/>
      <c r="AN25" s="596"/>
      <c r="AO25" s="596"/>
      <c r="AP25" s="596"/>
      <c r="AQ25" s="596"/>
      <c r="AR25" s="596"/>
      <c r="AS25" s="596" t="str">
        <f t="shared" si="8"/>
        <v>Arena triturada de rio</v>
      </c>
      <c r="AT25" s="572"/>
      <c r="AU25" s="596"/>
      <c r="AV25" s="596"/>
      <c r="AW25" s="596"/>
      <c r="AX25" s="596"/>
      <c r="AY25" s="570" t="str">
        <f t="shared" si="5"/>
        <v>Arena triturada de rio</v>
      </c>
      <c r="AZ25" s="571"/>
    </row>
    <row r="26" spans="1:65" s="157" customFormat="1" ht="15" customHeight="1">
      <c r="A26" s="572"/>
      <c r="B26" s="597"/>
      <c r="C26" s="597"/>
      <c r="D26" s="597"/>
      <c r="E26" s="597"/>
      <c r="F26" s="597"/>
      <c r="G26" s="597"/>
      <c r="H26" s="597"/>
      <c r="I26" s="597"/>
      <c r="J26" s="597"/>
      <c r="K26" s="597"/>
      <c r="L26" s="597"/>
      <c r="M26" s="597"/>
      <c r="N26" s="597"/>
      <c r="O26" s="597"/>
      <c r="P26" s="597"/>
      <c r="Q26" s="597"/>
      <c r="R26" s="597"/>
      <c r="S26" s="597"/>
      <c r="T26" s="550"/>
      <c r="U26" s="550"/>
      <c r="V26" s="550"/>
      <c r="W26" s="550"/>
      <c r="X26" s="550"/>
      <c r="Y26" s="550"/>
      <c r="Z26" s="577"/>
      <c r="AA26" s="579"/>
      <c r="AB26" s="579"/>
      <c r="AC26" s="579"/>
      <c r="AD26" s="1785" t="s">
        <v>429</v>
      </c>
      <c r="AE26" s="1788" t="s">
        <v>430</v>
      </c>
      <c r="AF26" s="1790"/>
      <c r="AG26" s="579"/>
      <c r="AI26" s="572"/>
      <c r="AJ26" s="596"/>
      <c r="AK26" s="596"/>
      <c r="AL26" s="596"/>
      <c r="AM26" s="596"/>
      <c r="AN26" s="596"/>
      <c r="AO26" s="596"/>
      <c r="AP26" s="596"/>
      <c r="AQ26" s="596"/>
      <c r="AR26" s="596"/>
      <c r="AS26" s="596" t="str">
        <f t="shared" si="8"/>
        <v>Arena triturada de cantera</v>
      </c>
      <c r="AT26" s="572"/>
      <c r="AU26" s="596"/>
      <c r="AV26" s="596"/>
      <c r="AW26" s="596"/>
      <c r="AX26" s="596"/>
      <c r="AY26" s="570" t="str">
        <f t="shared" si="5"/>
        <v>Arena triturada de cantera</v>
      </c>
      <c r="AZ26" s="571"/>
    </row>
    <row r="27" spans="1:65" s="157" customFormat="1" ht="15" customHeight="1">
      <c r="A27" s="572"/>
      <c r="B27" s="597" t="s">
        <v>16</v>
      </c>
      <c r="C27" s="597"/>
      <c r="D27" s="597"/>
      <c r="E27" s="597"/>
      <c r="F27" s="597"/>
      <c r="G27" s="597"/>
      <c r="H27" s="597"/>
      <c r="I27" s="1792"/>
      <c r="J27" s="1792"/>
      <c r="K27" s="1792"/>
      <c r="L27" s="1792"/>
      <c r="M27" s="1792"/>
      <c r="N27" s="1792"/>
      <c r="O27" s="1792"/>
      <c r="P27" s="1792"/>
      <c r="Q27" s="1792"/>
      <c r="R27" s="1792"/>
      <c r="S27" s="1792"/>
      <c r="T27" s="1792"/>
      <c r="U27" s="1792"/>
      <c r="V27" s="1792"/>
      <c r="W27" s="1792"/>
      <c r="X27" s="1792"/>
      <c r="Y27" s="1792"/>
      <c r="Z27" s="577"/>
      <c r="AA27" s="579"/>
      <c r="AB27" s="579"/>
      <c r="AC27" s="579"/>
      <c r="AD27" s="1785"/>
      <c r="AE27" s="1788"/>
      <c r="AF27" s="1790"/>
      <c r="AG27" s="579"/>
      <c r="AI27" s="572"/>
      <c r="AJ27" s="596"/>
      <c r="AK27" s="596"/>
      <c r="AL27" s="596"/>
      <c r="AM27" s="596"/>
      <c r="AN27" s="596"/>
      <c r="AO27" s="596"/>
      <c r="AP27" s="596"/>
      <c r="AQ27" s="596"/>
      <c r="AR27" s="596"/>
      <c r="AS27" s="596" t="str">
        <f t="shared" si="8"/>
        <v>Arena natural</v>
      </c>
      <c r="AT27" s="572"/>
      <c r="AU27" s="596"/>
      <c r="AV27" s="596"/>
      <c r="AW27" s="596"/>
      <c r="AX27" s="596"/>
      <c r="AY27" s="570" t="str">
        <f t="shared" si="5"/>
        <v>Arena natural</v>
      </c>
      <c r="AZ27" s="571"/>
    </row>
    <row r="28" spans="1:65" s="157" customFormat="1" ht="15" customHeight="1">
      <c r="A28" s="572"/>
      <c r="B28" s="597" t="s">
        <v>431</v>
      </c>
      <c r="C28" s="597"/>
      <c r="D28" s="597"/>
      <c r="E28" s="597"/>
      <c r="F28" s="597"/>
      <c r="G28" s="597"/>
      <c r="H28" s="597"/>
      <c r="I28" s="1792"/>
      <c r="J28" s="1792"/>
      <c r="K28" s="1792"/>
      <c r="L28" s="1792"/>
      <c r="M28" s="1792"/>
      <c r="N28" s="1792"/>
      <c r="O28" s="1792"/>
      <c r="P28" s="1792"/>
      <c r="Q28" s="1792"/>
      <c r="R28" s="1792"/>
      <c r="S28" s="1792"/>
      <c r="T28" s="1792"/>
      <c r="U28" s="1792"/>
      <c r="V28" s="1792"/>
      <c r="W28" s="1792"/>
      <c r="X28" s="1792"/>
      <c r="Y28" s="1792"/>
      <c r="Z28" s="577"/>
      <c r="AA28" s="579"/>
      <c r="AB28" s="579"/>
      <c r="AC28" s="579"/>
      <c r="AD28" s="1785"/>
      <c r="AE28" s="1788"/>
      <c r="AF28" s="1790"/>
      <c r="AG28" s="579"/>
      <c r="AI28" s="572"/>
      <c r="AJ28" s="596"/>
      <c r="AK28" s="596"/>
      <c r="AL28" s="596"/>
      <c r="AM28" s="596"/>
      <c r="AN28" s="596"/>
      <c r="AO28" s="596"/>
      <c r="AP28" s="596"/>
      <c r="AQ28" s="596"/>
      <c r="AR28" s="596"/>
      <c r="AS28" s="596" t="str">
        <f t="shared" si="8"/>
        <v>Arena de peña</v>
      </c>
      <c r="AT28" s="572"/>
      <c r="AU28" s="596"/>
      <c r="AV28" s="596"/>
      <c r="AW28" s="596"/>
      <c r="AX28" s="596"/>
      <c r="AY28" s="570" t="str">
        <f t="shared" si="5"/>
        <v>Arena de peña</v>
      </c>
      <c r="AZ28" s="571"/>
    </row>
    <row r="29" spans="1:65" s="157" customFormat="1" ht="15" customHeight="1">
      <c r="A29" s="572"/>
      <c r="B29" s="597" t="s">
        <v>432</v>
      </c>
      <c r="C29" s="597"/>
      <c r="D29" s="597"/>
      <c r="E29" s="597"/>
      <c r="F29" s="597"/>
      <c r="G29" s="597"/>
      <c r="H29" s="597"/>
      <c r="I29" s="1780">
        <f>+IF(AB10="","",AB10)</f>
        <v>17</v>
      </c>
      <c r="J29" s="1780"/>
      <c r="K29" s="1780"/>
      <c r="L29" s="1780"/>
      <c r="M29" s="1780"/>
      <c r="N29" s="1780"/>
      <c r="O29" s="1780"/>
      <c r="P29" s="1780"/>
      <c r="Q29" s="1780"/>
      <c r="R29" s="1780"/>
      <c r="S29" s="1780"/>
      <c r="T29" s="1780"/>
      <c r="U29" s="1780"/>
      <c r="V29" s="1780"/>
      <c r="W29" s="1780"/>
      <c r="X29" s="1780"/>
      <c r="Y29" s="1780"/>
      <c r="Z29" s="577"/>
      <c r="AA29" s="579"/>
      <c r="AB29" s="579"/>
      <c r="AC29" s="579"/>
      <c r="AD29" s="1784" t="s">
        <v>235</v>
      </c>
      <c r="AE29" s="1787" t="s">
        <v>235</v>
      </c>
      <c r="AF29" s="1790"/>
      <c r="AG29" s="579"/>
      <c r="AI29" s="572"/>
      <c r="AJ29" s="596"/>
      <c r="AK29" s="596"/>
      <c r="AL29" s="596"/>
      <c r="AM29" s="596"/>
      <c r="AN29" s="596"/>
      <c r="AO29" s="596"/>
      <c r="AP29" s="596"/>
      <c r="AQ29" s="596"/>
      <c r="AR29" s="596"/>
      <c r="AS29" s="596" t="str">
        <f t="shared" si="8"/>
        <v>Agregados combinados MD-10</v>
      </c>
      <c r="AT29" s="572"/>
      <c r="AU29" s="596"/>
      <c r="AV29" s="596"/>
      <c r="AW29" s="596"/>
      <c r="AX29" s="596"/>
      <c r="AY29" s="570" t="str">
        <f t="shared" si="5"/>
        <v>Agregados combinados MD-10</v>
      </c>
      <c r="AZ29" s="571"/>
    </row>
    <row r="30" spans="1:65" s="157" customFormat="1" ht="15" customHeight="1">
      <c r="A30" s="572"/>
      <c r="B30" s="597"/>
      <c r="C30" s="597"/>
      <c r="D30" s="597"/>
      <c r="E30" s="597"/>
      <c r="F30" s="597"/>
      <c r="G30" s="597"/>
      <c r="H30" s="597"/>
      <c r="I30" s="608"/>
      <c r="J30" s="597"/>
      <c r="K30" s="597"/>
      <c r="L30" s="597"/>
      <c r="M30" s="597"/>
      <c r="N30" s="597"/>
      <c r="O30" s="597"/>
      <c r="P30" s="597"/>
      <c r="Q30" s="597"/>
      <c r="R30" s="597"/>
      <c r="S30" s="597"/>
      <c r="T30" s="597"/>
      <c r="U30" s="597"/>
      <c r="V30" s="597"/>
      <c r="W30" s="597"/>
      <c r="X30" s="597"/>
      <c r="Y30" s="597"/>
      <c r="Z30" s="609"/>
      <c r="AA30" s="579"/>
      <c r="AB30" s="579"/>
      <c r="AC30" s="579"/>
      <c r="AD30" s="1785"/>
      <c r="AE30" s="1788"/>
      <c r="AF30" s="1790"/>
      <c r="AG30" s="579"/>
      <c r="AH30" s="579"/>
      <c r="AI30" s="572"/>
      <c r="AJ30" s="596"/>
      <c r="AK30" s="596"/>
      <c r="AL30" s="596"/>
      <c r="AM30" s="596"/>
      <c r="AN30" s="596"/>
      <c r="AO30" s="596"/>
      <c r="AP30" s="596"/>
      <c r="AQ30" s="596"/>
      <c r="AR30" s="596"/>
      <c r="AS30" s="596" t="str">
        <f t="shared" si="8"/>
        <v>Agregados combinados MD-12</v>
      </c>
      <c r="AT30" s="572"/>
      <c r="AU30" s="596"/>
      <c r="AV30" s="596"/>
      <c r="AW30" s="596"/>
      <c r="AX30" s="596"/>
      <c r="AY30" s="570" t="str">
        <f t="shared" si="5"/>
        <v>Agregados combinados MD-12</v>
      </c>
      <c r="AZ30" s="571"/>
    </row>
    <row r="31" spans="1:65" s="157" customFormat="1" ht="15" customHeight="1">
      <c r="A31" s="610"/>
      <c r="B31" s="611" t="s">
        <v>433</v>
      </c>
      <c r="C31" s="596"/>
      <c r="D31" s="596"/>
      <c r="E31" s="596"/>
      <c r="F31" s="596"/>
      <c r="G31" s="596"/>
      <c r="H31" s="596"/>
      <c r="I31" s="596"/>
      <c r="J31" s="596"/>
      <c r="K31" s="596"/>
      <c r="L31" s="596"/>
      <c r="M31" s="596"/>
      <c r="N31" s="596"/>
      <c r="O31" s="596"/>
      <c r="P31" s="596"/>
      <c r="Q31" s="596"/>
      <c r="R31" s="596"/>
      <c r="S31" s="596"/>
      <c r="T31" s="596"/>
      <c r="U31" s="596"/>
      <c r="V31" s="596"/>
      <c r="W31" s="596"/>
      <c r="X31" s="596"/>
      <c r="Y31" s="596"/>
      <c r="Z31" s="601"/>
      <c r="AA31" s="596"/>
      <c r="AB31" s="596"/>
      <c r="AC31" s="596"/>
      <c r="AD31" s="1786"/>
      <c r="AE31" s="1789"/>
      <c r="AF31" s="1791"/>
      <c r="AG31" s="596"/>
      <c r="AH31" s="596"/>
      <c r="AI31" s="572"/>
      <c r="AJ31" s="596"/>
      <c r="AK31" s="596"/>
      <c r="AL31" s="596"/>
      <c r="AM31" s="596"/>
      <c r="AN31" s="596"/>
      <c r="AO31" s="596"/>
      <c r="AP31" s="596"/>
      <c r="AQ31" s="596"/>
      <c r="AR31" s="596"/>
      <c r="AS31" s="596" t="str">
        <f t="shared" si="8"/>
        <v>Agregados combinados MGCR Tipo 1</v>
      </c>
      <c r="AT31" s="572"/>
      <c r="AU31" s="596"/>
      <c r="AV31" s="596"/>
      <c r="AW31" s="596"/>
      <c r="AX31" s="596"/>
      <c r="AY31" s="570" t="str">
        <f t="shared" si="5"/>
        <v>Agregados combinados MGCR Tipo 1</v>
      </c>
      <c r="AZ31" s="571"/>
    </row>
    <row r="32" spans="1:65" s="157" customFormat="1" ht="15" customHeight="1">
      <c r="A32" s="614"/>
      <c r="B32" s="1779" t="s">
        <v>434</v>
      </c>
      <c r="C32" s="1779"/>
      <c r="D32" s="1779"/>
      <c r="E32" s="1779"/>
      <c r="F32" s="1779"/>
      <c r="G32" s="1779"/>
      <c r="H32" s="1779"/>
      <c r="I32" s="1779"/>
      <c r="J32" s="1779"/>
      <c r="K32" s="1779"/>
      <c r="L32" s="1779"/>
      <c r="M32" s="1779"/>
      <c r="N32" s="1779"/>
      <c r="O32" s="1779"/>
      <c r="P32" s="1779"/>
      <c r="Q32" s="1779"/>
      <c r="R32" s="1779"/>
      <c r="S32" s="1779"/>
      <c r="T32" s="1779"/>
      <c r="U32" s="1779"/>
      <c r="V32" s="1779"/>
      <c r="W32" s="1779"/>
      <c r="X32" s="1779"/>
      <c r="Y32" s="1779"/>
      <c r="Z32" s="615"/>
      <c r="AA32" s="596"/>
      <c r="AB32" s="596"/>
      <c r="AC32" s="596"/>
      <c r="AD32" s="600"/>
      <c r="AE32" s="600"/>
      <c r="AF32" s="600"/>
      <c r="AG32" s="596"/>
      <c r="AH32" s="596"/>
      <c r="AI32" s="572"/>
      <c r="AJ32" s="596"/>
      <c r="AK32" s="596"/>
      <c r="AL32" s="596"/>
      <c r="AM32" s="596"/>
      <c r="AN32" s="596"/>
      <c r="AO32" s="596"/>
      <c r="AP32" s="596"/>
      <c r="AQ32" s="596"/>
      <c r="AR32" s="596"/>
      <c r="AS32" s="596" t="str">
        <f>+AJ8</f>
        <v>Ver perfil estratigráfico del suelo INV E-101 y 102-13</v>
      </c>
      <c r="AT32" s="572"/>
      <c r="AU32" s="596"/>
      <c r="AV32" s="596"/>
      <c r="AW32" s="596"/>
      <c r="AX32" s="596"/>
      <c r="AY32" s="570" t="str">
        <f t="shared" si="5"/>
        <v>Ver perfil estratigráfico del suelo INV E-101 y 102-13</v>
      </c>
      <c r="AZ32" s="571"/>
    </row>
    <row r="33" spans="1:52" s="157" customFormat="1" ht="15" customHeight="1">
      <c r="A33" s="614"/>
      <c r="B33" s="1779"/>
      <c r="C33" s="1779"/>
      <c r="D33" s="1779"/>
      <c r="E33" s="1779"/>
      <c r="F33" s="1779"/>
      <c r="G33" s="1779"/>
      <c r="H33" s="1779"/>
      <c r="I33" s="1779"/>
      <c r="J33" s="1779"/>
      <c r="K33" s="1779"/>
      <c r="L33" s="1779"/>
      <c r="M33" s="1779"/>
      <c r="N33" s="1779"/>
      <c r="O33" s="1779"/>
      <c r="P33" s="1779"/>
      <c r="Q33" s="1779"/>
      <c r="R33" s="1779"/>
      <c r="S33" s="1779"/>
      <c r="T33" s="1779"/>
      <c r="U33" s="1779"/>
      <c r="V33" s="1779"/>
      <c r="W33" s="1779"/>
      <c r="X33" s="1779"/>
      <c r="Y33" s="1779"/>
      <c r="Z33" s="615"/>
      <c r="AA33" s="616"/>
      <c r="AB33" s="616"/>
      <c r="AC33" s="616"/>
      <c r="AD33" s="1776" t="str">
        <f>+AD6</f>
        <v>Revisó</v>
      </c>
      <c r="AE33" s="1777"/>
      <c r="AF33" s="1778"/>
      <c r="AG33" s="616"/>
      <c r="AH33" s="616"/>
      <c r="AI33" s="572"/>
      <c r="AJ33" s="596"/>
      <c r="AK33" s="596"/>
      <c r="AL33" s="596"/>
      <c r="AM33" s="596"/>
      <c r="AN33" s="596"/>
      <c r="AO33" s="596"/>
      <c r="AP33" s="596"/>
      <c r="AQ33" s="596"/>
      <c r="AR33" s="596"/>
      <c r="AS33" s="596" t="str">
        <f>+AK11</f>
        <v>Capa 1 MD-12 y Capa 2 MGCR-Tipo 1</v>
      </c>
      <c r="AT33" s="572"/>
      <c r="AU33" s="596"/>
      <c r="AV33" s="596"/>
      <c r="AW33" s="596"/>
      <c r="AX33" s="596"/>
      <c r="AY33" s="570" t="str">
        <f t="shared" si="5"/>
        <v>Capa 1 MD-12 y Capa 2 MGCR-Tipo 1</v>
      </c>
      <c r="AZ33" s="571"/>
    </row>
    <row r="34" spans="1:52" s="157" customFormat="1" ht="15" customHeight="1">
      <c r="A34" s="614"/>
      <c r="B34" s="1779"/>
      <c r="C34" s="1779"/>
      <c r="D34" s="1779"/>
      <c r="E34" s="1779"/>
      <c r="F34" s="1779"/>
      <c r="G34" s="1779"/>
      <c r="H34" s="1779"/>
      <c r="I34" s="1779"/>
      <c r="J34" s="1779"/>
      <c r="K34" s="1779"/>
      <c r="L34" s="1779"/>
      <c r="M34" s="1779"/>
      <c r="N34" s="1779"/>
      <c r="O34" s="1779"/>
      <c r="P34" s="1779"/>
      <c r="Q34" s="1779"/>
      <c r="R34" s="1779"/>
      <c r="S34" s="1779"/>
      <c r="T34" s="1779"/>
      <c r="U34" s="1779"/>
      <c r="V34" s="1779"/>
      <c r="W34" s="1779"/>
      <c r="X34" s="1779"/>
      <c r="Y34" s="1779"/>
      <c r="Z34" s="615"/>
      <c r="AA34" s="616"/>
      <c r="AB34" s="616"/>
      <c r="AC34" s="616"/>
      <c r="AD34" s="612" t="s">
        <v>340</v>
      </c>
      <c r="AE34" s="613" t="s">
        <v>341</v>
      </c>
      <c r="AF34" s="1778"/>
      <c r="AG34" s="616"/>
      <c r="AH34" s="616"/>
      <c r="AI34" s="572"/>
      <c r="AJ34" s="596"/>
      <c r="AK34" s="596"/>
      <c r="AL34" s="596"/>
      <c r="AM34" s="596"/>
      <c r="AN34" s="596"/>
      <c r="AO34" s="596"/>
      <c r="AP34" s="596"/>
      <c r="AQ34" s="596"/>
      <c r="AR34" s="596"/>
      <c r="AS34" s="596" t="str">
        <f>+AK12</f>
        <v>Capa 1 MGCR Tipo 1 y capa 2 MD-12</v>
      </c>
      <c r="AT34" s="572"/>
      <c r="AU34" s="596"/>
      <c r="AV34" s="596"/>
      <c r="AW34" s="596"/>
      <c r="AX34" s="596"/>
      <c r="AY34" s="570" t="str">
        <f t="shared" si="5"/>
        <v>Capa 1 MGCR Tipo 1 y capa 2 MD-12</v>
      </c>
      <c r="AZ34" s="571"/>
    </row>
    <row r="35" spans="1:52" s="157" customFormat="1" ht="15" customHeight="1">
      <c r="A35" s="614"/>
      <c r="B35" s="1779"/>
      <c r="C35" s="1779"/>
      <c r="D35" s="1779"/>
      <c r="E35" s="1779"/>
      <c r="F35" s="1779"/>
      <c r="G35" s="1779"/>
      <c r="H35" s="1779"/>
      <c r="I35" s="1779"/>
      <c r="J35" s="1779"/>
      <c r="K35" s="1779"/>
      <c r="L35" s="1779"/>
      <c r="M35" s="1779"/>
      <c r="N35" s="1779"/>
      <c r="O35" s="1779"/>
      <c r="P35" s="1779"/>
      <c r="Q35" s="1779"/>
      <c r="R35" s="1779"/>
      <c r="S35" s="1779"/>
      <c r="T35" s="1779"/>
      <c r="U35" s="1779"/>
      <c r="V35" s="1779"/>
      <c r="W35" s="1779"/>
      <c r="X35" s="1779"/>
      <c r="Y35" s="1779"/>
      <c r="Z35" s="615"/>
      <c r="AA35" s="616"/>
      <c r="AB35" s="616"/>
      <c r="AC35" s="616"/>
      <c r="AD35" s="592" t="s">
        <v>345</v>
      </c>
      <c r="AE35" s="609" t="s">
        <v>141</v>
      </c>
      <c r="AF35" s="1778"/>
      <c r="AG35" s="616"/>
      <c r="AH35" s="616"/>
      <c r="AI35" s="572"/>
      <c r="AJ35" s="596"/>
      <c r="AK35" s="596"/>
      <c r="AL35" s="596"/>
      <c r="AM35" s="596"/>
      <c r="AN35" s="596"/>
      <c r="AO35" s="596"/>
      <c r="AP35" s="596"/>
      <c r="AQ35" s="596"/>
      <c r="AR35" s="596"/>
      <c r="AS35" s="596" t="str">
        <f>+AL8</f>
        <v>MD-10</v>
      </c>
      <c r="AT35" s="572"/>
      <c r="AU35" s="596"/>
      <c r="AV35" s="596"/>
      <c r="AW35" s="596"/>
      <c r="AX35" s="596"/>
      <c r="AY35" s="570" t="str">
        <f t="shared" si="5"/>
        <v>MD-10</v>
      </c>
      <c r="AZ35" s="571"/>
    </row>
    <row r="36" spans="1:52" s="157" customFormat="1" ht="15" customHeight="1">
      <c r="A36" s="614"/>
      <c r="B36" s="1779"/>
      <c r="C36" s="1779"/>
      <c r="D36" s="1779"/>
      <c r="E36" s="1779"/>
      <c r="F36" s="1779"/>
      <c r="G36" s="1779"/>
      <c r="H36" s="1779"/>
      <c r="I36" s="1779"/>
      <c r="J36" s="1779"/>
      <c r="K36" s="1779"/>
      <c r="L36" s="1779"/>
      <c r="M36" s="1779"/>
      <c r="N36" s="1779"/>
      <c r="O36" s="1779"/>
      <c r="P36" s="1779"/>
      <c r="Q36" s="1779"/>
      <c r="R36" s="1779"/>
      <c r="S36" s="1779"/>
      <c r="T36" s="1779"/>
      <c r="U36" s="1779"/>
      <c r="V36" s="1779"/>
      <c r="W36" s="1779"/>
      <c r="X36" s="1779"/>
      <c r="Y36" s="1779"/>
      <c r="Z36" s="615"/>
      <c r="AA36" s="616"/>
      <c r="AB36" s="616"/>
      <c r="AC36" s="616"/>
      <c r="AD36" s="592" t="str">
        <f>+AD11</f>
        <v>Karen Flórez Barón</v>
      </c>
      <c r="AE36" s="609" t="str">
        <f>+AE11</f>
        <v>Auxiliar de Acreditación</v>
      </c>
      <c r="AF36" s="1778"/>
      <c r="AG36" s="616"/>
      <c r="AH36" s="616"/>
      <c r="AI36" s="572"/>
      <c r="AJ36" s="596"/>
      <c r="AK36" s="596"/>
      <c r="AL36" s="596"/>
      <c r="AM36" s="596"/>
      <c r="AN36" s="596"/>
      <c r="AO36" s="596"/>
      <c r="AP36" s="596"/>
      <c r="AQ36" s="596"/>
      <c r="AR36" s="596"/>
      <c r="AS36" s="596" t="str">
        <f t="shared" ref="AS36:AS43" si="9">+AL9</f>
        <v>MD-12</v>
      </c>
      <c r="AT36" s="572"/>
      <c r="AU36" s="596"/>
      <c r="AV36" s="596"/>
      <c r="AW36" s="596"/>
      <c r="AX36" s="596"/>
      <c r="AY36" s="570" t="str">
        <f t="shared" si="5"/>
        <v>MD-12</v>
      </c>
      <c r="AZ36" s="571"/>
    </row>
    <row r="37" spans="1:52" s="157" customFormat="1" ht="15" customHeight="1">
      <c r="A37" s="614"/>
      <c r="B37" s="1779"/>
      <c r="C37" s="1779"/>
      <c r="D37" s="1779"/>
      <c r="E37" s="1779"/>
      <c r="F37" s="1779"/>
      <c r="G37" s="1779"/>
      <c r="H37" s="1779"/>
      <c r="I37" s="1779"/>
      <c r="J37" s="1779"/>
      <c r="K37" s="1779"/>
      <c r="L37" s="1779"/>
      <c r="M37" s="1779"/>
      <c r="N37" s="1779"/>
      <c r="O37" s="1779"/>
      <c r="P37" s="1779"/>
      <c r="Q37" s="1779"/>
      <c r="R37" s="1779"/>
      <c r="S37" s="1779"/>
      <c r="T37" s="1779"/>
      <c r="U37" s="1779"/>
      <c r="V37" s="1779"/>
      <c r="W37" s="1779"/>
      <c r="X37" s="1779"/>
      <c r="Y37" s="1779"/>
      <c r="Z37" s="615"/>
      <c r="AA37" s="616"/>
      <c r="AB37" s="616"/>
      <c r="AC37" s="616"/>
      <c r="AD37" s="592" t="s">
        <v>384</v>
      </c>
      <c r="AE37" s="609" t="s">
        <v>385</v>
      </c>
      <c r="AF37" s="1778"/>
      <c r="AG37" s="616"/>
      <c r="AH37" s="616"/>
      <c r="AI37" s="572"/>
      <c r="AJ37" s="596"/>
      <c r="AK37" s="596"/>
      <c r="AL37" s="596"/>
      <c r="AM37" s="596"/>
      <c r="AN37" s="596"/>
      <c r="AO37" s="596"/>
      <c r="AP37" s="596"/>
      <c r="AQ37" s="596"/>
      <c r="AR37" s="596"/>
      <c r="AS37" s="596" t="str">
        <f t="shared" si="9"/>
        <v>MGCR Tipo 1</v>
      </c>
      <c r="AT37" s="572"/>
      <c r="AU37" s="596"/>
      <c r="AV37" s="596"/>
      <c r="AW37" s="596"/>
      <c r="AX37" s="596"/>
      <c r="AY37" s="570" t="str">
        <f t="shared" si="5"/>
        <v>MGCR Tipo 1</v>
      </c>
      <c r="AZ37" s="571"/>
    </row>
    <row r="38" spans="1:52" s="157" customFormat="1" ht="15" customHeight="1">
      <c r="A38" s="619"/>
      <c r="B38" s="620"/>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1"/>
      <c r="AA38" s="616"/>
      <c r="AB38" s="616"/>
      <c r="AC38" s="616"/>
      <c r="AD38" s="617" t="s">
        <v>235</v>
      </c>
      <c r="AE38" s="618" t="s">
        <v>235</v>
      </c>
      <c r="AF38" s="1778"/>
      <c r="AG38" s="616"/>
      <c r="AH38" s="616"/>
      <c r="AI38" s="572"/>
      <c r="AJ38" s="596"/>
      <c r="AK38" s="596"/>
      <c r="AL38" s="596"/>
      <c r="AM38" s="596"/>
      <c r="AN38" s="596"/>
      <c r="AO38" s="596"/>
      <c r="AP38" s="596"/>
      <c r="AQ38" s="596"/>
      <c r="AR38" s="596"/>
      <c r="AS38" s="596" t="str">
        <f t="shared" si="9"/>
        <v>Pavimento asfaltico reciclado MBR</v>
      </c>
      <c r="AT38" s="572"/>
      <c r="AU38" s="596"/>
      <c r="AV38" s="596"/>
      <c r="AW38" s="596"/>
      <c r="AX38" s="596"/>
      <c r="AY38" s="570" t="str">
        <f t="shared" si="5"/>
        <v>Pavimento asfaltico reciclado MBR</v>
      </c>
      <c r="AZ38" s="571"/>
    </row>
    <row r="39" spans="1:52" s="157" customFormat="1" ht="15" customHeight="1">
      <c r="A39" s="1781" t="s">
        <v>11</v>
      </c>
      <c r="B39" s="1782"/>
      <c r="C39" s="1782"/>
      <c r="D39" s="1782"/>
      <c r="E39" s="1782"/>
      <c r="F39" s="1782"/>
      <c r="G39" s="1782"/>
      <c r="H39" s="1782"/>
      <c r="I39" s="1782"/>
      <c r="J39" s="1782"/>
      <c r="K39" s="1782"/>
      <c r="L39" s="1782"/>
      <c r="M39" s="1782"/>
      <c r="N39" s="1782" t="s">
        <v>12</v>
      </c>
      <c r="O39" s="1782"/>
      <c r="P39" s="1782"/>
      <c r="Q39" s="1782"/>
      <c r="R39" s="1782"/>
      <c r="S39" s="1782"/>
      <c r="T39" s="1782"/>
      <c r="U39" s="1782"/>
      <c r="V39" s="1782"/>
      <c r="W39" s="1782"/>
      <c r="X39" s="1782"/>
      <c r="Y39" s="1782"/>
      <c r="Z39" s="1783"/>
      <c r="AA39" s="622"/>
      <c r="AB39" s="622"/>
      <c r="AC39" s="622"/>
      <c r="AD39" s="1776" t="str">
        <f>+AD21</f>
        <v>Aprobó</v>
      </c>
      <c r="AE39" s="1777"/>
      <c r="AF39" s="1778"/>
      <c r="AG39" s="622"/>
      <c r="AH39" s="622"/>
      <c r="AI39" s="572"/>
      <c r="AJ39" s="596"/>
      <c r="AK39" s="596"/>
      <c r="AL39" s="596"/>
      <c r="AM39" s="596"/>
      <c r="AN39" s="596"/>
      <c r="AO39" s="596"/>
      <c r="AP39" s="596"/>
      <c r="AQ39" s="596"/>
      <c r="AR39" s="596"/>
      <c r="AS39" s="596" t="str">
        <f t="shared" si="9"/>
        <v>Fresado</v>
      </c>
      <c r="AT39" s="572"/>
      <c r="AU39" s="596"/>
      <c r="AV39" s="596"/>
      <c r="AW39" s="596"/>
      <c r="AX39" s="596"/>
      <c r="AY39" s="570" t="str">
        <f t="shared" si="5"/>
        <v>Fresado</v>
      </c>
      <c r="AZ39" s="571"/>
    </row>
    <row r="40" spans="1:52" s="157" customFormat="1" ht="15" customHeight="1">
      <c r="A40" s="623"/>
      <c r="B40" s="624"/>
      <c r="C40" s="1768"/>
      <c r="D40" s="1768"/>
      <c r="E40" s="1768"/>
      <c r="F40" s="1768"/>
      <c r="G40" s="1768"/>
      <c r="H40" s="1768"/>
      <c r="I40" s="1768"/>
      <c r="J40" s="1768"/>
      <c r="K40" s="1768"/>
      <c r="L40" s="624"/>
      <c r="M40" s="624"/>
      <c r="N40" s="596"/>
      <c r="O40" s="596"/>
      <c r="P40" s="1768"/>
      <c r="Q40" s="1768"/>
      <c r="R40" s="1768"/>
      <c r="S40" s="1768"/>
      <c r="T40" s="1768"/>
      <c r="U40" s="1768"/>
      <c r="V40" s="1768"/>
      <c r="W40" s="1768"/>
      <c r="X40" s="1768"/>
      <c r="Y40" s="596"/>
      <c r="Z40" s="601"/>
      <c r="AA40" s="596"/>
      <c r="AB40" s="625"/>
      <c r="AC40" s="625"/>
      <c r="AD40" s="592" t="str">
        <f>+AD23</f>
        <v>Cindy Nathaly Sastoque G</v>
      </c>
      <c r="AE40" s="609" t="str">
        <f>+AE23</f>
        <v>Coordinador Técnico</v>
      </c>
      <c r="AF40" s="1778"/>
      <c r="AG40" s="625"/>
      <c r="AH40" s="625"/>
      <c r="AI40" s="572"/>
      <c r="AJ40" s="596"/>
      <c r="AK40" s="596"/>
      <c r="AL40" s="596"/>
      <c r="AM40" s="596"/>
      <c r="AN40" s="596"/>
      <c r="AO40" s="596"/>
      <c r="AP40" s="596"/>
      <c r="AQ40" s="596"/>
      <c r="AR40" s="596"/>
      <c r="AS40" s="596" t="str">
        <f t="shared" si="9"/>
        <v>Fresado estabilizado con emulsión y cemento</v>
      </c>
      <c r="AT40" s="572"/>
      <c r="AU40" s="596"/>
      <c r="AV40" s="596"/>
      <c r="AW40" s="596"/>
      <c r="AX40" s="596"/>
      <c r="AY40" s="570" t="str">
        <f t="shared" si="5"/>
        <v>Fresado estabilizado con emulsión y cemento</v>
      </c>
      <c r="AZ40" s="571"/>
    </row>
    <row r="41" spans="1:52" s="228" customFormat="1" ht="15" customHeight="1">
      <c r="A41" s="623"/>
      <c r="B41" s="624"/>
      <c r="C41" s="1768"/>
      <c r="D41" s="1768"/>
      <c r="E41" s="1768"/>
      <c r="F41" s="1768"/>
      <c r="G41" s="1768"/>
      <c r="H41" s="1768"/>
      <c r="I41" s="1768"/>
      <c r="J41" s="1768"/>
      <c r="K41" s="1768"/>
      <c r="L41" s="624"/>
      <c r="M41" s="624"/>
      <c r="N41" s="596"/>
      <c r="O41" s="596"/>
      <c r="P41" s="1768"/>
      <c r="Q41" s="1768"/>
      <c r="R41" s="1768"/>
      <c r="S41" s="1768"/>
      <c r="T41" s="1768"/>
      <c r="U41" s="1768"/>
      <c r="V41" s="1768"/>
      <c r="W41" s="1768"/>
      <c r="X41" s="1768"/>
      <c r="Y41" s="596"/>
      <c r="Z41" s="601"/>
      <c r="AA41" s="596"/>
      <c r="AB41" s="625"/>
      <c r="AC41" s="625"/>
      <c r="AD41" s="592" t="s">
        <v>429</v>
      </c>
      <c r="AE41" s="609" t="str">
        <f>+AE26</f>
        <v>Líder Operativo</v>
      </c>
      <c r="AF41" s="596"/>
      <c r="AG41" s="625"/>
      <c r="AH41" s="625"/>
      <c r="AI41" s="588"/>
      <c r="AJ41" s="329"/>
      <c r="AK41" s="329"/>
      <c r="AL41" s="329"/>
      <c r="AM41" s="329"/>
      <c r="AN41" s="329"/>
      <c r="AO41" s="329"/>
      <c r="AP41" s="329"/>
      <c r="AQ41" s="329"/>
      <c r="AR41" s="329"/>
      <c r="AS41" s="596" t="str">
        <f t="shared" si="9"/>
        <v>MR-43</v>
      </c>
      <c r="AT41" s="572"/>
      <c r="AU41" s="596"/>
      <c r="AV41" s="596"/>
      <c r="AW41" s="596"/>
      <c r="AX41" s="596"/>
      <c r="AY41" s="570" t="str">
        <f t="shared" si="5"/>
        <v>MR-43</v>
      </c>
      <c r="AZ41" s="571"/>
    </row>
    <row r="42" spans="1:52" s="228" customFormat="1" ht="15" customHeight="1">
      <c r="A42" s="623"/>
      <c r="B42" s="624"/>
      <c r="C42" s="1769"/>
      <c r="D42" s="1769"/>
      <c r="E42" s="1769"/>
      <c r="F42" s="1769"/>
      <c r="G42" s="1769"/>
      <c r="H42" s="1769"/>
      <c r="I42" s="1769"/>
      <c r="J42" s="1769"/>
      <c r="K42" s="1769"/>
      <c r="L42" s="624"/>
      <c r="M42" s="624"/>
      <c r="N42" s="624"/>
      <c r="O42" s="624"/>
      <c r="P42" s="1769"/>
      <c r="Q42" s="1769"/>
      <c r="R42" s="1769"/>
      <c r="S42" s="1769"/>
      <c r="T42" s="1769"/>
      <c r="U42" s="1769"/>
      <c r="V42" s="1769"/>
      <c r="W42" s="1769"/>
      <c r="X42" s="1769"/>
      <c r="Y42" s="624"/>
      <c r="Z42" s="626"/>
      <c r="AA42" s="624"/>
      <c r="AB42" s="624"/>
      <c r="AC42" s="624"/>
      <c r="AD42" s="617" t="s">
        <v>235</v>
      </c>
      <c r="AE42" s="618" t="s">
        <v>235</v>
      </c>
      <c r="AF42" s="616"/>
      <c r="AG42" s="624"/>
      <c r="AH42" s="624"/>
      <c r="AI42" s="588"/>
      <c r="AJ42" s="329"/>
      <c r="AK42" s="329"/>
      <c r="AL42" s="329"/>
      <c r="AM42" s="329"/>
      <c r="AN42" s="329"/>
      <c r="AO42" s="329"/>
      <c r="AP42" s="329"/>
      <c r="AQ42" s="329"/>
      <c r="AR42" s="329"/>
      <c r="AS42" s="596" t="str">
        <f t="shared" si="9"/>
        <v>3000 psi</v>
      </c>
      <c r="AT42" s="572"/>
      <c r="AU42" s="596"/>
      <c r="AV42" s="596"/>
      <c r="AW42" s="596"/>
      <c r="AX42" s="596"/>
      <c r="AY42" s="570" t="str">
        <f t="shared" si="5"/>
        <v>3000 psi</v>
      </c>
      <c r="AZ42" s="571"/>
    </row>
    <row r="43" spans="1:52" s="228" customFormat="1" ht="15" customHeight="1">
      <c r="A43" s="1770" t="s">
        <v>235</v>
      </c>
      <c r="B43" s="1771"/>
      <c r="C43" s="1771"/>
      <c r="D43" s="1771"/>
      <c r="E43" s="1771"/>
      <c r="F43" s="1771"/>
      <c r="G43" s="1771"/>
      <c r="H43" s="1771"/>
      <c r="I43" s="1771"/>
      <c r="J43" s="1771"/>
      <c r="K43" s="1771"/>
      <c r="L43" s="1771"/>
      <c r="M43" s="1771"/>
      <c r="N43" s="1771" t="s">
        <v>235</v>
      </c>
      <c r="O43" s="1771"/>
      <c r="P43" s="1771"/>
      <c r="Q43" s="1771"/>
      <c r="R43" s="1771"/>
      <c r="S43" s="1771"/>
      <c r="T43" s="1771"/>
      <c r="U43" s="1771"/>
      <c r="V43" s="1771"/>
      <c r="W43" s="1771"/>
      <c r="X43" s="1771"/>
      <c r="Y43" s="1771"/>
      <c r="Z43" s="1772"/>
      <c r="AA43" s="442"/>
      <c r="AB43" s="627"/>
      <c r="AC43" s="627"/>
      <c r="AD43" s="616"/>
      <c r="AE43" s="616"/>
      <c r="AF43" s="616"/>
      <c r="AG43" s="627"/>
      <c r="AH43" s="627"/>
      <c r="AI43" s="588"/>
      <c r="AJ43" s="329"/>
      <c r="AK43" s="329"/>
      <c r="AL43" s="329"/>
      <c r="AM43" s="329"/>
      <c r="AN43" s="329"/>
      <c r="AO43" s="329"/>
      <c r="AP43" s="329"/>
      <c r="AQ43" s="329"/>
      <c r="AR43" s="329"/>
      <c r="AS43" s="596" t="str">
        <f t="shared" si="9"/>
        <v>2500 psi</v>
      </c>
      <c r="AT43" s="572"/>
      <c r="AU43" s="596"/>
      <c r="AV43" s="596"/>
      <c r="AW43" s="596"/>
      <c r="AX43" s="596"/>
      <c r="AY43" s="570" t="str">
        <f t="shared" si="5"/>
        <v>2500 psi</v>
      </c>
      <c r="AZ43" s="571"/>
    </row>
    <row r="44" spans="1:52" s="228" customFormat="1" ht="15" customHeight="1">
      <c r="A44" s="1773" t="str">
        <f>IF(A43="","",VLOOKUP(A43,AD35:AE38,2,0))</f>
        <v>--</v>
      </c>
      <c r="B44" s="1774"/>
      <c r="C44" s="1774"/>
      <c r="D44" s="1774"/>
      <c r="E44" s="1774"/>
      <c r="F44" s="1774"/>
      <c r="G44" s="1774"/>
      <c r="H44" s="1774"/>
      <c r="I44" s="1774"/>
      <c r="J44" s="1774"/>
      <c r="K44" s="1774"/>
      <c r="L44" s="1774"/>
      <c r="M44" s="1774"/>
      <c r="N44" s="1774" t="str">
        <f>IF(N43="","",VLOOKUP(N43,AD40:AE42,2,0))</f>
        <v>--</v>
      </c>
      <c r="O44" s="1774"/>
      <c r="P44" s="1774"/>
      <c r="Q44" s="1774"/>
      <c r="R44" s="1774"/>
      <c r="S44" s="1774"/>
      <c r="T44" s="1774"/>
      <c r="U44" s="1774"/>
      <c r="V44" s="1774"/>
      <c r="W44" s="1774"/>
      <c r="X44" s="1774"/>
      <c r="Y44" s="1774"/>
      <c r="Z44" s="1775"/>
      <c r="AA44" s="628"/>
      <c r="AB44" s="629"/>
      <c r="AC44" s="629"/>
      <c r="AD44" s="616"/>
      <c r="AE44" s="616"/>
      <c r="AF44" s="616"/>
      <c r="AG44" s="629"/>
      <c r="AH44" s="629"/>
      <c r="AI44" s="588"/>
      <c r="AJ44" s="329"/>
      <c r="AK44" s="329"/>
      <c r="AL44" s="329"/>
      <c r="AM44" s="329"/>
      <c r="AN44" s="329"/>
      <c r="AO44" s="329"/>
      <c r="AP44" s="329"/>
      <c r="AQ44" s="329"/>
      <c r="AR44" s="329"/>
      <c r="AS44" s="329" t="str">
        <f>+AM8</f>
        <v>Cemento asfaltico CA-14</v>
      </c>
      <c r="AT44" s="588"/>
      <c r="AU44" s="329"/>
      <c r="AV44" s="329"/>
      <c r="AW44" s="329"/>
      <c r="AX44" s="329"/>
      <c r="AY44" s="570" t="str">
        <f t="shared" si="5"/>
        <v>Cemento asfaltico CA-14</v>
      </c>
      <c r="AZ44" s="571"/>
    </row>
    <row r="45" spans="1:52" s="229" customFormat="1" ht="15" customHeight="1" thickBot="1">
      <c r="A45" s="630"/>
      <c r="B45" s="439"/>
      <c r="C45" s="439"/>
      <c r="D45" s="439"/>
      <c r="E45" s="439"/>
      <c r="F45" s="439"/>
      <c r="G45" s="439"/>
      <c r="H45" s="439"/>
      <c r="I45" s="439"/>
      <c r="J45" s="439"/>
      <c r="K45" s="439"/>
      <c r="L45" s="439"/>
      <c r="M45" s="439"/>
      <c r="N45" s="439"/>
      <c r="O45" s="439"/>
      <c r="P45" s="439"/>
      <c r="Q45" s="439"/>
      <c r="R45" s="439"/>
      <c r="S45" s="439"/>
      <c r="T45" s="439"/>
      <c r="U45" s="439"/>
      <c r="V45" s="439"/>
      <c r="W45" s="439"/>
      <c r="X45" s="439"/>
      <c r="Y45" s="439"/>
      <c r="Z45" s="440"/>
      <c r="AA45" s="628"/>
      <c r="AB45" s="628"/>
      <c r="AC45" s="628"/>
      <c r="AD45" s="616"/>
      <c r="AE45" s="616"/>
      <c r="AF45" s="616"/>
      <c r="AG45" s="628"/>
      <c r="AH45" s="628"/>
      <c r="AI45" s="631"/>
      <c r="AJ45" s="632"/>
      <c r="AK45" s="632"/>
      <c r="AL45" s="632"/>
      <c r="AM45" s="632"/>
      <c r="AN45" s="632"/>
      <c r="AO45" s="632"/>
      <c r="AP45" s="632"/>
      <c r="AQ45" s="632"/>
      <c r="AR45" s="632"/>
      <c r="AS45" s="329" t="str">
        <f>+AM9</f>
        <v>Cemento asfaltico modificado con GCR</v>
      </c>
      <c r="AT45" s="588"/>
      <c r="AU45" s="329"/>
      <c r="AV45" s="329"/>
      <c r="AW45" s="329"/>
      <c r="AX45" s="329"/>
      <c r="AY45" s="570" t="str">
        <f t="shared" si="5"/>
        <v>Cemento asfaltico modificado con GCR</v>
      </c>
      <c r="AZ45" s="571"/>
    </row>
    <row r="46" spans="1:52" s="229" customFormat="1" ht="15" customHeight="1" thickTop="1">
      <c r="A46" s="1766" t="s">
        <v>435</v>
      </c>
      <c r="B46" s="1766"/>
      <c r="C46" s="1766"/>
      <c r="D46" s="1766"/>
      <c r="E46" s="1766"/>
      <c r="F46" s="1766"/>
      <c r="G46" s="1766"/>
      <c r="H46" s="1766"/>
      <c r="I46" s="1766"/>
      <c r="J46" s="1766"/>
      <c r="K46" s="1766"/>
      <c r="L46" s="1766"/>
      <c r="M46" s="1766"/>
      <c r="N46" s="1766"/>
      <c r="O46" s="1766"/>
      <c r="P46" s="1766"/>
      <c r="Q46" s="1766"/>
      <c r="R46" s="1766"/>
      <c r="S46" s="1766"/>
      <c r="T46" s="1766"/>
      <c r="U46" s="1766"/>
      <c r="V46" s="1766"/>
      <c r="W46" s="1766"/>
      <c r="X46" s="1766"/>
      <c r="Y46" s="1766"/>
      <c r="Z46" s="1766"/>
      <c r="AA46" s="633"/>
      <c r="AB46" s="633"/>
      <c r="AC46" s="633"/>
      <c r="AD46" s="616"/>
      <c r="AE46" s="616"/>
      <c r="AF46" s="616"/>
      <c r="AG46" s="633"/>
      <c r="AH46" s="633"/>
      <c r="AI46" s="631"/>
      <c r="AJ46" s="632"/>
      <c r="AK46" s="632"/>
      <c r="AL46" s="632"/>
      <c r="AM46" s="632"/>
      <c r="AN46" s="632"/>
      <c r="AO46" s="632"/>
      <c r="AP46" s="632"/>
      <c r="AQ46" s="632"/>
      <c r="AR46" s="632"/>
      <c r="AS46" s="329" t="str">
        <f>+AM10</f>
        <v>Asfalto modificado para sello de fisuras</v>
      </c>
      <c r="AT46" s="588"/>
      <c r="AU46" s="329"/>
      <c r="AV46" s="329"/>
      <c r="AW46" s="329"/>
      <c r="AX46" s="329"/>
      <c r="AY46" s="570" t="str">
        <f t="shared" si="5"/>
        <v>Asfalto modificado para sello de fisuras</v>
      </c>
      <c r="AZ46" s="571"/>
    </row>
    <row r="47" spans="1:52" s="228" customFormat="1" ht="15" customHeight="1">
      <c r="A47" s="1767"/>
      <c r="B47" s="1767"/>
      <c r="C47" s="1767"/>
      <c r="D47" s="1767"/>
      <c r="E47" s="1767"/>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633"/>
      <c r="AB47" s="633"/>
      <c r="AC47" s="633"/>
      <c r="AD47" s="616"/>
      <c r="AE47" s="616"/>
      <c r="AF47" s="616"/>
      <c r="AG47" s="633"/>
      <c r="AH47" s="633"/>
      <c r="AI47" s="588"/>
      <c r="AJ47" s="329"/>
      <c r="AK47" s="329"/>
      <c r="AL47" s="329"/>
      <c r="AM47" s="329"/>
      <c r="AN47" s="329"/>
      <c r="AO47" s="329"/>
      <c r="AP47" s="329"/>
      <c r="AQ47" s="329"/>
      <c r="AR47" s="329"/>
      <c r="AS47" s="329" t="str">
        <f>+AN8</f>
        <v>Emulsión asfaltica CRL-1 (60-100)</v>
      </c>
      <c r="AT47" s="588"/>
      <c r="AU47" s="329"/>
      <c r="AV47" s="329"/>
      <c r="AW47" s="329"/>
      <c r="AX47" s="329"/>
      <c r="AY47" s="570" t="str">
        <f t="shared" si="5"/>
        <v>Emulsión asfaltica CRL-1 (60-100)</v>
      </c>
      <c r="AZ47" s="571"/>
    </row>
    <row r="48" spans="1:52" s="228" customFormat="1" ht="15" customHeight="1">
      <c r="A48" s="1767"/>
      <c r="B48" s="1767"/>
      <c r="C48" s="1767"/>
      <c r="D48" s="1767"/>
      <c r="E48" s="1767"/>
      <c r="F48" s="1767"/>
      <c r="G48" s="1767"/>
      <c r="H48" s="1767"/>
      <c r="I48" s="1767"/>
      <c r="J48" s="1767"/>
      <c r="K48" s="1767"/>
      <c r="L48" s="1767"/>
      <c r="M48" s="1767"/>
      <c r="N48" s="1767"/>
      <c r="O48" s="1767"/>
      <c r="P48" s="1767"/>
      <c r="Q48" s="1767"/>
      <c r="R48" s="1767"/>
      <c r="S48" s="1767"/>
      <c r="T48" s="1767"/>
      <c r="U48" s="1767"/>
      <c r="V48" s="1767"/>
      <c r="W48" s="1767"/>
      <c r="X48" s="1767"/>
      <c r="Y48" s="1767"/>
      <c r="Z48" s="1767"/>
      <c r="AA48" s="633"/>
      <c r="AB48" s="633"/>
      <c r="AC48" s="633"/>
      <c r="AD48" s="616"/>
      <c r="AE48" s="616"/>
      <c r="AF48" s="622"/>
      <c r="AG48" s="633"/>
      <c r="AH48" s="633"/>
      <c r="AI48" s="588"/>
      <c r="AJ48" s="329"/>
      <c r="AK48" s="329"/>
      <c r="AL48" s="329"/>
      <c r="AM48" s="329"/>
      <c r="AN48" s="329"/>
      <c r="AO48" s="329"/>
      <c r="AP48" s="329"/>
      <c r="AQ48" s="329"/>
      <c r="AR48" s="329"/>
      <c r="AS48" s="329" t="str">
        <f>+AN9</f>
        <v>Emulsión asfaltica CRL-1 (100-250)</v>
      </c>
      <c r="AT48" s="588"/>
      <c r="AU48" s="329"/>
      <c r="AV48" s="329"/>
      <c r="AW48" s="329"/>
      <c r="AX48" s="329"/>
      <c r="AY48" s="570" t="str">
        <f t="shared" si="5"/>
        <v>Emulsión asfaltica CRL-1 (100-250)</v>
      </c>
      <c r="AZ48" s="571"/>
    </row>
    <row r="49" spans="30:52" s="228" customFormat="1" ht="27.95" customHeight="1">
      <c r="AD49" s="622"/>
      <c r="AE49" s="622"/>
      <c r="AF49" s="625"/>
      <c r="AI49" s="588"/>
      <c r="AJ49" s="329"/>
      <c r="AK49" s="329"/>
      <c r="AL49" s="329"/>
      <c r="AM49" s="329"/>
      <c r="AN49" s="329"/>
      <c r="AO49" s="329"/>
      <c r="AP49" s="329"/>
      <c r="AQ49" s="329"/>
      <c r="AR49" s="329"/>
      <c r="AS49" s="329" t="str">
        <f>+AN10</f>
        <v>Emulsión asfaltica CRR-1</v>
      </c>
      <c r="AT49" s="588"/>
      <c r="AU49" s="329"/>
      <c r="AV49" s="329"/>
      <c r="AW49" s="329"/>
      <c r="AX49" s="329"/>
      <c r="AY49" s="570" t="str">
        <f t="shared" si="5"/>
        <v>Emulsión asfaltica CRR-1</v>
      </c>
      <c r="AZ49" s="571"/>
    </row>
    <row r="50" spans="30:52">
      <c r="AD50" s="625"/>
      <c r="AE50" s="625"/>
      <c r="AF50" s="625"/>
      <c r="AI50" s="581"/>
      <c r="AJ50" s="635"/>
      <c r="AK50" s="635"/>
      <c r="AL50" s="635"/>
      <c r="AM50" s="635"/>
      <c r="AN50" s="635"/>
      <c r="AO50" s="635"/>
      <c r="AP50" s="635"/>
      <c r="AQ50" s="635"/>
      <c r="AR50" s="635"/>
      <c r="AS50" s="635"/>
      <c r="AT50" s="581"/>
      <c r="AU50" s="635"/>
      <c r="AV50" s="635"/>
      <c r="AW50" s="635"/>
      <c r="AX50" s="635"/>
      <c r="AY50" s="635"/>
      <c r="AZ50" s="636"/>
    </row>
    <row r="51" spans="30:52">
      <c r="AD51" s="625"/>
      <c r="AE51" s="625"/>
      <c r="AF51" s="624"/>
      <c r="AI51" s="581"/>
      <c r="AJ51" s="635"/>
      <c r="AK51" s="635"/>
      <c r="AL51" s="635"/>
      <c r="AM51" s="635"/>
      <c r="AN51" s="635"/>
      <c r="AO51" s="635"/>
      <c r="AP51" s="635"/>
      <c r="AQ51" s="635"/>
      <c r="AR51" s="635"/>
      <c r="AS51" s="635"/>
      <c r="AT51" s="581"/>
      <c r="AU51" s="635"/>
      <c r="AV51" s="635"/>
      <c r="AW51" s="635"/>
      <c r="AX51" s="635"/>
      <c r="AY51" s="635"/>
      <c r="AZ51" s="636"/>
    </row>
    <row r="52" spans="30:52">
      <c r="AD52" s="624"/>
      <c r="AE52" s="624"/>
      <c r="AF52" s="627"/>
      <c r="AI52" s="637"/>
      <c r="AJ52" s="638"/>
      <c r="AK52" s="638"/>
      <c r="AL52" s="638"/>
      <c r="AM52" s="638"/>
      <c r="AN52" s="638"/>
      <c r="AO52" s="638"/>
      <c r="AP52" s="638"/>
      <c r="AQ52" s="638"/>
      <c r="AR52" s="638"/>
      <c r="AS52" s="638"/>
      <c r="AT52" s="637"/>
      <c r="AU52" s="638"/>
      <c r="AV52" s="638"/>
      <c r="AW52" s="638"/>
      <c r="AX52" s="638"/>
      <c r="AY52" s="638"/>
      <c r="AZ52" s="639"/>
    </row>
    <row r="53" spans="30:52">
      <c r="AD53" s="627"/>
      <c r="AE53" s="627"/>
      <c r="AF53" s="629"/>
    </row>
    <row r="54" spans="30:52">
      <c r="AD54" s="629"/>
      <c r="AE54" s="629"/>
      <c r="AF54" s="628"/>
    </row>
    <row r="55" spans="30:52">
      <c r="AD55" s="628"/>
      <c r="AE55" s="628"/>
      <c r="AF55" s="633"/>
    </row>
    <row r="56" spans="30:52">
      <c r="AD56" s="633"/>
      <c r="AE56" s="633"/>
      <c r="AF56" s="633"/>
    </row>
    <row r="57" spans="30:52">
      <c r="AD57" s="633"/>
      <c r="AE57" s="633"/>
      <c r="AF57" s="633"/>
    </row>
    <row r="58" spans="30:52">
      <c r="AD58" s="633"/>
      <c r="AE58" s="633"/>
      <c r="AF58" s="228"/>
    </row>
    <row r="59" spans="30:52">
      <c r="AD59" s="228"/>
      <c r="AE59" s="228"/>
    </row>
  </sheetData>
  <sheetProtection algorithmName="SHA-512" hashValue="YSfzIszqgUnEd0ihu87SYGBdy8kCHqGV/WsEHv4lUzIh9Cuc/tk4VqBSCi52bL8FolmB3cbS0Pk0xoTFSR38JQ==" saltValue="qnzAQBqchEqiD2P6NTk81w==" spinCount="100000" sheet="1" objects="1" scenarios="1"/>
  <mergeCells count="82">
    <mergeCell ref="AW3:AW6"/>
    <mergeCell ref="A1:D5"/>
    <mergeCell ref="E1:Z3"/>
    <mergeCell ref="AT3:AT6"/>
    <mergeCell ref="AU3:AU6"/>
    <mergeCell ref="AV3:AV6"/>
    <mergeCell ref="BB6:BM6"/>
    <mergeCell ref="T7:Y7"/>
    <mergeCell ref="V8:Y8"/>
    <mergeCell ref="AD8:AD10"/>
    <mergeCell ref="AE8:AE10"/>
    <mergeCell ref="AF8:AF10"/>
    <mergeCell ref="B9:Y9"/>
    <mergeCell ref="G10:Z10"/>
    <mergeCell ref="AX3:AX6"/>
    <mergeCell ref="AY3:AY6"/>
    <mergeCell ref="AZ3:AZ6"/>
    <mergeCell ref="E4:T4"/>
    <mergeCell ref="U4:Z4"/>
    <mergeCell ref="E5:Z5"/>
    <mergeCell ref="AD6:AF6"/>
    <mergeCell ref="AI6:AS6"/>
    <mergeCell ref="B11:H11"/>
    <mergeCell ref="I11:Y11"/>
    <mergeCell ref="AD14:AD16"/>
    <mergeCell ref="AE14:AE16"/>
    <mergeCell ref="AF14:AF16"/>
    <mergeCell ref="B12:H12"/>
    <mergeCell ref="I12:Y13"/>
    <mergeCell ref="AD11:AD13"/>
    <mergeCell ref="AE11:AE13"/>
    <mergeCell ref="AF11:AF13"/>
    <mergeCell ref="I19:Y19"/>
    <mergeCell ref="B14:Y14"/>
    <mergeCell ref="AD17:AD19"/>
    <mergeCell ref="AE17:AE19"/>
    <mergeCell ref="B17:H17"/>
    <mergeCell ref="I17:Y17"/>
    <mergeCell ref="B18:H18"/>
    <mergeCell ref="I18:Y18"/>
    <mergeCell ref="AF17:AF19"/>
    <mergeCell ref="B16:H16"/>
    <mergeCell ref="I16:Y16"/>
    <mergeCell ref="AD23:AD25"/>
    <mergeCell ref="AE23:AE25"/>
    <mergeCell ref="AF23:AF25"/>
    <mergeCell ref="B21:H21"/>
    <mergeCell ref="I21:Y21"/>
    <mergeCell ref="B22:H22"/>
    <mergeCell ref="I22:J22"/>
    <mergeCell ref="N22:O22"/>
    <mergeCell ref="B24:H24"/>
    <mergeCell ref="I24:Y24"/>
    <mergeCell ref="I25:Y25"/>
    <mergeCell ref="B20:H20"/>
    <mergeCell ref="B19:H19"/>
    <mergeCell ref="AF26:AF28"/>
    <mergeCell ref="I27:Y27"/>
    <mergeCell ref="I28:Y28"/>
    <mergeCell ref="I20:Y20"/>
    <mergeCell ref="B23:H23"/>
    <mergeCell ref="I23:Y23"/>
    <mergeCell ref="AD26:AD28"/>
    <mergeCell ref="AE26:AE28"/>
    <mergeCell ref="AD21:AF21"/>
    <mergeCell ref="AD33:AE33"/>
    <mergeCell ref="AF33:AF40"/>
    <mergeCell ref="B32:Y37"/>
    <mergeCell ref="AD39:AE39"/>
    <mergeCell ref="I29:Y29"/>
    <mergeCell ref="A39:M39"/>
    <mergeCell ref="N39:Z39"/>
    <mergeCell ref="AD29:AD31"/>
    <mergeCell ref="AE29:AE31"/>
    <mergeCell ref="AF29:AF31"/>
    <mergeCell ref="A46:Z48"/>
    <mergeCell ref="C40:K42"/>
    <mergeCell ref="P40:X42"/>
    <mergeCell ref="A43:M43"/>
    <mergeCell ref="N43:Z43"/>
    <mergeCell ref="A44:M44"/>
    <mergeCell ref="N44:Z44"/>
  </mergeCells>
  <conditionalFormatting sqref="I28">
    <cfRule type="cellIs" dxfId="27" priority="2" operator="lessThan">
      <formula>$I$27</formula>
    </cfRule>
  </conditionalFormatting>
  <conditionalFormatting sqref="AB8">
    <cfRule type="cellIs" dxfId="26" priority="1" operator="greaterThan">
      <formula>$AB$10</formula>
    </cfRule>
  </conditionalFormatting>
  <dataValidations count="7">
    <dataValidation type="list" allowBlank="1" showInputMessage="1" showErrorMessage="1" sqref="AA7">
      <formula1>$AH$7:$AH$16</formula1>
    </dataValidation>
    <dataValidation type="list" allowBlank="1" showInputMessage="1" showErrorMessage="1" sqref="I25:Y25">
      <formula1>$AC$7:$AC$10</formula1>
    </dataValidation>
    <dataValidation type="list" allowBlank="1" showInputMessage="1" showErrorMessage="1" sqref="N43:Z43">
      <formula1>$AD$40:$AD$42</formula1>
    </dataValidation>
    <dataValidation type="list" allowBlank="1" showInputMessage="1" showErrorMessage="1" sqref="AA43">
      <formula1>$AD$23:$AD$29</formula1>
    </dataValidation>
    <dataValidation type="list" allowBlank="1" showInputMessage="1" showErrorMessage="1" sqref="I11:Y11">
      <formula1>$AP$8:$AP$19</formula1>
    </dataValidation>
    <dataValidation type="list" allowBlank="1" showInputMessage="1" showErrorMessage="1" sqref="I19:Y19">
      <formula1>$AB$16:$AB$19</formula1>
    </dataValidation>
    <dataValidation type="list" allowBlank="1" showInputMessage="1" showErrorMessage="1" sqref="A43:M43">
      <formula1>$AD$35:$AD$38</formula1>
    </dataValidation>
  </dataValidations>
  <printOptions horizontalCentered="1"/>
  <pageMargins left="0.59055118110236227" right="0.39370078740157483" top="0.39370078740157483" bottom="0.59055118110236227" header="0" footer="0.19685039370078741"/>
  <pageSetup orientation="portrait" r:id="rId1"/>
  <headerFooter scaleWithDoc="0">
    <oddFooter xml:space="preserve">&amp;L&amp;"Arial,Normal"&amp;6Calle 26 No. 57-41 Torre 8 Piso 8 CEMSA - CP: 1113111            
Pbx: 3779555  - Información: Línea 195     
www.umv.gov.co111311&amp;C&amp;"Arial,Normal"&amp;6Página 1 de 1&amp;R
</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T53"/>
  <sheetViews>
    <sheetView showGridLines="0" view="pageBreakPreview" topLeftCell="A25" zoomScaleNormal="115" zoomScaleSheetLayoutView="100" workbookViewId="0">
      <selection activeCell="Z41" sqref="Z41"/>
    </sheetView>
  </sheetViews>
  <sheetFormatPr baseColWidth="10" defaultRowHeight="12.75"/>
  <cols>
    <col min="1" max="5" width="2.7109375" style="34" customWidth="1"/>
    <col min="6" max="6" width="2.42578125" style="34" customWidth="1"/>
    <col min="7" max="17" width="2.7109375" style="34" customWidth="1"/>
    <col min="18" max="18" width="1.5703125" style="34" customWidth="1"/>
    <col min="19" max="20" width="2.7109375" style="34" customWidth="1"/>
    <col min="21" max="22" width="2" style="34" customWidth="1"/>
    <col min="23" max="23" width="1.5703125" style="34" customWidth="1"/>
    <col min="24" max="24" width="2" style="34" customWidth="1"/>
    <col min="25" max="27" width="2.7109375" style="34" customWidth="1"/>
    <col min="28" max="28" width="2.5703125" style="34" customWidth="1"/>
    <col min="29" max="29" width="3.42578125" style="34" customWidth="1"/>
    <col min="30" max="30" width="3.7109375" style="34" customWidth="1"/>
    <col min="31" max="31" width="3.140625" style="34" customWidth="1"/>
    <col min="32" max="32" width="4" style="34" customWidth="1"/>
    <col min="33" max="33" width="2.7109375" style="34" customWidth="1"/>
    <col min="34" max="34" width="3.42578125" style="34" customWidth="1"/>
    <col min="35" max="35" width="2.28515625" style="34" customWidth="1"/>
    <col min="36" max="36" width="2.7109375" style="34" customWidth="1"/>
    <col min="37" max="37" width="13.5703125" style="216" customWidth="1"/>
    <col min="38" max="38" width="11.5703125" style="216" customWidth="1"/>
    <col min="39" max="39" width="12.5703125" style="216" customWidth="1"/>
    <col min="40" max="40" width="11.5703125" style="216" customWidth="1"/>
    <col min="41" max="46" width="11.42578125" style="216"/>
    <col min="47" max="256" width="11.42578125" style="34"/>
    <col min="257" max="261" width="2.7109375" style="34" customWidth="1"/>
    <col min="262" max="262" width="3.85546875" style="34" customWidth="1"/>
    <col min="263" max="292" width="2.7109375" style="34" customWidth="1"/>
    <col min="293" max="293" width="11.42578125" style="34"/>
    <col min="294" max="294" width="11.5703125" style="34" customWidth="1"/>
    <col min="295" max="295" width="12.5703125" style="34" customWidth="1"/>
    <col min="296" max="296" width="11.5703125" style="34" customWidth="1"/>
    <col min="297" max="512" width="11.42578125" style="34"/>
    <col min="513" max="517" width="2.7109375" style="34" customWidth="1"/>
    <col min="518" max="518" width="3.85546875" style="34" customWidth="1"/>
    <col min="519" max="548" width="2.7109375" style="34" customWidth="1"/>
    <col min="549" max="549" width="11.42578125" style="34"/>
    <col min="550" max="550" width="11.5703125" style="34" customWidth="1"/>
    <col min="551" max="551" width="12.5703125" style="34" customWidth="1"/>
    <col min="552" max="552" width="11.5703125" style="34" customWidth="1"/>
    <col min="553" max="768" width="11.42578125" style="34"/>
    <col min="769" max="773" width="2.7109375" style="34" customWidth="1"/>
    <col min="774" max="774" width="3.85546875" style="34" customWidth="1"/>
    <col min="775" max="804" width="2.7109375" style="34" customWidth="1"/>
    <col min="805" max="805" width="11.42578125" style="34"/>
    <col min="806" max="806" width="11.5703125" style="34" customWidth="1"/>
    <col min="807" max="807" width="12.5703125" style="34" customWidth="1"/>
    <col min="808" max="808" width="11.5703125" style="34" customWidth="1"/>
    <col min="809" max="1024" width="11.42578125" style="34"/>
    <col min="1025" max="1029" width="2.7109375" style="34" customWidth="1"/>
    <col min="1030" max="1030" width="3.85546875" style="34" customWidth="1"/>
    <col min="1031" max="1060" width="2.7109375" style="34" customWidth="1"/>
    <col min="1061" max="1061" width="11.42578125" style="34"/>
    <col min="1062" max="1062" width="11.5703125" style="34" customWidth="1"/>
    <col min="1063" max="1063" width="12.5703125" style="34" customWidth="1"/>
    <col min="1064" max="1064" width="11.5703125" style="34" customWidth="1"/>
    <col min="1065" max="1280" width="11.42578125" style="34"/>
    <col min="1281" max="1285" width="2.7109375" style="34" customWidth="1"/>
    <col min="1286" max="1286" width="3.85546875" style="34" customWidth="1"/>
    <col min="1287" max="1316" width="2.7109375" style="34" customWidth="1"/>
    <col min="1317" max="1317" width="11.42578125" style="34"/>
    <col min="1318" max="1318" width="11.5703125" style="34" customWidth="1"/>
    <col min="1319" max="1319" width="12.5703125" style="34" customWidth="1"/>
    <col min="1320" max="1320" width="11.5703125" style="34" customWidth="1"/>
    <col min="1321" max="1536" width="11.42578125" style="34"/>
    <col min="1537" max="1541" width="2.7109375" style="34" customWidth="1"/>
    <col min="1542" max="1542" width="3.85546875" style="34" customWidth="1"/>
    <col min="1543" max="1572" width="2.7109375" style="34" customWidth="1"/>
    <col min="1573" max="1573" width="11.42578125" style="34"/>
    <col min="1574" max="1574" width="11.5703125" style="34" customWidth="1"/>
    <col min="1575" max="1575" width="12.5703125" style="34" customWidth="1"/>
    <col min="1576" max="1576" width="11.5703125" style="34" customWidth="1"/>
    <col min="1577" max="1792" width="11.42578125" style="34"/>
    <col min="1793" max="1797" width="2.7109375" style="34" customWidth="1"/>
    <col min="1798" max="1798" width="3.85546875" style="34" customWidth="1"/>
    <col min="1799" max="1828" width="2.7109375" style="34" customWidth="1"/>
    <col min="1829" max="1829" width="11.42578125" style="34"/>
    <col min="1830" max="1830" width="11.5703125" style="34" customWidth="1"/>
    <col min="1831" max="1831" width="12.5703125" style="34" customWidth="1"/>
    <col min="1832" max="1832" width="11.5703125" style="34" customWidth="1"/>
    <col min="1833" max="2048" width="11.42578125" style="34"/>
    <col min="2049" max="2053" width="2.7109375" style="34" customWidth="1"/>
    <col min="2054" max="2054" width="3.85546875" style="34" customWidth="1"/>
    <col min="2055" max="2084" width="2.7109375" style="34" customWidth="1"/>
    <col min="2085" max="2085" width="11.42578125" style="34"/>
    <col min="2086" max="2086" width="11.5703125" style="34" customWidth="1"/>
    <col min="2087" max="2087" width="12.5703125" style="34" customWidth="1"/>
    <col min="2088" max="2088" width="11.5703125" style="34" customWidth="1"/>
    <col min="2089" max="2304" width="11.42578125" style="34"/>
    <col min="2305" max="2309" width="2.7109375" style="34" customWidth="1"/>
    <col min="2310" max="2310" width="3.85546875" style="34" customWidth="1"/>
    <col min="2311" max="2340" width="2.7109375" style="34" customWidth="1"/>
    <col min="2341" max="2341" width="11.42578125" style="34"/>
    <col min="2342" max="2342" width="11.5703125" style="34" customWidth="1"/>
    <col min="2343" max="2343" width="12.5703125" style="34" customWidth="1"/>
    <col min="2344" max="2344" width="11.5703125" style="34" customWidth="1"/>
    <col min="2345" max="2560" width="11.42578125" style="34"/>
    <col min="2561" max="2565" width="2.7109375" style="34" customWidth="1"/>
    <col min="2566" max="2566" width="3.85546875" style="34" customWidth="1"/>
    <col min="2567" max="2596" width="2.7109375" style="34" customWidth="1"/>
    <col min="2597" max="2597" width="11.42578125" style="34"/>
    <col min="2598" max="2598" width="11.5703125" style="34" customWidth="1"/>
    <col min="2599" max="2599" width="12.5703125" style="34" customWidth="1"/>
    <col min="2600" max="2600" width="11.5703125" style="34" customWidth="1"/>
    <col min="2601" max="2816" width="11.42578125" style="34"/>
    <col min="2817" max="2821" width="2.7109375" style="34" customWidth="1"/>
    <col min="2822" max="2822" width="3.85546875" style="34" customWidth="1"/>
    <col min="2823" max="2852" width="2.7109375" style="34" customWidth="1"/>
    <col min="2853" max="2853" width="11.42578125" style="34"/>
    <col min="2854" max="2854" width="11.5703125" style="34" customWidth="1"/>
    <col min="2855" max="2855" width="12.5703125" style="34" customWidth="1"/>
    <col min="2856" max="2856" width="11.5703125" style="34" customWidth="1"/>
    <col min="2857" max="3072" width="11.42578125" style="34"/>
    <col min="3073" max="3077" width="2.7109375" style="34" customWidth="1"/>
    <col min="3078" max="3078" width="3.85546875" style="34" customWidth="1"/>
    <col min="3079" max="3108" width="2.7109375" style="34" customWidth="1"/>
    <col min="3109" max="3109" width="11.42578125" style="34"/>
    <col min="3110" max="3110" width="11.5703125" style="34" customWidth="1"/>
    <col min="3111" max="3111" width="12.5703125" style="34" customWidth="1"/>
    <col min="3112" max="3112" width="11.5703125" style="34" customWidth="1"/>
    <col min="3113" max="3328" width="11.42578125" style="34"/>
    <col min="3329" max="3333" width="2.7109375" style="34" customWidth="1"/>
    <col min="3334" max="3334" width="3.85546875" style="34" customWidth="1"/>
    <col min="3335" max="3364" width="2.7109375" style="34" customWidth="1"/>
    <col min="3365" max="3365" width="11.42578125" style="34"/>
    <col min="3366" max="3366" width="11.5703125" style="34" customWidth="1"/>
    <col min="3367" max="3367" width="12.5703125" style="34" customWidth="1"/>
    <col min="3368" max="3368" width="11.5703125" style="34" customWidth="1"/>
    <col min="3369" max="3584" width="11.42578125" style="34"/>
    <col min="3585" max="3589" width="2.7109375" style="34" customWidth="1"/>
    <col min="3590" max="3590" width="3.85546875" style="34" customWidth="1"/>
    <col min="3591" max="3620" width="2.7109375" style="34" customWidth="1"/>
    <col min="3621" max="3621" width="11.42578125" style="34"/>
    <col min="3622" max="3622" width="11.5703125" style="34" customWidth="1"/>
    <col min="3623" max="3623" width="12.5703125" style="34" customWidth="1"/>
    <col min="3624" max="3624" width="11.5703125" style="34" customWidth="1"/>
    <col min="3625" max="3840" width="11.42578125" style="34"/>
    <col min="3841" max="3845" width="2.7109375" style="34" customWidth="1"/>
    <col min="3846" max="3846" width="3.85546875" style="34" customWidth="1"/>
    <col min="3847" max="3876" width="2.7109375" style="34" customWidth="1"/>
    <col min="3877" max="3877" width="11.42578125" style="34"/>
    <col min="3878" max="3878" width="11.5703125" style="34" customWidth="1"/>
    <col min="3879" max="3879" width="12.5703125" style="34" customWidth="1"/>
    <col min="3880" max="3880" width="11.5703125" style="34" customWidth="1"/>
    <col min="3881" max="4096" width="11.42578125" style="34"/>
    <col min="4097" max="4101" width="2.7109375" style="34" customWidth="1"/>
    <col min="4102" max="4102" width="3.85546875" style="34" customWidth="1"/>
    <col min="4103" max="4132" width="2.7109375" style="34" customWidth="1"/>
    <col min="4133" max="4133" width="11.42578125" style="34"/>
    <col min="4134" max="4134" width="11.5703125" style="34" customWidth="1"/>
    <col min="4135" max="4135" width="12.5703125" style="34" customWidth="1"/>
    <col min="4136" max="4136" width="11.5703125" style="34" customWidth="1"/>
    <col min="4137" max="4352" width="11.42578125" style="34"/>
    <col min="4353" max="4357" width="2.7109375" style="34" customWidth="1"/>
    <col min="4358" max="4358" width="3.85546875" style="34" customWidth="1"/>
    <col min="4359" max="4388" width="2.7109375" style="34" customWidth="1"/>
    <col min="4389" max="4389" width="11.42578125" style="34"/>
    <col min="4390" max="4390" width="11.5703125" style="34" customWidth="1"/>
    <col min="4391" max="4391" width="12.5703125" style="34" customWidth="1"/>
    <col min="4392" max="4392" width="11.5703125" style="34" customWidth="1"/>
    <col min="4393" max="4608" width="11.42578125" style="34"/>
    <col min="4609" max="4613" width="2.7109375" style="34" customWidth="1"/>
    <col min="4614" max="4614" width="3.85546875" style="34" customWidth="1"/>
    <col min="4615" max="4644" width="2.7109375" style="34" customWidth="1"/>
    <col min="4645" max="4645" width="11.42578125" style="34"/>
    <col min="4646" max="4646" width="11.5703125" style="34" customWidth="1"/>
    <col min="4647" max="4647" width="12.5703125" style="34" customWidth="1"/>
    <col min="4648" max="4648" width="11.5703125" style="34" customWidth="1"/>
    <col min="4649" max="4864" width="11.42578125" style="34"/>
    <col min="4865" max="4869" width="2.7109375" style="34" customWidth="1"/>
    <col min="4870" max="4870" width="3.85546875" style="34" customWidth="1"/>
    <col min="4871" max="4900" width="2.7109375" style="34" customWidth="1"/>
    <col min="4901" max="4901" width="11.42578125" style="34"/>
    <col min="4902" max="4902" width="11.5703125" style="34" customWidth="1"/>
    <col min="4903" max="4903" width="12.5703125" style="34" customWidth="1"/>
    <col min="4904" max="4904" width="11.5703125" style="34" customWidth="1"/>
    <col min="4905" max="5120" width="11.42578125" style="34"/>
    <col min="5121" max="5125" width="2.7109375" style="34" customWidth="1"/>
    <col min="5126" max="5126" width="3.85546875" style="34" customWidth="1"/>
    <col min="5127" max="5156" width="2.7109375" style="34" customWidth="1"/>
    <col min="5157" max="5157" width="11.42578125" style="34"/>
    <col min="5158" max="5158" width="11.5703125" style="34" customWidth="1"/>
    <col min="5159" max="5159" width="12.5703125" style="34" customWidth="1"/>
    <col min="5160" max="5160" width="11.5703125" style="34" customWidth="1"/>
    <col min="5161" max="5376" width="11.42578125" style="34"/>
    <col min="5377" max="5381" width="2.7109375" style="34" customWidth="1"/>
    <col min="5382" max="5382" width="3.85546875" style="34" customWidth="1"/>
    <col min="5383" max="5412" width="2.7109375" style="34" customWidth="1"/>
    <col min="5413" max="5413" width="11.42578125" style="34"/>
    <col min="5414" max="5414" width="11.5703125" style="34" customWidth="1"/>
    <col min="5415" max="5415" width="12.5703125" style="34" customWidth="1"/>
    <col min="5416" max="5416" width="11.5703125" style="34" customWidth="1"/>
    <col min="5417" max="5632" width="11.42578125" style="34"/>
    <col min="5633" max="5637" width="2.7109375" style="34" customWidth="1"/>
    <col min="5638" max="5638" width="3.85546875" style="34" customWidth="1"/>
    <col min="5639" max="5668" width="2.7109375" style="34" customWidth="1"/>
    <col min="5669" max="5669" width="11.42578125" style="34"/>
    <col min="5670" max="5670" width="11.5703125" style="34" customWidth="1"/>
    <col min="5671" max="5671" width="12.5703125" style="34" customWidth="1"/>
    <col min="5672" max="5672" width="11.5703125" style="34" customWidth="1"/>
    <col min="5673" max="5888" width="11.42578125" style="34"/>
    <col min="5889" max="5893" width="2.7109375" style="34" customWidth="1"/>
    <col min="5894" max="5894" width="3.85546875" style="34" customWidth="1"/>
    <col min="5895" max="5924" width="2.7109375" style="34" customWidth="1"/>
    <col min="5925" max="5925" width="11.42578125" style="34"/>
    <col min="5926" max="5926" width="11.5703125" style="34" customWidth="1"/>
    <col min="5927" max="5927" width="12.5703125" style="34" customWidth="1"/>
    <col min="5928" max="5928" width="11.5703125" style="34" customWidth="1"/>
    <col min="5929" max="6144" width="11.42578125" style="34"/>
    <col min="6145" max="6149" width="2.7109375" style="34" customWidth="1"/>
    <col min="6150" max="6150" width="3.85546875" style="34" customWidth="1"/>
    <col min="6151" max="6180" width="2.7109375" style="34" customWidth="1"/>
    <col min="6181" max="6181" width="11.42578125" style="34"/>
    <col min="6182" max="6182" width="11.5703125" style="34" customWidth="1"/>
    <col min="6183" max="6183" width="12.5703125" style="34" customWidth="1"/>
    <col min="6184" max="6184" width="11.5703125" style="34" customWidth="1"/>
    <col min="6185" max="6400" width="11.42578125" style="34"/>
    <col min="6401" max="6405" width="2.7109375" style="34" customWidth="1"/>
    <col min="6406" max="6406" width="3.85546875" style="34" customWidth="1"/>
    <col min="6407" max="6436" width="2.7109375" style="34" customWidth="1"/>
    <col min="6437" max="6437" width="11.42578125" style="34"/>
    <col min="6438" max="6438" width="11.5703125" style="34" customWidth="1"/>
    <col min="6439" max="6439" width="12.5703125" style="34" customWidth="1"/>
    <col min="6440" max="6440" width="11.5703125" style="34" customWidth="1"/>
    <col min="6441" max="6656" width="11.42578125" style="34"/>
    <col min="6657" max="6661" width="2.7109375" style="34" customWidth="1"/>
    <col min="6662" max="6662" width="3.85546875" style="34" customWidth="1"/>
    <col min="6663" max="6692" width="2.7109375" style="34" customWidth="1"/>
    <col min="6693" max="6693" width="11.42578125" style="34"/>
    <col min="6694" max="6694" width="11.5703125" style="34" customWidth="1"/>
    <col min="6695" max="6695" width="12.5703125" style="34" customWidth="1"/>
    <col min="6696" max="6696" width="11.5703125" style="34" customWidth="1"/>
    <col min="6697" max="6912" width="11.42578125" style="34"/>
    <col min="6913" max="6917" width="2.7109375" style="34" customWidth="1"/>
    <col min="6918" max="6918" width="3.85546875" style="34" customWidth="1"/>
    <col min="6919" max="6948" width="2.7109375" style="34" customWidth="1"/>
    <col min="6949" max="6949" width="11.42578125" style="34"/>
    <col min="6950" max="6950" width="11.5703125" style="34" customWidth="1"/>
    <col min="6951" max="6951" width="12.5703125" style="34" customWidth="1"/>
    <col min="6952" max="6952" width="11.5703125" style="34" customWidth="1"/>
    <col min="6953" max="7168" width="11.42578125" style="34"/>
    <col min="7169" max="7173" width="2.7109375" style="34" customWidth="1"/>
    <col min="7174" max="7174" width="3.85546875" style="34" customWidth="1"/>
    <col min="7175" max="7204" width="2.7109375" style="34" customWidth="1"/>
    <col min="7205" max="7205" width="11.42578125" style="34"/>
    <col min="7206" max="7206" width="11.5703125" style="34" customWidth="1"/>
    <col min="7207" max="7207" width="12.5703125" style="34" customWidth="1"/>
    <col min="7208" max="7208" width="11.5703125" style="34" customWidth="1"/>
    <col min="7209" max="7424" width="11.42578125" style="34"/>
    <col min="7425" max="7429" width="2.7109375" style="34" customWidth="1"/>
    <col min="7430" max="7430" width="3.85546875" style="34" customWidth="1"/>
    <col min="7431" max="7460" width="2.7109375" style="34" customWidth="1"/>
    <col min="7461" max="7461" width="11.42578125" style="34"/>
    <col min="7462" max="7462" width="11.5703125" style="34" customWidth="1"/>
    <col min="7463" max="7463" width="12.5703125" style="34" customWidth="1"/>
    <col min="7464" max="7464" width="11.5703125" style="34" customWidth="1"/>
    <col min="7465" max="7680" width="11.42578125" style="34"/>
    <col min="7681" max="7685" width="2.7109375" style="34" customWidth="1"/>
    <col min="7686" max="7686" width="3.85546875" style="34" customWidth="1"/>
    <col min="7687" max="7716" width="2.7109375" style="34" customWidth="1"/>
    <col min="7717" max="7717" width="11.42578125" style="34"/>
    <col min="7718" max="7718" width="11.5703125" style="34" customWidth="1"/>
    <col min="7719" max="7719" width="12.5703125" style="34" customWidth="1"/>
    <col min="7720" max="7720" width="11.5703125" style="34" customWidth="1"/>
    <col min="7721" max="7936" width="11.42578125" style="34"/>
    <col min="7937" max="7941" width="2.7109375" style="34" customWidth="1"/>
    <col min="7942" max="7942" width="3.85546875" style="34" customWidth="1"/>
    <col min="7943" max="7972" width="2.7109375" style="34" customWidth="1"/>
    <col min="7973" max="7973" width="11.42578125" style="34"/>
    <col min="7974" max="7974" width="11.5703125" style="34" customWidth="1"/>
    <col min="7975" max="7975" width="12.5703125" style="34" customWidth="1"/>
    <col min="7976" max="7976" width="11.5703125" style="34" customWidth="1"/>
    <col min="7977" max="8192" width="11.42578125" style="34"/>
    <col min="8193" max="8197" width="2.7109375" style="34" customWidth="1"/>
    <col min="8198" max="8198" width="3.85546875" style="34" customWidth="1"/>
    <col min="8199" max="8228" width="2.7109375" style="34" customWidth="1"/>
    <col min="8229" max="8229" width="11.42578125" style="34"/>
    <col min="8230" max="8230" width="11.5703125" style="34" customWidth="1"/>
    <col min="8231" max="8231" width="12.5703125" style="34" customWidth="1"/>
    <col min="8232" max="8232" width="11.5703125" style="34" customWidth="1"/>
    <col min="8233" max="8448" width="11.42578125" style="34"/>
    <col min="8449" max="8453" width="2.7109375" style="34" customWidth="1"/>
    <col min="8454" max="8454" width="3.85546875" style="34" customWidth="1"/>
    <col min="8455" max="8484" width="2.7109375" style="34" customWidth="1"/>
    <col min="8485" max="8485" width="11.42578125" style="34"/>
    <col min="8486" max="8486" width="11.5703125" style="34" customWidth="1"/>
    <col min="8487" max="8487" width="12.5703125" style="34" customWidth="1"/>
    <col min="8488" max="8488" width="11.5703125" style="34" customWidth="1"/>
    <col min="8489" max="8704" width="11.42578125" style="34"/>
    <col min="8705" max="8709" width="2.7109375" style="34" customWidth="1"/>
    <col min="8710" max="8710" width="3.85546875" style="34" customWidth="1"/>
    <col min="8711" max="8740" width="2.7109375" style="34" customWidth="1"/>
    <col min="8741" max="8741" width="11.42578125" style="34"/>
    <col min="8742" max="8742" width="11.5703125" style="34" customWidth="1"/>
    <col min="8743" max="8743" width="12.5703125" style="34" customWidth="1"/>
    <col min="8744" max="8744" width="11.5703125" style="34" customWidth="1"/>
    <col min="8745" max="8960" width="11.42578125" style="34"/>
    <col min="8961" max="8965" width="2.7109375" style="34" customWidth="1"/>
    <col min="8966" max="8966" width="3.85546875" style="34" customWidth="1"/>
    <col min="8967" max="8996" width="2.7109375" style="34" customWidth="1"/>
    <col min="8997" max="8997" width="11.42578125" style="34"/>
    <col min="8998" max="8998" width="11.5703125" style="34" customWidth="1"/>
    <col min="8999" max="8999" width="12.5703125" style="34" customWidth="1"/>
    <col min="9000" max="9000" width="11.5703125" style="34" customWidth="1"/>
    <col min="9001" max="9216" width="11.42578125" style="34"/>
    <col min="9217" max="9221" width="2.7109375" style="34" customWidth="1"/>
    <col min="9222" max="9222" width="3.85546875" style="34" customWidth="1"/>
    <col min="9223" max="9252" width="2.7109375" style="34" customWidth="1"/>
    <col min="9253" max="9253" width="11.42578125" style="34"/>
    <col min="9254" max="9254" width="11.5703125" style="34" customWidth="1"/>
    <col min="9255" max="9255" width="12.5703125" style="34" customWidth="1"/>
    <col min="9256" max="9256" width="11.5703125" style="34" customWidth="1"/>
    <col min="9257" max="9472" width="11.42578125" style="34"/>
    <col min="9473" max="9477" width="2.7109375" style="34" customWidth="1"/>
    <col min="9478" max="9478" width="3.85546875" style="34" customWidth="1"/>
    <col min="9479" max="9508" width="2.7109375" style="34" customWidth="1"/>
    <col min="9509" max="9509" width="11.42578125" style="34"/>
    <col min="9510" max="9510" width="11.5703125" style="34" customWidth="1"/>
    <col min="9511" max="9511" width="12.5703125" style="34" customWidth="1"/>
    <col min="9512" max="9512" width="11.5703125" style="34" customWidth="1"/>
    <col min="9513" max="9728" width="11.42578125" style="34"/>
    <col min="9729" max="9733" width="2.7109375" style="34" customWidth="1"/>
    <col min="9734" max="9734" width="3.85546875" style="34" customWidth="1"/>
    <col min="9735" max="9764" width="2.7109375" style="34" customWidth="1"/>
    <col min="9765" max="9765" width="11.42578125" style="34"/>
    <col min="9766" max="9766" width="11.5703125" style="34" customWidth="1"/>
    <col min="9767" max="9767" width="12.5703125" style="34" customWidth="1"/>
    <col min="9768" max="9768" width="11.5703125" style="34" customWidth="1"/>
    <col min="9769" max="9984" width="11.42578125" style="34"/>
    <col min="9985" max="9989" width="2.7109375" style="34" customWidth="1"/>
    <col min="9990" max="9990" width="3.85546875" style="34" customWidth="1"/>
    <col min="9991" max="10020" width="2.7109375" style="34" customWidth="1"/>
    <col min="10021" max="10021" width="11.42578125" style="34"/>
    <col min="10022" max="10022" width="11.5703125" style="34" customWidth="1"/>
    <col min="10023" max="10023" width="12.5703125" style="34" customWidth="1"/>
    <col min="10024" max="10024" width="11.5703125" style="34" customWidth="1"/>
    <col min="10025" max="10240" width="11.42578125" style="34"/>
    <col min="10241" max="10245" width="2.7109375" style="34" customWidth="1"/>
    <col min="10246" max="10246" width="3.85546875" style="34" customWidth="1"/>
    <col min="10247" max="10276" width="2.7109375" style="34" customWidth="1"/>
    <col min="10277" max="10277" width="11.42578125" style="34"/>
    <col min="10278" max="10278" width="11.5703125" style="34" customWidth="1"/>
    <col min="10279" max="10279" width="12.5703125" style="34" customWidth="1"/>
    <col min="10280" max="10280" width="11.5703125" style="34" customWidth="1"/>
    <col min="10281" max="10496" width="11.42578125" style="34"/>
    <col min="10497" max="10501" width="2.7109375" style="34" customWidth="1"/>
    <col min="10502" max="10502" width="3.85546875" style="34" customWidth="1"/>
    <col min="10503" max="10532" width="2.7109375" style="34" customWidth="1"/>
    <col min="10533" max="10533" width="11.42578125" style="34"/>
    <col min="10534" max="10534" width="11.5703125" style="34" customWidth="1"/>
    <col min="10535" max="10535" width="12.5703125" style="34" customWidth="1"/>
    <col min="10536" max="10536" width="11.5703125" style="34" customWidth="1"/>
    <col min="10537" max="10752" width="11.42578125" style="34"/>
    <col min="10753" max="10757" width="2.7109375" style="34" customWidth="1"/>
    <col min="10758" max="10758" width="3.85546875" style="34" customWidth="1"/>
    <col min="10759" max="10788" width="2.7109375" style="34" customWidth="1"/>
    <col min="10789" max="10789" width="11.42578125" style="34"/>
    <col min="10790" max="10790" width="11.5703125" style="34" customWidth="1"/>
    <col min="10791" max="10791" width="12.5703125" style="34" customWidth="1"/>
    <col min="10792" max="10792" width="11.5703125" style="34" customWidth="1"/>
    <col min="10793" max="11008" width="11.42578125" style="34"/>
    <col min="11009" max="11013" width="2.7109375" style="34" customWidth="1"/>
    <col min="11014" max="11014" width="3.85546875" style="34" customWidth="1"/>
    <col min="11015" max="11044" width="2.7109375" style="34" customWidth="1"/>
    <col min="11045" max="11045" width="11.42578125" style="34"/>
    <col min="11046" max="11046" width="11.5703125" style="34" customWidth="1"/>
    <col min="11047" max="11047" width="12.5703125" style="34" customWidth="1"/>
    <col min="11048" max="11048" width="11.5703125" style="34" customWidth="1"/>
    <col min="11049" max="11264" width="11.42578125" style="34"/>
    <col min="11265" max="11269" width="2.7109375" style="34" customWidth="1"/>
    <col min="11270" max="11270" width="3.85546875" style="34" customWidth="1"/>
    <col min="11271" max="11300" width="2.7109375" style="34" customWidth="1"/>
    <col min="11301" max="11301" width="11.42578125" style="34"/>
    <col min="11302" max="11302" width="11.5703125" style="34" customWidth="1"/>
    <col min="11303" max="11303" width="12.5703125" style="34" customWidth="1"/>
    <col min="11304" max="11304" width="11.5703125" style="34" customWidth="1"/>
    <col min="11305" max="11520" width="11.42578125" style="34"/>
    <col min="11521" max="11525" width="2.7109375" style="34" customWidth="1"/>
    <col min="11526" max="11526" width="3.85546875" style="34" customWidth="1"/>
    <col min="11527" max="11556" width="2.7109375" style="34" customWidth="1"/>
    <col min="11557" max="11557" width="11.42578125" style="34"/>
    <col min="11558" max="11558" width="11.5703125" style="34" customWidth="1"/>
    <col min="11559" max="11559" width="12.5703125" style="34" customWidth="1"/>
    <col min="11560" max="11560" width="11.5703125" style="34" customWidth="1"/>
    <col min="11561" max="11776" width="11.42578125" style="34"/>
    <col min="11777" max="11781" width="2.7109375" style="34" customWidth="1"/>
    <col min="11782" max="11782" width="3.85546875" style="34" customWidth="1"/>
    <col min="11783" max="11812" width="2.7109375" style="34" customWidth="1"/>
    <col min="11813" max="11813" width="11.42578125" style="34"/>
    <col min="11814" max="11814" width="11.5703125" style="34" customWidth="1"/>
    <col min="11815" max="11815" width="12.5703125" style="34" customWidth="1"/>
    <col min="11816" max="11816" width="11.5703125" style="34" customWidth="1"/>
    <col min="11817" max="12032" width="11.42578125" style="34"/>
    <col min="12033" max="12037" width="2.7109375" style="34" customWidth="1"/>
    <col min="12038" max="12038" width="3.85546875" style="34" customWidth="1"/>
    <col min="12039" max="12068" width="2.7109375" style="34" customWidth="1"/>
    <col min="12069" max="12069" width="11.42578125" style="34"/>
    <col min="12070" max="12070" width="11.5703125" style="34" customWidth="1"/>
    <col min="12071" max="12071" width="12.5703125" style="34" customWidth="1"/>
    <col min="12072" max="12072" width="11.5703125" style="34" customWidth="1"/>
    <col min="12073" max="12288" width="11.42578125" style="34"/>
    <col min="12289" max="12293" width="2.7109375" style="34" customWidth="1"/>
    <col min="12294" max="12294" width="3.85546875" style="34" customWidth="1"/>
    <col min="12295" max="12324" width="2.7109375" style="34" customWidth="1"/>
    <col min="12325" max="12325" width="11.42578125" style="34"/>
    <col min="12326" max="12326" width="11.5703125" style="34" customWidth="1"/>
    <col min="12327" max="12327" width="12.5703125" style="34" customWidth="1"/>
    <col min="12328" max="12328" width="11.5703125" style="34" customWidth="1"/>
    <col min="12329" max="12544" width="11.42578125" style="34"/>
    <col min="12545" max="12549" width="2.7109375" style="34" customWidth="1"/>
    <col min="12550" max="12550" width="3.85546875" style="34" customWidth="1"/>
    <col min="12551" max="12580" width="2.7109375" style="34" customWidth="1"/>
    <col min="12581" max="12581" width="11.42578125" style="34"/>
    <col min="12582" max="12582" width="11.5703125" style="34" customWidth="1"/>
    <col min="12583" max="12583" width="12.5703125" style="34" customWidth="1"/>
    <col min="12584" max="12584" width="11.5703125" style="34" customWidth="1"/>
    <col min="12585" max="12800" width="11.42578125" style="34"/>
    <col min="12801" max="12805" width="2.7109375" style="34" customWidth="1"/>
    <col min="12806" max="12806" width="3.85546875" style="34" customWidth="1"/>
    <col min="12807" max="12836" width="2.7109375" style="34" customWidth="1"/>
    <col min="12837" max="12837" width="11.42578125" style="34"/>
    <col min="12838" max="12838" width="11.5703125" style="34" customWidth="1"/>
    <col min="12839" max="12839" width="12.5703125" style="34" customWidth="1"/>
    <col min="12840" max="12840" width="11.5703125" style="34" customWidth="1"/>
    <col min="12841" max="13056" width="11.42578125" style="34"/>
    <col min="13057" max="13061" width="2.7109375" style="34" customWidth="1"/>
    <col min="13062" max="13062" width="3.85546875" style="34" customWidth="1"/>
    <col min="13063" max="13092" width="2.7109375" style="34" customWidth="1"/>
    <col min="13093" max="13093" width="11.42578125" style="34"/>
    <col min="13094" max="13094" width="11.5703125" style="34" customWidth="1"/>
    <col min="13095" max="13095" width="12.5703125" style="34" customWidth="1"/>
    <col min="13096" max="13096" width="11.5703125" style="34" customWidth="1"/>
    <col min="13097" max="13312" width="11.42578125" style="34"/>
    <col min="13313" max="13317" width="2.7109375" style="34" customWidth="1"/>
    <col min="13318" max="13318" width="3.85546875" style="34" customWidth="1"/>
    <col min="13319" max="13348" width="2.7109375" style="34" customWidth="1"/>
    <col min="13349" max="13349" width="11.42578125" style="34"/>
    <col min="13350" max="13350" width="11.5703125" style="34" customWidth="1"/>
    <col min="13351" max="13351" width="12.5703125" style="34" customWidth="1"/>
    <col min="13352" max="13352" width="11.5703125" style="34" customWidth="1"/>
    <col min="13353" max="13568" width="11.42578125" style="34"/>
    <col min="13569" max="13573" width="2.7109375" style="34" customWidth="1"/>
    <col min="13574" max="13574" width="3.85546875" style="34" customWidth="1"/>
    <col min="13575" max="13604" width="2.7109375" style="34" customWidth="1"/>
    <col min="13605" max="13605" width="11.42578125" style="34"/>
    <col min="13606" max="13606" width="11.5703125" style="34" customWidth="1"/>
    <col min="13607" max="13607" width="12.5703125" style="34" customWidth="1"/>
    <col min="13608" max="13608" width="11.5703125" style="34" customWidth="1"/>
    <col min="13609" max="13824" width="11.42578125" style="34"/>
    <col min="13825" max="13829" width="2.7109375" style="34" customWidth="1"/>
    <col min="13830" max="13830" width="3.85546875" style="34" customWidth="1"/>
    <col min="13831" max="13860" width="2.7109375" style="34" customWidth="1"/>
    <col min="13861" max="13861" width="11.42578125" style="34"/>
    <col min="13862" max="13862" width="11.5703125" style="34" customWidth="1"/>
    <col min="13863" max="13863" width="12.5703125" style="34" customWidth="1"/>
    <col min="13864" max="13864" width="11.5703125" style="34" customWidth="1"/>
    <col min="13865" max="14080" width="11.42578125" style="34"/>
    <col min="14081" max="14085" width="2.7109375" style="34" customWidth="1"/>
    <col min="14086" max="14086" width="3.85546875" style="34" customWidth="1"/>
    <col min="14087" max="14116" width="2.7109375" style="34" customWidth="1"/>
    <col min="14117" max="14117" width="11.42578125" style="34"/>
    <col min="14118" max="14118" width="11.5703125" style="34" customWidth="1"/>
    <col min="14119" max="14119" width="12.5703125" style="34" customWidth="1"/>
    <col min="14120" max="14120" width="11.5703125" style="34" customWidth="1"/>
    <col min="14121" max="14336" width="11.42578125" style="34"/>
    <col min="14337" max="14341" width="2.7109375" style="34" customWidth="1"/>
    <col min="14342" max="14342" width="3.85546875" style="34" customWidth="1"/>
    <col min="14343" max="14372" width="2.7109375" style="34" customWidth="1"/>
    <col min="14373" max="14373" width="11.42578125" style="34"/>
    <col min="14374" max="14374" width="11.5703125" style="34" customWidth="1"/>
    <col min="14375" max="14375" width="12.5703125" style="34" customWidth="1"/>
    <col min="14376" max="14376" width="11.5703125" style="34" customWidth="1"/>
    <col min="14377" max="14592" width="11.42578125" style="34"/>
    <col min="14593" max="14597" width="2.7109375" style="34" customWidth="1"/>
    <col min="14598" max="14598" width="3.85546875" style="34" customWidth="1"/>
    <col min="14599" max="14628" width="2.7109375" style="34" customWidth="1"/>
    <col min="14629" max="14629" width="11.42578125" style="34"/>
    <col min="14630" max="14630" width="11.5703125" style="34" customWidth="1"/>
    <col min="14631" max="14631" width="12.5703125" style="34" customWidth="1"/>
    <col min="14632" max="14632" width="11.5703125" style="34" customWidth="1"/>
    <col min="14633" max="14848" width="11.42578125" style="34"/>
    <col min="14849" max="14853" width="2.7109375" style="34" customWidth="1"/>
    <col min="14854" max="14854" width="3.85546875" style="34" customWidth="1"/>
    <col min="14855" max="14884" width="2.7109375" style="34" customWidth="1"/>
    <col min="14885" max="14885" width="11.42578125" style="34"/>
    <col min="14886" max="14886" width="11.5703125" style="34" customWidth="1"/>
    <col min="14887" max="14887" width="12.5703125" style="34" customWidth="1"/>
    <col min="14888" max="14888" width="11.5703125" style="34" customWidth="1"/>
    <col min="14889" max="15104" width="11.42578125" style="34"/>
    <col min="15105" max="15109" width="2.7109375" style="34" customWidth="1"/>
    <col min="15110" max="15110" width="3.85546875" style="34" customWidth="1"/>
    <col min="15111" max="15140" width="2.7109375" style="34" customWidth="1"/>
    <col min="15141" max="15141" width="11.42578125" style="34"/>
    <col min="15142" max="15142" width="11.5703125" style="34" customWidth="1"/>
    <col min="15143" max="15143" width="12.5703125" style="34" customWidth="1"/>
    <col min="15144" max="15144" width="11.5703125" style="34" customWidth="1"/>
    <col min="15145" max="15360" width="11.42578125" style="34"/>
    <col min="15361" max="15365" width="2.7109375" style="34" customWidth="1"/>
    <col min="15366" max="15366" width="3.85546875" style="34" customWidth="1"/>
    <col min="15367" max="15396" width="2.7109375" style="34" customWidth="1"/>
    <col min="15397" max="15397" width="11.42578125" style="34"/>
    <col min="15398" max="15398" width="11.5703125" style="34" customWidth="1"/>
    <col min="15399" max="15399" width="12.5703125" style="34" customWidth="1"/>
    <col min="15400" max="15400" width="11.5703125" style="34" customWidth="1"/>
    <col min="15401" max="15616" width="11.42578125" style="34"/>
    <col min="15617" max="15621" width="2.7109375" style="34" customWidth="1"/>
    <col min="15622" max="15622" width="3.85546875" style="34" customWidth="1"/>
    <col min="15623" max="15652" width="2.7109375" style="34" customWidth="1"/>
    <col min="15653" max="15653" width="11.42578125" style="34"/>
    <col min="15654" max="15654" width="11.5703125" style="34" customWidth="1"/>
    <col min="15655" max="15655" width="12.5703125" style="34" customWidth="1"/>
    <col min="15656" max="15656" width="11.5703125" style="34" customWidth="1"/>
    <col min="15657" max="15872" width="11.42578125" style="34"/>
    <col min="15873" max="15877" width="2.7109375" style="34" customWidth="1"/>
    <col min="15878" max="15878" width="3.85546875" style="34" customWidth="1"/>
    <col min="15879" max="15908" width="2.7109375" style="34" customWidth="1"/>
    <col min="15909" max="15909" width="11.42578125" style="34"/>
    <col min="15910" max="15910" width="11.5703125" style="34" customWidth="1"/>
    <col min="15911" max="15911" width="12.5703125" style="34" customWidth="1"/>
    <col min="15912" max="15912" width="11.5703125" style="34" customWidth="1"/>
    <col min="15913" max="16128" width="11.42578125" style="34"/>
    <col min="16129" max="16133" width="2.7109375" style="34" customWidth="1"/>
    <col min="16134" max="16134" width="3.85546875" style="34" customWidth="1"/>
    <col min="16135" max="16164" width="2.7109375" style="34" customWidth="1"/>
    <col min="16165" max="16165" width="11.42578125" style="34"/>
    <col min="16166" max="16166" width="11.5703125" style="34" customWidth="1"/>
    <col min="16167" max="16167" width="12.5703125" style="34" customWidth="1"/>
    <col min="16168" max="16168" width="11.5703125" style="34" customWidth="1"/>
    <col min="16169" max="16384" width="11.42578125" style="34"/>
  </cols>
  <sheetData>
    <row r="1" spans="1:46" s="35" customFormat="1" ht="15" customHeight="1">
      <c r="A1" s="2762"/>
      <c r="B1" s="2763"/>
      <c r="C1" s="2763"/>
      <c r="D1" s="2763"/>
      <c r="E1" s="2764"/>
      <c r="F1" s="2771" t="s">
        <v>496</v>
      </c>
      <c r="G1" s="2771"/>
      <c r="H1" s="2771"/>
      <c r="I1" s="2771"/>
      <c r="J1" s="2771"/>
      <c r="K1" s="2771"/>
      <c r="L1" s="2771"/>
      <c r="M1" s="2771"/>
      <c r="N1" s="2771"/>
      <c r="O1" s="2771"/>
      <c r="P1" s="2771"/>
      <c r="Q1" s="2771"/>
      <c r="R1" s="2771"/>
      <c r="S1" s="2771"/>
      <c r="T1" s="2771"/>
      <c r="U1" s="2771"/>
      <c r="V1" s="2771"/>
      <c r="W1" s="2771"/>
      <c r="X1" s="2771"/>
      <c r="Y1" s="2771"/>
      <c r="Z1" s="2771"/>
      <c r="AA1" s="2771"/>
      <c r="AB1" s="2771"/>
      <c r="AC1" s="2771"/>
      <c r="AD1" s="2771"/>
      <c r="AE1" s="2771"/>
      <c r="AF1" s="2771"/>
      <c r="AG1" s="2771"/>
      <c r="AH1" s="2771"/>
      <c r="AI1" s="2771"/>
      <c r="AJ1" s="2771"/>
      <c r="AK1" s="217"/>
      <c r="AL1" s="2772" t="s">
        <v>43</v>
      </c>
      <c r="AM1" s="2772"/>
      <c r="AN1" s="2772"/>
      <c r="AO1" s="2772"/>
      <c r="AP1" s="2772"/>
      <c r="AQ1" s="217"/>
      <c r="AR1" s="217"/>
      <c r="AS1" s="217"/>
      <c r="AT1" s="217"/>
    </row>
    <row r="2" spans="1:46" s="35" customFormat="1" ht="15" customHeight="1">
      <c r="A2" s="2765"/>
      <c r="B2" s="2766"/>
      <c r="C2" s="2766"/>
      <c r="D2" s="2766"/>
      <c r="E2" s="2767"/>
      <c r="F2" s="2771"/>
      <c r="G2" s="2771"/>
      <c r="H2" s="2771"/>
      <c r="I2" s="2771"/>
      <c r="J2" s="2771"/>
      <c r="K2" s="2771"/>
      <c r="L2" s="2771"/>
      <c r="M2" s="2771"/>
      <c r="N2" s="2771"/>
      <c r="O2" s="2771"/>
      <c r="P2" s="2771"/>
      <c r="Q2" s="2771"/>
      <c r="R2" s="2771"/>
      <c r="S2" s="2771"/>
      <c r="T2" s="2771"/>
      <c r="U2" s="2771"/>
      <c r="V2" s="2771"/>
      <c r="W2" s="2771"/>
      <c r="X2" s="2771"/>
      <c r="Y2" s="2771"/>
      <c r="Z2" s="2771"/>
      <c r="AA2" s="2771"/>
      <c r="AB2" s="2771"/>
      <c r="AC2" s="2771"/>
      <c r="AD2" s="2771"/>
      <c r="AE2" s="2771"/>
      <c r="AF2" s="2771"/>
      <c r="AG2" s="2771"/>
      <c r="AH2" s="2771"/>
      <c r="AI2" s="2771"/>
      <c r="AJ2" s="2771"/>
      <c r="AK2" s="217"/>
      <c r="AL2" s="806"/>
      <c r="AM2" s="806"/>
      <c r="AN2" s="806"/>
      <c r="AO2" s="806"/>
      <c r="AP2" s="806"/>
      <c r="AQ2" s="217"/>
      <c r="AR2" s="217"/>
      <c r="AS2" s="217"/>
      <c r="AT2" s="217"/>
    </row>
    <row r="3" spans="1:46" s="35" customFormat="1" ht="15" customHeight="1">
      <c r="A3" s="2765"/>
      <c r="B3" s="2766"/>
      <c r="C3" s="2766"/>
      <c r="D3" s="2766"/>
      <c r="E3" s="2767"/>
      <c r="F3" s="2771"/>
      <c r="G3" s="2771"/>
      <c r="H3" s="2771"/>
      <c r="I3" s="2771"/>
      <c r="J3" s="2771"/>
      <c r="K3" s="2771"/>
      <c r="L3" s="2771"/>
      <c r="M3" s="2771"/>
      <c r="N3" s="2771"/>
      <c r="O3" s="2771"/>
      <c r="P3" s="2771"/>
      <c r="Q3" s="2771"/>
      <c r="R3" s="2771"/>
      <c r="S3" s="2771"/>
      <c r="T3" s="2771"/>
      <c r="U3" s="2771"/>
      <c r="V3" s="2771"/>
      <c r="W3" s="2771"/>
      <c r="X3" s="2771"/>
      <c r="Y3" s="2771"/>
      <c r="Z3" s="2771"/>
      <c r="AA3" s="2771"/>
      <c r="AB3" s="2771"/>
      <c r="AC3" s="2771"/>
      <c r="AD3" s="2771"/>
      <c r="AE3" s="2771"/>
      <c r="AF3" s="2771"/>
      <c r="AG3" s="2771"/>
      <c r="AH3" s="2771"/>
      <c r="AI3" s="2771"/>
      <c r="AJ3" s="2771"/>
      <c r="AK3" s="217"/>
      <c r="AL3" s="806"/>
      <c r="AM3" s="806"/>
      <c r="AN3" s="806"/>
      <c r="AO3" s="806"/>
      <c r="AP3" s="806"/>
      <c r="AQ3" s="217"/>
      <c r="AR3" s="217"/>
      <c r="AS3" s="217"/>
      <c r="AT3" s="217"/>
    </row>
    <row r="4" spans="1:46" s="35" customFormat="1" ht="15" customHeight="1">
      <c r="A4" s="2765"/>
      <c r="B4" s="2766"/>
      <c r="C4" s="2766"/>
      <c r="D4" s="2766"/>
      <c r="E4" s="2767"/>
      <c r="F4" s="2773" t="s">
        <v>497</v>
      </c>
      <c r="G4" s="2773"/>
      <c r="H4" s="2773"/>
      <c r="I4" s="2773"/>
      <c r="J4" s="2773"/>
      <c r="K4" s="2773"/>
      <c r="L4" s="2773"/>
      <c r="M4" s="2773"/>
      <c r="N4" s="2773"/>
      <c r="O4" s="2773"/>
      <c r="P4" s="2773"/>
      <c r="Q4" s="2773"/>
      <c r="R4" s="2773"/>
      <c r="S4" s="2773"/>
      <c r="T4" s="2773"/>
      <c r="U4" s="2773"/>
      <c r="V4" s="2773"/>
      <c r="W4" s="2773" t="s">
        <v>498</v>
      </c>
      <c r="X4" s="2773"/>
      <c r="Y4" s="2773"/>
      <c r="Z4" s="2773"/>
      <c r="AA4" s="2773"/>
      <c r="AB4" s="2773"/>
      <c r="AC4" s="2773"/>
      <c r="AD4" s="2773"/>
      <c r="AE4" s="2773"/>
      <c r="AF4" s="2773"/>
      <c r="AG4" s="2773"/>
      <c r="AH4" s="2773"/>
      <c r="AI4" s="2773"/>
      <c r="AJ4" s="2773"/>
      <c r="AK4" s="217"/>
      <c r="AL4" s="217" t="s">
        <v>44</v>
      </c>
      <c r="AM4" s="217"/>
      <c r="AN4" s="217"/>
      <c r="AO4" s="217"/>
      <c r="AP4" s="217"/>
      <c r="AQ4" s="217"/>
      <c r="AR4" s="217"/>
      <c r="AS4" s="217"/>
      <c r="AT4" s="217"/>
    </row>
    <row r="5" spans="1:46" s="35" customFormat="1" ht="15" customHeight="1">
      <c r="A5" s="2768"/>
      <c r="B5" s="2769"/>
      <c r="C5" s="2769"/>
      <c r="D5" s="2769"/>
      <c r="E5" s="2770"/>
      <c r="F5" s="2774" t="s">
        <v>499</v>
      </c>
      <c r="G5" s="2774"/>
      <c r="H5" s="2774"/>
      <c r="I5" s="2774"/>
      <c r="J5" s="2774"/>
      <c r="K5" s="2774"/>
      <c r="L5" s="2774"/>
      <c r="M5" s="2774"/>
      <c r="N5" s="2774"/>
      <c r="O5" s="2774"/>
      <c r="P5" s="2774"/>
      <c r="Q5" s="2774"/>
      <c r="R5" s="2774"/>
      <c r="S5" s="2774"/>
      <c r="T5" s="2774"/>
      <c r="U5" s="2774"/>
      <c r="V5" s="2774"/>
      <c r="W5" s="2774"/>
      <c r="X5" s="2774"/>
      <c r="Y5" s="2774"/>
      <c r="Z5" s="2774"/>
      <c r="AA5" s="2774"/>
      <c r="AB5" s="2774"/>
      <c r="AC5" s="2774"/>
      <c r="AD5" s="2774"/>
      <c r="AE5" s="2774"/>
      <c r="AF5" s="2774"/>
      <c r="AG5" s="2774"/>
      <c r="AH5" s="2774"/>
      <c r="AI5" s="2774"/>
      <c r="AJ5" s="2774"/>
      <c r="AK5" s="217"/>
      <c r="AL5" s="219"/>
      <c r="AM5" s="219"/>
      <c r="AN5" s="219"/>
      <c r="AO5" s="219"/>
      <c r="AP5" s="219"/>
      <c r="AQ5" s="807" t="s">
        <v>45</v>
      </c>
      <c r="AR5" s="219" t="s">
        <v>46</v>
      </c>
      <c r="AS5" s="219" t="s">
        <v>47</v>
      </c>
      <c r="AT5" s="217"/>
    </row>
    <row r="6" spans="1:46" ht="15" customHeight="1">
      <c r="A6" s="808"/>
      <c r="B6" s="809"/>
      <c r="C6" s="809"/>
      <c r="D6" s="809"/>
      <c r="E6" s="810"/>
      <c r="F6" s="810"/>
      <c r="G6" s="810"/>
      <c r="H6" s="810"/>
      <c r="I6" s="810"/>
      <c r="J6" s="810"/>
      <c r="K6" s="810"/>
      <c r="L6" s="810"/>
      <c r="M6" s="810"/>
      <c r="N6" s="810"/>
      <c r="O6" s="810"/>
      <c r="P6" s="810"/>
      <c r="Q6" s="810"/>
      <c r="R6" s="810"/>
      <c r="S6" s="810"/>
      <c r="T6" s="810"/>
      <c r="U6" s="810"/>
      <c r="V6" s="810"/>
      <c r="W6" s="810"/>
      <c r="X6" s="810"/>
      <c r="Y6" s="811"/>
      <c r="Z6" s="811"/>
      <c r="AA6" s="811"/>
      <c r="AB6" s="811"/>
      <c r="AC6" s="811"/>
      <c r="AD6" s="811"/>
      <c r="AE6" s="812"/>
      <c r="AF6" s="812"/>
      <c r="AG6" s="812"/>
      <c r="AH6" s="812"/>
      <c r="AI6" s="812"/>
      <c r="AJ6" s="813"/>
      <c r="AK6" s="392" t="s">
        <v>314</v>
      </c>
      <c r="AL6" s="218">
        <v>1</v>
      </c>
      <c r="AM6" s="220">
        <v>41901</v>
      </c>
      <c r="AN6" s="218">
        <v>1500</v>
      </c>
      <c r="AO6" s="218">
        <f t="shared" ref="AO6:AO23" si="0">+AN6-(AN6*AP6/100)</f>
        <v>1225.5</v>
      </c>
      <c r="AP6" s="218">
        <v>18.3</v>
      </c>
      <c r="AQ6" s="221">
        <v>18.399999999999999</v>
      </c>
      <c r="AR6" s="221">
        <v>17.5</v>
      </c>
      <c r="AS6" s="221">
        <v>20.7</v>
      </c>
    </row>
    <row r="7" spans="1:46" s="36" customFormat="1" ht="15" customHeight="1">
      <c r="A7" s="443"/>
      <c r="B7" s="444"/>
      <c r="C7" s="444"/>
      <c r="D7" s="444"/>
      <c r="E7" s="814"/>
      <c r="F7" s="814"/>
      <c r="G7" s="814"/>
      <c r="H7" s="814"/>
      <c r="I7" s="814"/>
      <c r="J7" s="814"/>
      <c r="K7" s="814"/>
      <c r="L7" s="444"/>
      <c r="M7" s="444"/>
      <c r="N7" s="444"/>
      <c r="O7" s="444"/>
      <c r="P7" s="814"/>
      <c r="Q7" s="814"/>
      <c r="R7" s="814"/>
      <c r="S7" s="814"/>
      <c r="T7" s="814"/>
      <c r="U7" s="814"/>
      <c r="V7" s="814"/>
      <c r="W7" s="814"/>
      <c r="X7" s="2503" t="s">
        <v>9</v>
      </c>
      <c r="Y7" s="2503"/>
      <c r="Z7" s="2503"/>
      <c r="AA7" s="2195" t="str">
        <f>IF('1. Encabezado'!T7="","",'1. Encabezado'!T7)</f>
        <v/>
      </c>
      <c r="AB7" s="2195"/>
      <c r="AC7" s="2195"/>
      <c r="AD7" s="2195"/>
      <c r="AE7" s="2195"/>
      <c r="AF7" s="2195"/>
      <c r="AG7" s="2195"/>
      <c r="AH7" s="2195"/>
      <c r="AI7" s="815"/>
      <c r="AJ7" s="816"/>
      <c r="AK7" s="393" t="s">
        <v>315</v>
      </c>
      <c r="AL7" s="218">
        <v>2</v>
      </c>
      <c r="AM7" s="220">
        <v>41901</v>
      </c>
      <c r="AN7" s="218">
        <v>1500</v>
      </c>
      <c r="AO7" s="223">
        <f t="shared" si="0"/>
        <v>1233</v>
      </c>
      <c r="AP7" s="218">
        <v>17.8</v>
      </c>
      <c r="AQ7" s="221">
        <v>18.399999999999999</v>
      </c>
      <c r="AR7" s="221">
        <v>17.5</v>
      </c>
      <c r="AS7" s="221">
        <v>20.7</v>
      </c>
      <c r="AT7" s="222"/>
    </row>
    <row r="8" spans="1:46" s="36" customFormat="1" ht="15" customHeight="1">
      <c r="A8" s="443"/>
      <c r="B8" s="444"/>
      <c r="C8" s="444"/>
      <c r="D8" s="444"/>
      <c r="E8" s="814"/>
      <c r="F8" s="814"/>
      <c r="G8" s="814"/>
      <c r="H8" s="814"/>
      <c r="I8" s="814"/>
      <c r="J8" s="814"/>
      <c r="K8" s="814"/>
      <c r="L8" s="444"/>
      <c r="M8" s="444"/>
      <c r="N8" s="444"/>
      <c r="O8" s="444"/>
      <c r="P8" s="814"/>
      <c r="Q8" s="814"/>
      <c r="R8" s="814"/>
      <c r="S8" s="814"/>
      <c r="T8" s="814"/>
      <c r="U8" s="814"/>
      <c r="V8" s="814"/>
      <c r="W8" s="814"/>
      <c r="X8" s="683"/>
      <c r="Y8" s="683"/>
      <c r="Z8" s="450"/>
      <c r="AA8" s="2222" t="str">
        <f>IF(AA7="",AK11,CONCATENATE(AK7," ",AK8," ",AK9," ", AK10))</f>
        <v>Pagina xx de xx</v>
      </c>
      <c r="AB8" s="2222"/>
      <c r="AC8" s="2222"/>
      <c r="AD8" s="2222"/>
      <c r="AE8" s="2222"/>
      <c r="AF8" s="2222"/>
      <c r="AG8" s="2222"/>
      <c r="AH8" s="2222"/>
      <c r="AI8" s="817"/>
      <c r="AJ8" s="818"/>
      <c r="AK8" s="653">
        <v>9</v>
      </c>
      <c r="AL8" s="218">
        <v>3</v>
      </c>
      <c r="AM8" s="220">
        <v>41902</v>
      </c>
      <c r="AN8" s="218">
        <v>1500</v>
      </c>
      <c r="AO8" s="223">
        <f t="shared" si="0"/>
        <v>1230</v>
      </c>
      <c r="AP8" s="218">
        <v>18</v>
      </c>
      <c r="AQ8" s="221">
        <v>18.399999999999999</v>
      </c>
      <c r="AR8" s="221">
        <v>17.5</v>
      </c>
      <c r="AS8" s="221">
        <v>20.7</v>
      </c>
      <c r="AT8" s="222"/>
    </row>
    <row r="9" spans="1:46" s="36" customFormat="1" ht="15" customHeight="1">
      <c r="A9" s="443"/>
      <c r="B9" s="444"/>
      <c r="C9" s="444"/>
      <c r="D9" s="444"/>
      <c r="E9" s="814"/>
      <c r="F9" s="814"/>
      <c r="G9" s="814"/>
      <c r="H9" s="814"/>
      <c r="I9" s="814"/>
      <c r="J9" s="814"/>
      <c r="K9" s="814"/>
      <c r="L9" s="444"/>
      <c r="M9" s="444"/>
      <c r="N9" s="444"/>
      <c r="O9" s="444"/>
      <c r="P9" s="814"/>
      <c r="Q9" s="814"/>
      <c r="R9" s="814"/>
      <c r="S9" s="814"/>
      <c r="T9" s="814"/>
      <c r="U9" s="814"/>
      <c r="V9" s="814"/>
      <c r="W9" s="814"/>
      <c r="X9" s="683"/>
      <c r="Y9" s="683"/>
      <c r="Z9" s="450"/>
      <c r="AA9" s="490"/>
      <c r="AB9" s="490"/>
      <c r="AC9" s="490"/>
      <c r="AD9" s="490"/>
      <c r="AE9" s="490"/>
      <c r="AF9" s="490"/>
      <c r="AG9" s="490"/>
      <c r="AH9" s="490"/>
      <c r="AI9" s="817"/>
      <c r="AJ9" s="818"/>
      <c r="AK9" s="394" t="s">
        <v>316</v>
      </c>
      <c r="AL9" s="218">
        <v>4</v>
      </c>
      <c r="AM9" s="220">
        <v>41904</v>
      </c>
      <c r="AN9" s="218">
        <v>1500</v>
      </c>
      <c r="AO9" s="218">
        <f t="shared" si="0"/>
        <v>1207.5</v>
      </c>
      <c r="AP9" s="218">
        <v>19.5</v>
      </c>
      <c r="AQ9" s="221">
        <v>18.399999999999999</v>
      </c>
      <c r="AR9" s="221">
        <v>17.5</v>
      </c>
      <c r="AS9" s="221">
        <v>20.7</v>
      </c>
      <c r="AT9" s="222"/>
    </row>
    <row r="10" spans="1:46" s="36" customFormat="1" ht="15" customHeight="1">
      <c r="A10" s="443"/>
      <c r="B10" s="444"/>
      <c r="C10" s="444"/>
      <c r="D10" s="444"/>
      <c r="E10" s="814"/>
      <c r="F10" s="814"/>
      <c r="G10" s="814"/>
      <c r="H10" s="814"/>
      <c r="I10" s="814"/>
      <c r="J10" s="814"/>
      <c r="K10" s="814"/>
      <c r="L10" s="814"/>
      <c r="M10" s="814"/>
      <c r="N10" s="814"/>
      <c r="O10" s="814"/>
      <c r="P10" s="814"/>
      <c r="Q10" s="814"/>
      <c r="R10" s="814"/>
      <c r="S10" s="814"/>
      <c r="T10" s="814"/>
      <c r="U10" s="814"/>
      <c r="V10" s="814"/>
      <c r="W10" s="814"/>
      <c r="X10" s="814"/>
      <c r="Y10" s="444"/>
      <c r="Z10" s="444"/>
      <c r="AA10" s="444"/>
      <c r="AB10" s="444"/>
      <c r="AC10" s="444"/>
      <c r="AD10" s="444"/>
      <c r="AE10" s="815"/>
      <c r="AF10" s="815"/>
      <c r="AG10" s="815"/>
      <c r="AH10" s="815"/>
      <c r="AI10" s="815"/>
      <c r="AJ10" s="816"/>
      <c r="AK10" s="394">
        <f>IF('1. Encabezado'!AB10="","",'1. Encabezado'!AB10)</f>
        <v>17</v>
      </c>
      <c r="AL10" s="218">
        <v>5</v>
      </c>
      <c r="AM10" s="220">
        <v>41904</v>
      </c>
      <c r="AN10" s="218">
        <v>1500</v>
      </c>
      <c r="AO10" s="218">
        <f t="shared" si="0"/>
        <v>1228.5</v>
      </c>
      <c r="AP10" s="218">
        <v>18.100000000000001</v>
      </c>
      <c r="AQ10" s="221">
        <v>18.399999999999999</v>
      </c>
      <c r="AR10" s="221">
        <v>17.5</v>
      </c>
      <c r="AS10" s="221">
        <v>20.7</v>
      </c>
      <c r="AT10" s="222"/>
    </row>
    <row r="11" spans="1:46" s="36" customFormat="1" ht="15" customHeight="1">
      <c r="A11" s="819"/>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5"/>
      <c r="AK11" s="395" t="s">
        <v>317</v>
      </c>
      <c r="AL11" s="218">
        <v>6</v>
      </c>
      <c r="AM11" s="220">
        <v>40078</v>
      </c>
      <c r="AN11" s="218">
        <v>1500</v>
      </c>
      <c r="AO11" s="218">
        <f t="shared" si="0"/>
        <v>1219.5</v>
      </c>
      <c r="AP11" s="218">
        <v>18.7</v>
      </c>
      <c r="AQ11" s="221">
        <v>18.399999999999999</v>
      </c>
      <c r="AR11" s="221">
        <v>17.5</v>
      </c>
      <c r="AS11" s="221">
        <v>20.7</v>
      </c>
      <c r="AT11" s="222"/>
    </row>
    <row r="12" spans="1:46" s="35" customFormat="1" ht="17.100000000000001" customHeight="1">
      <c r="A12" s="37"/>
      <c r="B12" s="38"/>
      <c r="C12" s="38"/>
      <c r="D12" s="38"/>
      <c r="E12" s="38"/>
      <c r="F12" s="2775" t="s">
        <v>500</v>
      </c>
      <c r="G12" s="2776"/>
      <c r="H12" s="2776"/>
      <c r="I12" s="2776"/>
      <c r="J12" s="2776"/>
      <c r="K12" s="2776"/>
      <c r="L12" s="2776"/>
      <c r="M12" s="2776"/>
      <c r="N12" s="2776"/>
      <c r="O12" s="2776"/>
      <c r="P12" s="2776"/>
      <c r="Q12" s="2776"/>
      <c r="R12" s="2776"/>
      <c r="S12" s="2776"/>
      <c r="T12" s="2776"/>
      <c r="U12" s="2776"/>
      <c r="V12" s="2777"/>
      <c r="W12" s="2777"/>
      <c r="X12" s="2778"/>
      <c r="Y12" s="2779"/>
      <c r="Z12" s="2779"/>
      <c r="AA12" s="2779"/>
      <c r="AB12" s="2779"/>
      <c r="AC12" s="2779"/>
      <c r="AD12" s="2779"/>
      <c r="AE12" s="2780"/>
      <c r="AF12" s="38"/>
      <c r="AG12" s="38"/>
      <c r="AH12" s="38"/>
      <c r="AI12" s="38"/>
      <c r="AJ12" s="39"/>
      <c r="AK12" s="217"/>
      <c r="AL12" s="218">
        <v>8</v>
      </c>
      <c r="AM12" s="220">
        <v>40079</v>
      </c>
      <c r="AN12" s="218">
        <v>1500</v>
      </c>
      <c r="AO12" s="218">
        <f t="shared" si="0"/>
        <v>1234.5</v>
      </c>
      <c r="AP12" s="218">
        <v>17.7</v>
      </c>
      <c r="AQ12" s="221">
        <v>18.399999999999999</v>
      </c>
      <c r="AR12" s="221">
        <v>17.5</v>
      </c>
      <c r="AS12" s="221">
        <v>20.7</v>
      </c>
      <c r="AT12" s="217"/>
    </row>
    <row r="13" spans="1:46" s="35" customFormat="1" ht="17.100000000000001" customHeight="1">
      <c r="A13" s="40"/>
      <c r="B13" s="41"/>
      <c r="C13" s="41"/>
      <c r="D13" s="41"/>
      <c r="E13" s="41"/>
      <c r="F13" s="2781" t="s">
        <v>48</v>
      </c>
      <c r="G13" s="2782"/>
      <c r="H13" s="2782"/>
      <c r="I13" s="2782"/>
      <c r="J13" s="2782"/>
      <c r="K13" s="2782"/>
      <c r="L13" s="2782"/>
      <c r="M13" s="2782"/>
      <c r="N13" s="2782"/>
      <c r="O13" s="2782"/>
      <c r="P13" s="2782"/>
      <c r="Q13" s="2782"/>
      <c r="R13" s="2782"/>
      <c r="S13" s="2782"/>
      <c r="T13" s="2782"/>
      <c r="U13" s="2782"/>
      <c r="V13" s="2783"/>
      <c r="W13" s="2783"/>
      <c r="X13" s="2784"/>
      <c r="Y13" s="2785"/>
      <c r="Z13" s="2785"/>
      <c r="AA13" s="2785"/>
      <c r="AB13" s="2785"/>
      <c r="AC13" s="2785"/>
      <c r="AD13" s="2785"/>
      <c r="AE13" s="2786"/>
      <c r="AF13" s="41"/>
      <c r="AG13" s="41"/>
      <c r="AH13" s="41"/>
      <c r="AI13" s="38"/>
      <c r="AJ13" s="39"/>
      <c r="AK13" s="217"/>
      <c r="AL13" s="218">
        <v>9</v>
      </c>
      <c r="AM13" s="220">
        <v>40079</v>
      </c>
      <c r="AN13" s="218">
        <v>1500</v>
      </c>
      <c r="AO13" s="223">
        <f t="shared" si="0"/>
        <v>1227</v>
      </c>
      <c r="AP13" s="218">
        <v>18.2</v>
      </c>
      <c r="AQ13" s="221">
        <v>18.399999999999999</v>
      </c>
      <c r="AR13" s="221">
        <v>17.5</v>
      </c>
      <c r="AS13" s="221">
        <v>20.7</v>
      </c>
      <c r="AT13" s="217"/>
    </row>
    <row r="14" spans="1:46" s="35" customFormat="1" ht="17.100000000000001" customHeight="1">
      <c r="A14" s="37"/>
      <c r="B14" s="41"/>
      <c r="C14" s="41"/>
      <c r="D14" s="41"/>
      <c r="E14" s="41"/>
      <c r="F14" s="2781" t="s">
        <v>202</v>
      </c>
      <c r="G14" s="2782"/>
      <c r="H14" s="2782"/>
      <c r="I14" s="2782"/>
      <c r="J14" s="2782"/>
      <c r="K14" s="2782"/>
      <c r="L14" s="2782"/>
      <c r="M14" s="2782"/>
      <c r="N14" s="2782"/>
      <c r="O14" s="2782"/>
      <c r="P14" s="2782"/>
      <c r="Q14" s="2782"/>
      <c r="R14" s="2782"/>
      <c r="S14" s="2782"/>
      <c r="T14" s="2782"/>
      <c r="U14" s="2782"/>
      <c r="V14" s="2787" t="s">
        <v>58</v>
      </c>
      <c r="W14" s="2787"/>
      <c r="X14" s="2788"/>
      <c r="Y14" s="2785"/>
      <c r="Z14" s="2785"/>
      <c r="AA14" s="2785"/>
      <c r="AB14" s="2785"/>
      <c r="AC14" s="2785"/>
      <c r="AD14" s="2785"/>
      <c r="AE14" s="2786"/>
      <c r="AF14" s="41"/>
      <c r="AG14" s="41"/>
      <c r="AH14" s="41"/>
      <c r="AI14" s="38"/>
      <c r="AJ14" s="39"/>
      <c r="AK14" s="217"/>
      <c r="AL14" s="218">
        <v>10</v>
      </c>
      <c r="AM14" s="220">
        <v>40080</v>
      </c>
      <c r="AN14" s="218">
        <v>1500</v>
      </c>
      <c r="AO14" s="223">
        <f t="shared" si="0"/>
        <v>1224</v>
      </c>
      <c r="AP14" s="218">
        <v>18.399999999999999</v>
      </c>
      <c r="AQ14" s="221">
        <v>18.399999999999999</v>
      </c>
      <c r="AR14" s="221">
        <v>17.5</v>
      </c>
      <c r="AS14" s="221">
        <v>20.7</v>
      </c>
      <c r="AT14" s="217"/>
    </row>
    <row r="15" spans="1:46" s="35" customFormat="1" ht="17.100000000000001" customHeight="1">
      <c r="A15" s="37"/>
      <c r="B15" s="41"/>
      <c r="C15" s="41"/>
      <c r="D15" s="41"/>
      <c r="E15" s="41"/>
      <c r="F15" s="2781" t="s">
        <v>203</v>
      </c>
      <c r="G15" s="2782"/>
      <c r="H15" s="2782"/>
      <c r="I15" s="2782"/>
      <c r="J15" s="2782"/>
      <c r="K15" s="2782"/>
      <c r="L15" s="2782"/>
      <c r="M15" s="2782"/>
      <c r="N15" s="2782"/>
      <c r="O15" s="2782"/>
      <c r="P15" s="2782"/>
      <c r="Q15" s="2782"/>
      <c r="R15" s="2782"/>
      <c r="S15" s="2782"/>
      <c r="T15" s="2782"/>
      <c r="U15" s="2782"/>
      <c r="V15" s="2787" t="s">
        <v>58</v>
      </c>
      <c r="W15" s="2787"/>
      <c r="X15" s="2788"/>
      <c r="Y15" s="2785"/>
      <c r="Z15" s="2785"/>
      <c r="AA15" s="2785"/>
      <c r="AB15" s="2785"/>
      <c r="AC15" s="2785"/>
      <c r="AD15" s="2785"/>
      <c r="AE15" s="2786"/>
      <c r="AF15" s="41"/>
      <c r="AG15" s="41"/>
      <c r="AH15" s="41"/>
      <c r="AI15" s="38"/>
      <c r="AJ15" s="39"/>
      <c r="AK15" s="217"/>
      <c r="AL15" s="218">
        <v>11</v>
      </c>
      <c r="AM15" s="220">
        <v>40080</v>
      </c>
      <c r="AN15" s="218">
        <v>1500</v>
      </c>
      <c r="AO15" s="223">
        <f t="shared" si="0"/>
        <v>1233</v>
      </c>
      <c r="AP15" s="218">
        <v>17.8</v>
      </c>
      <c r="AQ15" s="221">
        <v>18.399999999999999</v>
      </c>
      <c r="AR15" s="221">
        <v>17.5</v>
      </c>
      <c r="AS15" s="221">
        <v>20.7</v>
      </c>
      <c r="AT15" s="217"/>
    </row>
    <row r="16" spans="1:46" s="36" customFormat="1" ht="26.25" customHeight="1">
      <c r="A16" s="42"/>
      <c r="B16" s="43"/>
      <c r="C16" s="43"/>
      <c r="D16" s="43"/>
      <c r="E16" s="43"/>
      <c r="F16" s="2789" t="s">
        <v>155</v>
      </c>
      <c r="G16" s="2790"/>
      <c r="H16" s="2790"/>
      <c r="I16" s="2790"/>
      <c r="J16" s="2790"/>
      <c r="K16" s="2790"/>
      <c r="L16" s="2790"/>
      <c r="M16" s="2790"/>
      <c r="N16" s="2790"/>
      <c r="O16" s="2790"/>
      <c r="P16" s="2790"/>
      <c r="Q16" s="2790"/>
      <c r="R16" s="2790"/>
      <c r="S16" s="2790"/>
      <c r="T16" s="2790"/>
      <c r="U16" s="2790"/>
      <c r="V16" s="2791" t="s">
        <v>62</v>
      </c>
      <c r="W16" s="2791"/>
      <c r="X16" s="2792"/>
      <c r="Y16" s="2793" t="str">
        <f>+IF(Y14="","",((Y14-Y15)/Y14*100))</f>
        <v/>
      </c>
      <c r="Z16" s="2793"/>
      <c r="AA16" s="2793"/>
      <c r="AB16" s="2793"/>
      <c r="AC16" s="2793"/>
      <c r="AD16" s="2793"/>
      <c r="AE16" s="2794"/>
      <c r="AF16" s="43"/>
      <c r="AG16" s="43"/>
      <c r="AH16" s="43"/>
      <c r="AI16" s="44"/>
      <c r="AJ16" s="45"/>
      <c r="AK16" s="222"/>
      <c r="AL16" s="218">
        <v>12</v>
      </c>
      <c r="AM16" s="220">
        <v>40080</v>
      </c>
      <c r="AN16" s="218">
        <v>1500</v>
      </c>
      <c r="AO16" s="223">
        <f t="shared" si="0"/>
        <v>1213.5</v>
      </c>
      <c r="AP16" s="218">
        <v>19.100000000000001</v>
      </c>
      <c r="AQ16" s="221">
        <v>18.399999999999999</v>
      </c>
      <c r="AR16" s="221">
        <v>17.5</v>
      </c>
      <c r="AS16" s="221">
        <v>20.7</v>
      </c>
      <c r="AT16" s="222"/>
    </row>
    <row r="17" spans="1:45" ht="12.75" customHeight="1">
      <c r="A17" s="46"/>
      <c r="B17" s="47"/>
      <c r="C17" s="47"/>
      <c r="D17" s="47"/>
      <c r="E17" s="38"/>
      <c r="F17" s="38"/>
      <c r="G17" s="38"/>
      <c r="H17" s="38"/>
      <c r="I17" s="4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9"/>
      <c r="AL17" s="218">
        <v>14</v>
      </c>
      <c r="AM17" s="220">
        <v>41542</v>
      </c>
      <c r="AN17" s="218">
        <v>1500</v>
      </c>
      <c r="AO17" s="223">
        <f t="shared" si="0"/>
        <v>1210.5</v>
      </c>
      <c r="AP17" s="218">
        <v>19.3</v>
      </c>
      <c r="AQ17" s="221">
        <v>18.399999999999999</v>
      </c>
      <c r="AR17" s="221">
        <v>17.5</v>
      </c>
      <c r="AS17" s="221">
        <v>20.7</v>
      </c>
    </row>
    <row r="18" spans="1:45" ht="12.95" customHeight="1">
      <c r="A18" s="46"/>
      <c r="B18" s="47"/>
      <c r="C18" s="47"/>
      <c r="D18" s="47"/>
      <c r="E18" s="38"/>
      <c r="AF18" s="38"/>
      <c r="AG18" s="38"/>
      <c r="AH18" s="38"/>
      <c r="AI18" s="38"/>
      <c r="AJ18" s="39"/>
      <c r="AL18" s="218">
        <v>15</v>
      </c>
      <c r="AM18" s="220">
        <v>41542</v>
      </c>
      <c r="AN18" s="218">
        <v>1500</v>
      </c>
      <c r="AO18" s="223">
        <f t="shared" si="0"/>
        <v>1218</v>
      </c>
      <c r="AP18" s="223">
        <v>18.8</v>
      </c>
      <c r="AQ18" s="221">
        <v>18.399999999999999</v>
      </c>
      <c r="AR18" s="221">
        <v>17.5</v>
      </c>
      <c r="AS18" s="221">
        <v>20.7</v>
      </c>
    </row>
    <row r="19" spans="1:45" ht="12.95" customHeight="1">
      <c r="A19" s="46"/>
      <c r="B19" s="47"/>
      <c r="C19" s="47"/>
      <c r="D19" s="47"/>
      <c r="E19" s="38"/>
      <c r="F19" s="2795" t="s">
        <v>501</v>
      </c>
      <c r="G19" s="2795"/>
      <c r="H19" s="2795"/>
      <c r="I19" s="2795"/>
      <c r="J19" s="2795"/>
      <c r="K19" s="2795"/>
      <c r="L19" s="2795"/>
      <c r="M19" s="2795"/>
      <c r="N19" s="2795"/>
      <c r="O19" s="2795"/>
      <c r="P19" s="2795"/>
      <c r="Q19" s="2795"/>
      <c r="R19" s="2795"/>
      <c r="S19" s="2795"/>
      <c r="T19" s="2795"/>
      <c r="U19" s="2795"/>
      <c r="V19" s="2795"/>
      <c r="W19" s="2795"/>
      <c r="X19" s="2795"/>
      <c r="Y19" s="2795"/>
      <c r="Z19" s="2795"/>
      <c r="AA19" s="2795"/>
      <c r="AB19" s="2795"/>
      <c r="AC19" s="2795"/>
      <c r="AD19" s="2795"/>
      <c r="AE19" s="2795"/>
      <c r="AF19" s="38"/>
      <c r="AG19" s="38"/>
      <c r="AH19" s="38"/>
      <c r="AI19" s="38"/>
      <c r="AJ19" s="39"/>
      <c r="AL19" s="218">
        <v>16</v>
      </c>
      <c r="AM19" s="220">
        <v>41543</v>
      </c>
      <c r="AN19" s="218">
        <v>1500</v>
      </c>
      <c r="AO19" s="223">
        <f t="shared" si="0"/>
        <v>1230</v>
      </c>
      <c r="AP19" s="223">
        <v>18</v>
      </c>
      <c r="AQ19" s="221">
        <v>18.399999999999999</v>
      </c>
      <c r="AR19" s="221">
        <v>17.5</v>
      </c>
      <c r="AS19" s="221">
        <v>20.7</v>
      </c>
    </row>
    <row r="20" spans="1:45" ht="12.95" customHeight="1">
      <c r="A20" s="46"/>
      <c r="B20" s="47"/>
      <c r="C20" s="47"/>
      <c r="D20" s="47"/>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9"/>
      <c r="AL20" s="218">
        <v>17</v>
      </c>
      <c r="AM20" s="220">
        <v>41543</v>
      </c>
      <c r="AN20" s="218">
        <v>1500</v>
      </c>
      <c r="AO20" s="223">
        <f t="shared" si="0"/>
        <v>1212</v>
      </c>
      <c r="AP20" s="223">
        <v>19.2</v>
      </c>
      <c r="AQ20" s="221">
        <v>18.399999999999999</v>
      </c>
      <c r="AR20" s="221">
        <v>17.5</v>
      </c>
      <c r="AS20" s="221">
        <v>20.7</v>
      </c>
    </row>
    <row r="21" spans="1:45" ht="13.5" customHeight="1">
      <c r="A21" s="46"/>
      <c r="B21" s="47"/>
      <c r="C21" s="47"/>
      <c r="D21" s="47"/>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9"/>
      <c r="AL21" s="218">
        <v>18</v>
      </c>
      <c r="AM21" s="220">
        <v>41544</v>
      </c>
      <c r="AN21" s="218">
        <v>1500</v>
      </c>
      <c r="AO21" s="223">
        <f t="shared" si="0"/>
        <v>1231.5</v>
      </c>
      <c r="AP21" s="223">
        <v>17.899999999999999</v>
      </c>
      <c r="AQ21" s="221">
        <v>18.399999999999999</v>
      </c>
      <c r="AR21" s="221">
        <v>17.5</v>
      </c>
      <c r="AS21" s="221">
        <v>20.7</v>
      </c>
    </row>
    <row r="22" spans="1:45" ht="12.95" customHeight="1">
      <c r="A22" s="46"/>
      <c r="B22" s="47"/>
      <c r="C22" s="47"/>
      <c r="D22" s="47"/>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9"/>
      <c r="AL22" s="218">
        <v>19</v>
      </c>
      <c r="AM22" s="220">
        <v>41544</v>
      </c>
      <c r="AN22" s="218">
        <v>1500</v>
      </c>
      <c r="AO22" s="223">
        <f t="shared" si="0"/>
        <v>1198.5</v>
      </c>
      <c r="AP22" s="223">
        <v>20.100000000000001</v>
      </c>
      <c r="AQ22" s="221">
        <v>18.399999999999999</v>
      </c>
      <c r="AR22" s="221">
        <v>17.5</v>
      </c>
      <c r="AS22" s="221">
        <v>20.7</v>
      </c>
    </row>
    <row r="23" spans="1:45" ht="12.95" customHeight="1">
      <c r="A23" s="46"/>
      <c r="B23" s="47"/>
      <c r="C23" s="47"/>
      <c r="D23" s="47"/>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9"/>
      <c r="AL23" s="218">
        <v>20</v>
      </c>
      <c r="AM23" s="220">
        <v>41544</v>
      </c>
      <c r="AN23" s="218">
        <v>1500</v>
      </c>
      <c r="AO23" s="223">
        <f t="shared" si="0"/>
        <v>1231.5</v>
      </c>
      <c r="AP23" s="223">
        <v>17.899999999999999</v>
      </c>
      <c r="AQ23" s="221">
        <v>18.399999999999999</v>
      </c>
      <c r="AR23" s="221">
        <v>17.5</v>
      </c>
      <c r="AS23" s="221">
        <v>20.7</v>
      </c>
    </row>
    <row r="24" spans="1:45" ht="12.95" customHeight="1">
      <c r="A24" s="46"/>
      <c r="B24" s="47"/>
      <c r="C24" s="47"/>
      <c r="D24" s="47"/>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9"/>
      <c r="AL24" s="218"/>
      <c r="AM24" s="220"/>
      <c r="AN24" s="218"/>
      <c r="AO24" s="223"/>
      <c r="AP24" s="223"/>
      <c r="AQ24" s="221"/>
      <c r="AR24" s="221"/>
      <c r="AS24" s="221"/>
    </row>
    <row r="25" spans="1:45" ht="12.95" customHeight="1">
      <c r="A25" s="49"/>
      <c r="B25" s="47"/>
      <c r="C25" s="47"/>
      <c r="D25" s="47"/>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9"/>
    </row>
    <row r="26" spans="1:45" ht="12.95" customHeight="1">
      <c r="A26" s="40"/>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9"/>
      <c r="AL26" s="216" t="s">
        <v>45</v>
      </c>
      <c r="AP26" s="224">
        <f>AVERAGE(AP6:AP24)</f>
        <v>18.488888888888891</v>
      </c>
    </row>
    <row r="27" spans="1:45" ht="12.95" customHeight="1">
      <c r="A27" s="40"/>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9"/>
      <c r="AL27" s="217" t="s">
        <v>49</v>
      </c>
      <c r="AP27" s="225">
        <v>19.100000000000001</v>
      </c>
    </row>
    <row r="28" spans="1:45" ht="12.95" customHeight="1">
      <c r="A28" s="40"/>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2796"/>
      <c r="AH28" s="2796"/>
      <c r="AI28" s="38"/>
      <c r="AJ28" s="39"/>
      <c r="AL28" s="217"/>
      <c r="AP28" s="226"/>
    </row>
    <row r="29" spans="1:45" ht="12" customHeight="1">
      <c r="A29" s="40"/>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2797"/>
      <c r="AH29" s="2797"/>
      <c r="AI29" s="38"/>
      <c r="AJ29" s="39"/>
      <c r="AL29" s="216">
        <v>20</v>
      </c>
      <c r="AM29" s="216">
        <v>100</v>
      </c>
    </row>
    <row r="30" spans="1:45" ht="12.95" customHeight="1">
      <c r="A30" s="40"/>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2797"/>
      <c r="AH30" s="2797"/>
      <c r="AI30" s="38"/>
      <c r="AJ30" s="39"/>
      <c r="AL30" s="216">
        <f>+AL29*AM30/AM29</f>
        <v>19</v>
      </c>
      <c r="AM30" s="216">
        <v>95</v>
      </c>
    </row>
    <row r="31" spans="1:45" ht="12.95" customHeight="1">
      <c r="A31" s="40"/>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9"/>
      <c r="AL31" s="227" t="s">
        <v>50</v>
      </c>
    </row>
    <row r="32" spans="1:45" ht="12.95" customHeight="1">
      <c r="A32" s="40"/>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9"/>
    </row>
    <row r="33" spans="1:46" ht="12.95" customHeight="1">
      <c r="A33" s="40"/>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9"/>
    </row>
    <row r="34" spans="1:46" ht="12.95" customHeight="1">
      <c r="A34" s="40"/>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9"/>
    </row>
    <row r="35" spans="1:46" ht="21" customHeight="1">
      <c r="A35" s="40"/>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9"/>
      <c r="AL35" s="216" t="s">
        <v>51</v>
      </c>
      <c r="AM35" s="216" t="s">
        <v>52</v>
      </c>
    </row>
    <row r="36" spans="1:46" ht="18" customHeight="1">
      <c r="A36" s="40"/>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9"/>
      <c r="AL36" s="216" t="s">
        <v>53</v>
      </c>
      <c r="AM36" s="216" t="s">
        <v>54</v>
      </c>
    </row>
    <row r="37" spans="1:46" ht="18" customHeight="1">
      <c r="A37" s="40"/>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9"/>
      <c r="AL37" s="216" t="s">
        <v>55</v>
      </c>
      <c r="AM37" s="216" t="s">
        <v>56</v>
      </c>
    </row>
    <row r="38" spans="1:46" ht="16.5" customHeight="1">
      <c r="A38" s="40"/>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9"/>
    </row>
    <row r="39" spans="1:46" ht="15" customHeight="1">
      <c r="A39" s="40"/>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9"/>
    </row>
    <row r="40" spans="1:46" ht="15" customHeight="1">
      <c r="A40" s="40"/>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9"/>
    </row>
    <row r="41" spans="1:46" ht="15" customHeight="1">
      <c r="A41" s="40"/>
      <c r="B41" s="2798" t="s">
        <v>169</v>
      </c>
      <c r="C41" s="2798"/>
      <c r="D41" s="2798"/>
      <c r="E41" s="2798"/>
      <c r="F41" s="2798"/>
      <c r="G41" s="2798"/>
      <c r="H41" s="2798"/>
      <c r="I41" s="2802"/>
      <c r="J41" s="2802"/>
      <c r="K41" s="2802"/>
      <c r="L41" s="2802"/>
      <c r="M41" s="2802"/>
      <c r="N41" s="2802"/>
      <c r="O41" s="2803" t="str">
        <f>IF(I41="","","al")</f>
        <v/>
      </c>
      <c r="P41" s="2803"/>
      <c r="Q41" s="2804"/>
      <c r="R41" s="2804"/>
      <c r="S41" s="2804"/>
      <c r="T41" s="2804"/>
      <c r="U41" s="2804"/>
      <c r="V41" s="2804"/>
      <c r="W41" s="2804"/>
      <c r="X41" s="2804"/>
      <c r="Y41" s="38"/>
      <c r="Z41" s="38"/>
      <c r="AA41" s="38"/>
      <c r="AB41" s="38"/>
      <c r="AC41" s="38"/>
      <c r="AD41" s="38"/>
      <c r="AE41" s="38"/>
      <c r="AF41" s="38"/>
      <c r="AG41" s="38"/>
      <c r="AH41" s="38"/>
      <c r="AI41" s="38"/>
      <c r="AJ41" s="39"/>
    </row>
    <row r="42" spans="1:46" ht="15" customHeight="1">
      <c r="A42" s="50"/>
      <c r="B42" s="51"/>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2"/>
    </row>
    <row r="43" spans="1:46" ht="15" customHeight="1">
      <c r="A43" s="820"/>
      <c r="B43" s="2805" t="s">
        <v>10</v>
      </c>
      <c r="C43" s="2805"/>
      <c r="D43" s="2805"/>
      <c r="E43" s="2805"/>
      <c r="F43" s="2805"/>
      <c r="G43" s="2805"/>
      <c r="H43" s="2806"/>
      <c r="I43" s="2806"/>
      <c r="J43" s="2806"/>
      <c r="K43" s="2806"/>
      <c r="L43" s="2806"/>
      <c r="M43" s="2806"/>
      <c r="N43" s="2806"/>
      <c r="O43" s="2806"/>
      <c r="P43" s="2806"/>
      <c r="Q43" s="2806"/>
      <c r="R43" s="2806"/>
      <c r="S43" s="2806"/>
      <c r="T43" s="2806"/>
      <c r="U43" s="2806"/>
      <c r="V43" s="2806"/>
      <c r="W43" s="2806"/>
      <c r="X43" s="2806"/>
      <c r="Y43" s="2806"/>
      <c r="Z43" s="2806"/>
      <c r="AA43" s="2806"/>
      <c r="AB43" s="2806"/>
      <c r="AC43" s="2806"/>
      <c r="AD43" s="2806"/>
      <c r="AE43" s="2806"/>
      <c r="AF43" s="2806"/>
      <c r="AG43" s="2806"/>
      <c r="AH43" s="2806"/>
      <c r="AI43" s="2806"/>
      <c r="AJ43" s="2807"/>
    </row>
    <row r="44" spans="1:46" s="31" customFormat="1" ht="15" customHeight="1">
      <c r="A44" s="821"/>
      <c r="B44" s="822"/>
      <c r="C44" s="822"/>
      <c r="D44" s="822"/>
      <c r="E44" s="822"/>
      <c r="F44" s="822"/>
      <c r="G44" s="822"/>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c r="AG44" s="823"/>
      <c r="AH44" s="823"/>
      <c r="AI44" s="823"/>
      <c r="AJ44" s="824"/>
      <c r="AK44" s="157"/>
      <c r="AL44" s="157"/>
      <c r="AM44" s="157"/>
      <c r="AN44" s="157"/>
      <c r="AO44" s="157"/>
      <c r="AP44" s="157"/>
      <c r="AQ44" s="157"/>
      <c r="AR44" s="157"/>
      <c r="AS44" s="157"/>
      <c r="AT44" s="157"/>
    </row>
    <row r="45" spans="1:46" s="26" customFormat="1" ht="15" customHeight="1">
      <c r="A45" s="821"/>
      <c r="B45" s="822"/>
      <c r="C45" s="822"/>
      <c r="D45" s="822"/>
      <c r="E45" s="822"/>
      <c r="F45" s="822"/>
      <c r="G45" s="822"/>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c r="AG45" s="823"/>
      <c r="AH45" s="823"/>
      <c r="AI45" s="823"/>
      <c r="AJ45" s="824"/>
      <c r="AK45" s="228"/>
      <c r="AL45" s="228"/>
      <c r="AM45" s="228"/>
      <c r="AN45" s="228"/>
      <c r="AO45" s="228"/>
      <c r="AP45" s="228"/>
      <c r="AQ45" s="228"/>
      <c r="AR45" s="228"/>
      <c r="AS45" s="228"/>
      <c r="AT45" s="228"/>
    </row>
    <row r="46" spans="1:46" s="26" customFormat="1" ht="15" customHeight="1">
      <c r="A46" s="821"/>
      <c r="B46" s="822"/>
      <c r="C46" s="822"/>
      <c r="D46" s="822"/>
      <c r="E46" s="822"/>
      <c r="F46" s="822"/>
      <c r="G46" s="822"/>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c r="AG46" s="823"/>
      <c r="AH46" s="823"/>
      <c r="AI46" s="823"/>
      <c r="AJ46" s="824"/>
      <c r="AK46" s="228"/>
      <c r="AL46" s="228"/>
      <c r="AM46" s="228"/>
      <c r="AN46" s="228"/>
      <c r="AO46" s="228"/>
      <c r="AP46" s="228"/>
      <c r="AQ46" s="228"/>
      <c r="AR46" s="228"/>
      <c r="AS46" s="228"/>
      <c r="AT46" s="228"/>
    </row>
    <row r="47" spans="1:46" s="26" customFormat="1" ht="15" customHeight="1" thickBot="1">
      <c r="A47" s="2799"/>
      <c r="B47" s="2800"/>
      <c r="C47" s="2800"/>
      <c r="D47" s="2800"/>
      <c r="E47" s="2800"/>
      <c r="F47" s="2800"/>
      <c r="G47" s="2800"/>
      <c r="H47" s="2800"/>
      <c r="I47" s="2800"/>
      <c r="J47" s="2800"/>
      <c r="K47" s="2800"/>
      <c r="L47" s="2800"/>
      <c r="M47" s="2800"/>
      <c r="N47" s="2800"/>
      <c r="O47" s="2800"/>
      <c r="P47" s="2800"/>
      <c r="Q47" s="2800"/>
      <c r="R47" s="2800"/>
      <c r="S47" s="2800"/>
      <c r="T47" s="2800"/>
      <c r="U47" s="2800"/>
      <c r="V47" s="2800"/>
      <c r="W47" s="2800"/>
      <c r="X47" s="2800"/>
      <c r="Y47" s="2800"/>
      <c r="Z47" s="2800"/>
      <c r="AA47" s="2800"/>
      <c r="AB47" s="2800"/>
      <c r="AC47" s="2800"/>
      <c r="AD47" s="2800"/>
      <c r="AE47" s="2800"/>
      <c r="AF47" s="2800"/>
      <c r="AG47" s="2800"/>
      <c r="AH47" s="2800"/>
      <c r="AI47" s="2800"/>
      <c r="AJ47" s="2801"/>
      <c r="AK47" s="228"/>
      <c r="AL47" s="228"/>
      <c r="AM47" s="228"/>
      <c r="AN47" s="228"/>
      <c r="AO47" s="228"/>
      <c r="AP47" s="228"/>
      <c r="AQ47" s="228"/>
      <c r="AR47" s="228"/>
      <c r="AS47" s="228"/>
      <c r="AT47" s="228"/>
    </row>
    <row r="48" spans="1:46" s="26" customFormat="1" ht="14.1" customHeight="1" thickTop="1" thickBot="1">
      <c r="A48" s="2402" t="s">
        <v>13</v>
      </c>
      <c r="B48" s="2402"/>
      <c r="C48" s="2402"/>
      <c r="D48" s="2402"/>
      <c r="E48" s="2402"/>
      <c r="F48" s="2402"/>
      <c r="G48" s="2402"/>
      <c r="H48" s="2402"/>
      <c r="I48" s="2402"/>
      <c r="J48" s="2402"/>
      <c r="K48" s="2402"/>
      <c r="L48" s="2402"/>
      <c r="M48" s="2402"/>
      <c r="N48" s="2402"/>
      <c r="O48" s="2402"/>
      <c r="P48" s="2402"/>
      <c r="Q48" s="2402"/>
      <c r="R48" s="2402"/>
      <c r="S48" s="2402"/>
      <c r="T48" s="2402"/>
      <c r="U48" s="2402"/>
      <c r="V48" s="2402"/>
      <c r="W48" s="2402"/>
      <c r="X48" s="2402"/>
      <c r="Y48" s="2402"/>
      <c r="Z48" s="2402"/>
      <c r="AA48" s="2402"/>
      <c r="AB48" s="2402"/>
      <c r="AC48" s="2402"/>
      <c r="AD48" s="2402"/>
      <c r="AE48" s="2402"/>
      <c r="AF48" s="2402"/>
      <c r="AG48" s="2402"/>
      <c r="AH48" s="2402"/>
      <c r="AI48" s="2402"/>
      <c r="AJ48" s="2402"/>
      <c r="AK48" s="228"/>
      <c r="AL48" s="228"/>
      <c r="AM48" s="228"/>
      <c r="AN48" s="228"/>
      <c r="AO48" s="228"/>
      <c r="AP48" s="228"/>
      <c r="AQ48" s="228"/>
      <c r="AR48" s="228"/>
      <c r="AS48" s="228"/>
      <c r="AT48" s="228"/>
    </row>
    <row r="49" spans="1:46" s="26" customFormat="1" ht="12" customHeight="1" thickTop="1">
      <c r="A49" s="2760"/>
      <c r="B49" s="2760"/>
      <c r="C49" s="2760"/>
      <c r="D49" s="2760"/>
      <c r="E49" s="2760"/>
      <c r="F49" s="2760"/>
      <c r="G49" s="2760"/>
      <c r="H49" s="2760"/>
      <c r="I49" s="2760"/>
      <c r="J49" s="2760"/>
      <c r="K49" s="2760"/>
      <c r="L49" s="2760"/>
      <c r="M49" s="2760"/>
      <c r="N49" s="2760"/>
      <c r="O49" s="2760"/>
      <c r="P49" s="2760"/>
      <c r="Q49" s="2760"/>
      <c r="R49" s="2760"/>
      <c r="S49" s="2760"/>
      <c r="T49" s="2760"/>
      <c r="U49" s="2760"/>
      <c r="V49" s="2760"/>
      <c r="W49" s="2760"/>
      <c r="X49" s="2760"/>
      <c r="Y49" s="2760"/>
      <c r="Z49" s="2760"/>
      <c r="AA49" s="2760"/>
      <c r="AB49" s="2760"/>
      <c r="AC49" s="2760"/>
      <c r="AD49" s="2760"/>
      <c r="AE49" s="2760"/>
      <c r="AF49" s="2760"/>
      <c r="AG49" s="2760"/>
      <c r="AH49" s="2760"/>
      <c r="AI49" s="2760"/>
      <c r="AJ49" s="2760"/>
      <c r="AK49" s="228"/>
      <c r="AL49" s="228"/>
      <c r="AM49" s="228"/>
      <c r="AN49" s="228"/>
      <c r="AO49" s="228"/>
      <c r="AP49" s="228"/>
      <c r="AQ49" s="228"/>
      <c r="AR49" s="228"/>
      <c r="AS49" s="228"/>
      <c r="AT49" s="228"/>
    </row>
    <row r="50" spans="1:46" s="26" customFormat="1" ht="18" customHeight="1">
      <c r="A50" s="2737" t="s">
        <v>306</v>
      </c>
      <c r="B50" s="2737"/>
      <c r="C50" s="2737"/>
      <c r="D50" s="2737"/>
      <c r="E50" s="2737"/>
      <c r="F50" s="2737"/>
      <c r="G50" s="2737"/>
      <c r="H50" s="2737"/>
      <c r="I50" s="2737"/>
      <c r="J50" s="2737"/>
      <c r="K50" s="2737"/>
      <c r="L50" s="2737"/>
      <c r="M50" s="2737"/>
      <c r="N50" s="2737"/>
      <c r="O50" s="2737"/>
      <c r="P50" s="2737"/>
      <c r="Q50" s="2737"/>
      <c r="R50" s="2737"/>
      <c r="S50" s="2737"/>
      <c r="T50" s="2737"/>
      <c r="U50" s="2737"/>
      <c r="V50" s="2737"/>
      <c r="W50" s="2737"/>
      <c r="X50" s="2737"/>
      <c r="Y50" s="2737"/>
      <c r="Z50" s="2737"/>
      <c r="AA50" s="2737"/>
      <c r="AB50" s="2737"/>
      <c r="AC50" s="2737"/>
      <c r="AD50" s="2737"/>
      <c r="AE50" s="2737"/>
      <c r="AF50" s="2737"/>
      <c r="AG50" s="2737"/>
      <c r="AH50" s="2737"/>
      <c r="AI50" s="2737"/>
      <c r="AJ50" s="2737"/>
      <c r="AK50" s="228"/>
      <c r="AL50" s="228"/>
      <c r="AM50" s="228"/>
      <c r="AN50" s="228"/>
      <c r="AO50" s="228"/>
      <c r="AP50" s="228"/>
      <c r="AQ50" s="228"/>
      <c r="AR50" s="228"/>
      <c r="AS50" s="228"/>
      <c r="AT50" s="228"/>
    </row>
    <row r="51" spans="1:46" s="32" customFormat="1" ht="27.95" customHeight="1">
      <c r="A51" s="2737"/>
      <c r="B51" s="2737"/>
      <c r="C51" s="2737"/>
      <c r="D51" s="2737"/>
      <c r="E51" s="2737"/>
      <c r="F51" s="2737"/>
      <c r="G51" s="2737"/>
      <c r="H51" s="2737"/>
      <c r="I51" s="2737"/>
      <c r="J51" s="2737"/>
      <c r="K51" s="2737"/>
      <c r="L51" s="2737"/>
      <c r="M51" s="2737"/>
      <c r="N51" s="2737"/>
      <c r="O51" s="2737"/>
      <c r="P51" s="2737"/>
      <c r="Q51" s="2737"/>
      <c r="R51" s="2737"/>
      <c r="S51" s="2737"/>
      <c r="T51" s="2737"/>
      <c r="U51" s="2737"/>
      <c r="V51" s="2737"/>
      <c r="W51" s="2737"/>
      <c r="X51" s="2737"/>
      <c r="Y51" s="2737"/>
      <c r="Z51" s="2737"/>
      <c r="AA51" s="2737"/>
      <c r="AB51" s="2737"/>
      <c r="AC51" s="2737"/>
      <c r="AD51" s="2737"/>
      <c r="AE51" s="2737"/>
      <c r="AF51" s="2737"/>
      <c r="AG51" s="2737"/>
      <c r="AH51" s="2737"/>
      <c r="AI51" s="2737"/>
      <c r="AJ51" s="2737"/>
      <c r="AK51" s="229"/>
      <c r="AL51" s="229"/>
      <c r="AM51" s="229"/>
      <c r="AN51" s="229"/>
      <c r="AO51" s="229"/>
      <c r="AP51" s="229"/>
      <c r="AQ51" s="229"/>
      <c r="AR51" s="229"/>
      <c r="AS51" s="229"/>
      <c r="AT51" s="229"/>
    </row>
    <row r="52" spans="1:46" s="26" customFormat="1" ht="28.5" customHeight="1">
      <c r="A52" s="34" t="s">
        <v>502</v>
      </c>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228"/>
      <c r="AL52" s="228"/>
      <c r="AM52" s="228"/>
      <c r="AN52" s="228"/>
      <c r="AO52" s="228"/>
      <c r="AP52" s="228"/>
      <c r="AQ52" s="228"/>
      <c r="AR52" s="228"/>
      <c r="AS52" s="228"/>
      <c r="AT52" s="228"/>
    </row>
    <row r="53" spans="1:46" s="26" customFormat="1" ht="30" customHeight="1">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228"/>
      <c r="AL53" s="228"/>
      <c r="AM53" s="228"/>
      <c r="AN53" s="228"/>
      <c r="AO53" s="228"/>
      <c r="AP53" s="228"/>
      <c r="AQ53" s="228"/>
      <c r="AR53" s="228"/>
      <c r="AS53" s="228"/>
      <c r="AT53" s="228"/>
    </row>
  </sheetData>
  <sheetProtection algorithmName="SHA-512" hashValue="JeMDYZ4Du4Nlm+gHoYUX4rXrc7123vWi+2hfOo9TEOBOnaOcig+2Q45/tZBBoqA74h2icUsDjHj/oZpChtb1og==" saltValue="xWtxu7HrNbHkCk/fXLk3bg==" spinCount="100000" sheet="1" formatCells="0" formatColumns="0" formatRows="0"/>
  <mergeCells count="38">
    <mergeCell ref="A47:AJ47"/>
    <mergeCell ref="A48:AJ48"/>
    <mergeCell ref="A49:AJ49"/>
    <mergeCell ref="A50:AJ51"/>
    <mergeCell ref="I41:N41"/>
    <mergeCell ref="O41:P41"/>
    <mergeCell ref="Q41:X41"/>
    <mergeCell ref="B43:G43"/>
    <mergeCell ref="H43:AJ43"/>
    <mergeCell ref="F19:AE19"/>
    <mergeCell ref="AG28:AH28"/>
    <mergeCell ref="AG29:AH29"/>
    <mergeCell ref="AG30:AH30"/>
    <mergeCell ref="B41:H41"/>
    <mergeCell ref="F15:U15"/>
    <mergeCell ref="V15:X15"/>
    <mergeCell ref="Y15:AE15"/>
    <mergeCell ref="F16:U16"/>
    <mergeCell ref="V16:X16"/>
    <mergeCell ref="Y16:AE16"/>
    <mergeCell ref="F13:U13"/>
    <mergeCell ref="V13:X13"/>
    <mergeCell ref="Y13:AE13"/>
    <mergeCell ref="F14:U14"/>
    <mergeCell ref="V14:X14"/>
    <mergeCell ref="Y14:AE14"/>
    <mergeCell ref="X7:Z7"/>
    <mergeCell ref="AA7:AH7"/>
    <mergeCell ref="AA8:AH8"/>
    <mergeCell ref="F12:U12"/>
    <mergeCell ref="V12:X12"/>
    <mergeCell ref="Y12:AE12"/>
    <mergeCell ref="A1:E5"/>
    <mergeCell ref="F1:AJ3"/>
    <mergeCell ref="AL1:AP1"/>
    <mergeCell ref="F4:V4"/>
    <mergeCell ref="W4:AJ4"/>
    <mergeCell ref="F5:AJ5"/>
  </mergeCells>
  <dataValidations count="1">
    <dataValidation type="list" allowBlank="1" showInputMessage="1" showErrorMessage="1" sqref="Y13:AE13">
      <formula1>$AL$35:$AL$37</formula1>
    </dataValidation>
  </dataValidations>
  <printOptions horizontalCentered="1"/>
  <pageMargins left="0.59055118110236227" right="0.19685039370078741" top="0" bottom="0" header="0" footer="0.19685039370078741"/>
  <pageSetup orientation="portrait" copies="2"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M30"/>
  <sheetViews>
    <sheetView showGridLines="0" view="pageBreakPreview" zoomScaleNormal="120" zoomScaleSheetLayoutView="100" zoomScalePageLayoutView="70" workbookViewId="0">
      <selection activeCell="J21" sqref="J21"/>
    </sheetView>
  </sheetViews>
  <sheetFormatPr baseColWidth="10" defaultRowHeight="12.75"/>
  <cols>
    <col min="1" max="1" width="3.5703125" style="54" customWidth="1"/>
    <col min="2" max="2" width="6.28515625" style="54" customWidth="1"/>
    <col min="3" max="3" width="3.5703125" style="54" customWidth="1"/>
    <col min="4" max="4" width="6" style="54" customWidth="1"/>
    <col min="5" max="5" width="11.5703125" style="54" customWidth="1"/>
    <col min="6" max="6" width="10.7109375" style="54" customWidth="1"/>
    <col min="7" max="7" width="7.42578125" style="54" customWidth="1"/>
    <col min="8" max="8" width="4.85546875" style="54" customWidth="1"/>
    <col min="9" max="9" width="12.7109375" style="54" customWidth="1"/>
    <col min="10" max="10" width="6.7109375" style="54" customWidth="1"/>
    <col min="11" max="11" width="9.28515625" style="54" customWidth="1"/>
    <col min="12" max="12" width="8.85546875" style="54" customWidth="1"/>
    <col min="13" max="195" width="11.42578125" style="54"/>
    <col min="196" max="196" width="1.85546875" style="54" customWidth="1"/>
    <col min="197" max="197" width="13.5703125" style="54" customWidth="1"/>
    <col min="198" max="198" width="10.140625" style="54" customWidth="1"/>
    <col min="199" max="203" width="9.7109375" style="54" customWidth="1"/>
    <col min="204" max="204" width="10.42578125" style="54" customWidth="1"/>
    <col min="205" max="205" width="10.140625" style="54" customWidth="1"/>
    <col min="206" max="206" width="1.140625" style="54" customWidth="1"/>
    <col min="207" max="207" width="18.7109375" style="54" customWidth="1"/>
    <col min="208" max="208" width="20.140625" style="54" customWidth="1"/>
    <col min="209" max="451" width="11.42578125" style="54"/>
    <col min="452" max="452" width="1.85546875" style="54" customWidth="1"/>
    <col min="453" max="453" width="13.5703125" style="54" customWidth="1"/>
    <col min="454" max="454" width="10.140625" style="54" customWidth="1"/>
    <col min="455" max="459" width="9.7109375" style="54" customWidth="1"/>
    <col min="460" max="460" width="10.42578125" style="54" customWidth="1"/>
    <col min="461" max="461" width="10.140625" style="54" customWidth="1"/>
    <col min="462" max="462" width="1.140625" style="54" customWidth="1"/>
    <col min="463" max="463" width="18.7109375" style="54" customWidth="1"/>
    <col min="464" max="464" width="20.140625" style="54" customWidth="1"/>
    <col min="465" max="707" width="11.42578125" style="54"/>
    <col min="708" max="708" width="1.85546875" style="54" customWidth="1"/>
    <col min="709" max="709" width="13.5703125" style="54" customWidth="1"/>
    <col min="710" max="710" width="10.140625" style="54" customWidth="1"/>
    <col min="711" max="715" width="9.7109375" style="54" customWidth="1"/>
    <col min="716" max="716" width="10.42578125" style="54" customWidth="1"/>
    <col min="717" max="717" width="10.140625" style="54" customWidth="1"/>
    <col min="718" max="718" width="1.140625" style="54" customWidth="1"/>
    <col min="719" max="719" width="18.7109375" style="54" customWidth="1"/>
    <col min="720" max="720" width="20.140625" style="54" customWidth="1"/>
    <col min="721" max="963" width="11.42578125" style="54"/>
    <col min="964" max="964" width="1.85546875" style="54" customWidth="1"/>
    <col min="965" max="965" width="13.5703125" style="54" customWidth="1"/>
    <col min="966" max="966" width="10.140625" style="54" customWidth="1"/>
    <col min="967" max="971" width="9.7109375" style="54" customWidth="1"/>
    <col min="972" max="972" width="10.42578125" style="54" customWidth="1"/>
    <col min="973" max="973" width="10.140625" style="54" customWidth="1"/>
    <col min="974" max="974" width="1.140625" style="54" customWidth="1"/>
    <col min="975" max="975" width="18.7109375" style="54" customWidth="1"/>
    <col min="976" max="976" width="20.140625" style="54" customWidth="1"/>
    <col min="977" max="1219" width="11.42578125" style="54"/>
    <col min="1220" max="1220" width="1.85546875" style="54" customWidth="1"/>
    <col min="1221" max="1221" width="13.5703125" style="54" customWidth="1"/>
    <col min="1222" max="1222" width="10.140625" style="54" customWidth="1"/>
    <col min="1223" max="1227" width="9.7109375" style="54" customWidth="1"/>
    <col min="1228" max="1228" width="10.42578125" style="54" customWidth="1"/>
    <col min="1229" max="1229" width="10.140625" style="54" customWidth="1"/>
    <col min="1230" max="1230" width="1.140625" style="54" customWidth="1"/>
    <col min="1231" max="1231" width="18.7109375" style="54" customWidth="1"/>
    <col min="1232" max="1232" width="20.140625" style="54" customWidth="1"/>
    <col min="1233" max="1475" width="11.42578125" style="54"/>
    <col min="1476" max="1476" width="1.85546875" style="54" customWidth="1"/>
    <col min="1477" max="1477" width="13.5703125" style="54" customWidth="1"/>
    <col min="1478" max="1478" width="10.140625" style="54" customWidth="1"/>
    <col min="1479" max="1483" width="9.7109375" style="54" customWidth="1"/>
    <col min="1484" max="1484" width="10.42578125" style="54" customWidth="1"/>
    <col min="1485" max="1485" width="10.140625" style="54" customWidth="1"/>
    <col min="1486" max="1486" width="1.140625" style="54" customWidth="1"/>
    <col min="1487" max="1487" width="18.7109375" style="54" customWidth="1"/>
    <col min="1488" max="1488" width="20.140625" style="54" customWidth="1"/>
    <col min="1489" max="1731" width="11.42578125" style="54"/>
    <col min="1732" max="1732" width="1.85546875" style="54" customWidth="1"/>
    <col min="1733" max="1733" width="13.5703125" style="54" customWidth="1"/>
    <col min="1734" max="1734" width="10.140625" style="54" customWidth="1"/>
    <col min="1735" max="1739" width="9.7109375" style="54" customWidth="1"/>
    <col min="1740" max="1740" width="10.42578125" style="54" customWidth="1"/>
    <col min="1741" max="1741" width="10.140625" style="54" customWidth="1"/>
    <col min="1742" max="1742" width="1.140625" style="54" customWidth="1"/>
    <col min="1743" max="1743" width="18.7109375" style="54" customWidth="1"/>
    <col min="1744" max="1744" width="20.140625" style="54" customWidth="1"/>
    <col min="1745" max="1987" width="11.42578125" style="54"/>
    <col min="1988" max="1988" width="1.85546875" style="54" customWidth="1"/>
    <col min="1989" max="1989" width="13.5703125" style="54" customWidth="1"/>
    <col min="1990" max="1990" width="10.140625" style="54" customWidth="1"/>
    <col min="1991" max="1995" width="9.7109375" style="54" customWidth="1"/>
    <col min="1996" max="1996" width="10.42578125" style="54" customWidth="1"/>
    <col min="1997" max="1997" width="10.140625" style="54" customWidth="1"/>
    <col min="1998" max="1998" width="1.140625" style="54" customWidth="1"/>
    <col min="1999" max="1999" width="18.7109375" style="54" customWidth="1"/>
    <col min="2000" max="2000" width="20.140625" style="54" customWidth="1"/>
    <col min="2001" max="2243" width="11.42578125" style="54"/>
    <col min="2244" max="2244" width="1.85546875" style="54" customWidth="1"/>
    <col min="2245" max="2245" width="13.5703125" style="54" customWidth="1"/>
    <col min="2246" max="2246" width="10.140625" style="54" customWidth="1"/>
    <col min="2247" max="2251" width="9.7109375" style="54" customWidth="1"/>
    <col min="2252" max="2252" width="10.42578125" style="54" customWidth="1"/>
    <col min="2253" max="2253" width="10.140625" style="54" customWidth="1"/>
    <col min="2254" max="2254" width="1.140625" style="54" customWidth="1"/>
    <col min="2255" max="2255" width="18.7109375" style="54" customWidth="1"/>
    <col min="2256" max="2256" width="20.140625" style="54" customWidth="1"/>
    <col min="2257" max="2499" width="11.42578125" style="54"/>
    <col min="2500" max="2500" width="1.85546875" style="54" customWidth="1"/>
    <col min="2501" max="2501" width="13.5703125" style="54" customWidth="1"/>
    <col min="2502" max="2502" width="10.140625" style="54" customWidth="1"/>
    <col min="2503" max="2507" width="9.7109375" style="54" customWidth="1"/>
    <col min="2508" max="2508" width="10.42578125" style="54" customWidth="1"/>
    <col min="2509" max="2509" width="10.140625" style="54" customWidth="1"/>
    <col min="2510" max="2510" width="1.140625" style="54" customWidth="1"/>
    <col min="2511" max="2511" width="18.7109375" style="54" customWidth="1"/>
    <col min="2512" max="2512" width="20.140625" style="54" customWidth="1"/>
    <col min="2513" max="2755" width="11.42578125" style="54"/>
    <col min="2756" max="2756" width="1.85546875" style="54" customWidth="1"/>
    <col min="2757" max="2757" width="13.5703125" style="54" customWidth="1"/>
    <col min="2758" max="2758" width="10.140625" style="54" customWidth="1"/>
    <col min="2759" max="2763" width="9.7109375" style="54" customWidth="1"/>
    <col min="2764" max="2764" width="10.42578125" style="54" customWidth="1"/>
    <col min="2765" max="2765" width="10.140625" style="54" customWidth="1"/>
    <col min="2766" max="2766" width="1.140625" style="54" customWidth="1"/>
    <col min="2767" max="2767" width="18.7109375" style="54" customWidth="1"/>
    <col min="2768" max="2768" width="20.140625" style="54" customWidth="1"/>
    <col min="2769" max="3011" width="11.42578125" style="54"/>
    <col min="3012" max="3012" width="1.85546875" style="54" customWidth="1"/>
    <col min="3013" max="3013" width="13.5703125" style="54" customWidth="1"/>
    <col min="3014" max="3014" width="10.140625" style="54" customWidth="1"/>
    <col min="3015" max="3019" width="9.7109375" style="54" customWidth="1"/>
    <col min="3020" max="3020" width="10.42578125" style="54" customWidth="1"/>
    <col min="3021" max="3021" width="10.140625" style="54" customWidth="1"/>
    <col min="3022" max="3022" width="1.140625" style="54" customWidth="1"/>
    <col min="3023" max="3023" width="18.7109375" style="54" customWidth="1"/>
    <col min="3024" max="3024" width="20.140625" style="54" customWidth="1"/>
    <col min="3025" max="3267" width="11.42578125" style="54"/>
    <col min="3268" max="3268" width="1.85546875" style="54" customWidth="1"/>
    <col min="3269" max="3269" width="13.5703125" style="54" customWidth="1"/>
    <col min="3270" max="3270" width="10.140625" style="54" customWidth="1"/>
    <col min="3271" max="3275" width="9.7109375" style="54" customWidth="1"/>
    <col min="3276" max="3276" width="10.42578125" style="54" customWidth="1"/>
    <col min="3277" max="3277" width="10.140625" style="54" customWidth="1"/>
    <col min="3278" max="3278" width="1.140625" style="54" customWidth="1"/>
    <col min="3279" max="3279" width="18.7109375" style="54" customWidth="1"/>
    <col min="3280" max="3280" width="20.140625" style="54" customWidth="1"/>
    <col min="3281" max="3523" width="11.42578125" style="54"/>
    <col min="3524" max="3524" width="1.85546875" style="54" customWidth="1"/>
    <col min="3525" max="3525" width="13.5703125" style="54" customWidth="1"/>
    <col min="3526" max="3526" width="10.140625" style="54" customWidth="1"/>
    <col min="3527" max="3531" width="9.7109375" style="54" customWidth="1"/>
    <col min="3532" max="3532" width="10.42578125" style="54" customWidth="1"/>
    <col min="3533" max="3533" width="10.140625" style="54" customWidth="1"/>
    <col min="3534" max="3534" width="1.140625" style="54" customWidth="1"/>
    <col min="3535" max="3535" width="18.7109375" style="54" customWidth="1"/>
    <col min="3536" max="3536" width="20.140625" style="54" customWidth="1"/>
    <col min="3537" max="3779" width="11.42578125" style="54"/>
    <col min="3780" max="3780" width="1.85546875" style="54" customWidth="1"/>
    <col min="3781" max="3781" width="13.5703125" style="54" customWidth="1"/>
    <col min="3782" max="3782" width="10.140625" style="54" customWidth="1"/>
    <col min="3783" max="3787" width="9.7109375" style="54" customWidth="1"/>
    <col min="3788" max="3788" width="10.42578125" style="54" customWidth="1"/>
    <col min="3789" max="3789" width="10.140625" style="54" customWidth="1"/>
    <col min="3790" max="3790" width="1.140625" style="54" customWidth="1"/>
    <col min="3791" max="3791" width="18.7109375" style="54" customWidth="1"/>
    <col min="3792" max="3792" width="20.140625" style="54" customWidth="1"/>
    <col min="3793" max="4035" width="11.42578125" style="54"/>
    <col min="4036" max="4036" width="1.85546875" style="54" customWidth="1"/>
    <col min="4037" max="4037" width="13.5703125" style="54" customWidth="1"/>
    <col min="4038" max="4038" width="10.140625" style="54" customWidth="1"/>
    <col min="4039" max="4043" width="9.7109375" style="54" customWidth="1"/>
    <col min="4044" max="4044" width="10.42578125" style="54" customWidth="1"/>
    <col min="4045" max="4045" width="10.140625" style="54" customWidth="1"/>
    <col min="4046" max="4046" width="1.140625" style="54" customWidth="1"/>
    <col min="4047" max="4047" width="18.7109375" style="54" customWidth="1"/>
    <col min="4048" max="4048" width="20.140625" style="54" customWidth="1"/>
    <col min="4049" max="4291" width="11.42578125" style="54"/>
    <col min="4292" max="4292" width="1.85546875" style="54" customWidth="1"/>
    <col min="4293" max="4293" width="13.5703125" style="54" customWidth="1"/>
    <col min="4294" max="4294" width="10.140625" style="54" customWidth="1"/>
    <col min="4295" max="4299" width="9.7109375" style="54" customWidth="1"/>
    <col min="4300" max="4300" width="10.42578125" style="54" customWidth="1"/>
    <col min="4301" max="4301" width="10.140625" style="54" customWidth="1"/>
    <col min="4302" max="4302" width="1.140625" style="54" customWidth="1"/>
    <col min="4303" max="4303" width="18.7109375" style="54" customWidth="1"/>
    <col min="4304" max="4304" width="20.140625" style="54" customWidth="1"/>
    <col min="4305" max="4547" width="11.42578125" style="54"/>
    <col min="4548" max="4548" width="1.85546875" style="54" customWidth="1"/>
    <col min="4549" max="4549" width="13.5703125" style="54" customWidth="1"/>
    <col min="4550" max="4550" width="10.140625" style="54" customWidth="1"/>
    <col min="4551" max="4555" width="9.7109375" style="54" customWidth="1"/>
    <col min="4556" max="4556" width="10.42578125" style="54" customWidth="1"/>
    <col min="4557" max="4557" width="10.140625" style="54" customWidth="1"/>
    <col min="4558" max="4558" width="1.140625" style="54" customWidth="1"/>
    <col min="4559" max="4559" width="18.7109375" style="54" customWidth="1"/>
    <col min="4560" max="4560" width="20.140625" style="54" customWidth="1"/>
    <col min="4561" max="4803" width="11.42578125" style="54"/>
    <col min="4804" max="4804" width="1.85546875" style="54" customWidth="1"/>
    <col min="4805" max="4805" width="13.5703125" style="54" customWidth="1"/>
    <col min="4806" max="4806" width="10.140625" style="54" customWidth="1"/>
    <col min="4807" max="4811" width="9.7109375" style="54" customWidth="1"/>
    <col min="4812" max="4812" width="10.42578125" style="54" customWidth="1"/>
    <col min="4813" max="4813" width="10.140625" style="54" customWidth="1"/>
    <col min="4814" max="4814" width="1.140625" style="54" customWidth="1"/>
    <col min="4815" max="4815" width="18.7109375" style="54" customWidth="1"/>
    <col min="4816" max="4816" width="20.140625" style="54" customWidth="1"/>
    <col min="4817" max="5059" width="11.42578125" style="54"/>
    <col min="5060" max="5060" width="1.85546875" style="54" customWidth="1"/>
    <col min="5061" max="5061" width="13.5703125" style="54" customWidth="1"/>
    <col min="5062" max="5062" width="10.140625" style="54" customWidth="1"/>
    <col min="5063" max="5067" width="9.7109375" style="54" customWidth="1"/>
    <col min="5068" max="5068" width="10.42578125" style="54" customWidth="1"/>
    <col min="5069" max="5069" width="10.140625" style="54" customWidth="1"/>
    <col min="5070" max="5070" width="1.140625" style="54" customWidth="1"/>
    <col min="5071" max="5071" width="18.7109375" style="54" customWidth="1"/>
    <col min="5072" max="5072" width="20.140625" style="54" customWidth="1"/>
    <col min="5073" max="5315" width="11.42578125" style="54"/>
    <col min="5316" max="5316" width="1.85546875" style="54" customWidth="1"/>
    <col min="5317" max="5317" width="13.5703125" style="54" customWidth="1"/>
    <col min="5318" max="5318" width="10.140625" style="54" customWidth="1"/>
    <col min="5319" max="5323" width="9.7109375" style="54" customWidth="1"/>
    <col min="5324" max="5324" width="10.42578125" style="54" customWidth="1"/>
    <col min="5325" max="5325" width="10.140625" style="54" customWidth="1"/>
    <col min="5326" max="5326" width="1.140625" style="54" customWidth="1"/>
    <col min="5327" max="5327" width="18.7109375" style="54" customWidth="1"/>
    <col min="5328" max="5328" width="20.140625" style="54" customWidth="1"/>
    <col min="5329" max="5571" width="11.42578125" style="54"/>
    <col min="5572" max="5572" width="1.85546875" style="54" customWidth="1"/>
    <col min="5573" max="5573" width="13.5703125" style="54" customWidth="1"/>
    <col min="5574" max="5574" width="10.140625" style="54" customWidth="1"/>
    <col min="5575" max="5579" width="9.7109375" style="54" customWidth="1"/>
    <col min="5580" max="5580" width="10.42578125" style="54" customWidth="1"/>
    <col min="5581" max="5581" width="10.140625" style="54" customWidth="1"/>
    <col min="5582" max="5582" width="1.140625" style="54" customWidth="1"/>
    <col min="5583" max="5583" width="18.7109375" style="54" customWidth="1"/>
    <col min="5584" max="5584" width="20.140625" style="54" customWidth="1"/>
    <col min="5585" max="5827" width="11.42578125" style="54"/>
    <col min="5828" max="5828" width="1.85546875" style="54" customWidth="1"/>
    <col min="5829" max="5829" width="13.5703125" style="54" customWidth="1"/>
    <col min="5830" max="5830" width="10.140625" style="54" customWidth="1"/>
    <col min="5831" max="5835" width="9.7109375" style="54" customWidth="1"/>
    <col min="5836" max="5836" width="10.42578125" style="54" customWidth="1"/>
    <col min="5837" max="5837" width="10.140625" style="54" customWidth="1"/>
    <col min="5838" max="5838" width="1.140625" style="54" customWidth="1"/>
    <col min="5839" max="5839" width="18.7109375" style="54" customWidth="1"/>
    <col min="5840" max="5840" width="20.140625" style="54" customWidth="1"/>
    <col min="5841" max="6083" width="11.42578125" style="54"/>
    <col min="6084" max="6084" width="1.85546875" style="54" customWidth="1"/>
    <col min="6085" max="6085" width="13.5703125" style="54" customWidth="1"/>
    <col min="6086" max="6086" width="10.140625" style="54" customWidth="1"/>
    <col min="6087" max="6091" width="9.7109375" style="54" customWidth="1"/>
    <col min="6092" max="6092" width="10.42578125" style="54" customWidth="1"/>
    <col min="6093" max="6093" width="10.140625" style="54" customWidth="1"/>
    <col min="6094" max="6094" width="1.140625" style="54" customWidth="1"/>
    <col min="6095" max="6095" width="18.7109375" style="54" customWidth="1"/>
    <col min="6096" max="6096" width="20.140625" style="54" customWidth="1"/>
    <col min="6097" max="6339" width="11.42578125" style="54"/>
    <col min="6340" max="6340" width="1.85546875" style="54" customWidth="1"/>
    <col min="6341" max="6341" width="13.5703125" style="54" customWidth="1"/>
    <col min="6342" max="6342" width="10.140625" style="54" customWidth="1"/>
    <col min="6343" max="6347" width="9.7109375" style="54" customWidth="1"/>
    <col min="6348" max="6348" width="10.42578125" style="54" customWidth="1"/>
    <col min="6349" max="6349" width="10.140625" style="54" customWidth="1"/>
    <col min="6350" max="6350" width="1.140625" style="54" customWidth="1"/>
    <col min="6351" max="6351" width="18.7109375" style="54" customWidth="1"/>
    <col min="6352" max="6352" width="20.140625" style="54" customWidth="1"/>
    <col min="6353" max="6595" width="11.42578125" style="54"/>
    <col min="6596" max="6596" width="1.85546875" style="54" customWidth="1"/>
    <col min="6597" max="6597" width="13.5703125" style="54" customWidth="1"/>
    <col min="6598" max="6598" width="10.140625" style="54" customWidth="1"/>
    <col min="6599" max="6603" width="9.7109375" style="54" customWidth="1"/>
    <col min="6604" max="6604" width="10.42578125" style="54" customWidth="1"/>
    <col min="6605" max="6605" width="10.140625" style="54" customWidth="1"/>
    <col min="6606" max="6606" width="1.140625" style="54" customWidth="1"/>
    <col min="6607" max="6607" width="18.7109375" style="54" customWidth="1"/>
    <col min="6608" max="6608" width="20.140625" style="54" customWidth="1"/>
    <col min="6609" max="6851" width="11.42578125" style="54"/>
    <col min="6852" max="6852" width="1.85546875" style="54" customWidth="1"/>
    <col min="6853" max="6853" width="13.5703125" style="54" customWidth="1"/>
    <col min="6854" max="6854" width="10.140625" style="54" customWidth="1"/>
    <col min="6855" max="6859" width="9.7109375" style="54" customWidth="1"/>
    <col min="6860" max="6860" width="10.42578125" style="54" customWidth="1"/>
    <col min="6861" max="6861" width="10.140625" style="54" customWidth="1"/>
    <col min="6862" max="6862" width="1.140625" style="54" customWidth="1"/>
    <col min="6863" max="6863" width="18.7109375" style="54" customWidth="1"/>
    <col min="6864" max="6864" width="20.140625" style="54" customWidth="1"/>
    <col min="6865" max="7107" width="11.42578125" style="54"/>
    <col min="7108" max="7108" width="1.85546875" style="54" customWidth="1"/>
    <col min="7109" max="7109" width="13.5703125" style="54" customWidth="1"/>
    <col min="7110" max="7110" width="10.140625" style="54" customWidth="1"/>
    <col min="7111" max="7115" width="9.7109375" style="54" customWidth="1"/>
    <col min="7116" max="7116" width="10.42578125" style="54" customWidth="1"/>
    <col min="7117" max="7117" width="10.140625" style="54" customWidth="1"/>
    <col min="7118" max="7118" width="1.140625" style="54" customWidth="1"/>
    <col min="7119" max="7119" width="18.7109375" style="54" customWidth="1"/>
    <col min="7120" max="7120" width="20.140625" style="54" customWidth="1"/>
    <col min="7121" max="7363" width="11.42578125" style="54"/>
    <col min="7364" max="7364" width="1.85546875" style="54" customWidth="1"/>
    <col min="7365" max="7365" width="13.5703125" style="54" customWidth="1"/>
    <col min="7366" max="7366" width="10.140625" style="54" customWidth="1"/>
    <col min="7367" max="7371" width="9.7109375" style="54" customWidth="1"/>
    <col min="7372" max="7372" width="10.42578125" style="54" customWidth="1"/>
    <col min="7373" max="7373" width="10.140625" style="54" customWidth="1"/>
    <col min="7374" max="7374" width="1.140625" style="54" customWidth="1"/>
    <col min="7375" max="7375" width="18.7109375" style="54" customWidth="1"/>
    <col min="7376" max="7376" width="20.140625" style="54" customWidth="1"/>
    <col min="7377" max="7619" width="11.42578125" style="54"/>
    <col min="7620" max="7620" width="1.85546875" style="54" customWidth="1"/>
    <col min="7621" max="7621" width="13.5703125" style="54" customWidth="1"/>
    <col min="7622" max="7622" width="10.140625" style="54" customWidth="1"/>
    <col min="7623" max="7627" width="9.7109375" style="54" customWidth="1"/>
    <col min="7628" max="7628" width="10.42578125" style="54" customWidth="1"/>
    <col min="7629" max="7629" width="10.140625" style="54" customWidth="1"/>
    <col min="7630" max="7630" width="1.140625" style="54" customWidth="1"/>
    <col min="7631" max="7631" width="18.7109375" style="54" customWidth="1"/>
    <col min="7632" max="7632" width="20.140625" style="54" customWidth="1"/>
    <col min="7633" max="7875" width="11.42578125" style="54"/>
    <col min="7876" max="7876" width="1.85546875" style="54" customWidth="1"/>
    <col min="7877" max="7877" width="13.5703125" style="54" customWidth="1"/>
    <col min="7878" max="7878" width="10.140625" style="54" customWidth="1"/>
    <col min="7879" max="7883" width="9.7109375" style="54" customWidth="1"/>
    <col min="7884" max="7884" width="10.42578125" style="54" customWidth="1"/>
    <col min="7885" max="7885" width="10.140625" style="54" customWidth="1"/>
    <col min="7886" max="7886" width="1.140625" style="54" customWidth="1"/>
    <col min="7887" max="7887" width="18.7109375" style="54" customWidth="1"/>
    <col min="7888" max="7888" width="20.140625" style="54" customWidth="1"/>
    <col min="7889" max="8131" width="11.42578125" style="54"/>
    <col min="8132" max="8132" width="1.85546875" style="54" customWidth="1"/>
    <col min="8133" max="8133" width="13.5703125" style="54" customWidth="1"/>
    <col min="8134" max="8134" width="10.140625" style="54" customWidth="1"/>
    <col min="8135" max="8139" width="9.7109375" style="54" customWidth="1"/>
    <col min="8140" max="8140" width="10.42578125" style="54" customWidth="1"/>
    <col min="8141" max="8141" width="10.140625" style="54" customWidth="1"/>
    <col min="8142" max="8142" width="1.140625" style="54" customWidth="1"/>
    <col min="8143" max="8143" width="18.7109375" style="54" customWidth="1"/>
    <col min="8144" max="8144" width="20.140625" style="54" customWidth="1"/>
    <col min="8145" max="8387" width="11.42578125" style="54"/>
    <col min="8388" max="8388" width="1.85546875" style="54" customWidth="1"/>
    <col min="8389" max="8389" width="13.5703125" style="54" customWidth="1"/>
    <col min="8390" max="8390" width="10.140625" style="54" customWidth="1"/>
    <col min="8391" max="8395" width="9.7109375" style="54" customWidth="1"/>
    <col min="8396" max="8396" width="10.42578125" style="54" customWidth="1"/>
    <col min="8397" max="8397" width="10.140625" style="54" customWidth="1"/>
    <col min="8398" max="8398" width="1.140625" style="54" customWidth="1"/>
    <col min="8399" max="8399" width="18.7109375" style="54" customWidth="1"/>
    <col min="8400" max="8400" width="20.140625" style="54" customWidth="1"/>
    <col min="8401" max="8643" width="11.42578125" style="54"/>
    <col min="8644" max="8644" width="1.85546875" style="54" customWidth="1"/>
    <col min="8645" max="8645" width="13.5703125" style="54" customWidth="1"/>
    <col min="8646" max="8646" width="10.140625" style="54" customWidth="1"/>
    <col min="8647" max="8651" width="9.7109375" style="54" customWidth="1"/>
    <col min="8652" max="8652" width="10.42578125" style="54" customWidth="1"/>
    <col min="8653" max="8653" width="10.140625" style="54" customWidth="1"/>
    <col min="8654" max="8654" width="1.140625" style="54" customWidth="1"/>
    <col min="8655" max="8655" width="18.7109375" style="54" customWidth="1"/>
    <col min="8656" max="8656" width="20.140625" style="54" customWidth="1"/>
    <col min="8657" max="8899" width="11.42578125" style="54"/>
    <col min="8900" max="8900" width="1.85546875" style="54" customWidth="1"/>
    <col min="8901" max="8901" width="13.5703125" style="54" customWidth="1"/>
    <col min="8902" max="8902" width="10.140625" style="54" customWidth="1"/>
    <col min="8903" max="8907" width="9.7109375" style="54" customWidth="1"/>
    <col min="8908" max="8908" width="10.42578125" style="54" customWidth="1"/>
    <col min="8909" max="8909" width="10.140625" style="54" customWidth="1"/>
    <col min="8910" max="8910" width="1.140625" style="54" customWidth="1"/>
    <col min="8911" max="8911" width="18.7109375" style="54" customWidth="1"/>
    <col min="8912" max="8912" width="20.140625" style="54" customWidth="1"/>
    <col min="8913" max="9155" width="11.42578125" style="54"/>
    <col min="9156" max="9156" width="1.85546875" style="54" customWidth="1"/>
    <col min="9157" max="9157" width="13.5703125" style="54" customWidth="1"/>
    <col min="9158" max="9158" width="10.140625" style="54" customWidth="1"/>
    <col min="9159" max="9163" width="9.7109375" style="54" customWidth="1"/>
    <col min="9164" max="9164" width="10.42578125" style="54" customWidth="1"/>
    <col min="9165" max="9165" width="10.140625" style="54" customWidth="1"/>
    <col min="9166" max="9166" width="1.140625" style="54" customWidth="1"/>
    <col min="9167" max="9167" width="18.7109375" style="54" customWidth="1"/>
    <col min="9168" max="9168" width="20.140625" style="54" customWidth="1"/>
    <col min="9169" max="9411" width="11.42578125" style="54"/>
    <col min="9412" max="9412" width="1.85546875" style="54" customWidth="1"/>
    <col min="9413" max="9413" width="13.5703125" style="54" customWidth="1"/>
    <col min="9414" max="9414" width="10.140625" style="54" customWidth="1"/>
    <col min="9415" max="9419" width="9.7109375" style="54" customWidth="1"/>
    <col min="9420" max="9420" width="10.42578125" style="54" customWidth="1"/>
    <col min="9421" max="9421" width="10.140625" style="54" customWidth="1"/>
    <col min="9422" max="9422" width="1.140625" style="54" customWidth="1"/>
    <col min="9423" max="9423" width="18.7109375" style="54" customWidth="1"/>
    <col min="9424" max="9424" width="20.140625" style="54" customWidth="1"/>
    <col min="9425" max="9667" width="11.42578125" style="54"/>
    <col min="9668" max="9668" width="1.85546875" style="54" customWidth="1"/>
    <col min="9669" max="9669" width="13.5703125" style="54" customWidth="1"/>
    <col min="9670" max="9670" width="10.140625" style="54" customWidth="1"/>
    <col min="9671" max="9675" width="9.7109375" style="54" customWidth="1"/>
    <col min="9676" max="9676" width="10.42578125" style="54" customWidth="1"/>
    <col min="9677" max="9677" width="10.140625" style="54" customWidth="1"/>
    <col min="9678" max="9678" width="1.140625" style="54" customWidth="1"/>
    <col min="9679" max="9679" width="18.7109375" style="54" customWidth="1"/>
    <col min="9680" max="9680" width="20.140625" style="54" customWidth="1"/>
    <col min="9681" max="9923" width="11.42578125" style="54"/>
    <col min="9924" max="9924" width="1.85546875" style="54" customWidth="1"/>
    <col min="9925" max="9925" width="13.5703125" style="54" customWidth="1"/>
    <col min="9926" max="9926" width="10.140625" style="54" customWidth="1"/>
    <col min="9927" max="9931" width="9.7109375" style="54" customWidth="1"/>
    <col min="9932" max="9932" width="10.42578125" style="54" customWidth="1"/>
    <col min="9933" max="9933" width="10.140625" style="54" customWidth="1"/>
    <col min="9934" max="9934" width="1.140625" style="54" customWidth="1"/>
    <col min="9935" max="9935" width="18.7109375" style="54" customWidth="1"/>
    <col min="9936" max="9936" width="20.140625" style="54" customWidth="1"/>
    <col min="9937" max="10179" width="11.42578125" style="54"/>
    <col min="10180" max="10180" width="1.85546875" style="54" customWidth="1"/>
    <col min="10181" max="10181" width="13.5703125" style="54" customWidth="1"/>
    <col min="10182" max="10182" width="10.140625" style="54" customWidth="1"/>
    <col min="10183" max="10187" width="9.7109375" style="54" customWidth="1"/>
    <col min="10188" max="10188" width="10.42578125" style="54" customWidth="1"/>
    <col min="10189" max="10189" width="10.140625" style="54" customWidth="1"/>
    <col min="10190" max="10190" width="1.140625" style="54" customWidth="1"/>
    <col min="10191" max="10191" width="18.7109375" style="54" customWidth="1"/>
    <col min="10192" max="10192" width="20.140625" style="54" customWidth="1"/>
    <col min="10193" max="10435" width="11.42578125" style="54"/>
    <col min="10436" max="10436" width="1.85546875" style="54" customWidth="1"/>
    <col min="10437" max="10437" width="13.5703125" style="54" customWidth="1"/>
    <col min="10438" max="10438" width="10.140625" style="54" customWidth="1"/>
    <col min="10439" max="10443" width="9.7109375" style="54" customWidth="1"/>
    <col min="10444" max="10444" width="10.42578125" style="54" customWidth="1"/>
    <col min="10445" max="10445" width="10.140625" style="54" customWidth="1"/>
    <col min="10446" max="10446" width="1.140625" style="54" customWidth="1"/>
    <col min="10447" max="10447" width="18.7109375" style="54" customWidth="1"/>
    <col min="10448" max="10448" width="20.140625" style="54" customWidth="1"/>
    <col min="10449" max="10691" width="11.42578125" style="54"/>
    <col min="10692" max="10692" width="1.85546875" style="54" customWidth="1"/>
    <col min="10693" max="10693" width="13.5703125" style="54" customWidth="1"/>
    <col min="10694" max="10694" width="10.140625" style="54" customWidth="1"/>
    <col min="10695" max="10699" width="9.7109375" style="54" customWidth="1"/>
    <col min="10700" max="10700" width="10.42578125" style="54" customWidth="1"/>
    <col min="10701" max="10701" width="10.140625" style="54" customWidth="1"/>
    <col min="10702" max="10702" width="1.140625" style="54" customWidth="1"/>
    <col min="10703" max="10703" width="18.7109375" style="54" customWidth="1"/>
    <col min="10704" max="10704" width="20.140625" style="54" customWidth="1"/>
    <col min="10705" max="10947" width="11.42578125" style="54"/>
    <col min="10948" max="10948" width="1.85546875" style="54" customWidth="1"/>
    <col min="10949" max="10949" width="13.5703125" style="54" customWidth="1"/>
    <col min="10950" max="10950" width="10.140625" style="54" customWidth="1"/>
    <col min="10951" max="10955" width="9.7109375" style="54" customWidth="1"/>
    <col min="10956" max="10956" width="10.42578125" style="54" customWidth="1"/>
    <col min="10957" max="10957" width="10.140625" style="54" customWidth="1"/>
    <col min="10958" max="10958" width="1.140625" style="54" customWidth="1"/>
    <col min="10959" max="10959" width="18.7109375" style="54" customWidth="1"/>
    <col min="10960" max="10960" width="20.140625" style="54" customWidth="1"/>
    <col min="10961" max="11203" width="11.42578125" style="54"/>
    <col min="11204" max="11204" width="1.85546875" style="54" customWidth="1"/>
    <col min="11205" max="11205" width="13.5703125" style="54" customWidth="1"/>
    <col min="11206" max="11206" width="10.140625" style="54" customWidth="1"/>
    <col min="11207" max="11211" width="9.7109375" style="54" customWidth="1"/>
    <col min="11212" max="11212" width="10.42578125" style="54" customWidth="1"/>
    <col min="11213" max="11213" width="10.140625" style="54" customWidth="1"/>
    <col min="11214" max="11214" width="1.140625" style="54" customWidth="1"/>
    <col min="11215" max="11215" width="18.7109375" style="54" customWidth="1"/>
    <col min="11216" max="11216" width="20.140625" style="54" customWidth="1"/>
    <col min="11217" max="11459" width="11.42578125" style="54"/>
    <col min="11460" max="11460" width="1.85546875" style="54" customWidth="1"/>
    <col min="11461" max="11461" width="13.5703125" style="54" customWidth="1"/>
    <col min="11462" max="11462" width="10.140625" style="54" customWidth="1"/>
    <col min="11463" max="11467" width="9.7109375" style="54" customWidth="1"/>
    <col min="11468" max="11468" width="10.42578125" style="54" customWidth="1"/>
    <col min="11469" max="11469" width="10.140625" style="54" customWidth="1"/>
    <col min="11470" max="11470" width="1.140625" style="54" customWidth="1"/>
    <col min="11471" max="11471" width="18.7109375" style="54" customWidth="1"/>
    <col min="11472" max="11472" width="20.140625" style="54" customWidth="1"/>
    <col min="11473" max="11715" width="11.42578125" style="54"/>
    <col min="11716" max="11716" width="1.85546875" style="54" customWidth="1"/>
    <col min="11717" max="11717" width="13.5703125" style="54" customWidth="1"/>
    <col min="11718" max="11718" width="10.140625" style="54" customWidth="1"/>
    <col min="11719" max="11723" width="9.7109375" style="54" customWidth="1"/>
    <col min="11724" max="11724" width="10.42578125" style="54" customWidth="1"/>
    <col min="11725" max="11725" width="10.140625" style="54" customWidth="1"/>
    <col min="11726" max="11726" width="1.140625" style="54" customWidth="1"/>
    <col min="11727" max="11727" width="18.7109375" style="54" customWidth="1"/>
    <col min="11728" max="11728" width="20.140625" style="54" customWidth="1"/>
    <col min="11729" max="11971" width="11.42578125" style="54"/>
    <col min="11972" max="11972" width="1.85546875" style="54" customWidth="1"/>
    <col min="11973" max="11973" width="13.5703125" style="54" customWidth="1"/>
    <col min="11974" max="11974" width="10.140625" style="54" customWidth="1"/>
    <col min="11975" max="11979" width="9.7109375" style="54" customWidth="1"/>
    <col min="11980" max="11980" width="10.42578125" style="54" customWidth="1"/>
    <col min="11981" max="11981" width="10.140625" style="54" customWidth="1"/>
    <col min="11982" max="11982" width="1.140625" style="54" customWidth="1"/>
    <col min="11983" max="11983" width="18.7109375" style="54" customWidth="1"/>
    <col min="11984" max="11984" width="20.140625" style="54" customWidth="1"/>
    <col min="11985" max="12227" width="11.42578125" style="54"/>
    <col min="12228" max="12228" width="1.85546875" style="54" customWidth="1"/>
    <col min="12229" max="12229" width="13.5703125" style="54" customWidth="1"/>
    <col min="12230" max="12230" width="10.140625" style="54" customWidth="1"/>
    <col min="12231" max="12235" width="9.7109375" style="54" customWidth="1"/>
    <col min="12236" max="12236" width="10.42578125" style="54" customWidth="1"/>
    <col min="12237" max="12237" width="10.140625" style="54" customWidth="1"/>
    <col min="12238" max="12238" width="1.140625" style="54" customWidth="1"/>
    <col min="12239" max="12239" width="18.7109375" style="54" customWidth="1"/>
    <col min="12240" max="12240" width="20.140625" style="54" customWidth="1"/>
    <col min="12241" max="12483" width="11.42578125" style="54"/>
    <col min="12484" max="12484" width="1.85546875" style="54" customWidth="1"/>
    <col min="12485" max="12485" width="13.5703125" style="54" customWidth="1"/>
    <col min="12486" max="12486" width="10.140625" style="54" customWidth="1"/>
    <col min="12487" max="12491" width="9.7109375" style="54" customWidth="1"/>
    <col min="12492" max="12492" width="10.42578125" style="54" customWidth="1"/>
    <col min="12493" max="12493" width="10.140625" style="54" customWidth="1"/>
    <col min="12494" max="12494" width="1.140625" style="54" customWidth="1"/>
    <col min="12495" max="12495" width="18.7109375" style="54" customWidth="1"/>
    <col min="12496" max="12496" width="20.140625" style="54" customWidth="1"/>
    <col min="12497" max="12739" width="11.42578125" style="54"/>
    <col min="12740" max="12740" width="1.85546875" style="54" customWidth="1"/>
    <col min="12741" max="12741" width="13.5703125" style="54" customWidth="1"/>
    <col min="12742" max="12742" width="10.140625" style="54" customWidth="1"/>
    <col min="12743" max="12747" width="9.7109375" style="54" customWidth="1"/>
    <col min="12748" max="12748" width="10.42578125" style="54" customWidth="1"/>
    <col min="12749" max="12749" width="10.140625" style="54" customWidth="1"/>
    <col min="12750" max="12750" width="1.140625" style="54" customWidth="1"/>
    <col min="12751" max="12751" width="18.7109375" style="54" customWidth="1"/>
    <col min="12752" max="12752" width="20.140625" style="54" customWidth="1"/>
    <col min="12753" max="12995" width="11.42578125" style="54"/>
    <col min="12996" max="12996" width="1.85546875" style="54" customWidth="1"/>
    <col min="12997" max="12997" width="13.5703125" style="54" customWidth="1"/>
    <col min="12998" max="12998" width="10.140625" style="54" customWidth="1"/>
    <col min="12999" max="13003" width="9.7109375" style="54" customWidth="1"/>
    <col min="13004" max="13004" width="10.42578125" style="54" customWidth="1"/>
    <col min="13005" max="13005" width="10.140625" style="54" customWidth="1"/>
    <col min="13006" max="13006" width="1.140625" style="54" customWidth="1"/>
    <col min="13007" max="13007" width="18.7109375" style="54" customWidth="1"/>
    <col min="13008" max="13008" width="20.140625" style="54" customWidth="1"/>
    <col min="13009" max="13251" width="11.42578125" style="54"/>
    <col min="13252" max="13252" width="1.85546875" style="54" customWidth="1"/>
    <col min="13253" max="13253" width="13.5703125" style="54" customWidth="1"/>
    <col min="13254" max="13254" width="10.140625" style="54" customWidth="1"/>
    <col min="13255" max="13259" width="9.7109375" style="54" customWidth="1"/>
    <col min="13260" max="13260" width="10.42578125" style="54" customWidth="1"/>
    <col min="13261" max="13261" width="10.140625" style="54" customWidth="1"/>
    <col min="13262" max="13262" width="1.140625" style="54" customWidth="1"/>
    <col min="13263" max="13263" width="18.7109375" style="54" customWidth="1"/>
    <col min="13264" max="13264" width="20.140625" style="54" customWidth="1"/>
    <col min="13265" max="13507" width="11.42578125" style="54"/>
    <col min="13508" max="13508" width="1.85546875" style="54" customWidth="1"/>
    <col min="13509" max="13509" width="13.5703125" style="54" customWidth="1"/>
    <col min="13510" max="13510" width="10.140625" style="54" customWidth="1"/>
    <col min="13511" max="13515" width="9.7109375" style="54" customWidth="1"/>
    <col min="13516" max="13516" width="10.42578125" style="54" customWidth="1"/>
    <col min="13517" max="13517" width="10.140625" style="54" customWidth="1"/>
    <col min="13518" max="13518" width="1.140625" style="54" customWidth="1"/>
    <col min="13519" max="13519" width="18.7109375" style="54" customWidth="1"/>
    <col min="13520" max="13520" width="20.140625" style="54" customWidth="1"/>
    <col min="13521" max="13763" width="11.42578125" style="54"/>
    <col min="13764" max="13764" width="1.85546875" style="54" customWidth="1"/>
    <col min="13765" max="13765" width="13.5703125" style="54" customWidth="1"/>
    <col min="13766" max="13766" width="10.140625" style="54" customWidth="1"/>
    <col min="13767" max="13771" width="9.7109375" style="54" customWidth="1"/>
    <col min="13772" max="13772" width="10.42578125" style="54" customWidth="1"/>
    <col min="13773" max="13773" width="10.140625" style="54" customWidth="1"/>
    <col min="13774" max="13774" width="1.140625" style="54" customWidth="1"/>
    <col min="13775" max="13775" width="18.7109375" style="54" customWidth="1"/>
    <col min="13776" max="13776" width="20.140625" style="54" customWidth="1"/>
    <col min="13777" max="14019" width="11.42578125" style="54"/>
    <col min="14020" max="14020" width="1.85546875" style="54" customWidth="1"/>
    <col min="14021" max="14021" width="13.5703125" style="54" customWidth="1"/>
    <col min="14022" max="14022" width="10.140625" style="54" customWidth="1"/>
    <col min="14023" max="14027" width="9.7109375" style="54" customWidth="1"/>
    <col min="14028" max="14028" width="10.42578125" style="54" customWidth="1"/>
    <col min="14029" max="14029" width="10.140625" style="54" customWidth="1"/>
    <col min="14030" max="14030" width="1.140625" style="54" customWidth="1"/>
    <col min="14031" max="14031" width="18.7109375" style="54" customWidth="1"/>
    <col min="14032" max="14032" width="20.140625" style="54" customWidth="1"/>
    <col min="14033" max="14275" width="11.42578125" style="54"/>
    <col min="14276" max="14276" width="1.85546875" style="54" customWidth="1"/>
    <col min="14277" max="14277" width="13.5703125" style="54" customWidth="1"/>
    <col min="14278" max="14278" width="10.140625" style="54" customWidth="1"/>
    <col min="14279" max="14283" width="9.7109375" style="54" customWidth="1"/>
    <col min="14284" max="14284" width="10.42578125" style="54" customWidth="1"/>
    <col min="14285" max="14285" width="10.140625" style="54" customWidth="1"/>
    <col min="14286" max="14286" width="1.140625" style="54" customWidth="1"/>
    <col min="14287" max="14287" width="18.7109375" style="54" customWidth="1"/>
    <col min="14288" max="14288" width="20.140625" style="54" customWidth="1"/>
    <col min="14289" max="14531" width="11.42578125" style="54"/>
    <col min="14532" max="14532" width="1.85546875" style="54" customWidth="1"/>
    <col min="14533" max="14533" width="13.5703125" style="54" customWidth="1"/>
    <col min="14534" max="14534" width="10.140625" style="54" customWidth="1"/>
    <col min="14535" max="14539" width="9.7109375" style="54" customWidth="1"/>
    <col min="14540" max="14540" width="10.42578125" style="54" customWidth="1"/>
    <col min="14541" max="14541" width="10.140625" style="54" customWidth="1"/>
    <col min="14542" max="14542" width="1.140625" style="54" customWidth="1"/>
    <col min="14543" max="14543" width="18.7109375" style="54" customWidth="1"/>
    <col min="14544" max="14544" width="20.140625" style="54" customWidth="1"/>
    <col min="14545" max="14787" width="11.42578125" style="54"/>
    <col min="14788" max="14788" width="1.85546875" style="54" customWidth="1"/>
    <col min="14789" max="14789" width="13.5703125" style="54" customWidth="1"/>
    <col min="14790" max="14790" width="10.140625" style="54" customWidth="1"/>
    <col min="14791" max="14795" width="9.7109375" style="54" customWidth="1"/>
    <col min="14796" max="14796" width="10.42578125" style="54" customWidth="1"/>
    <col min="14797" max="14797" width="10.140625" style="54" customWidth="1"/>
    <col min="14798" max="14798" width="1.140625" style="54" customWidth="1"/>
    <col min="14799" max="14799" width="18.7109375" style="54" customWidth="1"/>
    <col min="14800" max="14800" width="20.140625" style="54" customWidth="1"/>
    <col min="14801" max="15043" width="11.42578125" style="54"/>
    <col min="15044" max="15044" width="1.85546875" style="54" customWidth="1"/>
    <col min="15045" max="15045" width="13.5703125" style="54" customWidth="1"/>
    <col min="15046" max="15046" width="10.140625" style="54" customWidth="1"/>
    <col min="15047" max="15051" width="9.7109375" style="54" customWidth="1"/>
    <col min="15052" max="15052" width="10.42578125" style="54" customWidth="1"/>
    <col min="15053" max="15053" width="10.140625" style="54" customWidth="1"/>
    <col min="15054" max="15054" width="1.140625" style="54" customWidth="1"/>
    <col min="15055" max="15055" width="18.7109375" style="54" customWidth="1"/>
    <col min="15056" max="15056" width="20.140625" style="54" customWidth="1"/>
    <col min="15057" max="15299" width="11.42578125" style="54"/>
    <col min="15300" max="15300" width="1.85546875" style="54" customWidth="1"/>
    <col min="15301" max="15301" width="13.5703125" style="54" customWidth="1"/>
    <col min="15302" max="15302" width="10.140625" style="54" customWidth="1"/>
    <col min="15303" max="15307" width="9.7109375" style="54" customWidth="1"/>
    <col min="15308" max="15308" width="10.42578125" style="54" customWidth="1"/>
    <col min="15309" max="15309" width="10.140625" style="54" customWidth="1"/>
    <col min="15310" max="15310" width="1.140625" style="54" customWidth="1"/>
    <col min="15311" max="15311" width="18.7109375" style="54" customWidth="1"/>
    <col min="15312" max="15312" width="20.140625" style="54" customWidth="1"/>
    <col min="15313" max="15555" width="11.42578125" style="54"/>
    <col min="15556" max="15556" width="1.85546875" style="54" customWidth="1"/>
    <col min="15557" max="15557" width="13.5703125" style="54" customWidth="1"/>
    <col min="15558" max="15558" width="10.140625" style="54" customWidth="1"/>
    <col min="15559" max="15563" width="9.7109375" style="54" customWidth="1"/>
    <col min="15564" max="15564" width="10.42578125" style="54" customWidth="1"/>
    <col min="15565" max="15565" width="10.140625" style="54" customWidth="1"/>
    <col min="15566" max="15566" width="1.140625" style="54" customWidth="1"/>
    <col min="15567" max="15567" width="18.7109375" style="54" customWidth="1"/>
    <col min="15568" max="15568" width="20.140625" style="54" customWidth="1"/>
    <col min="15569" max="15811" width="11.42578125" style="54"/>
    <col min="15812" max="15812" width="1.85546875" style="54" customWidth="1"/>
    <col min="15813" max="15813" width="13.5703125" style="54" customWidth="1"/>
    <col min="15814" max="15814" width="10.140625" style="54" customWidth="1"/>
    <col min="15815" max="15819" width="9.7109375" style="54" customWidth="1"/>
    <col min="15820" max="15820" width="10.42578125" style="54" customWidth="1"/>
    <col min="15821" max="15821" width="10.140625" style="54" customWidth="1"/>
    <col min="15822" max="15822" width="1.140625" style="54" customWidth="1"/>
    <col min="15823" max="15823" width="18.7109375" style="54" customWidth="1"/>
    <col min="15824" max="15824" width="20.140625" style="54" customWidth="1"/>
    <col min="15825" max="16067" width="11.42578125" style="54"/>
    <col min="16068" max="16068" width="1.85546875" style="54" customWidth="1"/>
    <col min="16069" max="16069" width="13.5703125" style="54" customWidth="1"/>
    <col min="16070" max="16070" width="10.140625" style="54" customWidth="1"/>
    <col min="16071" max="16075" width="9.7109375" style="54" customWidth="1"/>
    <col min="16076" max="16076" width="10.42578125" style="54" customWidth="1"/>
    <col min="16077" max="16077" width="10.140625" style="54" customWidth="1"/>
    <col min="16078" max="16078" width="1.140625" style="54" customWidth="1"/>
    <col min="16079" max="16079" width="18.7109375" style="54" customWidth="1"/>
    <col min="16080" max="16080" width="20.140625" style="54" customWidth="1"/>
    <col min="16081" max="16384" width="11.42578125" style="54"/>
  </cols>
  <sheetData>
    <row r="1" spans="1:195" s="53" customFormat="1" ht="17.100000000000001" customHeight="1">
      <c r="A1" s="825"/>
      <c r="B1" s="826"/>
      <c r="C1" s="826"/>
      <c r="D1" s="2816" t="s">
        <v>503</v>
      </c>
      <c r="E1" s="2816"/>
      <c r="F1" s="2816"/>
      <c r="G1" s="2816"/>
      <c r="H1" s="2816"/>
      <c r="I1" s="2816"/>
      <c r="J1" s="2816"/>
      <c r="K1" s="2816"/>
      <c r="L1" s="2816"/>
    </row>
    <row r="2" spans="1:195" ht="17.100000000000001" customHeight="1">
      <c r="A2" s="827"/>
      <c r="B2" s="828"/>
      <c r="C2" s="828"/>
      <c r="D2" s="2816"/>
      <c r="E2" s="2816"/>
      <c r="F2" s="2816"/>
      <c r="G2" s="2816"/>
      <c r="H2" s="2816"/>
      <c r="I2" s="2816"/>
      <c r="J2" s="2816"/>
      <c r="K2" s="2816"/>
      <c r="L2" s="2816"/>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row>
    <row r="3" spans="1:195" ht="17.100000000000001" customHeight="1">
      <c r="A3" s="827"/>
      <c r="B3" s="828"/>
      <c r="C3" s="828"/>
      <c r="D3" s="2817" t="s">
        <v>504</v>
      </c>
      <c r="E3" s="2817"/>
      <c r="F3" s="2817"/>
      <c r="G3" s="2817"/>
      <c r="H3" s="2817"/>
      <c r="I3" s="2817"/>
      <c r="J3" s="2817"/>
      <c r="K3" s="2817" t="s">
        <v>498</v>
      </c>
      <c r="L3" s="2817"/>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c r="FF3" s="53"/>
      <c r="FG3" s="53"/>
      <c r="FH3" s="53"/>
      <c r="FI3" s="53"/>
      <c r="FJ3" s="53"/>
      <c r="FK3" s="53"/>
      <c r="FL3" s="53"/>
      <c r="FM3" s="53"/>
      <c r="FN3" s="53"/>
      <c r="FO3" s="53"/>
      <c r="FP3" s="53"/>
      <c r="FQ3" s="53"/>
      <c r="FR3" s="53"/>
      <c r="FS3" s="53"/>
      <c r="FT3" s="53"/>
      <c r="FU3" s="53"/>
      <c r="FV3" s="53"/>
      <c r="FW3" s="53"/>
      <c r="FX3" s="53"/>
      <c r="FY3" s="53"/>
      <c r="FZ3" s="53"/>
      <c r="GA3" s="53"/>
      <c r="GB3" s="53"/>
      <c r="GC3" s="53"/>
      <c r="GD3" s="53"/>
      <c r="GE3" s="53"/>
      <c r="GF3" s="53"/>
      <c r="GG3" s="53"/>
      <c r="GH3" s="53"/>
      <c r="GI3" s="53"/>
      <c r="GJ3" s="53"/>
      <c r="GK3" s="53"/>
      <c r="GL3" s="53"/>
      <c r="GM3" s="53"/>
    </row>
    <row r="4" spans="1:195" ht="15" customHeight="1">
      <c r="A4" s="829"/>
      <c r="B4" s="830"/>
      <c r="C4" s="830"/>
      <c r="D4" s="2818" t="s">
        <v>313</v>
      </c>
      <c r="E4" s="2818"/>
      <c r="F4" s="2818"/>
      <c r="G4" s="2818"/>
      <c r="H4" s="2818"/>
      <c r="I4" s="2818"/>
      <c r="J4" s="2818"/>
      <c r="K4" s="2818"/>
      <c r="L4" s="2818"/>
      <c r="M4" s="392" t="s">
        <v>314</v>
      </c>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row>
    <row r="5" spans="1:195" ht="15" customHeight="1">
      <c r="A5" s="831"/>
      <c r="B5" s="832"/>
      <c r="C5" s="832"/>
      <c r="D5" s="832"/>
      <c r="E5" s="832"/>
      <c r="F5" s="832"/>
      <c r="G5" s="832"/>
      <c r="H5" s="832"/>
      <c r="I5" s="832"/>
      <c r="J5" s="832"/>
      <c r="K5" s="832"/>
      <c r="L5" s="833"/>
      <c r="M5" s="393" t="s">
        <v>315</v>
      </c>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c r="DF5" s="53"/>
      <c r="DG5" s="53"/>
      <c r="DH5" s="53"/>
      <c r="DI5" s="53"/>
      <c r="DJ5" s="53"/>
      <c r="DK5" s="53"/>
      <c r="DL5" s="53"/>
      <c r="DM5" s="53"/>
      <c r="DN5" s="53"/>
      <c r="DO5" s="53"/>
      <c r="DP5" s="53"/>
      <c r="DQ5" s="53"/>
      <c r="DR5" s="53"/>
      <c r="DS5" s="53"/>
      <c r="DT5" s="53"/>
      <c r="DU5" s="53"/>
      <c r="DV5" s="53"/>
      <c r="DW5" s="53"/>
      <c r="DX5" s="53"/>
      <c r="DY5" s="53"/>
      <c r="DZ5" s="53"/>
      <c r="EA5" s="53"/>
      <c r="EB5" s="53"/>
      <c r="EC5" s="53"/>
      <c r="ED5" s="53"/>
      <c r="EE5" s="53"/>
      <c r="EF5" s="53"/>
      <c r="EG5" s="53"/>
      <c r="EH5" s="53"/>
      <c r="EI5" s="53"/>
      <c r="EJ5" s="53"/>
      <c r="EK5" s="53"/>
      <c r="EL5" s="53"/>
      <c r="EM5" s="53"/>
      <c r="EN5" s="53"/>
      <c r="EO5" s="53"/>
      <c r="EP5" s="53"/>
      <c r="EQ5" s="53"/>
      <c r="ER5" s="53"/>
      <c r="ES5" s="53"/>
      <c r="ET5" s="53"/>
      <c r="EU5" s="53"/>
      <c r="EV5" s="53"/>
      <c r="EW5" s="53"/>
      <c r="EX5" s="53"/>
      <c r="EY5" s="53"/>
      <c r="EZ5" s="53"/>
      <c r="FA5" s="53"/>
      <c r="FB5" s="53"/>
      <c r="FC5" s="53"/>
      <c r="FD5" s="53"/>
      <c r="FE5" s="53"/>
      <c r="FF5" s="53"/>
      <c r="FG5" s="53"/>
      <c r="FH5" s="53"/>
      <c r="FI5" s="53"/>
      <c r="FJ5" s="53"/>
      <c r="FK5" s="53"/>
      <c r="FL5" s="53"/>
      <c r="FM5" s="53"/>
      <c r="FN5" s="53"/>
      <c r="FO5" s="53"/>
      <c r="FP5" s="53"/>
      <c r="FQ5" s="53"/>
      <c r="FR5" s="53"/>
      <c r="FS5" s="53"/>
      <c r="FT5" s="53"/>
      <c r="FU5" s="53"/>
      <c r="FV5" s="53"/>
      <c r="FW5" s="53"/>
      <c r="FX5" s="53"/>
      <c r="FY5" s="53"/>
      <c r="FZ5" s="53"/>
      <c r="GA5" s="53"/>
      <c r="GB5" s="53"/>
      <c r="GC5" s="53"/>
      <c r="GD5" s="53"/>
      <c r="GE5" s="53"/>
      <c r="GF5" s="53"/>
      <c r="GG5" s="53"/>
      <c r="GH5" s="53"/>
      <c r="GI5" s="53"/>
      <c r="GJ5" s="53"/>
      <c r="GK5" s="53"/>
      <c r="GL5" s="53"/>
      <c r="GM5" s="53"/>
    </row>
    <row r="6" spans="1:195" s="56" customFormat="1" ht="15" customHeight="1">
      <c r="A6" s="231"/>
      <c r="B6" s="447"/>
      <c r="D6" s="834"/>
      <c r="E6" s="834"/>
      <c r="G6" s="2503" t="s">
        <v>9</v>
      </c>
      <c r="H6" s="2503"/>
      <c r="I6" s="2477" t="str">
        <f>IF('1. Encabezado'!T7="","",'1. Encabezado'!T7)</f>
        <v/>
      </c>
      <c r="J6" s="2477"/>
      <c r="K6" s="2477"/>
      <c r="L6" s="835"/>
      <c r="M6" s="653">
        <v>10</v>
      </c>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row>
    <row r="7" spans="1:195" s="56" customFormat="1" ht="15" customHeight="1">
      <c r="A7" s="231"/>
      <c r="B7" s="447"/>
      <c r="C7" s="683"/>
      <c r="D7" s="683"/>
      <c r="E7" s="836"/>
      <c r="G7" s="837"/>
      <c r="H7" s="837"/>
      <c r="I7" s="837"/>
      <c r="J7" s="2808" t="str">
        <f>IF(I6="",M9,CONCATENATE(M5," ",M6," ",M7," ", M8))</f>
        <v>Pagina xx de xx</v>
      </c>
      <c r="K7" s="2808"/>
      <c r="L7" s="835"/>
      <c r="M7" s="394" t="s">
        <v>316</v>
      </c>
    </row>
    <row r="8" spans="1:195" s="56" customFormat="1" ht="15" customHeight="1">
      <c r="A8" s="231"/>
      <c r="B8" s="447"/>
      <c r="C8" s="447"/>
      <c r="D8" s="447"/>
      <c r="E8" s="447"/>
      <c r="F8" s="447"/>
      <c r="G8" s="447"/>
      <c r="H8" s="447"/>
      <c r="I8" s="447"/>
      <c r="J8" s="447"/>
      <c r="K8" s="447"/>
      <c r="L8" s="835"/>
      <c r="M8" s="394">
        <f>IF('1. Encabezado'!AB10="","",'1. Encabezado'!AB10)</f>
        <v>17</v>
      </c>
    </row>
    <row r="9" spans="1:195" s="56" customFormat="1" ht="15" customHeight="1">
      <c r="A9" s="838"/>
      <c r="B9" s="839"/>
      <c r="C9" s="839"/>
      <c r="D9" s="839"/>
      <c r="E9" s="839"/>
      <c r="F9" s="839"/>
      <c r="G9" s="839"/>
      <c r="H9" s="839"/>
      <c r="I9" s="839"/>
      <c r="J9" s="839"/>
      <c r="K9" s="839"/>
      <c r="L9" s="840"/>
      <c r="M9" s="395" t="s">
        <v>317</v>
      </c>
    </row>
    <row r="10" spans="1:195" ht="45" customHeight="1">
      <c r="A10" s="2809" t="s">
        <v>505</v>
      </c>
      <c r="B10" s="2810"/>
      <c r="C10" s="2810"/>
      <c r="D10" s="2810"/>
      <c r="E10" s="2810"/>
      <c r="F10" s="2810"/>
      <c r="G10" s="2810"/>
      <c r="H10" s="2811"/>
      <c r="I10" s="2812" t="s">
        <v>57</v>
      </c>
      <c r="J10" s="2813"/>
      <c r="K10" s="2814" t="s">
        <v>201</v>
      </c>
      <c r="L10" s="2815"/>
      <c r="M10" s="2819" t="s">
        <v>506</v>
      </c>
      <c r="N10" s="2820"/>
      <c r="O10" s="2820"/>
    </row>
    <row r="11" spans="1:195" ht="45" customHeight="1">
      <c r="A11" s="2829" t="s">
        <v>156</v>
      </c>
      <c r="B11" s="2830"/>
      <c r="C11" s="2830"/>
      <c r="D11" s="2830"/>
      <c r="E11" s="2830"/>
      <c r="F11" s="2830"/>
      <c r="G11" s="2830"/>
      <c r="H11" s="841" t="s">
        <v>58</v>
      </c>
      <c r="I11" s="2823" t="str">
        <f>++IF(M11="","",AVERAGE(M11:O11))</f>
        <v/>
      </c>
      <c r="J11" s="2824"/>
      <c r="K11" s="2823"/>
      <c r="L11" s="2824"/>
      <c r="M11" s="842"/>
      <c r="N11" s="842"/>
      <c r="O11" s="842"/>
    </row>
    <row r="12" spans="1:195" ht="45" customHeight="1">
      <c r="A12" s="2821" t="s">
        <v>222</v>
      </c>
      <c r="B12" s="2822"/>
      <c r="C12" s="2822"/>
      <c r="D12" s="2822"/>
      <c r="E12" s="2822"/>
      <c r="F12" s="2822"/>
      <c r="G12" s="2822"/>
      <c r="H12" s="841" t="s">
        <v>58</v>
      </c>
      <c r="I12" s="2823" t="str">
        <f>++IF(M12="","",AVERAGE(M12:O12))</f>
        <v/>
      </c>
      <c r="J12" s="2824"/>
      <c r="K12" s="2825"/>
      <c r="L12" s="2826"/>
      <c r="M12" s="842"/>
      <c r="N12" s="842"/>
      <c r="O12" s="842"/>
    </row>
    <row r="13" spans="1:195" ht="45" customHeight="1">
      <c r="A13" s="2821" t="s">
        <v>223</v>
      </c>
      <c r="B13" s="2822"/>
      <c r="C13" s="2822"/>
      <c r="D13" s="2822"/>
      <c r="E13" s="2822"/>
      <c r="F13" s="2822"/>
      <c r="G13" s="2822"/>
      <c r="H13" s="841" t="s">
        <v>58</v>
      </c>
      <c r="I13" s="2827" t="str">
        <f>IF(I11="","",(I11-I12))</f>
        <v/>
      </c>
      <c r="J13" s="2828"/>
      <c r="K13" s="2827" t="str">
        <f>IF(K11="","",(K11-K12))</f>
        <v/>
      </c>
      <c r="L13" s="2828"/>
    </row>
    <row r="14" spans="1:195" ht="45" customHeight="1">
      <c r="A14" s="2831" t="s">
        <v>59</v>
      </c>
      <c r="B14" s="2832"/>
      <c r="C14" s="2832"/>
      <c r="D14" s="2832"/>
      <c r="E14" s="2832"/>
      <c r="F14" s="2832"/>
      <c r="G14" s="2832"/>
      <c r="H14" s="57" t="s">
        <v>60</v>
      </c>
      <c r="I14" s="2823" t="str">
        <f>++IF(M14="","",AVERAGE(M14:O14))</f>
        <v/>
      </c>
      <c r="J14" s="2824"/>
      <c r="K14" s="2823"/>
      <c r="L14" s="2824"/>
      <c r="M14" s="842"/>
      <c r="N14" s="842"/>
      <c r="O14" s="842"/>
    </row>
    <row r="15" spans="1:195" ht="45" customHeight="1">
      <c r="A15" s="2831" t="s">
        <v>199</v>
      </c>
      <c r="B15" s="2832"/>
      <c r="C15" s="2832"/>
      <c r="D15" s="2832"/>
      <c r="E15" s="2832"/>
      <c r="F15" s="2832"/>
      <c r="G15" s="2832"/>
      <c r="H15" s="57" t="s">
        <v>61</v>
      </c>
      <c r="I15" s="2823" t="str">
        <f>++IF(M15="","",AVERAGE(M15:O15))</f>
        <v/>
      </c>
      <c r="J15" s="2824"/>
      <c r="K15" s="2823"/>
      <c r="L15" s="2824"/>
      <c r="M15" s="842"/>
      <c r="N15" s="842"/>
      <c r="O15" s="842"/>
    </row>
    <row r="16" spans="1:195" ht="45" customHeight="1">
      <c r="A16" s="2833" t="s">
        <v>198</v>
      </c>
      <c r="B16" s="2834"/>
      <c r="C16" s="2834"/>
      <c r="D16" s="2834"/>
      <c r="E16" s="2834"/>
      <c r="F16" s="2834"/>
      <c r="G16" s="2834"/>
      <c r="H16" s="57" t="s">
        <v>62</v>
      </c>
      <c r="I16" s="2827" t="str">
        <f>IF(I11="","",(I13/I11*100))</f>
        <v/>
      </c>
      <c r="J16" s="2828"/>
      <c r="K16" s="2827" t="str">
        <f>IF(K11="","",(K13/K11*100))</f>
        <v/>
      </c>
      <c r="L16" s="2828"/>
    </row>
    <row r="17" spans="1:13" ht="45" customHeight="1">
      <c r="A17" s="2833" t="s">
        <v>200</v>
      </c>
      <c r="B17" s="2834"/>
      <c r="C17" s="2834"/>
      <c r="D17" s="2834"/>
      <c r="E17" s="2834"/>
      <c r="F17" s="2834"/>
      <c r="G17" s="2834"/>
      <c r="H17" s="57" t="s">
        <v>61</v>
      </c>
      <c r="I17" s="2835" t="str">
        <f>IF(OR(I15="",I16=""),"",((14*I15)/(I16+4)))</f>
        <v/>
      </c>
      <c r="J17" s="2836"/>
      <c r="K17" s="2835" t="str">
        <f>IF(OR(K15="",K16=""),"",((14*K15)/(K16+4)))</f>
        <v/>
      </c>
      <c r="L17" s="2836"/>
    </row>
    <row r="18" spans="1:13" ht="45" customHeight="1">
      <c r="A18" s="2831" t="s">
        <v>63</v>
      </c>
      <c r="B18" s="2832"/>
      <c r="C18" s="2832"/>
      <c r="D18" s="2832"/>
      <c r="E18" s="2832"/>
      <c r="F18" s="2832"/>
      <c r="G18" s="2832"/>
      <c r="H18" s="57" t="s">
        <v>62</v>
      </c>
      <c r="I18" s="2839" t="str">
        <f>IF(I17="","",(K17/I17*100))</f>
        <v/>
      </c>
      <c r="J18" s="2840"/>
      <c r="K18" s="2840"/>
      <c r="L18" s="2841"/>
    </row>
    <row r="19" spans="1:13" ht="15" customHeight="1">
      <c r="A19" s="843"/>
      <c r="B19" s="844"/>
      <c r="C19" s="844"/>
      <c r="D19" s="844"/>
      <c r="E19" s="844"/>
      <c r="F19" s="844"/>
      <c r="G19" s="844"/>
      <c r="H19" s="845"/>
      <c r="I19" s="846"/>
      <c r="J19" s="846"/>
      <c r="K19" s="846"/>
      <c r="L19" s="847"/>
    </row>
    <row r="20" spans="1:13" ht="15" customHeight="1">
      <c r="A20" s="848"/>
      <c r="B20" s="2842" t="s">
        <v>169</v>
      </c>
      <c r="C20" s="2842"/>
      <c r="D20" s="2842"/>
      <c r="E20" s="2842"/>
      <c r="F20" s="1332"/>
      <c r="G20" s="849" t="str">
        <f>IF(F20="","","al")</f>
        <v/>
      </c>
      <c r="H20" s="2846"/>
      <c r="I20" s="2846"/>
      <c r="J20" s="851"/>
      <c r="K20" s="851"/>
      <c r="L20" s="852"/>
    </row>
    <row r="21" spans="1:13" ht="15" customHeight="1">
      <c r="A21" s="848"/>
      <c r="B21" s="849"/>
      <c r="C21" s="849"/>
      <c r="D21" s="849"/>
      <c r="E21" s="849"/>
      <c r="F21" s="849"/>
      <c r="G21" s="849"/>
      <c r="H21" s="850"/>
      <c r="I21" s="851"/>
      <c r="J21" s="851"/>
      <c r="K21" s="851"/>
      <c r="L21" s="852"/>
    </row>
    <row r="22" spans="1:13" s="31" customFormat="1" ht="15" customHeight="1">
      <c r="A22" s="853"/>
      <c r="B22" s="2411" t="s">
        <v>10</v>
      </c>
      <c r="C22" s="2411"/>
      <c r="D22" s="2411"/>
      <c r="E22" s="2843"/>
      <c r="F22" s="2843"/>
      <c r="G22" s="2843"/>
      <c r="H22" s="2843"/>
      <c r="I22" s="2843"/>
      <c r="J22" s="2843"/>
      <c r="K22" s="2843"/>
      <c r="L22" s="854"/>
    </row>
    <row r="23" spans="1:13" s="58" customFormat="1" ht="15" customHeight="1">
      <c r="A23" s="855"/>
      <c r="B23" s="2844"/>
      <c r="C23" s="2844"/>
      <c r="D23" s="2844"/>
      <c r="E23" s="2844"/>
      <c r="F23" s="2844"/>
      <c r="G23" s="2844"/>
      <c r="H23" s="2844"/>
      <c r="I23" s="2844"/>
      <c r="J23" s="2844"/>
      <c r="K23" s="2844"/>
      <c r="L23" s="856"/>
    </row>
    <row r="24" spans="1:13" s="58" customFormat="1" ht="15" customHeight="1">
      <c r="A24" s="855"/>
      <c r="B24" s="2844"/>
      <c r="C24" s="2844"/>
      <c r="D24" s="2844"/>
      <c r="E24" s="2844"/>
      <c r="F24" s="2844"/>
      <c r="G24" s="2844"/>
      <c r="H24" s="2844"/>
      <c r="I24" s="2844"/>
      <c r="J24" s="2844"/>
      <c r="K24" s="2844"/>
      <c r="L24" s="856"/>
    </row>
    <row r="25" spans="1:13" s="58" customFormat="1" ht="15" customHeight="1" thickBot="1">
      <c r="A25" s="857"/>
      <c r="B25" s="2845"/>
      <c r="C25" s="2845"/>
      <c r="D25" s="2845"/>
      <c r="E25" s="2845"/>
      <c r="F25" s="2845"/>
      <c r="G25" s="2845"/>
      <c r="H25" s="2845"/>
      <c r="I25" s="2845"/>
      <c r="J25" s="2845"/>
      <c r="K25" s="2845"/>
      <c r="L25" s="858"/>
    </row>
    <row r="26" spans="1:13" s="58" customFormat="1" ht="15" customHeight="1" thickTop="1" thickBot="1">
      <c r="A26" s="2837" t="s">
        <v>13</v>
      </c>
      <c r="B26" s="2837"/>
      <c r="C26" s="2837"/>
      <c r="D26" s="2837"/>
      <c r="E26" s="2837"/>
      <c r="F26" s="2837"/>
      <c r="G26" s="2837"/>
      <c r="H26" s="2837"/>
      <c r="I26" s="2837"/>
      <c r="J26" s="2837"/>
      <c r="K26" s="2837"/>
      <c r="L26" s="2837"/>
    </row>
    <row r="27" spans="1:13" s="58" customFormat="1" ht="15" customHeight="1" thickTop="1">
      <c r="A27" s="2838"/>
      <c r="B27" s="2838"/>
      <c r="C27" s="2838"/>
      <c r="D27" s="2838"/>
      <c r="E27" s="2838"/>
      <c r="F27" s="2838"/>
      <c r="G27" s="2838"/>
      <c r="H27" s="2838"/>
      <c r="I27" s="2838"/>
      <c r="J27" s="2838"/>
      <c r="K27" s="2838"/>
      <c r="L27" s="2838"/>
    </row>
    <row r="28" spans="1:13" s="59" customFormat="1" ht="15" customHeight="1">
      <c r="A28" s="1977" t="s">
        <v>306</v>
      </c>
      <c r="B28" s="1977"/>
      <c r="C28" s="1977"/>
      <c r="D28" s="1977"/>
      <c r="E28" s="1977"/>
      <c r="F28" s="1977"/>
      <c r="G28" s="1977"/>
      <c r="H28" s="1977"/>
      <c r="I28" s="1977"/>
      <c r="J28" s="1977"/>
      <c r="K28" s="1977"/>
      <c r="L28" s="1977"/>
    </row>
    <row r="29" spans="1:13" s="58" customFormat="1" ht="15" customHeight="1">
      <c r="A29" s="1977"/>
      <c r="B29" s="1977"/>
      <c r="C29" s="1977"/>
      <c r="D29" s="1977"/>
      <c r="E29" s="1977"/>
      <c r="F29" s="1977"/>
      <c r="G29" s="1977"/>
      <c r="H29" s="1977"/>
      <c r="I29" s="1977"/>
      <c r="J29" s="1977"/>
      <c r="K29" s="1977"/>
      <c r="L29" s="1977"/>
    </row>
    <row r="30" spans="1:13" s="58" customFormat="1" ht="15" customHeight="1">
      <c r="A30" s="54"/>
      <c r="B30" s="54"/>
      <c r="C30" s="54"/>
      <c r="D30" s="54"/>
      <c r="E30" s="54"/>
      <c r="F30" s="54"/>
      <c r="G30" s="54"/>
      <c r="H30" s="54"/>
      <c r="I30" s="54"/>
      <c r="J30" s="54"/>
      <c r="K30" s="54"/>
      <c r="L30" s="54"/>
      <c r="M30" s="58" t="s">
        <v>197</v>
      </c>
    </row>
  </sheetData>
  <sheetProtection algorithmName="SHA-512" hashValue="kHEto9CqDGbF8VcdFvj/k47FobHAS+oui1frKvOMbIFh9noYXgAnTQtRg5JZMxV6kA6MXKUFnebbfnucDYd3Lg==" saltValue="ER88kb9BNDn/MMtOHrbe5w==" spinCount="100000" sheet="1" objects="1" scenarios="1"/>
  <mergeCells count="42">
    <mergeCell ref="A26:L26"/>
    <mergeCell ref="A27:L27"/>
    <mergeCell ref="A28:L29"/>
    <mergeCell ref="A18:G18"/>
    <mergeCell ref="I18:L18"/>
    <mergeCell ref="B20:E20"/>
    <mergeCell ref="B22:D22"/>
    <mergeCell ref="E22:K22"/>
    <mergeCell ref="B23:K25"/>
    <mergeCell ref="H20:I20"/>
    <mergeCell ref="A16:G16"/>
    <mergeCell ref="I16:J16"/>
    <mergeCell ref="K16:L16"/>
    <mergeCell ref="A17:G17"/>
    <mergeCell ref="I17:J17"/>
    <mergeCell ref="K17:L17"/>
    <mergeCell ref="A14:G14"/>
    <mergeCell ref="I14:J14"/>
    <mergeCell ref="K14:L14"/>
    <mergeCell ref="A15:G15"/>
    <mergeCell ref="I15:J15"/>
    <mergeCell ref="K15:L15"/>
    <mergeCell ref="M10:O10"/>
    <mergeCell ref="A12:G12"/>
    <mergeCell ref="I12:J12"/>
    <mergeCell ref="K12:L12"/>
    <mergeCell ref="A13:G13"/>
    <mergeCell ref="I13:J13"/>
    <mergeCell ref="K13:L13"/>
    <mergeCell ref="A11:G11"/>
    <mergeCell ref="I11:J11"/>
    <mergeCell ref="K11:L11"/>
    <mergeCell ref="J7:K7"/>
    <mergeCell ref="A10:H10"/>
    <mergeCell ref="I10:J10"/>
    <mergeCell ref="K10:L10"/>
    <mergeCell ref="D1:L2"/>
    <mergeCell ref="D3:J3"/>
    <mergeCell ref="K3:L3"/>
    <mergeCell ref="D4:L4"/>
    <mergeCell ref="G6:H6"/>
    <mergeCell ref="I6:K6"/>
  </mergeCells>
  <printOptions horizontalCentered="1"/>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H50"/>
  <sheetViews>
    <sheetView showGridLines="0" view="pageBreakPreview" topLeftCell="A25" zoomScaleSheetLayoutView="100" workbookViewId="0">
      <selection activeCell="N35" sqref="N35"/>
    </sheetView>
  </sheetViews>
  <sheetFormatPr baseColWidth="10" defaultColWidth="2.7109375" defaultRowHeight="12.95" customHeight="1"/>
  <cols>
    <col min="1" max="4" width="4.5703125" style="751" customWidth="1"/>
    <col min="5" max="5" width="2.85546875" style="751" customWidth="1"/>
    <col min="6" max="6" width="7" style="751" customWidth="1"/>
    <col min="7" max="7" width="4.7109375" style="751" customWidth="1"/>
    <col min="8" max="8" width="3.85546875" style="751" customWidth="1"/>
    <col min="9" max="9" width="4" style="751" customWidth="1"/>
    <col min="10" max="10" width="4.140625" style="751" customWidth="1"/>
    <col min="11" max="11" width="2.28515625" style="751" customWidth="1"/>
    <col min="12" max="12" width="3.140625" style="751" customWidth="1"/>
    <col min="13" max="13" width="2.42578125" style="751" customWidth="1"/>
    <col min="14" max="14" width="3.85546875" style="751" customWidth="1"/>
    <col min="15" max="15" width="3.28515625" style="751" customWidth="1"/>
    <col min="16" max="16" width="3.42578125" style="751" customWidth="1"/>
    <col min="17" max="17" width="3" style="751" customWidth="1"/>
    <col min="18" max="18" width="2.7109375" style="751" customWidth="1"/>
    <col min="19" max="19" width="3" style="751" customWidth="1"/>
    <col min="20" max="20" width="3.140625" style="751" customWidth="1"/>
    <col min="21" max="21" width="4.28515625" style="751" customWidth="1"/>
    <col min="22" max="22" width="5.85546875" style="751" customWidth="1"/>
    <col min="23" max="23" width="3.28515625" style="751" customWidth="1"/>
    <col min="24" max="24" width="2.85546875" style="751" customWidth="1"/>
    <col min="25" max="26" width="2.42578125" style="751" customWidth="1"/>
    <col min="27" max="27" width="14" style="751" customWidth="1"/>
    <col min="28" max="28" width="4" style="751" bestFit="1" customWidth="1"/>
    <col min="29" max="29" width="9.28515625" style="751" customWidth="1"/>
    <col min="30" max="30" width="12.5703125" style="751" customWidth="1"/>
    <col min="31" max="256" width="2.7109375" style="751"/>
    <col min="257" max="282" width="4.5703125" style="751" customWidth="1"/>
    <col min="283" max="512" width="2.7109375" style="751"/>
    <col min="513" max="538" width="4.5703125" style="751" customWidth="1"/>
    <col min="539" max="768" width="2.7109375" style="751"/>
    <col min="769" max="794" width="4.5703125" style="751" customWidth="1"/>
    <col min="795" max="1024" width="2.7109375" style="751"/>
    <col min="1025" max="1050" width="4.5703125" style="751" customWidth="1"/>
    <col min="1051" max="1280" width="2.7109375" style="751"/>
    <col min="1281" max="1306" width="4.5703125" style="751" customWidth="1"/>
    <col min="1307" max="1536" width="2.7109375" style="751"/>
    <col min="1537" max="1562" width="4.5703125" style="751" customWidth="1"/>
    <col min="1563" max="1792" width="2.7109375" style="751"/>
    <col min="1793" max="1818" width="4.5703125" style="751" customWidth="1"/>
    <col min="1819" max="2048" width="2.7109375" style="751"/>
    <col min="2049" max="2074" width="4.5703125" style="751" customWidth="1"/>
    <col min="2075" max="2304" width="2.7109375" style="751"/>
    <col min="2305" max="2330" width="4.5703125" style="751" customWidth="1"/>
    <col min="2331" max="2560" width="2.7109375" style="751"/>
    <col min="2561" max="2586" width="4.5703125" style="751" customWidth="1"/>
    <col min="2587" max="2816" width="2.7109375" style="751"/>
    <col min="2817" max="2842" width="4.5703125" style="751" customWidth="1"/>
    <col min="2843" max="3072" width="2.7109375" style="751"/>
    <col min="3073" max="3098" width="4.5703125" style="751" customWidth="1"/>
    <col min="3099" max="3328" width="2.7109375" style="751"/>
    <col min="3329" max="3354" width="4.5703125" style="751" customWidth="1"/>
    <col min="3355" max="3584" width="2.7109375" style="751"/>
    <col min="3585" max="3610" width="4.5703125" style="751" customWidth="1"/>
    <col min="3611" max="3840" width="2.7109375" style="751"/>
    <col min="3841" max="3866" width="4.5703125" style="751" customWidth="1"/>
    <col min="3867" max="4096" width="2.7109375" style="751"/>
    <col min="4097" max="4122" width="4.5703125" style="751" customWidth="1"/>
    <col min="4123" max="4352" width="2.7109375" style="751"/>
    <col min="4353" max="4378" width="4.5703125" style="751" customWidth="1"/>
    <col min="4379" max="4608" width="2.7109375" style="751"/>
    <col min="4609" max="4634" width="4.5703125" style="751" customWidth="1"/>
    <col min="4635" max="4864" width="2.7109375" style="751"/>
    <col min="4865" max="4890" width="4.5703125" style="751" customWidth="1"/>
    <col min="4891" max="5120" width="2.7109375" style="751"/>
    <col min="5121" max="5146" width="4.5703125" style="751" customWidth="1"/>
    <col min="5147" max="5376" width="2.7109375" style="751"/>
    <col min="5377" max="5402" width="4.5703125" style="751" customWidth="1"/>
    <col min="5403" max="5632" width="2.7109375" style="751"/>
    <col min="5633" max="5658" width="4.5703125" style="751" customWidth="1"/>
    <col min="5659" max="5888" width="2.7109375" style="751"/>
    <col min="5889" max="5914" width="4.5703125" style="751" customWidth="1"/>
    <col min="5915" max="6144" width="2.7109375" style="751"/>
    <col min="6145" max="6170" width="4.5703125" style="751" customWidth="1"/>
    <col min="6171" max="6400" width="2.7109375" style="751"/>
    <col min="6401" max="6426" width="4.5703125" style="751" customWidth="1"/>
    <col min="6427" max="6656" width="2.7109375" style="751"/>
    <col min="6657" max="6682" width="4.5703125" style="751" customWidth="1"/>
    <col min="6683" max="6912" width="2.7109375" style="751"/>
    <col min="6913" max="6938" width="4.5703125" style="751" customWidth="1"/>
    <col min="6939" max="7168" width="2.7109375" style="751"/>
    <col min="7169" max="7194" width="4.5703125" style="751" customWidth="1"/>
    <col min="7195" max="7424" width="2.7109375" style="751"/>
    <col min="7425" max="7450" width="4.5703125" style="751" customWidth="1"/>
    <col min="7451" max="7680" width="2.7109375" style="751"/>
    <col min="7681" max="7706" width="4.5703125" style="751" customWidth="1"/>
    <col min="7707" max="7936" width="2.7109375" style="751"/>
    <col min="7937" max="7962" width="4.5703125" style="751" customWidth="1"/>
    <col min="7963" max="8192" width="2.7109375" style="751"/>
    <col min="8193" max="8218" width="4.5703125" style="751" customWidth="1"/>
    <col min="8219" max="8448" width="2.7109375" style="751"/>
    <col min="8449" max="8474" width="4.5703125" style="751" customWidth="1"/>
    <col min="8475" max="8704" width="2.7109375" style="751"/>
    <col min="8705" max="8730" width="4.5703125" style="751" customWidth="1"/>
    <col min="8731" max="8960" width="2.7109375" style="751"/>
    <col min="8961" max="8986" width="4.5703125" style="751" customWidth="1"/>
    <col min="8987" max="9216" width="2.7109375" style="751"/>
    <col min="9217" max="9242" width="4.5703125" style="751" customWidth="1"/>
    <col min="9243" max="9472" width="2.7109375" style="751"/>
    <col min="9473" max="9498" width="4.5703125" style="751" customWidth="1"/>
    <col min="9499" max="9728" width="2.7109375" style="751"/>
    <col min="9729" max="9754" width="4.5703125" style="751" customWidth="1"/>
    <col min="9755" max="9984" width="2.7109375" style="751"/>
    <col min="9985" max="10010" width="4.5703125" style="751" customWidth="1"/>
    <col min="10011" max="10240" width="2.7109375" style="751"/>
    <col min="10241" max="10266" width="4.5703125" style="751" customWidth="1"/>
    <col min="10267" max="10496" width="2.7109375" style="751"/>
    <col min="10497" max="10522" width="4.5703125" style="751" customWidth="1"/>
    <col min="10523" max="10752" width="2.7109375" style="751"/>
    <col min="10753" max="10778" width="4.5703125" style="751" customWidth="1"/>
    <col min="10779" max="11008" width="2.7109375" style="751"/>
    <col min="11009" max="11034" width="4.5703125" style="751" customWidth="1"/>
    <col min="11035" max="11264" width="2.7109375" style="751"/>
    <col min="11265" max="11290" width="4.5703125" style="751" customWidth="1"/>
    <col min="11291" max="11520" width="2.7109375" style="751"/>
    <col min="11521" max="11546" width="4.5703125" style="751" customWidth="1"/>
    <col min="11547" max="11776" width="2.7109375" style="751"/>
    <col min="11777" max="11802" width="4.5703125" style="751" customWidth="1"/>
    <col min="11803" max="12032" width="2.7109375" style="751"/>
    <col min="12033" max="12058" width="4.5703125" style="751" customWidth="1"/>
    <col min="12059" max="12288" width="2.7109375" style="751"/>
    <col min="12289" max="12314" width="4.5703125" style="751" customWidth="1"/>
    <col min="12315" max="12544" width="2.7109375" style="751"/>
    <col min="12545" max="12570" width="4.5703125" style="751" customWidth="1"/>
    <col min="12571" max="12800" width="2.7109375" style="751"/>
    <col min="12801" max="12826" width="4.5703125" style="751" customWidth="1"/>
    <col min="12827" max="13056" width="2.7109375" style="751"/>
    <col min="13057" max="13082" width="4.5703125" style="751" customWidth="1"/>
    <col min="13083" max="13312" width="2.7109375" style="751"/>
    <col min="13313" max="13338" width="4.5703125" style="751" customWidth="1"/>
    <col min="13339" max="13568" width="2.7109375" style="751"/>
    <col min="13569" max="13594" width="4.5703125" style="751" customWidth="1"/>
    <col min="13595" max="13824" width="2.7109375" style="751"/>
    <col min="13825" max="13850" width="4.5703125" style="751" customWidth="1"/>
    <col min="13851" max="14080" width="2.7109375" style="751"/>
    <col min="14081" max="14106" width="4.5703125" style="751" customWidth="1"/>
    <col min="14107" max="14336" width="2.7109375" style="751"/>
    <col min="14337" max="14362" width="4.5703125" style="751" customWidth="1"/>
    <col min="14363" max="14592" width="2.7109375" style="751"/>
    <col min="14593" max="14618" width="4.5703125" style="751" customWidth="1"/>
    <col min="14619" max="14848" width="2.7109375" style="751"/>
    <col min="14849" max="14874" width="4.5703125" style="751" customWidth="1"/>
    <col min="14875" max="15104" width="2.7109375" style="751"/>
    <col min="15105" max="15130" width="4.5703125" style="751" customWidth="1"/>
    <col min="15131" max="15360" width="2.7109375" style="751"/>
    <col min="15361" max="15386" width="4.5703125" style="751" customWidth="1"/>
    <col min="15387" max="15616" width="2.7109375" style="751"/>
    <col min="15617" max="15642" width="4.5703125" style="751" customWidth="1"/>
    <col min="15643" max="15872" width="2.7109375" style="751"/>
    <col min="15873" max="15898" width="4.5703125" style="751" customWidth="1"/>
    <col min="15899" max="16128" width="2.7109375" style="751"/>
    <col min="16129" max="16154" width="4.5703125" style="751" customWidth="1"/>
    <col min="16155" max="16384" width="2.7109375" style="751"/>
  </cols>
  <sheetData>
    <row r="1" spans="1:57" ht="15" customHeight="1">
      <c r="A1" s="2847"/>
      <c r="B1" s="2848"/>
      <c r="C1" s="2849"/>
      <c r="D1" s="2856" t="s">
        <v>484</v>
      </c>
      <c r="E1" s="2857"/>
      <c r="F1" s="2857"/>
      <c r="G1" s="2857"/>
      <c r="H1" s="2857"/>
      <c r="I1" s="2857"/>
      <c r="J1" s="2857"/>
      <c r="K1" s="2857"/>
      <c r="L1" s="2857"/>
      <c r="M1" s="2857"/>
      <c r="N1" s="2857"/>
      <c r="O1" s="2857"/>
      <c r="P1" s="2857"/>
      <c r="Q1" s="2857"/>
      <c r="R1" s="2857"/>
      <c r="S1" s="2857"/>
      <c r="T1" s="2857"/>
      <c r="U1" s="2857"/>
      <c r="V1" s="2857"/>
      <c r="W1" s="2857"/>
      <c r="X1" s="2857"/>
      <c r="Y1" s="2857"/>
      <c r="Z1" s="2858"/>
      <c r="AG1" s="752"/>
      <c r="AH1" s="752"/>
      <c r="AI1" s="752"/>
      <c r="AJ1" s="752"/>
      <c r="AK1" s="753"/>
      <c r="AL1" s="753"/>
      <c r="AM1" s="753"/>
      <c r="AN1" s="753"/>
      <c r="AO1" s="753"/>
      <c r="AP1" s="753"/>
      <c r="AQ1" s="753"/>
      <c r="AR1" s="753"/>
      <c r="AS1" s="753"/>
      <c r="AT1" s="753"/>
      <c r="AU1" s="753"/>
      <c r="AV1" s="753"/>
      <c r="AW1" s="753"/>
      <c r="AX1" s="753"/>
      <c r="AY1" s="753"/>
      <c r="AZ1" s="753"/>
      <c r="BA1" s="753"/>
    </row>
    <row r="2" spans="1:57" ht="27.95" customHeight="1">
      <c r="A2" s="2850"/>
      <c r="B2" s="2851"/>
      <c r="C2" s="2852"/>
      <c r="D2" s="2859"/>
      <c r="E2" s="2860"/>
      <c r="F2" s="2860"/>
      <c r="G2" s="2860"/>
      <c r="H2" s="2860"/>
      <c r="I2" s="2860"/>
      <c r="J2" s="2860"/>
      <c r="K2" s="2860"/>
      <c r="L2" s="2860"/>
      <c r="M2" s="2860"/>
      <c r="N2" s="2860"/>
      <c r="O2" s="2860"/>
      <c r="P2" s="2860"/>
      <c r="Q2" s="2860"/>
      <c r="R2" s="2860"/>
      <c r="S2" s="2860"/>
      <c r="T2" s="2860"/>
      <c r="U2" s="2860"/>
      <c r="V2" s="2860"/>
      <c r="W2" s="2860"/>
      <c r="X2" s="2860"/>
      <c r="Y2" s="2860"/>
      <c r="Z2" s="2861"/>
      <c r="AG2" s="752"/>
      <c r="AH2" s="752"/>
      <c r="AI2" s="752"/>
      <c r="AJ2" s="752"/>
      <c r="AK2" s="753"/>
      <c r="AL2" s="753"/>
      <c r="AM2" s="753"/>
      <c r="AN2" s="753"/>
      <c r="AO2" s="753"/>
      <c r="AP2" s="753"/>
      <c r="AQ2" s="753"/>
      <c r="AR2" s="753"/>
      <c r="AS2" s="753"/>
      <c r="AT2" s="753"/>
      <c r="AU2" s="753"/>
      <c r="AV2" s="753"/>
      <c r="AW2" s="753"/>
      <c r="AX2" s="753"/>
      <c r="AY2" s="753"/>
      <c r="AZ2" s="753"/>
      <c r="BA2" s="753"/>
    </row>
    <row r="3" spans="1:57" ht="15" customHeight="1">
      <c r="A3" s="2850"/>
      <c r="B3" s="2851"/>
      <c r="C3" s="2852"/>
      <c r="D3" s="2862" t="s">
        <v>485</v>
      </c>
      <c r="E3" s="2862"/>
      <c r="F3" s="2862"/>
      <c r="G3" s="2862"/>
      <c r="H3" s="2862"/>
      <c r="I3" s="2862"/>
      <c r="J3" s="2862"/>
      <c r="K3" s="2862"/>
      <c r="L3" s="2862"/>
      <c r="M3" s="2862"/>
      <c r="N3" s="2862"/>
      <c r="O3" s="2862"/>
      <c r="P3" s="2862"/>
      <c r="Q3" s="2862" t="s">
        <v>486</v>
      </c>
      <c r="R3" s="2862"/>
      <c r="S3" s="2862"/>
      <c r="T3" s="2862"/>
      <c r="U3" s="2862"/>
      <c r="V3" s="2862"/>
      <c r="W3" s="2862"/>
      <c r="X3" s="2862"/>
      <c r="Y3" s="2862"/>
      <c r="Z3" s="2862"/>
      <c r="AG3" s="752"/>
      <c r="AH3" s="752"/>
      <c r="AI3" s="752"/>
      <c r="AJ3" s="752"/>
      <c r="AK3" s="753"/>
      <c r="AL3" s="753"/>
      <c r="AM3" s="753"/>
      <c r="AN3" s="753"/>
      <c r="AO3" s="753"/>
      <c r="AP3" s="753"/>
      <c r="AQ3" s="753"/>
      <c r="AR3" s="753"/>
      <c r="AS3" s="753"/>
      <c r="AT3" s="753"/>
      <c r="AU3" s="753"/>
      <c r="AV3" s="753"/>
      <c r="AW3" s="753"/>
      <c r="AX3" s="753"/>
      <c r="AY3" s="753"/>
      <c r="AZ3" s="753"/>
      <c r="BA3" s="753"/>
    </row>
    <row r="4" spans="1:57" ht="12.95" customHeight="1">
      <c r="A4" s="2853"/>
      <c r="B4" s="2854"/>
      <c r="C4" s="2855"/>
      <c r="D4" s="2863" t="s">
        <v>313</v>
      </c>
      <c r="E4" s="2863"/>
      <c r="F4" s="2863"/>
      <c r="G4" s="2863"/>
      <c r="H4" s="2863"/>
      <c r="I4" s="2863"/>
      <c r="J4" s="2863"/>
      <c r="K4" s="2863"/>
      <c r="L4" s="2863"/>
      <c r="M4" s="2863"/>
      <c r="N4" s="2863"/>
      <c r="O4" s="2863"/>
      <c r="P4" s="2863"/>
      <c r="Q4" s="2863"/>
      <c r="R4" s="2863"/>
      <c r="S4" s="2863"/>
      <c r="T4" s="2863"/>
      <c r="U4" s="2863"/>
      <c r="V4" s="2863"/>
      <c r="W4" s="2863"/>
      <c r="X4" s="2863"/>
      <c r="Y4" s="2863"/>
      <c r="Z4" s="2863"/>
      <c r="AA4" s="754"/>
      <c r="AC4" s="751" t="s">
        <v>487</v>
      </c>
      <c r="AD4" s="751" t="s">
        <v>488</v>
      </c>
      <c r="AG4" s="755"/>
      <c r="AH4" s="755"/>
      <c r="AI4" s="755"/>
      <c r="AJ4" s="756"/>
      <c r="AK4" s="757"/>
      <c r="AL4" s="757"/>
      <c r="AM4" s="757"/>
      <c r="AN4" s="757"/>
      <c r="AO4" s="757"/>
      <c r="AP4" s="757"/>
      <c r="AQ4" s="757"/>
      <c r="AR4" s="757"/>
      <c r="AS4" s="757"/>
      <c r="AT4" s="757"/>
      <c r="AU4" s="757"/>
      <c r="AV4" s="757"/>
      <c r="AW4" s="757"/>
      <c r="AX4" s="758"/>
      <c r="AY4" s="758"/>
      <c r="AZ4" s="758"/>
      <c r="BA4" s="758"/>
      <c r="BB4" s="754"/>
      <c r="BC4" s="754"/>
      <c r="BD4" s="754"/>
      <c r="BE4" s="754"/>
    </row>
    <row r="5" spans="1:57" ht="12.95" customHeight="1">
      <c r="A5" s="759"/>
      <c r="B5" s="760"/>
      <c r="C5" s="760"/>
      <c r="D5" s="683"/>
      <c r="E5" s="683"/>
      <c r="F5" s="683"/>
      <c r="G5" s="683"/>
      <c r="H5" s="683"/>
      <c r="I5" s="683"/>
      <c r="J5" s="683"/>
      <c r="K5" s="683"/>
      <c r="L5" s="683"/>
      <c r="M5" s="683"/>
      <c r="N5" s="683"/>
      <c r="O5" s="683"/>
      <c r="P5" s="683"/>
      <c r="Q5" s="683"/>
      <c r="R5" s="683"/>
      <c r="S5" s="385"/>
      <c r="T5" s="385"/>
      <c r="U5" s="385"/>
      <c r="V5" s="385"/>
      <c r="W5" s="670"/>
      <c r="X5" s="670"/>
      <c r="Y5" s="670"/>
      <c r="Z5" s="761"/>
      <c r="AA5" s="392" t="s">
        <v>314</v>
      </c>
      <c r="AC5" s="762" t="s">
        <v>26</v>
      </c>
      <c r="AD5" s="763">
        <v>12</v>
      </c>
      <c r="AG5" s="764"/>
      <c r="AH5" s="764"/>
      <c r="AI5" s="764"/>
      <c r="AJ5" s="764"/>
      <c r="AK5" s="764"/>
      <c r="AL5" s="764"/>
      <c r="AM5" s="764"/>
      <c r="AN5" s="764"/>
      <c r="AO5" s="764"/>
      <c r="AP5" s="764"/>
      <c r="AQ5" s="764"/>
      <c r="AR5" s="764"/>
      <c r="AS5" s="764"/>
      <c r="AT5" s="765"/>
      <c r="AU5" s="766"/>
      <c r="AV5" s="766"/>
      <c r="AW5" s="767"/>
      <c r="AX5" s="767"/>
      <c r="AY5" s="767"/>
      <c r="AZ5" s="767"/>
      <c r="BA5" s="767"/>
      <c r="BB5" s="754"/>
      <c r="BC5" s="754"/>
      <c r="BD5" s="754"/>
      <c r="BE5" s="754"/>
    </row>
    <row r="6" spans="1:57" ht="14.1" customHeight="1">
      <c r="A6" s="768"/>
      <c r="B6" s="769"/>
      <c r="C6" s="769"/>
      <c r="D6" s="770"/>
      <c r="E6" s="770"/>
      <c r="F6" s="770"/>
      <c r="G6" s="770"/>
      <c r="H6" s="770"/>
      <c r="I6" s="770"/>
      <c r="J6" s="770"/>
      <c r="K6" s="770"/>
      <c r="L6" s="770"/>
      <c r="M6" s="770"/>
      <c r="N6" s="770"/>
      <c r="O6" s="770"/>
      <c r="P6" s="2503" t="s">
        <v>9</v>
      </c>
      <c r="Q6" s="2503"/>
      <c r="R6" s="2503"/>
      <c r="S6" s="2195" t="str">
        <f>IF('1. Encabezado'!T7="","",'1. Encabezado'!T7)</f>
        <v/>
      </c>
      <c r="T6" s="2195"/>
      <c r="U6" s="2195"/>
      <c r="V6" s="2195"/>
      <c r="W6" s="2195"/>
      <c r="X6" s="2195"/>
      <c r="Y6" s="771"/>
      <c r="Z6" s="772"/>
      <c r="AA6" s="393" t="s">
        <v>315</v>
      </c>
      <c r="AC6" s="762" t="s">
        <v>27</v>
      </c>
      <c r="AD6" s="763">
        <v>11</v>
      </c>
      <c r="AE6" s="764"/>
      <c r="AF6" s="764"/>
      <c r="AG6" s="764"/>
      <c r="AH6" s="764"/>
      <c r="AI6" s="764"/>
      <c r="AJ6" s="764"/>
      <c r="AK6" s="764"/>
      <c r="AL6" s="764"/>
      <c r="AM6" s="764"/>
      <c r="AN6" s="764"/>
      <c r="AO6" s="764"/>
      <c r="AP6" s="764"/>
      <c r="AQ6" s="764"/>
      <c r="AR6" s="764"/>
      <c r="AS6" s="764"/>
      <c r="AT6" s="765"/>
      <c r="AU6" s="773"/>
      <c r="AV6" s="773"/>
      <c r="AW6" s="767"/>
      <c r="AX6" s="754"/>
      <c r="AY6" s="754"/>
      <c r="AZ6" s="754"/>
      <c r="BA6" s="754"/>
      <c r="BB6" s="754"/>
      <c r="BC6" s="754"/>
      <c r="BD6" s="754"/>
      <c r="BE6" s="754"/>
    </row>
    <row r="7" spans="1:57" s="641" customFormat="1" ht="14.1" customHeight="1">
      <c r="A7" s="759"/>
      <c r="B7" s="760"/>
      <c r="C7" s="760"/>
      <c r="D7" s="683"/>
      <c r="E7" s="683"/>
      <c r="F7" s="683"/>
      <c r="G7" s="683"/>
      <c r="H7" s="683"/>
      <c r="I7" s="774"/>
      <c r="J7" s="774"/>
      <c r="K7" s="774"/>
      <c r="L7" s="683"/>
      <c r="M7" s="683"/>
      <c r="N7" s="683"/>
      <c r="O7" s="683"/>
      <c r="P7" s="683"/>
      <c r="Q7" s="683"/>
      <c r="R7" s="450"/>
      <c r="S7" s="2222" t="str">
        <f>IF(S6="",AA10,CONCATENATE(AA6," ",AA7," ",AA8," ", AA9))</f>
        <v>Pagina xx de xx</v>
      </c>
      <c r="T7" s="2222"/>
      <c r="U7" s="2222"/>
      <c r="V7" s="2222"/>
      <c r="W7" s="2222"/>
      <c r="X7" s="2222"/>
      <c r="Y7" s="775"/>
      <c r="Z7" s="776"/>
      <c r="AA7" s="653">
        <v>11</v>
      </c>
      <c r="AC7" s="762" t="s">
        <v>28</v>
      </c>
      <c r="AD7" s="763">
        <v>8</v>
      </c>
      <c r="AE7" s="764"/>
      <c r="AF7" s="764"/>
      <c r="AG7" s="764"/>
      <c r="AH7" s="764"/>
      <c r="AI7" s="764"/>
      <c r="AJ7" s="764"/>
      <c r="AK7" s="764"/>
      <c r="AL7" s="764"/>
      <c r="AM7" s="764"/>
      <c r="AN7" s="764"/>
      <c r="AO7" s="764"/>
      <c r="AP7" s="764"/>
      <c r="AQ7" s="764"/>
      <c r="AR7" s="764"/>
      <c r="AS7" s="764"/>
      <c r="AT7" s="777"/>
      <c r="AU7" s="778"/>
      <c r="AV7" s="778"/>
      <c r="AW7" s="764"/>
      <c r="AX7" s="764"/>
      <c r="AY7" s="764"/>
      <c r="AZ7" s="764"/>
      <c r="BA7" s="764"/>
      <c r="BB7" s="640"/>
      <c r="BC7" s="640"/>
      <c r="BD7" s="640"/>
      <c r="BE7" s="640"/>
    </row>
    <row r="8" spans="1:57" s="641" customFormat="1" ht="14.1" customHeight="1">
      <c r="A8" s="759"/>
      <c r="B8" s="760"/>
      <c r="C8" s="760"/>
      <c r="D8" s="683"/>
      <c r="E8" s="683"/>
      <c r="F8" s="683"/>
      <c r="G8" s="683"/>
      <c r="H8" s="683"/>
      <c r="I8" s="385"/>
      <c r="J8" s="385"/>
      <c r="K8" s="385"/>
      <c r="L8" s="648"/>
      <c r="M8" s="648"/>
      <c r="N8" s="648"/>
      <c r="O8" s="648"/>
      <c r="P8" s="648"/>
      <c r="Q8" s="648"/>
      <c r="R8" s="648"/>
      <c r="S8" s="760"/>
      <c r="T8" s="760"/>
      <c r="U8" s="760"/>
      <c r="V8" s="760"/>
      <c r="W8" s="779"/>
      <c r="X8" s="779"/>
      <c r="Y8" s="779"/>
      <c r="Z8" s="780"/>
      <c r="AA8" s="394" t="s">
        <v>316</v>
      </c>
      <c r="AC8" s="762" t="s">
        <v>29</v>
      </c>
      <c r="AD8" s="763">
        <v>6</v>
      </c>
    </row>
    <row r="9" spans="1:57" s="641" customFormat="1" ht="14.1" customHeight="1">
      <c r="A9" s="781"/>
      <c r="B9" s="782"/>
      <c r="C9" s="782"/>
      <c r="D9" s="783"/>
      <c r="E9" s="783"/>
      <c r="F9" s="783"/>
      <c r="G9" s="783"/>
      <c r="H9" s="783"/>
      <c r="I9" s="783"/>
      <c r="J9" s="783"/>
      <c r="K9" s="783"/>
      <c r="L9" s="783"/>
      <c r="M9" s="783"/>
      <c r="N9" s="783"/>
      <c r="O9" s="783"/>
      <c r="P9" s="783"/>
      <c r="Q9" s="783"/>
      <c r="R9" s="783"/>
      <c r="S9" s="784"/>
      <c r="T9" s="784"/>
      <c r="U9" s="784"/>
      <c r="V9" s="784"/>
      <c r="W9" s="775"/>
      <c r="X9" s="775"/>
      <c r="Y9" s="775"/>
      <c r="Z9" s="776"/>
      <c r="AA9" s="394">
        <f>IF('1. Encabezado'!AB10="","",'1. Encabezado'!AB10)</f>
        <v>17</v>
      </c>
    </row>
    <row r="10" spans="1:57" s="641" customFormat="1" ht="15.95" customHeight="1">
      <c r="A10" s="2874" t="s">
        <v>489</v>
      </c>
      <c r="B10" s="2875"/>
      <c r="C10" s="2875"/>
      <c r="D10" s="2875"/>
      <c r="E10" s="2875"/>
      <c r="F10" s="2875"/>
      <c r="G10" s="2875"/>
      <c r="H10" s="2875"/>
      <c r="I10" s="2875"/>
      <c r="J10" s="2875"/>
      <c r="K10" s="2875"/>
      <c r="L10" s="2875"/>
      <c r="M10" s="2875"/>
      <c r="N10" s="2876"/>
      <c r="O10" s="2877"/>
      <c r="P10" s="2877"/>
      <c r="Q10" s="2877"/>
      <c r="R10" s="2877"/>
      <c r="S10" s="2877"/>
      <c r="T10" s="2877"/>
      <c r="U10" s="2877"/>
      <c r="V10" s="2877"/>
      <c r="W10" s="2877"/>
      <c r="X10" s="2877"/>
      <c r="Y10" s="2877"/>
      <c r="Z10" s="2877"/>
      <c r="AA10" s="395" t="s">
        <v>317</v>
      </c>
    </row>
    <row r="11" spans="1:57" ht="15.95" customHeight="1">
      <c r="A11" s="2878" t="s">
        <v>17</v>
      </c>
      <c r="B11" s="2879"/>
      <c r="C11" s="2879"/>
      <c r="D11" s="2879"/>
      <c r="E11" s="2879"/>
      <c r="F11" s="2879"/>
      <c r="G11" s="2879"/>
      <c r="H11" s="2879"/>
      <c r="I11" s="2879"/>
      <c r="J11" s="2879"/>
      <c r="K11" s="2879"/>
      <c r="L11" s="2879"/>
      <c r="M11" s="2879"/>
      <c r="N11" s="2879"/>
      <c r="O11" s="2880"/>
      <c r="P11" s="2880"/>
      <c r="Q11" s="2880"/>
      <c r="R11" s="2880"/>
      <c r="S11" s="2880"/>
      <c r="T11" s="2880"/>
      <c r="U11" s="2880"/>
      <c r="V11" s="2880"/>
      <c r="W11" s="2880"/>
      <c r="X11" s="2880"/>
      <c r="Y11" s="2880"/>
      <c r="Z11" s="2880"/>
    </row>
    <row r="12" spans="1:57" ht="15.95" customHeight="1">
      <c r="A12" s="2864" t="s">
        <v>490</v>
      </c>
      <c r="B12" s="2865"/>
      <c r="C12" s="2865"/>
      <c r="D12" s="2865"/>
      <c r="E12" s="2865"/>
      <c r="F12" s="2865"/>
      <c r="G12" s="2865"/>
      <c r="H12" s="2865"/>
      <c r="I12" s="2865"/>
      <c r="J12" s="2865"/>
      <c r="K12" s="2865"/>
      <c r="L12" s="2865"/>
      <c r="M12" s="2865"/>
      <c r="N12" s="2865"/>
      <c r="O12" s="2881" t="str">
        <f>IF(O11="","",VLOOKUP(O11,AC5:AD8,2))</f>
        <v/>
      </c>
      <c r="P12" s="2881"/>
      <c r="Q12" s="2881"/>
      <c r="R12" s="2881"/>
      <c r="S12" s="2881"/>
      <c r="T12" s="2881"/>
      <c r="U12" s="2881"/>
      <c r="V12" s="2881"/>
      <c r="W12" s="2881"/>
      <c r="X12" s="2881"/>
      <c r="Y12" s="2881"/>
      <c r="Z12" s="2881"/>
    </row>
    <row r="13" spans="1:57" ht="17.25" customHeight="1">
      <c r="A13" s="2864" t="s">
        <v>491</v>
      </c>
      <c r="B13" s="2865"/>
      <c r="C13" s="2865"/>
      <c r="D13" s="2865"/>
      <c r="E13" s="2865"/>
      <c r="F13" s="2865"/>
      <c r="G13" s="2865"/>
      <c r="H13" s="2865"/>
      <c r="I13" s="2865"/>
      <c r="J13" s="2865"/>
      <c r="K13" s="2865"/>
      <c r="L13" s="2865"/>
      <c r="M13" s="2865"/>
      <c r="N13" s="2865"/>
      <c r="O13" s="2866" t="s">
        <v>18</v>
      </c>
      <c r="P13" s="2866"/>
      <c r="Q13" s="2866"/>
      <c r="R13" s="2866"/>
      <c r="S13" s="2866"/>
      <c r="T13" s="2867"/>
      <c r="U13" s="2868" t="s">
        <v>19</v>
      </c>
      <c r="V13" s="2866"/>
      <c r="W13" s="2866"/>
      <c r="X13" s="2866"/>
      <c r="Y13" s="2866"/>
      <c r="Z13" s="2866"/>
    </row>
    <row r="14" spans="1:57" ht="18" customHeight="1">
      <c r="A14" s="2864" t="s">
        <v>249</v>
      </c>
      <c r="B14" s="2865"/>
      <c r="C14" s="2865"/>
      <c r="D14" s="2865"/>
      <c r="E14" s="2865"/>
      <c r="F14" s="2865"/>
      <c r="G14" s="2865"/>
      <c r="H14" s="2865"/>
      <c r="I14" s="2865"/>
      <c r="J14" s="2865"/>
      <c r="K14" s="2865"/>
      <c r="L14" s="2865"/>
      <c r="M14" s="2869" t="s">
        <v>58</v>
      </c>
      <c r="N14" s="2870"/>
      <c r="O14" s="2871"/>
      <c r="P14" s="2871"/>
      <c r="Q14" s="2871"/>
      <c r="R14" s="2871"/>
      <c r="S14" s="2871"/>
      <c r="T14" s="2872"/>
      <c r="U14" s="2873"/>
      <c r="V14" s="2871"/>
      <c r="W14" s="2871"/>
      <c r="X14" s="2871"/>
      <c r="Y14" s="2871"/>
      <c r="Z14" s="2871"/>
    </row>
    <row r="15" spans="1:57" ht="28.5" customHeight="1">
      <c r="A15" s="2890" t="s">
        <v>492</v>
      </c>
      <c r="B15" s="2891"/>
      <c r="C15" s="2891"/>
      <c r="D15" s="2891"/>
      <c r="E15" s="2891"/>
      <c r="F15" s="2891"/>
      <c r="G15" s="2891"/>
      <c r="H15" s="2891"/>
      <c r="I15" s="2891"/>
      <c r="J15" s="2891"/>
      <c r="K15" s="2891"/>
      <c r="L15" s="2891"/>
      <c r="M15" s="2892" t="s">
        <v>58</v>
      </c>
      <c r="N15" s="2893"/>
      <c r="O15" s="2871"/>
      <c r="P15" s="2871"/>
      <c r="Q15" s="2871"/>
      <c r="R15" s="2871"/>
      <c r="S15" s="2871"/>
      <c r="T15" s="2872"/>
      <c r="U15" s="2888"/>
      <c r="V15" s="2889"/>
      <c r="W15" s="2889"/>
      <c r="X15" s="2889"/>
      <c r="Y15" s="2889"/>
      <c r="Z15" s="2889"/>
    </row>
    <row r="16" spans="1:57" ht="30" customHeight="1">
      <c r="A16" s="2890" t="s">
        <v>493</v>
      </c>
      <c r="B16" s="2891"/>
      <c r="C16" s="2891"/>
      <c r="D16" s="2891"/>
      <c r="E16" s="2891"/>
      <c r="F16" s="2891"/>
      <c r="G16" s="2891"/>
      <c r="H16" s="2891"/>
      <c r="I16" s="2891"/>
      <c r="J16" s="2891"/>
      <c r="K16" s="2891"/>
      <c r="L16" s="2891"/>
      <c r="M16" s="2892" t="s">
        <v>58</v>
      </c>
      <c r="N16" s="2893"/>
      <c r="O16" s="2897"/>
      <c r="P16" s="2897"/>
      <c r="Q16" s="2897"/>
      <c r="R16" s="2897"/>
      <c r="S16" s="2897"/>
      <c r="T16" s="2898"/>
      <c r="U16" s="2899"/>
      <c r="V16" s="2897"/>
      <c r="W16" s="2897"/>
      <c r="X16" s="2897"/>
      <c r="Y16" s="2897"/>
      <c r="Z16" s="2897"/>
      <c r="AF16" s="785"/>
    </row>
    <row r="17" spans="1:27" ht="15.95" customHeight="1">
      <c r="A17" s="2882" t="s">
        <v>149</v>
      </c>
      <c r="B17" s="2883"/>
      <c r="C17" s="2883"/>
      <c r="D17" s="2883"/>
      <c r="E17" s="2883"/>
      <c r="F17" s="2883"/>
      <c r="G17" s="2883"/>
      <c r="H17" s="2883"/>
      <c r="I17" s="2883"/>
      <c r="J17" s="2883"/>
      <c r="K17" s="2883"/>
      <c r="L17" s="2883"/>
      <c r="M17" s="2884" t="s">
        <v>62</v>
      </c>
      <c r="N17" s="2885"/>
      <c r="O17" s="2886" t="str">
        <f>+IF(O14="","",IF(O15="","",((O14-O15)/O14*100)))</f>
        <v/>
      </c>
      <c r="P17" s="2886"/>
      <c r="Q17" s="2886"/>
      <c r="R17" s="2886"/>
      <c r="S17" s="2886"/>
      <c r="T17" s="2887"/>
      <c r="U17" s="2888"/>
      <c r="V17" s="2889"/>
      <c r="W17" s="2889"/>
      <c r="X17" s="2889"/>
      <c r="Y17" s="2889"/>
      <c r="Z17" s="2889"/>
    </row>
    <row r="18" spans="1:27" s="786" customFormat="1" ht="15.95" customHeight="1">
      <c r="A18" s="2890" t="s">
        <v>150</v>
      </c>
      <c r="B18" s="2891"/>
      <c r="C18" s="2891"/>
      <c r="D18" s="2891"/>
      <c r="E18" s="2891"/>
      <c r="F18" s="2891"/>
      <c r="G18" s="2891"/>
      <c r="H18" s="2891"/>
      <c r="I18" s="2891"/>
      <c r="J18" s="2891"/>
      <c r="K18" s="2891"/>
      <c r="L18" s="2891"/>
      <c r="M18" s="2892" t="s">
        <v>62</v>
      </c>
      <c r="N18" s="2893"/>
      <c r="O18" s="2894" t="str">
        <f>IF(O14="","",((+O14-O16)/O14 *100))</f>
        <v/>
      </c>
      <c r="P18" s="2894"/>
      <c r="Q18" s="2894"/>
      <c r="R18" s="2894"/>
      <c r="S18" s="2894"/>
      <c r="T18" s="2895"/>
      <c r="U18" s="2896" t="str">
        <f>IF(U14="","",((+U14-U16)/U14*100))</f>
        <v/>
      </c>
      <c r="V18" s="2894"/>
      <c r="W18" s="2894"/>
      <c r="X18" s="2894"/>
      <c r="Y18" s="2894"/>
      <c r="Z18" s="2894"/>
    </row>
    <row r="19" spans="1:27" ht="15.95" customHeight="1">
      <c r="A19" s="2890" t="s">
        <v>151</v>
      </c>
      <c r="B19" s="2891"/>
      <c r="C19" s="2891"/>
      <c r="D19" s="2891"/>
      <c r="E19" s="2891"/>
      <c r="F19" s="2891"/>
      <c r="G19" s="2891"/>
      <c r="H19" s="2891"/>
      <c r="I19" s="2891"/>
      <c r="J19" s="2891"/>
      <c r="K19" s="2891"/>
      <c r="L19" s="2891"/>
      <c r="M19" s="2891"/>
      <c r="N19" s="2891"/>
      <c r="O19" s="2907" t="str">
        <f>IF(U18="","",((+U18/O18)))</f>
        <v/>
      </c>
      <c r="P19" s="2907"/>
      <c r="Q19" s="2907"/>
      <c r="R19" s="2907"/>
      <c r="S19" s="2907"/>
      <c r="T19" s="2907"/>
      <c r="U19" s="2907"/>
      <c r="V19" s="2907"/>
      <c r="W19" s="2907"/>
      <c r="X19" s="2907"/>
      <c r="Y19" s="2907"/>
      <c r="Z19" s="2907"/>
    </row>
    <row r="20" spans="1:27" ht="15.95" customHeight="1">
      <c r="A20" s="2908" t="s">
        <v>20</v>
      </c>
      <c r="B20" s="2909"/>
      <c r="C20" s="2909"/>
      <c r="D20" s="2909"/>
      <c r="E20" s="2909"/>
      <c r="F20" s="2909"/>
      <c r="G20" s="2909"/>
      <c r="H20" s="2909"/>
      <c r="I20" s="2909"/>
      <c r="J20" s="2909"/>
      <c r="K20" s="2909"/>
      <c r="L20" s="2909"/>
      <c r="M20" s="2909"/>
      <c r="N20" s="2909"/>
      <c r="O20" s="2910" t="str">
        <f>+IF(O18="","",IF(O15="","",(O17/O18)))</f>
        <v/>
      </c>
      <c r="P20" s="2911"/>
      <c r="Q20" s="2911"/>
      <c r="R20" s="2911"/>
      <c r="S20" s="2911"/>
      <c r="T20" s="2911"/>
      <c r="U20" s="2911"/>
      <c r="V20" s="2911"/>
      <c r="W20" s="2911"/>
      <c r="X20" s="2911"/>
      <c r="Y20" s="2911"/>
      <c r="Z20" s="2912"/>
    </row>
    <row r="21" spans="1:27" ht="18" customHeight="1">
      <c r="A21" s="2913" t="s">
        <v>21</v>
      </c>
      <c r="B21" s="2914"/>
      <c r="C21" s="2914"/>
      <c r="D21" s="2914"/>
      <c r="E21" s="2914"/>
      <c r="F21" s="2914"/>
      <c r="G21" s="2914"/>
      <c r="H21" s="2914"/>
      <c r="I21" s="2914"/>
      <c r="J21" s="2914"/>
      <c r="K21" s="2914"/>
      <c r="L21" s="2914"/>
      <c r="M21" s="2914"/>
      <c r="N21" s="2914"/>
      <c r="O21" s="2914"/>
      <c r="P21" s="2914"/>
      <c r="Q21" s="2914"/>
      <c r="R21" s="2914"/>
      <c r="S21" s="2914"/>
      <c r="T21" s="2914"/>
      <c r="U21" s="2914"/>
      <c r="V21" s="2914"/>
      <c r="W21" s="2914"/>
      <c r="X21" s="2914"/>
      <c r="Y21" s="2914"/>
      <c r="Z21" s="2915"/>
      <c r="AA21" s="787"/>
    </row>
    <row r="22" spans="1:27" ht="18" customHeight="1">
      <c r="A22" s="2916" t="s">
        <v>22</v>
      </c>
      <c r="B22" s="2917"/>
      <c r="C22" s="2917"/>
      <c r="D22" s="2917"/>
      <c r="E22" s="2917"/>
      <c r="F22" s="2917"/>
      <c r="G22" s="2917"/>
      <c r="H22" s="2917"/>
      <c r="I22" s="2917"/>
      <c r="J22" s="2917"/>
      <c r="K22" s="2917"/>
      <c r="L22" s="2917"/>
      <c r="M22" s="2917"/>
      <c r="N22" s="2917"/>
      <c r="O22" s="2917"/>
      <c r="P22" s="2917"/>
      <c r="Q22" s="2917"/>
      <c r="R22" s="2917"/>
      <c r="S22" s="2917"/>
      <c r="T22" s="2917"/>
      <c r="U22" s="2917"/>
      <c r="V22" s="2917"/>
      <c r="W22" s="2917"/>
      <c r="X22" s="2917"/>
      <c r="Y22" s="2917"/>
      <c r="Z22" s="2918"/>
    </row>
    <row r="23" spans="1:27" s="788" customFormat="1" ht="27" customHeight="1">
      <c r="A23" s="2900" t="s">
        <v>494</v>
      </c>
      <c r="B23" s="1859"/>
      <c r="C23" s="1859"/>
      <c r="D23" s="1859"/>
      <c r="E23" s="1859"/>
      <c r="F23" s="1859"/>
      <c r="G23" s="2901" t="s">
        <v>23</v>
      </c>
      <c r="H23" s="2902"/>
      <c r="I23" s="2902"/>
      <c r="J23" s="2902"/>
      <c r="K23" s="2902"/>
      <c r="L23" s="2902"/>
      <c r="M23" s="2902"/>
      <c r="N23" s="2902"/>
      <c r="O23" s="2902"/>
      <c r="P23" s="2902"/>
      <c r="Q23" s="2902"/>
      <c r="R23" s="2902"/>
      <c r="S23" s="2902"/>
      <c r="T23" s="2902"/>
      <c r="U23" s="2902"/>
      <c r="V23" s="2902"/>
      <c r="W23" s="2902"/>
      <c r="X23" s="2902"/>
      <c r="Y23" s="2902"/>
      <c r="Z23" s="2903"/>
    </row>
    <row r="24" spans="1:27" s="789" customFormat="1" ht="15" customHeight="1">
      <c r="A24" s="2901" t="s">
        <v>24</v>
      </c>
      <c r="B24" s="2902"/>
      <c r="C24" s="2903"/>
      <c r="D24" s="2902" t="s">
        <v>25</v>
      </c>
      <c r="E24" s="2902"/>
      <c r="F24" s="2903"/>
      <c r="G24" s="2904" t="s">
        <v>26</v>
      </c>
      <c r="H24" s="2905"/>
      <c r="I24" s="2905"/>
      <c r="J24" s="2905"/>
      <c r="K24" s="2906"/>
      <c r="L24" s="2904" t="s">
        <v>27</v>
      </c>
      <c r="M24" s="2905"/>
      <c r="N24" s="2905"/>
      <c r="O24" s="2905"/>
      <c r="P24" s="2906"/>
      <c r="Q24" s="2904" t="s">
        <v>28</v>
      </c>
      <c r="R24" s="2905"/>
      <c r="S24" s="2905"/>
      <c r="T24" s="2905"/>
      <c r="U24" s="2906"/>
      <c r="V24" s="2904" t="s">
        <v>29</v>
      </c>
      <c r="W24" s="2905"/>
      <c r="X24" s="2905"/>
      <c r="Y24" s="2905"/>
      <c r="Z24" s="2906"/>
    </row>
    <row r="25" spans="1:27" ht="15.95" customHeight="1">
      <c r="A25" s="2929" t="s">
        <v>30</v>
      </c>
      <c r="B25" s="2930"/>
      <c r="C25" s="2931"/>
      <c r="D25" s="2930" t="s">
        <v>31</v>
      </c>
      <c r="E25" s="2930"/>
      <c r="F25" s="2932"/>
      <c r="G25" s="2933" t="s">
        <v>32</v>
      </c>
      <c r="H25" s="2934"/>
      <c r="I25" s="2934"/>
      <c r="J25" s="2934"/>
      <c r="K25" s="2935"/>
      <c r="L25" s="2936"/>
      <c r="M25" s="2937"/>
      <c r="N25" s="2937"/>
      <c r="O25" s="2937"/>
      <c r="P25" s="2938"/>
      <c r="Q25" s="2939"/>
      <c r="R25" s="2940"/>
      <c r="S25" s="2940"/>
      <c r="T25" s="2940"/>
      <c r="U25" s="2941"/>
      <c r="V25" s="2936"/>
      <c r="W25" s="2937"/>
      <c r="X25" s="2937"/>
      <c r="Y25" s="2937"/>
      <c r="Z25" s="2938"/>
    </row>
    <row r="26" spans="1:27" ht="15.95" customHeight="1">
      <c r="A26" s="2919" t="s">
        <v>31</v>
      </c>
      <c r="B26" s="2920"/>
      <c r="C26" s="2921"/>
      <c r="D26" s="2920" t="s">
        <v>33</v>
      </c>
      <c r="E26" s="2920"/>
      <c r="F26" s="2922"/>
      <c r="G26" s="2923" t="s">
        <v>32</v>
      </c>
      <c r="H26" s="2924"/>
      <c r="I26" s="2924"/>
      <c r="J26" s="2924"/>
      <c r="K26" s="2925"/>
      <c r="L26" s="2926"/>
      <c r="M26" s="2927"/>
      <c r="N26" s="2927"/>
      <c r="O26" s="2927"/>
      <c r="P26" s="2928"/>
      <c r="Q26" s="2926"/>
      <c r="R26" s="2927"/>
      <c r="S26" s="2927"/>
      <c r="T26" s="2927"/>
      <c r="U26" s="2928"/>
      <c r="V26" s="2926"/>
      <c r="W26" s="2927"/>
      <c r="X26" s="2927"/>
      <c r="Y26" s="2927"/>
      <c r="Z26" s="2928"/>
    </row>
    <row r="27" spans="1:27" ht="15.95" customHeight="1">
      <c r="A27" s="2919" t="s">
        <v>33</v>
      </c>
      <c r="B27" s="2920"/>
      <c r="C27" s="2920"/>
      <c r="D27" s="2942" t="s">
        <v>34</v>
      </c>
      <c r="E27" s="2920"/>
      <c r="F27" s="2922"/>
      <c r="G27" s="2923" t="s">
        <v>35</v>
      </c>
      <c r="H27" s="2924"/>
      <c r="I27" s="2924"/>
      <c r="J27" s="2924"/>
      <c r="K27" s="2925"/>
      <c r="L27" s="2923" t="s">
        <v>36</v>
      </c>
      <c r="M27" s="2924"/>
      <c r="N27" s="2924"/>
      <c r="O27" s="2924"/>
      <c r="P27" s="2925"/>
      <c r="Q27" s="2926"/>
      <c r="R27" s="2927"/>
      <c r="S27" s="2927"/>
      <c r="T27" s="2927"/>
      <c r="U27" s="2928"/>
      <c r="V27" s="2926"/>
      <c r="W27" s="2927"/>
      <c r="X27" s="2927"/>
      <c r="Y27" s="2927"/>
      <c r="Z27" s="2928"/>
    </row>
    <row r="28" spans="1:27" ht="15.95" customHeight="1">
      <c r="A28" s="2919" t="s">
        <v>34</v>
      </c>
      <c r="B28" s="2920"/>
      <c r="C28" s="2920"/>
      <c r="D28" s="2942" t="s">
        <v>37</v>
      </c>
      <c r="E28" s="2920"/>
      <c r="F28" s="2922"/>
      <c r="G28" s="2923" t="s">
        <v>35</v>
      </c>
      <c r="H28" s="2924"/>
      <c r="I28" s="2924"/>
      <c r="J28" s="2924"/>
      <c r="K28" s="2925"/>
      <c r="L28" s="2923" t="s">
        <v>36</v>
      </c>
      <c r="M28" s="2924"/>
      <c r="N28" s="2924"/>
      <c r="O28" s="2924"/>
      <c r="P28" s="2925"/>
      <c r="Q28" s="2926"/>
      <c r="R28" s="2927"/>
      <c r="S28" s="2927"/>
      <c r="T28" s="2927"/>
      <c r="U28" s="2928"/>
      <c r="V28" s="2926"/>
      <c r="W28" s="2927"/>
      <c r="X28" s="2927"/>
      <c r="Y28" s="2927"/>
      <c r="Z28" s="2928"/>
    </row>
    <row r="29" spans="1:27" ht="15.95" customHeight="1">
      <c r="A29" s="2919" t="s">
        <v>37</v>
      </c>
      <c r="B29" s="2920"/>
      <c r="C29" s="2920"/>
      <c r="D29" s="2942" t="s">
        <v>38</v>
      </c>
      <c r="E29" s="2920"/>
      <c r="F29" s="2922"/>
      <c r="G29" s="2926"/>
      <c r="H29" s="2927"/>
      <c r="I29" s="2927"/>
      <c r="J29" s="2927"/>
      <c r="K29" s="2928"/>
      <c r="L29" s="2926"/>
      <c r="M29" s="2927"/>
      <c r="N29" s="2927"/>
      <c r="O29" s="2927"/>
      <c r="P29" s="2928"/>
      <c r="Q29" s="2923" t="s">
        <v>36</v>
      </c>
      <c r="R29" s="2924"/>
      <c r="S29" s="2924"/>
      <c r="T29" s="2924"/>
      <c r="U29" s="2925"/>
      <c r="V29" s="2926"/>
      <c r="W29" s="2927"/>
      <c r="X29" s="2927"/>
      <c r="Y29" s="2927"/>
      <c r="Z29" s="2928"/>
    </row>
    <row r="30" spans="1:27" ht="15.95" customHeight="1">
      <c r="A30" s="2919" t="s">
        <v>38</v>
      </c>
      <c r="B30" s="2920"/>
      <c r="C30" s="2920"/>
      <c r="D30" s="2942" t="s">
        <v>39</v>
      </c>
      <c r="E30" s="2920"/>
      <c r="F30" s="2922"/>
      <c r="G30" s="2926"/>
      <c r="H30" s="2927"/>
      <c r="I30" s="2927"/>
      <c r="J30" s="2927"/>
      <c r="K30" s="2928"/>
      <c r="L30" s="2926"/>
      <c r="M30" s="2927"/>
      <c r="N30" s="2927"/>
      <c r="O30" s="2927"/>
      <c r="P30" s="2928"/>
      <c r="Q30" s="2923" t="s">
        <v>36</v>
      </c>
      <c r="R30" s="2924"/>
      <c r="S30" s="2924"/>
      <c r="T30" s="2924"/>
      <c r="U30" s="2925"/>
      <c r="V30" s="2926"/>
      <c r="W30" s="2927"/>
      <c r="X30" s="2927"/>
      <c r="Y30" s="2927"/>
      <c r="Z30" s="2928"/>
    </row>
    <row r="31" spans="1:27" ht="15.95" customHeight="1">
      <c r="A31" s="2919" t="s">
        <v>39</v>
      </c>
      <c r="B31" s="2920"/>
      <c r="C31" s="2920"/>
      <c r="D31" s="2942" t="s">
        <v>40</v>
      </c>
      <c r="E31" s="2920"/>
      <c r="F31" s="2922"/>
      <c r="G31" s="2926"/>
      <c r="H31" s="2927"/>
      <c r="I31" s="2927"/>
      <c r="J31" s="2927"/>
      <c r="K31" s="2928"/>
      <c r="L31" s="2926"/>
      <c r="M31" s="2927"/>
      <c r="N31" s="2927"/>
      <c r="O31" s="2927"/>
      <c r="P31" s="2928"/>
      <c r="Q31" s="2926"/>
      <c r="R31" s="2927"/>
      <c r="S31" s="2927"/>
      <c r="T31" s="2927"/>
      <c r="U31" s="2928"/>
      <c r="V31" s="2923" t="s">
        <v>41</v>
      </c>
      <c r="W31" s="2924"/>
      <c r="X31" s="2924"/>
      <c r="Y31" s="2924"/>
      <c r="Z31" s="2925"/>
    </row>
    <row r="32" spans="1:27" ht="15.95" customHeight="1">
      <c r="A32" s="2943" t="s">
        <v>42</v>
      </c>
      <c r="B32" s="2944"/>
      <c r="C32" s="2944"/>
      <c r="D32" s="2944"/>
      <c r="E32" s="2944"/>
      <c r="F32" s="2945"/>
      <c r="G32" s="2943">
        <v>12</v>
      </c>
      <c r="H32" s="2944"/>
      <c r="I32" s="2944"/>
      <c r="J32" s="2944"/>
      <c r="K32" s="2945"/>
      <c r="L32" s="2943">
        <v>11</v>
      </c>
      <c r="M32" s="2944"/>
      <c r="N32" s="2944"/>
      <c r="O32" s="2944"/>
      <c r="P32" s="2945"/>
      <c r="Q32" s="2943">
        <v>8</v>
      </c>
      <c r="R32" s="2944"/>
      <c r="S32" s="2944"/>
      <c r="T32" s="2944"/>
      <c r="U32" s="2945"/>
      <c r="V32" s="2943">
        <v>6</v>
      </c>
      <c r="W32" s="2944"/>
      <c r="X32" s="2944"/>
      <c r="Y32" s="2944"/>
      <c r="Z32" s="2945"/>
    </row>
    <row r="33" spans="1:60" ht="15" customHeight="1">
      <c r="A33" s="2946" t="s">
        <v>495</v>
      </c>
      <c r="B33" s="2947"/>
      <c r="C33" s="2947"/>
      <c r="D33" s="2947"/>
      <c r="E33" s="2947"/>
      <c r="F33" s="2947"/>
      <c r="G33" s="2947"/>
      <c r="H33" s="2947"/>
      <c r="I33" s="2947"/>
      <c r="J33" s="2947"/>
      <c r="K33" s="2947"/>
      <c r="L33" s="2947"/>
      <c r="M33" s="2947"/>
      <c r="N33" s="2947"/>
      <c r="O33" s="2947"/>
      <c r="P33" s="2947"/>
      <c r="Q33" s="2947"/>
      <c r="R33" s="2947"/>
      <c r="S33" s="2947"/>
      <c r="T33" s="2947"/>
      <c r="U33" s="2947"/>
      <c r="V33" s="2947"/>
      <c r="W33" s="2947"/>
      <c r="X33" s="2947"/>
      <c r="Y33" s="2947"/>
      <c r="Z33" s="2948"/>
    </row>
    <row r="34" spans="1:60" ht="15" customHeight="1">
      <c r="A34" s="790"/>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2"/>
    </row>
    <row r="35" spans="1:60" ht="15" customHeight="1">
      <c r="A35" s="790"/>
      <c r="B35" s="2951" t="s">
        <v>169</v>
      </c>
      <c r="C35" s="2951"/>
      <c r="D35" s="2951"/>
      <c r="E35" s="2951"/>
      <c r="F35" s="2950"/>
      <c r="G35" s="2950"/>
      <c r="H35" s="2950"/>
      <c r="I35" s="1504" t="str">
        <f>IF(J35="","","al")</f>
        <v/>
      </c>
      <c r="J35" s="2950"/>
      <c r="K35" s="2950"/>
      <c r="L35" s="2950"/>
      <c r="M35" s="2950"/>
      <c r="N35" s="791"/>
      <c r="O35" s="791"/>
      <c r="P35" s="791"/>
      <c r="Q35" s="791"/>
      <c r="R35" s="791"/>
      <c r="S35" s="791"/>
      <c r="T35" s="791"/>
      <c r="U35" s="791"/>
      <c r="V35" s="791"/>
      <c r="W35" s="791"/>
      <c r="X35" s="791"/>
      <c r="Y35" s="791"/>
      <c r="Z35" s="792"/>
    </row>
    <row r="36" spans="1:60" ht="15" customHeight="1">
      <c r="A36" s="2952"/>
      <c r="B36" s="2953"/>
      <c r="C36" s="2953"/>
      <c r="D36" s="2953"/>
      <c r="E36" s="2953"/>
      <c r="F36" s="2953"/>
      <c r="G36" s="2953"/>
      <c r="H36" s="2953"/>
      <c r="I36" s="2953"/>
      <c r="J36" s="2953"/>
      <c r="K36" s="2953"/>
      <c r="L36" s="2953"/>
      <c r="M36" s="2953"/>
      <c r="N36" s="2953"/>
      <c r="O36" s="2953"/>
      <c r="P36" s="2953"/>
      <c r="Q36" s="2953"/>
      <c r="R36" s="2953"/>
      <c r="S36" s="2953"/>
      <c r="T36" s="2953"/>
      <c r="U36" s="2953"/>
      <c r="V36" s="2953"/>
      <c r="W36" s="2953"/>
      <c r="X36" s="2953"/>
      <c r="Y36" s="2953"/>
      <c r="Z36" s="2954"/>
    </row>
    <row r="37" spans="1:60" ht="15" customHeight="1">
      <c r="A37" s="436"/>
      <c r="B37" s="2399" t="s">
        <v>10</v>
      </c>
      <c r="C37" s="2399"/>
      <c r="D37" s="2399"/>
      <c r="E37" s="2399"/>
      <c r="F37" s="2754"/>
      <c r="G37" s="2754"/>
      <c r="H37" s="2754"/>
      <c r="I37" s="2754"/>
      <c r="J37" s="2754"/>
      <c r="K37" s="2754"/>
      <c r="L37" s="2754"/>
      <c r="M37" s="2754"/>
      <c r="N37" s="2754"/>
      <c r="O37" s="2754"/>
      <c r="P37" s="2754"/>
      <c r="Q37" s="2754"/>
      <c r="R37" s="2754"/>
      <c r="S37" s="2754"/>
      <c r="T37" s="2754"/>
      <c r="U37" s="2754"/>
      <c r="V37" s="2754"/>
      <c r="W37" s="2754"/>
      <c r="X37" s="2754"/>
      <c r="Y37" s="2754"/>
      <c r="Z37" s="522"/>
    </row>
    <row r="38" spans="1:60" s="31" customFormat="1" ht="15" customHeight="1" thickBot="1">
      <c r="A38" s="2955"/>
      <c r="B38" s="2956"/>
      <c r="C38" s="2956"/>
      <c r="D38" s="2956"/>
      <c r="E38" s="2956"/>
      <c r="F38" s="2956"/>
      <c r="G38" s="2956"/>
      <c r="H38" s="2956"/>
      <c r="I38" s="2956"/>
      <c r="J38" s="2956"/>
      <c r="K38" s="2956"/>
      <c r="L38" s="2956"/>
      <c r="M38" s="2956"/>
      <c r="N38" s="2956"/>
      <c r="O38" s="2956"/>
      <c r="P38" s="2956"/>
      <c r="Q38" s="2956"/>
      <c r="R38" s="2956"/>
      <c r="S38" s="2956"/>
      <c r="T38" s="2956"/>
      <c r="U38" s="2956"/>
      <c r="V38" s="2956"/>
      <c r="W38" s="2956"/>
      <c r="X38" s="2956"/>
      <c r="Y38" s="2956"/>
      <c r="Z38" s="2957"/>
    </row>
    <row r="39" spans="1:60" s="26" customFormat="1" ht="15" customHeight="1" thickTop="1" thickBot="1">
      <c r="A39" s="2837" t="s">
        <v>13</v>
      </c>
      <c r="B39" s="2837"/>
      <c r="C39" s="2837"/>
      <c r="D39" s="2837"/>
      <c r="E39" s="2837"/>
      <c r="F39" s="2837"/>
      <c r="G39" s="2837"/>
      <c r="H39" s="2837"/>
      <c r="I39" s="2837"/>
      <c r="J39" s="2837"/>
      <c r="K39" s="2837"/>
      <c r="L39" s="2837"/>
      <c r="M39" s="2837"/>
      <c r="N39" s="2837"/>
      <c r="O39" s="2837"/>
      <c r="P39" s="2837"/>
      <c r="Q39" s="2837"/>
      <c r="R39" s="2837"/>
      <c r="S39" s="2837"/>
      <c r="T39" s="2837"/>
      <c r="U39" s="2837"/>
      <c r="V39" s="2837"/>
      <c r="W39" s="2837"/>
      <c r="X39" s="2837"/>
      <c r="Y39" s="2837"/>
      <c r="Z39" s="2837"/>
    </row>
    <row r="40" spans="1:60" s="32" customFormat="1" ht="15" customHeight="1" thickTop="1">
      <c r="A40" s="2760"/>
      <c r="B40" s="2760"/>
      <c r="C40" s="2760"/>
      <c r="D40" s="2760"/>
      <c r="E40" s="2760"/>
      <c r="F40" s="2760"/>
      <c r="G40" s="2760"/>
      <c r="H40" s="2760"/>
      <c r="I40" s="2760"/>
      <c r="J40" s="2760"/>
      <c r="K40" s="2760"/>
      <c r="L40" s="2760"/>
      <c r="M40" s="2760"/>
      <c r="N40" s="2760"/>
      <c r="O40" s="2760"/>
      <c r="P40" s="2760"/>
      <c r="Q40" s="2760"/>
      <c r="R40" s="2760"/>
      <c r="S40" s="2760"/>
      <c r="T40" s="2760"/>
      <c r="U40" s="2760"/>
      <c r="V40" s="2760"/>
      <c r="W40" s="2760"/>
      <c r="X40" s="2760"/>
      <c r="Y40" s="2760"/>
      <c r="Z40" s="2760"/>
    </row>
    <row r="41" spans="1:60" s="32" customFormat="1" ht="15" customHeight="1">
      <c r="A41" s="2949" t="s">
        <v>306</v>
      </c>
      <c r="B41" s="2949"/>
      <c r="C41" s="2949"/>
      <c r="D41" s="2949"/>
      <c r="E41" s="2949"/>
      <c r="F41" s="2949"/>
      <c r="G41" s="2949"/>
      <c r="H41" s="2949"/>
      <c r="I41" s="2949"/>
      <c r="J41" s="2949"/>
      <c r="K41" s="2949"/>
      <c r="L41" s="2949"/>
      <c r="M41" s="2949"/>
      <c r="N41" s="2949"/>
      <c r="O41" s="2949"/>
      <c r="P41" s="2949"/>
      <c r="Q41" s="2949"/>
      <c r="R41" s="2949"/>
      <c r="S41" s="2949"/>
      <c r="T41" s="2949"/>
      <c r="U41" s="2949"/>
      <c r="V41" s="2949"/>
      <c r="W41" s="2949"/>
      <c r="X41" s="2949"/>
      <c r="Y41" s="2949"/>
      <c r="Z41" s="2949"/>
    </row>
    <row r="42" spans="1:60" s="26" customFormat="1" ht="15" customHeight="1">
      <c r="A42" s="2949"/>
      <c r="B42" s="2949"/>
      <c r="C42" s="2949"/>
      <c r="D42" s="2949"/>
      <c r="E42" s="2949"/>
      <c r="F42" s="2949"/>
      <c r="G42" s="2949"/>
      <c r="H42" s="2949"/>
      <c r="I42" s="2949"/>
      <c r="J42" s="2949"/>
      <c r="K42" s="2949"/>
      <c r="L42" s="2949"/>
      <c r="M42" s="2949"/>
      <c r="N42" s="2949"/>
      <c r="O42" s="2949"/>
      <c r="P42" s="2949"/>
      <c r="Q42" s="2949"/>
      <c r="R42" s="2949"/>
      <c r="S42" s="2949"/>
      <c r="T42" s="2949"/>
      <c r="U42" s="2949"/>
      <c r="V42" s="2949"/>
      <c r="W42" s="2949"/>
      <c r="X42" s="2949"/>
      <c r="Y42" s="2949"/>
      <c r="Z42" s="2949"/>
    </row>
    <row r="43" spans="1:60" s="26" customFormat="1" ht="30" customHeight="1">
      <c r="A43" s="793"/>
      <c r="B43" s="793"/>
      <c r="C43" s="793"/>
      <c r="D43" s="793"/>
      <c r="E43" s="793"/>
      <c r="F43" s="793"/>
      <c r="G43" s="793"/>
      <c r="H43" s="793"/>
      <c r="I43" s="793"/>
      <c r="J43" s="793"/>
      <c r="K43" s="793"/>
      <c r="L43" s="793"/>
      <c r="M43" s="793"/>
      <c r="N43" s="793"/>
      <c r="O43" s="793"/>
      <c r="P43" s="793"/>
      <c r="Q43" s="793"/>
      <c r="R43" s="793"/>
      <c r="S43" s="793"/>
      <c r="T43" s="793"/>
      <c r="U43" s="793"/>
      <c r="V43" s="793"/>
      <c r="W43" s="793"/>
      <c r="X43" s="793"/>
      <c r="Y43" s="793"/>
      <c r="Z43" s="793"/>
    </row>
    <row r="44" spans="1:60" ht="23.25" customHeight="1">
      <c r="A44" s="794"/>
      <c r="B44" s="794"/>
      <c r="C44" s="794"/>
      <c r="D44" s="794"/>
      <c r="E44" s="794"/>
      <c r="F44" s="794"/>
      <c r="G44" s="794"/>
      <c r="H44" s="794"/>
      <c r="I44" s="794"/>
      <c r="J44" s="794"/>
      <c r="K44" s="794"/>
      <c r="L44" s="794"/>
      <c r="M44" s="794"/>
      <c r="N44" s="794"/>
      <c r="O44" s="794"/>
      <c r="P44" s="794"/>
      <c r="Q44" s="794"/>
      <c r="R44" s="794"/>
      <c r="S44" s="794"/>
      <c r="T44" s="794"/>
      <c r="U44" s="794"/>
      <c r="V44" s="794"/>
      <c r="W44" s="794"/>
      <c r="X44" s="794"/>
      <c r="Y44" s="794"/>
      <c r="Z44" s="794"/>
      <c r="AA44" s="25"/>
      <c r="AB44" s="25"/>
      <c r="AC44" s="25"/>
      <c r="AD44" s="33"/>
      <c r="AE44" s="795"/>
    </row>
    <row r="45" spans="1:60" s="800" customFormat="1" ht="30" customHeight="1">
      <c r="A45" s="796"/>
      <c r="B45" s="796"/>
      <c r="C45" s="796"/>
      <c r="D45" s="796"/>
      <c r="E45" s="796"/>
      <c r="F45" s="796"/>
      <c r="G45" s="796"/>
      <c r="H45" s="796"/>
      <c r="I45" s="796"/>
      <c r="J45" s="796"/>
      <c r="K45" s="796"/>
      <c r="L45" s="796"/>
      <c r="M45" s="796"/>
      <c r="N45" s="796"/>
      <c r="O45" s="796"/>
      <c r="P45" s="796"/>
      <c r="Q45" s="796"/>
      <c r="R45" s="796"/>
      <c r="S45" s="796"/>
      <c r="T45" s="796"/>
      <c r="U45" s="796"/>
      <c r="V45" s="796"/>
      <c r="W45" s="796"/>
      <c r="X45" s="796"/>
      <c r="Y45" s="796"/>
      <c r="Z45" s="797"/>
      <c r="AA45" s="27"/>
      <c r="AB45" s="27"/>
      <c r="AC45" s="27"/>
      <c r="AD45" s="33"/>
      <c r="AE45" s="798"/>
      <c r="AF45" s="799"/>
      <c r="AG45" s="799"/>
      <c r="AH45" s="799"/>
      <c r="AI45" s="799"/>
      <c r="AJ45" s="799"/>
      <c r="AK45" s="799"/>
      <c r="AL45" s="799"/>
      <c r="AM45" s="799"/>
      <c r="AN45" s="799"/>
      <c r="AO45" s="799"/>
      <c r="AP45" s="799"/>
      <c r="AQ45" s="799"/>
      <c r="AR45" s="799"/>
      <c r="AS45" s="799"/>
      <c r="AT45" s="799"/>
      <c r="AU45" s="799"/>
      <c r="AV45" s="799"/>
      <c r="AW45" s="799"/>
      <c r="AX45" s="799"/>
      <c r="AY45" s="799"/>
      <c r="AZ45" s="799"/>
      <c r="BA45" s="799"/>
      <c r="BB45" s="799"/>
      <c r="BC45" s="799"/>
      <c r="BD45" s="799"/>
      <c r="BE45" s="799"/>
      <c r="BF45" s="799"/>
      <c r="BG45" s="799"/>
      <c r="BH45" s="799"/>
    </row>
    <row r="46" spans="1:60" s="800" customFormat="1" ht="12" customHeight="1">
      <c r="A46" s="801"/>
      <c r="B46" s="801"/>
      <c r="C46" s="801"/>
      <c r="D46" s="801"/>
      <c r="E46" s="801"/>
      <c r="F46" s="801"/>
      <c r="G46" s="801"/>
      <c r="H46" s="801"/>
      <c r="I46" s="801"/>
      <c r="J46" s="801"/>
      <c r="K46" s="801"/>
      <c r="L46" s="801"/>
      <c r="M46" s="801"/>
      <c r="N46" s="801"/>
      <c r="O46" s="801"/>
      <c r="P46" s="801"/>
      <c r="Q46" s="801"/>
      <c r="R46" s="801"/>
      <c r="S46" s="801"/>
      <c r="T46" s="801"/>
      <c r="U46" s="801"/>
      <c r="V46" s="802"/>
      <c r="W46" s="802"/>
      <c r="X46" s="802"/>
      <c r="Y46" s="802"/>
      <c r="Z46" s="803"/>
      <c r="AA46" s="799"/>
      <c r="AB46" s="799"/>
      <c r="AC46" s="799"/>
      <c r="AD46" s="799"/>
      <c r="AE46" s="799"/>
      <c r="AF46" s="799"/>
      <c r="AG46" s="799"/>
      <c r="AH46" s="799"/>
      <c r="AI46" s="799"/>
      <c r="AJ46" s="799"/>
      <c r="AK46" s="799"/>
      <c r="AL46" s="799"/>
      <c r="AM46" s="799"/>
      <c r="AN46" s="799"/>
      <c r="AO46" s="799"/>
      <c r="AP46" s="799"/>
      <c r="AQ46" s="799"/>
      <c r="AR46" s="799"/>
      <c r="AS46" s="799"/>
      <c r="AT46" s="799"/>
      <c r="AU46" s="799"/>
      <c r="AV46" s="799"/>
      <c r="AW46" s="799"/>
      <c r="AX46" s="799"/>
      <c r="AY46" s="799"/>
      <c r="AZ46" s="799"/>
      <c r="BA46" s="799"/>
      <c r="BB46" s="799"/>
      <c r="BC46" s="799"/>
      <c r="BD46" s="799"/>
      <c r="BE46" s="799"/>
      <c r="BF46" s="799"/>
      <c r="BG46" s="799"/>
      <c r="BH46" s="799"/>
    </row>
    <row r="47" spans="1:60" s="800" customFormat="1" ht="12" customHeight="1">
      <c r="A47" s="804"/>
      <c r="B47" s="804"/>
      <c r="C47" s="804"/>
      <c r="D47" s="804"/>
      <c r="E47" s="804"/>
      <c r="F47" s="804"/>
      <c r="G47" s="804"/>
      <c r="H47" s="804"/>
      <c r="I47" s="804"/>
      <c r="J47" s="804"/>
      <c r="K47" s="804"/>
      <c r="L47" s="804"/>
      <c r="M47" s="804"/>
      <c r="N47" s="804"/>
      <c r="O47" s="804"/>
      <c r="P47" s="804"/>
      <c r="Q47" s="804"/>
      <c r="R47" s="804"/>
      <c r="S47" s="804"/>
      <c r="T47" s="804"/>
      <c r="U47" s="804"/>
      <c r="V47" s="804"/>
      <c r="W47" s="804"/>
      <c r="X47" s="804"/>
      <c r="Y47" s="804"/>
      <c r="Z47" s="804"/>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799"/>
      <c r="AY47" s="799"/>
      <c r="AZ47" s="799"/>
      <c r="BA47" s="799"/>
      <c r="BB47" s="799"/>
      <c r="BC47" s="799"/>
      <c r="BD47" s="799"/>
      <c r="BE47" s="799"/>
      <c r="BF47" s="799"/>
      <c r="BG47" s="799"/>
      <c r="BH47" s="799"/>
    </row>
    <row r="48" spans="1:60" s="800" customFormat="1" ht="6.75" customHeight="1">
      <c r="A48" s="754"/>
      <c r="B48" s="754"/>
      <c r="C48" s="754"/>
      <c r="D48" s="754"/>
      <c r="E48" s="754"/>
      <c r="F48" s="754"/>
      <c r="G48" s="754"/>
      <c r="H48" s="754"/>
      <c r="I48" s="754"/>
      <c r="J48" s="754"/>
      <c r="K48" s="754"/>
      <c r="L48" s="754"/>
      <c r="M48" s="754"/>
      <c r="N48" s="754"/>
      <c r="O48" s="754"/>
      <c r="P48" s="754"/>
      <c r="Q48" s="754"/>
      <c r="R48" s="754"/>
      <c r="S48" s="754"/>
      <c r="T48" s="754"/>
      <c r="U48" s="754"/>
      <c r="V48" s="754"/>
      <c r="W48" s="754"/>
      <c r="X48" s="754"/>
      <c r="Y48" s="754"/>
      <c r="Z48" s="754"/>
      <c r="AA48" s="799"/>
      <c r="AB48" s="799"/>
      <c r="AC48" s="799"/>
      <c r="AD48" s="799"/>
      <c r="AE48" s="799"/>
      <c r="AF48" s="799"/>
      <c r="AG48" s="799"/>
      <c r="AH48" s="799"/>
      <c r="AI48" s="799"/>
      <c r="AJ48" s="799"/>
      <c r="AK48" s="799"/>
      <c r="AL48" s="799"/>
      <c r="AM48" s="799"/>
      <c r="AN48" s="799"/>
      <c r="AO48" s="799"/>
      <c r="AP48" s="799"/>
      <c r="AQ48" s="799"/>
      <c r="AR48" s="799"/>
      <c r="AS48" s="799"/>
      <c r="AT48" s="799"/>
      <c r="AU48" s="799"/>
      <c r="AV48" s="799"/>
      <c r="AW48" s="799"/>
      <c r="AX48" s="799"/>
      <c r="AY48" s="799"/>
      <c r="AZ48" s="799"/>
      <c r="BA48" s="799"/>
      <c r="BB48" s="799"/>
      <c r="BC48" s="799"/>
      <c r="BD48" s="799"/>
      <c r="BE48" s="799"/>
      <c r="BF48" s="799"/>
      <c r="BG48" s="799"/>
      <c r="BH48" s="799"/>
    </row>
    <row r="49" spans="1:60" s="786" customFormat="1" ht="13.5" customHeight="1">
      <c r="A49" s="751"/>
      <c r="B49" s="751"/>
      <c r="C49" s="751"/>
      <c r="D49" s="751"/>
      <c r="E49" s="751"/>
      <c r="F49" s="751"/>
      <c r="G49" s="751"/>
      <c r="H49" s="751"/>
      <c r="I49" s="751"/>
      <c r="J49" s="751"/>
      <c r="K49" s="751"/>
      <c r="L49" s="751"/>
      <c r="M49" s="751"/>
      <c r="N49" s="751"/>
      <c r="O49" s="751"/>
      <c r="P49" s="751"/>
      <c r="Q49" s="751"/>
      <c r="R49" s="751"/>
      <c r="S49" s="751"/>
      <c r="T49" s="751"/>
      <c r="U49" s="751"/>
      <c r="V49" s="751"/>
      <c r="W49" s="751"/>
      <c r="X49" s="751"/>
      <c r="Y49" s="751"/>
      <c r="Z49" s="751"/>
      <c r="AA49" s="805"/>
      <c r="AB49" s="805"/>
      <c r="AC49" s="805"/>
      <c r="AD49" s="805"/>
      <c r="AE49" s="805"/>
      <c r="AF49" s="805"/>
      <c r="AG49" s="805"/>
      <c r="AH49" s="805"/>
      <c r="AI49" s="805"/>
      <c r="AJ49" s="805"/>
      <c r="AK49" s="805"/>
      <c r="AL49" s="805"/>
      <c r="AM49" s="805"/>
      <c r="AN49" s="805"/>
      <c r="AO49" s="805"/>
      <c r="AP49" s="805"/>
      <c r="AQ49" s="805"/>
      <c r="AR49" s="805"/>
      <c r="AS49" s="805"/>
      <c r="AT49" s="805"/>
      <c r="AU49" s="805"/>
      <c r="AV49" s="805"/>
      <c r="AW49" s="805"/>
      <c r="AX49" s="805"/>
      <c r="AY49" s="805"/>
      <c r="AZ49" s="805"/>
      <c r="BA49" s="805"/>
      <c r="BB49" s="805"/>
      <c r="BC49" s="805"/>
      <c r="BD49" s="805"/>
      <c r="BE49" s="805"/>
      <c r="BF49" s="805"/>
      <c r="BG49" s="805"/>
      <c r="BH49" s="805"/>
    </row>
    <row r="50" spans="1:60" s="786" customFormat="1" ht="10.5" customHeight="1">
      <c r="A50" s="751"/>
      <c r="B50" s="751"/>
      <c r="C50" s="751"/>
      <c r="D50" s="751"/>
      <c r="E50" s="751"/>
      <c r="F50" s="751"/>
      <c r="G50" s="751"/>
      <c r="H50" s="751"/>
      <c r="I50" s="751"/>
      <c r="J50" s="751"/>
      <c r="K50" s="751"/>
      <c r="L50" s="751"/>
      <c r="M50" s="751"/>
      <c r="N50" s="751"/>
      <c r="O50" s="751"/>
      <c r="P50" s="751"/>
      <c r="Q50" s="751"/>
      <c r="R50" s="751"/>
      <c r="S50" s="751"/>
      <c r="T50" s="751"/>
      <c r="U50" s="751"/>
      <c r="V50" s="751"/>
      <c r="W50" s="751"/>
      <c r="X50" s="751"/>
      <c r="Y50" s="751"/>
      <c r="Z50" s="751"/>
      <c r="AA50" s="805"/>
      <c r="AB50" s="805"/>
      <c r="AC50" s="805"/>
      <c r="AD50" s="805"/>
      <c r="AE50" s="805"/>
      <c r="AF50" s="805"/>
      <c r="AG50" s="805"/>
      <c r="AH50" s="805"/>
      <c r="AI50" s="805"/>
      <c r="AJ50" s="805"/>
      <c r="AK50" s="805"/>
      <c r="AL50" s="805"/>
      <c r="AM50" s="805"/>
      <c r="AN50" s="805"/>
      <c r="AO50" s="805"/>
      <c r="AP50" s="805"/>
      <c r="AQ50" s="805"/>
      <c r="AR50" s="805"/>
      <c r="AS50" s="805"/>
      <c r="AT50" s="805"/>
      <c r="AU50" s="805"/>
      <c r="AV50" s="805"/>
      <c r="AW50" s="805"/>
      <c r="AX50" s="805"/>
      <c r="AY50" s="805"/>
      <c r="AZ50" s="805"/>
      <c r="BA50" s="805"/>
      <c r="BB50" s="805"/>
      <c r="BC50" s="805"/>
      <c r="BD50" s="805"/>
      <c r="BE50" s="805"/>
      <c r="BF50" s="805"/>
      <c r="BG50" s="805"/>
      <c r="BH50" s="805"/>
    </row>
  </sheetData>
  <sheetProtection algorithmName="SHA-512" hashValue="qJql2VIZZ8ZypDbWZdm8arOlkoi3VY/jOVLJ0vjWJw8CE5wnY6y9q6tWYx7RPc2sQOt31wD0uTxuv3jvFyJ+ew==" saltValue="h6IaUN7dSgClx34K7Awo7Q==" spinCount="100000" sheet="1" formatCells="0" formatColumns="0" formatRows="0"/>
  <dataConsolidate/>
  <mergeCells count="109">
    <mergeCell ref="A41:Z42"/>
    <mergeCell ref="F35:H35"/>
    <mergeCell ref="F37:Y37"/>
    <mergeCell ref="B35:E35"/>
    <mergeCell ref="A36:Z36"/>
    <mergeCell ref="B37:E37"/>
    <mergeCell ref="A38:Z38"/>
    <mergeCell ref="A39:Z39"/>
    <mergeCell ref="A40:Z40"/>
    <mergeCell ref="J35:M35"/>
    <mergeCell ref="A32:F32"/>
    <mergeCell ref="G32:K32"/>
    <mergeCell ref="L32:P32"/>
    <mergeCell ref="Q32:U32"/>
    <mergeCell ref="V32:Z32"/>
    <mergeCell ref="A33:Z33"/>
    <mergeCell ref="A31:C31"/>
    <mergeCell ref="D31:F31"/>
    <mergeCell ref="G31:K31"/>
    <mergeCell ref="L31:P31"/>
    <mergeCell ref="Q31:U31"/>
    <mergeCell ref="V31:Z31"/>
    <mergeCell ref="A30:C30"/>
    <mergeCell ref="D30:F30"/>
    <mergeCell ref="G30:K30"/>
    <mergeCell ref="L30:P30"/>
    <mergeCell ref="Q30:U30"/>
    <mergeCell ref="V30:Z30"/>
    <mergeCell ref="A29:C29"/>
    <mergeCell ref="D29:F29"/>
    <mergeCell ref="G29:K29"/>
    <mergeCell ref="L29:P29"/>
    <mergeCell ref="Q29:U29"/>
    <mergeCell ref="V29:Z29"/>
    <mergeCell ref="A28:C28"/>
    <mergeCell ref="D28:F28"/>
    <mergeCell ref="G28:K28"/>
    <mergeCell ref="L28:P28"/>
    <mergeCell ref="Q28:U28"/>
    <mergeCell ref="V28:Z28"/>
    <mergeCell ref="A27:C27"/>
    <mergeCell ref="D27:F27"/>
    <mergeCell ref="G27:K27"/>
    <mergeCell ref="L27:P27"/>
    <mergeCell ref="Q27:U27"/>
    <mergeCell ref="V27:Z27"/>
    <mergeCell ref="A26:C26"/>
    <mergeCell ref="D26:F26"/>
    <mergeCell ref="G26:K26"/>
    <mergeCell ref="L26:P26"/>
    <mergeCell ref="Q26:U26"/>
    <mergeCell ref="V26:Z26"/>
    <mergeCell ref="A25:C25"/>
    <mergeCell ref="D25:F25"/>
    <mergeCell ref="G25:K25"/>
    <mergeCell ref="L25:P25"/>
    <mergeCell ref="Q25:U25"/>
    <mergeCell ref="V25:Z25"/>
    <mergeCell ref="A23:F23"/>
    <mergeCell ref="G23:Z23"/>
    <mergeCell ref="A24:C24"/>
    <mergeCell ref="D24:F24"/>
    <mergeCell ref="G24:K24"/>
    <mergeCell ref="L24:P24"/>
    <mergeCell ref="Q24:U24"/>
    <mergeCell ref="V24:Z24"/>
    <mergeCell ref="A19:N19"/>
    <mergeCell ref="O19:Z19"/>
    <mergeCell ref="A20:N20"/>
    <mergeCell ref="O20:Z20"/>
    <mergeCell ref="A21:Z21"/>
    <mergeCell ref="A22:Z22"/>
    <mergeCell ref="A17:L17"/>
    <mergeCell ref="M17:N17"/>
    <mergeCell ref="O17:T17"/>
    <mergeCell ref="U17:Z17"/>
    <mergeCell ref="A18:L18"/>
    <mergeCell ref="M18:N18"/>
    <mergeCell ref="O18:T18"/>
    <mergeCell ref="U18:Z18"/>
    <mergeCell ref="A15:L15"/>
    <mergeCell ref="M15:N15"/>
    <mergeCell ref="O15:T15"/>
    <mergeCell ref="U15:Z15"/>
    <mergeCell ref="A16:L16"/>
    <mergeCell ref="M16:N16"/>
    <mergeCell ref="O16:T16"/>
    <mergeCell ref="U16:Z16"/>
    <mergeCell ref="A14:L14"/>
    <mergeCell ref="M14:N14"/>
    <mergeCell ref="O14:T14"/>
    <mergeCell ref="U14:Z14"/>
    <mergeCell ref="S7:X7"/>
    <mergeCell ref="A10:N10"/>
    <mergeCell ref="O10:Z10"/>
    <mergeCell ref="A11:N11"/>
    <mergeCell ref="O11:Z11"/>
    <mergeCell ref="A12:N12"/>
    <mergeCell ref="O12:Z12"/>
    <mergeCell ref="A1:C4"/>
    <mergeCell ref="D1:Z2"/>
    <mergeCell ref="D3:P3"/>
    <mergeCell ref="Q3:Z3"/>
    <mergeCell ref="D4:Z4"/>
    <mergeCell ref="P6:R6"/>
    <mergeCell ref="S6:X6"/>
    <mergeCell ref="A13:N13"/>
    <mergeCell ref="O13:T13"/>
    <mergeCell ref="U13:Z13"/>
  </mergeCells>
  <dataValidations count="1">
    <dataValidation type="list" allowBlank="1" showInputMessage="1" showErrorMessage="1" sqref="O11:Z11">
      <formula1>$AC$5:$AC$8</formula1>
    </dataValidation>
  </dataValidations>
  <printOptions horizontalCentered="1"/>
  <pageMargins left="0.59055118110236227" right="0.19685039370078741" top="0.39370078740157483" bottom="0.39370078740157483" header="0" footer="0.39370078740157483"/>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S69"/>
  <sheetViews>
    <sheetView showGridLines="0" showZeros="0" view="pageBreakPreview" topLeftCell="A37" zoomScaleSheetLayoutView="100" workbookViewId="0">
      <selection activeCell="U42" sqref="U42"/>
    </sheetView>
  </sheetViews>
  <sheetFormatPr baseColWidth="10" defaultColWidth="2.7109375" defaultRowHeight="13.5" customHeight="1"/>
  <cols>
    <col min="1" max="3" width="3" style="34" customWidth="1"/>
    <col min="4" max="4" width="3.85546875" style="34" customWidth="1"/>
    <col min="5" max="7" width="3" style="34" customWidth="1"/>
    <col min="8" max="8" width="3.5703125" style="34" customWidth="1"/>
    <col min="9" max="16" width="2.7109375" style="34" customWidth="1"/>
    <col min="17" max="20" width="3.28515625" style="34" customWidth="1"/>
    <col min="21" max="21" width="2.28515625" style="34" customWidth="1"/>
    <col min="22" max="22" width="3.7109375" style="34" customWidth="1"/>
    <col min="23" max="23" width="3.28515625" style="34" customWidth="1"/>
    <col min="24" max="34" width="2.28515625" style="34" customWidth="1"/>
    <col min="35" max="35" width="2.28515625" style="1121" customWidth="1"/>
    <col min="36" max="36" width="8" style="1121" customWidth="1"/>
    <col min="37" max="71" width="2.7109375" style="1121" customWidth="1"/>
    <col min="72" max="256" width="2.7109375" style="34"/>
    <col min="257" max="291" width="3.140625" style="34" customWidth="1"/>
    <col min="292" max="327" width="2.7109375" style="34" customWidth="1"/>
    <col min="328" max="512" width="2.7109375" style="34"/>
    <col min="513" max="547" width="3.140625" style="34" customWidth="1"/>
    <col min="548" max="583" width="2.7109375" style="34" customWidth="1"/>
    <col min="584" max="768" width="2.7109375" style="34"/>
    <col min="769" max="803" width="3.140625" style="34" customWidth="1"/>
    <col min="804" max="839" width="2.7109375" style="34" customWidth="1"/>
    <col min="840" max="1024" width="2.7109375" style="34"/>
    <col min="1025" max="1059" width="3.140625" style="34" customWidth="1"/>
    <col min="1060" max="1095" width="2.7109375" style="34" customWidth="1"/>
    <col min="1096" max="1280" width="2.7109375" style="34"/>
    <col min="1281" max="1315" width="3.140625" style="34" customWidth="1"/>
    <col min="1316" max="1351" width="2.7109375" style="34" customWidth="1"/>
    <col min="1352" max="1536" width="2.7109375" style="34"/>
    <col min="1537" max="1571" width="3.140625" style="34" customWidth="1"/>
    <col min="1572" max="1607" width="2.7109375" style="34" customWidth="1"/>
    <col min="1608" max="1792" width="2.7109375" style="34"/>
    <col min="1793" max="1827" width="3.140625" style="34" customWidth="1"/>
    <col min="1828" max="1863" width="2.7109375" style="34" customWidth="1"/>
    <col min="1864" max="2048" width="2.7109375" style="34"/>
    <col min="2049" max="2083" width="3.140625" style="34" customWidth="1"/>
    <col min="2084" max="2119" width="2.7109375" style="34" customWidth="1"/>
    <col min="2120" max="2304" width="2.7109375" style="34"/>
    <col min="2305" max="2339" width="3.140625" style="34" customWidth="1"/>
    <col min="2340" max="2375" width="2.7109375" style="34" customWidth="1"/>
    <col min="2376" max="2560" width="2.7109375" style="34"/>
    <col min="2561" max="2595" width="3.140625" style="34" customWidth="1"/>
    <col min="2596" max="2631" width="2.7109375" style="34" customWidth="1"/>
    <col min="2632" max="2816" width="2.7109375" style="34"/>
    <col min="2817" max="2851" width="3.140625" style="34" customWidth="1"/>
    <col min="2852" max="2887" width="2.7109375" style="34" customWidth="1"/>
    <col min="2888" max="3072" width="2.7109375" style="34"/>
    <col min="3073" max="3107" width="3.140625" style="34" customWidth="1"/>
    <col min="3108" max="3143" width="2.7109375" style="34" customWidth="1"/>
    <col min="3144" max="3328" width="2.7109375" style="34"/>
    <col min="3329" max="3363" width="3.140625" style="34" customWidth="1"/>
    <col min="3364" max="3399" width="2.7109375" style="34" customWidth="1"/>
    <col min="3400" max="3584" width="2.7109375" style="34"/>
    <col min="3585" max="3619" width="3.140625" style="34" customWidth="1"/>
    <col min="3620" max="3655" width="2.7109375" style="34" customWidth="1"/>
    <col min="3656" max="3840" width="2.7109375" style="34"/>
    <col min="3841" max="3875" width="3.140625" style="34" customWidth="1"/>
    <col min="3876" max="3911" width="2.7109375" style="34" customWidth="1"/>
    <col min="3912" max="4096" width="2.7109375" style="34"/>
    <col min="4097" max="4131" width="3.140625" style="34" customWidth="1"/>
    <col min="4132" max="4167" width="2.7109375" style="34" customWidth="1"/>
    <col min="4168" max="4352" width="2.7109375" style="34"/>
    <col min="4353" max="4387" width="3.140625" style="34" customWidth="1"/>
    <col min="4388" max="4423" width="2.7109375" style="34" customWidth="1"/>
    <col min="4424" max="4608" width="2.7109375" style="34"/>
    <col min="4609" max="4643" width="3.140625" style="34" customWidth="1"/>
    <col min="4644" max="4679" width="2.7109375" style="34" customWidth="1"/>
    <col min="4680" max="4864" width="2.7109375" style="34"/>
    <col min="4865" max="4899" width="3.140625" style="34" customWidth="1"/>
    <col min="4900" max="4935" width="2.7109375" style="34" customWidth="1"/>
    <col min="4936" max="5120" width="2.7109375" style="34"/>
    <col min="5121" max="5155" width="3.140625" style="34" customWidth="1"/>
    <col min="5156" max="5191" width="2.7109375" style="34" customWidth="1"/>
    <col min="5192" max="5376" width="2.7109375" style="34"/>
    <col min="5377" max="5411" width="3.140625" style="34" customWidth="1"/>
    <col min="5412" max="5447" width="2.7109375" style="34" customWidth="1"/>
    <col min="5448" max="5632" width="2.7109375" style="34"/>
    <col min="5633" max="5667" width="3.140625" style="34" customWidth="1"/>
    <col min="5668" max="5703" width="2.7109375" style="34" customWidth="1"/>
    <col min="5704" max="5888" width="2.7109375" style="34"/>
    <col min="5889" max="5923" width="3.140625" style="34" customWidth="1"/>
    <col min="5924" max="5959" width="2.7109375" style="34" customWidth="1"/>
    <col min="5960" max="6144" width="2.7109375" style="34"/>
    <col min="6145" max="6179" width="3.140625" style="34" customWidth="1"/>
    <col min="6180" max="6215" width="2.7109375" style="34" customWidth="1"/>
    <col min="6216" max="6400" width="2.7109375" style="34"/>
    <col min="6401" max="6435" width="3.140625" style="34" customWidth="1"/>
    <col min="6436" max="6471" width="2.7109375" style="34" customWidth="1"/>
    <col min="6472" max="6656" width="2.7109375" style="34"/>
    <col min="6657" max="6691" width="3.140625" style="34" customWidth="1"/>
    <col min="6692" max="6727" width="2.7109375" style="34" customWidth="1"/>
    <col min="6728" max="6912" width="2.7109375" style="34"/>
    <col min="6913" max="6947" width="3.140625" style="34" customWidth="1"/>
    <col min="6948" max="6983" width="2.7109375" style="34" customWidth="1"/>
    <col min="6984" max="7168" width="2.7109375" style="34"/>
    <col min="7169" max="7203" width="3.140625" style="34" customWidth="1"/>
    <col min="7204" max="7239" width="2.7109375" style="34" customWidth="1"/>
    <col min="7240" max="7424" width="2.7109375" style="34"/>
    <col min="7425" max="7459" width="3.140625" style="34" customWidth="1"/>
    <col min="7460" max="7495" width="2.7109375" style="34" customWidth="1"/>
    <col min="7496" max="7680" width="2.7109375" style="34"/>
    <col min="7681" max="7715" width="3.140625" style="34" customWidth="1"/>
    <col min="7716" max="7751" width="2.7109375" style="34" customWidth="1"/>
    <col min="7752" max="7936" width="2.7109375" style="34"/>
    <col min="7937" max="7971" width="3.140625" style="34" customWidth="1"/>
    <col min="7972" max="8007" width="2.7109375" style="34" customWidth="1"/>
    <col min="8008" max="8192" width="2.7109375" style="34"/>
    <col min="8193" max="8227" width="3.140625" style="34" customWidth="1"/>
    <col min="8228" max="8263" width="2.7109375" style="34" customWidth="1"/>
    <col min="8264" max="8448" width="2.7109375" style="34"/>
    <col min="8449" max="8483" width="3.140625" style="34" customWidth="1"/>
    <col min="8484" max="8519" width="2.7109375" style="34" customWidth="1"/>
    <col min="8520" max="8704" width="2.7109375" style="34"/>
    <col min="8705" max="8739" width="3.140625" style="34" customWidth="1"/>
    <col min="8740" max="8775" width="2.7109375" style="34" customWidth="1"/>
    <col min="8776" max="8960" width="2.7109375" style="34"/>
    <col min="8961" max="8995" width="3.140625" style="34" customWidth="1"/>
    <col min="8996" max="9031" width="2.7109375" style="34" customWidth="1"/>
    <col min="9032" max="9216" width="2.7109375" style="34"/>
    <col min="9217" max="9251" width="3.140625" style="34" customWidth="1"/>
    <col min="9252" max="9287" width="2.7109375" style="34" customWidth="1"/>
    <col min="9288" max="9472" width="2.7109375" style="34"/>
    <col min="9473" max="9507" width="3.140625" style="34" customWidth="1"/>
    <col min="9508" max="9543" width="2.7109375" style="34" customWidth="1"/>
    <col min="9544" max="9728" width="2.7109375" style="34"/>
    <col min="9729" max="9763" width="3.140625" style="34" customWidth="1"/>
    <col min="9764" max="9799" width="2.7109375" style="34" customWidth="1"/>
    <col min="9800" max="9984" width="2.7109375" style="34"/>
    <col min="9985" max="10019" width="3.140625" style="34" customWidth="1"/>
    <col min="10020" max="10055" width="2.7109375" style="34" customWidth="1"/>
    <col min="10056" max="10240" width="2.7109375" style="34"/>
    <col min="10241" max="10275" width="3.140625" style="34" customWidth="1"/>
    <col min="10276" max="10311" width="2.7109375" style="34" customWidth="1"/>
    <col min="10312" max="10496" width="2.7109375" style="34"/>
    <col min="10497" max="10531" width="3.140625" style="34" customWidth="1"/>
    <col min="10532" max="10567" width="2.7109375" style="34" customWidth="1"/>
    <col min="10568" max="10752" width="2.7109375" style="34"/>
    <col min="10753" max="10787" width="3.140625" style="34" customWidth="1"/>
    <col min="10788" max="10823" width="2.7109375" style="34" customWidth="1"/>
    <col min="10824" max="11008" width="2.7109375" style="34"/>
    <col min="11009" max="11043" width="3.140625" style="34" customWidth="1"/>
    <col min="11044" max="11079" width="2.7109375" style="34" customWidth="1"/>
    <col min="11080" max="11264" width="2.7109375" style="34"/>
    <col min="11265" max="11299" width="3.140625" style="34" customWidth="1"/>
    <col min="11300" max="11335" width="2.7109375" style="34" customWidth="1"/>
    <col min="11336" max="11520" width="2.7109375" style="34"/>
    <col min="11521" max="11555" width="3.140625" style="34" customWidth="1"/>
    <col min="11556" max="11591" width="2.7109375" style="34" customWidth="1"/>
    <col min="11592" max="11776" width="2.7109375" style="34"/>
    <col min="11777" max="11811" width="3.140625" style="34" customWidth="1"/>
    <col min="11812" max="11847" width="2.7109375" style="34" customWidth="1"/>
    <col min="11848" max="12032" width="2.7109375" style="34"/>
    <col min="12033" max="12067" width="3.140625" style="34" customWidth="1"/>
    <col min="12068" max="12103" width="2.7109375" style="34" customWidth="1"/>
    <col min="12104" max="12288" width="2.7109375" style="34"/>
    <col min="12289" max="12323" width="3.140625" style="34" customWidth="1"/>
    <col min="12324" max="12359" width="2.7109375" style="34" customWidth="1"/>
    <col min="12360" max="12544" width="2.7109375" style="34"/>
    <col min="12545" max="12579" width="3.140625" style="34" customWidth="1"/>
    <col min="12580" max="12615" width="2.7109375" style="34" customWidth="1"/>
    <col min="12616" max="12800" width="2.7109375" style="34"/>
    <col min="12801" max="12835" width="3.140625" style="34" customWidth="1"/>
    <col min="12836" max="12871" width="2.7109375" style="34" customWidth="1"/>
    <col min="12872" max="13056" width="2.7109375" style="34"/>
    <col min="13057" max="13091" width="3.140625" style="34" customWidth="1"/>
    <col min="13092" max="13127" width="2.7109375" style="34" customWidth="1"/>
    <col min="13128" max="13312" width="2.7109375" style="34"/>
    <col min="13313" max="13347" width="3.140625" style="34" customWidth="1"/>
    <col min="13348" max="13383" width="2.7109375" style="34" customWidth="1"/>
    <col min="13384" max="13568" width="2.7109375" style="34"/>
    <col min="13569" max="13603" width="3.140625" style="34" customWidth="1"/>
    <col min="13604" max="13639" width="2.7109375" style="34" customWidth="1"/>
    <col min="13640" max="13824" width="2.7109375" style="34"/>
    <col min="13825" max="13859" width="3.140625" style="34" customWidth="1"/>
    <col min="13860" max="13895" width="2.7109375" style="34" customWidth="1"/>
    <col min="13896" max="14080" width="2.7109375" style="34"/>
    <col min="14081" max="14115" width="3.140625" style="34" customWidth="1"/>
    <col min="14116" max="14151" width="2.7109375" style="34" customWidth="1"/>
    <col min="14152" max="14336" width="2.7109375" style="34"/>
    <col min="14337" max="14371" width="3.140625" style="34" customWidth="1"/>
    <col min="14372" max="14407" width="2.7109375" style="34" customWidth="1"/>
    <col min="14408" max="14592" width="2.7109375" style="34"/>
    <col min="14593" max="14627" width="3.140625" style="34" customWidth="1"/>
    <col min="14628" max="14663" width="2.7109375" style="34" customWidth="1"/>
    <col min="14664" max="14848" width="2.7109375" style="34"/>
    <col min="14849" max="14883" width="3.140625" style="34" customWidth="1"/>
    <col min="14884" max="14919" width="2.7109375" style="34" customWidth="1"/>
    <col min="14920" max="15104" width="2.7109375" style="34"/>
    <col min="15105" max="15139" width="3.140625" style="34" customWidth="1"/>
    <col min="15140" max="15175" width="2.7109375" style="34" customWidth="1"/>
    <col min="15176" max="15360" width="2.7109375" style="34"/>
    <col min="15361" max="15395" width="3.140625" style="34" customWidth="1"/>
    <col min="15396" max="15431" width="2.7109375" style="34" customWidth="1"/>
    <col min="15432" max="15616" width="2.7109375" style="34"/>
    <col min="15617" max="15651" width="3.140625" style="34" customWidth="1"/>
    <col min="15652" max="15687" width="2.7109375" style="34" customWidth="1"/>
    <col min="15688" max="15872" width="2.7109375" style="34"/>
    <col min="15873" max="15907" width="3.140625" style="34" customWidth="1"/>
    <col min="15908" max="15943" width="2.7109375" style="34" customWidth="1"/>
    <col min="15944" max="16128" width="2.7109375" style="34"/>
    <col min="16129" max="16163" width="3.140625" style="34" customWidth="1"/>
    <col min="16164" max="16199" width="2.7109375" style="34" customWidth="1"/>
    <col min="16200" max="16384" width="2.7109375" style="34"/>
  </cols>
  <sheetData>
    <row r="1" spans="1:71" ht="15" customHeight="1">
      <c r="A1" s="2999"/>
      <c r="B1" s="3000"/>
      <c r="C1" s="3000"/>
      <c r="D1" s="3001"/>
      <c r="E1" s="3008" t="s">
        <v>581</v>
      </c>
      <c r="F1" s="3008"/>
      <c r="G1" s="3008"/>
      <c r="H1" s="3008"/>
      <c r="I1" s="3008"/>
      <c r="J1" s="3008"/>
      <c r="K1" s="3008"/>
      <c r="L1" s="3008"/>
      <c r="M1" s="3008"/>
      <c r="N1" s="3008"/>
      <c r="O1" s="3008"/>
      <c r="P1" s="3008"/>
      <c r="Q1" s="3008"/>
      <c r="R1" s="3008"/>
      <c r="S1" s="3008"/>
      <c r="T1" s="3008"/>
      <c r="U1" s="3008"/>
      <c r="V1" s="3008"/>
      <c r="W1" s="3008"/>
      <c r="X1" s="3008"/>
      <c r="Y1" s="3008"/>
      <c r="Z1" s="3008"/>
      <c r="AA1" s="3008"/>
      <c r="AB1" s="3008"/>
      <c r="AC1" s="3008"/>
      <c r="AD1" s="3008"/>
      <c r="AE1" s="3008"/>
      <c r="AF1" s="3008"/>
      <c r="AG1" s="3008"/>
      <c r="AH1" s="3008"/>
      <c r="AI1" s="3008"/>
      <c r="AJ1" s="1120"/>
    </row>
    <row r="2" spans="1:71" ht="15" customHeight="1">
      <c r="A2" s="3002"/>
      <c r="B2" s="3003"/>
      <c r="C2" s="3003"/>
      <c r="D2" s="3004"/>
      <c r="E2" s="3008"/>
      <c r="F2" s="3008"/>
      <c r="G2" s="3008"/>
      <c r="H2" s="3008"/>
      <c r="I2" s="3008"/>
      <c r="J2" s="3008"/>
      <c r="K2" s="3008"/>
      <c r="L2" s="3008"/>
      <c r="M2" s="3008"/>
      <c r="N2" s="3008"/>
      <c r="O2" s="3008"/>
      <c r="P2" s="3008"/>
      <c r="Q2" s="3008"/>
      <c r="R2" s="3008"/>
      <c r="S2" s="3008"/>
      <c r="T2" s="3008"/>
      <c r="U2" s="3008"/>
      <c r="V2" s="3008"/>
      <c r="W2" s="3008"/>
      <c r="X2" s="3008"/>
      <c r="Y2" s="3008"/>
      <c r="Z2" s="3008"/>
      <c r="AA2" s="3008"/>
      <c r="AB2" s="3008"/>
      <c r="AC2" s="3008"/>
      <c r="AD2" s="3008"/>
      <c r="AE2" s="3008"/>
      <c r="AF2" s="3008"/>
      <c r="AG2" s="3008"/>
      <c r="AH2" s="3008"/>
      <c r="AI2" s="3008"/>
      <c r="AJ2" s="1120"/>
      <c r="AM2" s="3009" t="s">
        <v>582</v>
      </c>
      <c r="AN2" s="3010"/>
      <c r="AO2" s="3010"/>
      <c r="AP2" s="3010"/>
      <c r="AQ2" s="1122" t="s">
        <v>583</v>
      </c>
      <c r="AR2" s="1123"/>
      <c r="AS2" s="2994" t="s">
        <v>64</v>
      </c>
      <c r="AT2" s="2995"/>
      <c r="AV2" s="3009" t="s">
        <v>584</v>
      </c>
      <c r="AW2" s="3010"/>
      <c r="AX2" s="3010"/>
      <c r="AY2" s="3010"/>
      <c r="AZ2" s="1122" t="s">
        <v>585</v>
      </c>
      <c r="BA2" s="1122"/>
      <c r="BB2" s="1122"/>
      <c r="BC2" s="1123"/>
      <c r="BD2" s="2994"/>
      <c r="BE2" s="2995"/>
      <c r="BG2" s="2971" t="s">
        <v>586</v>
      </c>
      <c r="BH2" s="2972"/>
      <c r="BI2" s="2972"/>
      <c r="BJ2" s="2972"/>
      <c r="BK2" s="2972"/>
      <c r="BL2" s="2972"/>
      <c r="BM2" s="1122" t="s">
        <v>587</v>
      </c>
      <c r="BN2" s="1122"/>
      <c r="BO2" s="1122"/>
      <c r="BP2" s="1123"/>
      <c r="BQ2" s="2994"/>
      <c r="BR2" s="2995"/>
    </row>
    <row r="3" spans="1:71" ht="15" customHeight="1">
      <c r="A3" s="3002"/>
      <c r="B3" s="3003"/>
      <c r="C3" s="3003"/>
      <c r="D3" s="3004"/>
      <c r="E3" s="3008"/>
      <c r="F3" s="3008"/>
      <c r="G3" s="3008"/>
      <c r="H3" s="3008"/>
      <c r="I3" s="3008"/>
      <c r="J3" s="3008"/>
      <c r="K3" s="3008"/>
      <c r="L3" s="3008"/>
      <c r="M3" s="3008"/>
      <c r="N3" s="3008"/>
      <c r="O3" s="3008"/>
      <c r="P3" s="3008"/>
      <c r="Q3" s="3008"/>
      <c r="R3" s="3008"/>
      <c r="S3" s="3008"/>
      <c r="T3" s="3008"/>
      <c r="U3" s="3008"/>
      <c r="V3" s="3008"/>
      <c r="W3" s="3008"/>
      <c r="X3" s="3008"/>
      <c r="Y3" s="3008"/>
      <c r="Z3" s="3008"/>
      <c r="AA3" s="3008"/>
      <c r="AB3" s="3008"/>
      <c r="AC3" s="3008"/>
      <c r="AD3" s="3008"/>
      <c r="AE3" s="3008"/>
      <c r="AF3" s="3008"/>
      <c r="AG3" s="3008"/>
      <c r="AH3" s="3008"/>
      <c r="AI3" s="3008"/>
      <c r="AJ3" s="1120"/>
      <c r="AM3" s="3011"/>
      <c r="AN3" s="3012"/>
      <c r="AO3" s="3012"/>
      <c r="AP3" s="3012"/>
      <c r="AQ3" s="1124" t="s">
        <v>588</v>
      </c>
      <c r="AR3" s="1125"/>
      <c r="AS3" s="2996"/>
      <c r="AT3" s="2997"/>
      <c r="AV3" s="3011"/>
      <c r="AW3" s="3012"/>
      <c r="AX3" s="3012"/>
      <c r="AY3" s="3012"/>
      <c r="AZ3" s="1124" t="s">
        <v>589</v>
      </c>
      <c r="BA3" s="1124"/>
      <c r="BB3" s="1124"/>
      <c r="BC3" s="1125"/>
      <c r="BD3" s="2996" t="s">
        <v>64</v>
      </c>
      <c r="BE3" s="2997"/>
      <c r="BG3" s="2973"/>
      <c r="BH3" s="2974"/>
      <c r="BI3" s="2974"/>
      <c r="BJ3" s="2974"/>
      <c r="BK3" s="2974"/>
      <c r="BL3" s="2974"/>
      <c r="BM3" s="1124" t="s">
        <v>590</v>
      </c>
      <c r="BN3" s="1124"/>
      <c r="BO3" s="1124"/>
      <c r="BP3" s="1125"/>
      <c r="BQ3" s="2996"/>
      <c r="BR3" s="2997"/>
    </row>
    <row r="4" spans="1:71" ht="15" customHeight="1">
      <c r="A4" s="3002"/>
      <c r="B4" s="3003"/>
      <c r="C4" s="3003"/>
      <c r="D4" s="3004"/>
      <c r="E4" s="2998" t="s">
        <v>591</v>
      </c>
      <c r="F4" s="2998"/>
      <c r="G4" s="2998"/>
      <c r="H4" s="2998"/>
      <c r="I4" s="2998"/>
      <c r="J4" s="2998"/>
      <c r="K4" s="2998"/>
      <c r="L4" s="2998"/>
      <c r="M4" s="2998"/>
      <c r="N4" s="2998"/>
      <c r="O4" s="2998"/>
      <c r="P4" s="2998"/>
      <c r="Q4" s="2998"/>
      <c r="R4" s="2998"/>
      <c r="S4" s="2998"/>
      <c r="T4" s="2998"/>
      <c r="U4" s="2998" t="s">
        <v>498</v>
      </c>
      <c r="V4" s="2998"/>
      <c r="W4" s="2998"/>
      <c r="X4" s="2998"/>
      <c r="Y4" s="2998"/>
      <c r="Z4" s="2998"/>
      <c r="AA4" s="2998"/>
      <c r="AB4" s="2998"/>
      <c r="AC4" s="2998"/>
      <c r="AD4" s="2998"/>
      <c r="AE4" s="2998"/>
      <c r="AF4" s="2998"/>
      <c r="AG4" s="2998"/>
      <c r="AH4" s="2998"/>
      <c r="AI4" s="2998"/>
      <c r="AJ4" s="1126"/>
      <c r="BM4" s="1121" t="s">
        <v>459</v>
      </c>
    </row>
    <row r="5" spans="1:71" ht="15" customHeight="1">
      <c r="A5" s="3005"/>
      <c r="B5" s="3006"/>
      <c r="C5" s="3006"/>
      <c r="D5" s="3007"/>
      <c r="E5" s="3013" t="s">
        <v>313</v>
      </c>
      <c r="F5" s="3013"/>
      <c r="G5" s="3013"/>
      <c r="H5" s="3013"/>
      <c r="I5" s="3013"/>
      <c r="J5" s="3013"/>
      <c r="K5" s="3013"/>
      <c r="L5" s="3013"/>
      <c r="M5" s="3013"/>
      <c r="N5" s="3013"/>
      <c r="O5" s="3013"/>
      <c r="P5" s="3013"/>
      <c r="Q5" s="3013"/>
      <c r="R5" s="3013"/>
      <c r="S5" s="3013"/>
      <c r="T5" s="3013"/>
      <c r="U5" s="3013"/>
      <c r="V5" s="3013"/>
      <c r="W5" s="3013"/>
      <c r="X5" s="3013"/>
      <c r="Y5" s="3013"/>
      <c r="Z5" s="3013"/>
      <c r="AA5" s="3013"/>
      <c r="AB5" s="3013"/>
      <c r="AC5" s="3013"/>
      <c r="AD5" s="3013"/>
      <c r="AE5" s="3013"/>
      <c r="AF5" s="3013"/>
      <c r="AG5" s="3013"/>
      <c r="AH5" s="3013"/>
      <c r="AI5" s="3013"/>
      <c r="AJ5" s="1127"/>
    </row>
    <row r="6" spans="1:71" ht="15" customHeight="1">
      <c r="A6" s="808"/>
      <c r="B6" s="809"/>
      <c r="C6" s="809"/>
      <c r="D6" s="809"/>
      <c r="E6" s="810"/>
      <c r="F6" s="810"/>
      <c r="G6" s="810"/>
      <c r="H6" s="810"/>
      <c r="I6" s="810"/>
      <c r="J6" s="810"/>
      <c r="K6" s="810"/>
      <c r="L6" s="810"/>
      <c r="M6" s="810"/>
      <c r="N6" s="810"/>
      <c r="O6" s="810"/>
      <c r="P6" s="810"/>
      <c r="Q6" s="810"/>
      <c r="R6" s="810"/>
      <c r="S6" s="810"/>
      <c r="T6" s="810"/>
      <c r="U6" s="875"/>
      <c r="V6" s="875"/>
      <c r="W6" s="875"/>
      <c r="X6" s="875"/>
      <c r="Y6" s="875"/>
      <c r="Z6" s="875"/>
      <c r="AA6" s="875"/>
      <c r="AB6" s="812"/>
      <c r="AC6" s="812"/>
      <c r="AD6" s="812"/>
      <c r="AE6" s="812"/>
      <c r="AF6" s="812"/>
      <c r="AG6" s="812"/>
      <c r="AH6" s="812"/>
      <c r="AI6" s="813"/>
      <c r="AJ6" s="392" t="s">
        <v>314</v>
      </c>
    </row>
    <row r="7" spans="1:71" s="36" customFormat="1" ht="15" customHeight="1">
      <c r="A7" s="443"/>
      <c r="B7" s="444"/>
      <c r="C7" s="444"/>
      <c r="D7" s="444"/>
      <c r="E7" s="1128"/>
      <c r="F7" s="1128"/>
      <c r="G7" s="1128"/>
      <c r="H7" s="1128"/>
      <c r="I7" s="1128"/>
      <c r="J7" s="1129"/>
      <c r="K7" s="1129"/>
      <c r="L7" s="1129"/>
      <c r="M7" s="1129"/>
      <c r="N7" s="1128"/>
      <c r="O7" s="1128"/>
      <c r="P7" s="1128"/>
      <c r="Q7" s="1128"/>
      <c r="R7" s="1128"/>
      <c r="S7" s="1128"/>
      <c r="T7" s="1128"/>
      <c r="U7" s="2503" t="s">
        <v>9</v>
      </c>
      <c r="V7" s="2503"/>
      <c r="W7" s="2503"/>
      <c r="X7" s="2195" t="str">
        <f>IF('1. Encabezado'!T7="","",'1. Encabezado'!T7)</f>
        <v/>
      </c>
      <c r="Y7" s="2195"/>
      <c r="Z7" s="2195"/>
      <c r="AA7" s="2195"/>
      <c r="AB7" s="2195"/>
      <c r="AC7" s="2195"/>
      <c r="AD7" s="2195"/>
      <c r="AE7" s="2195"/>
      <c r="AF7" s="2195"/>
      <c r="AG7" s="2195"/>
      <c r="AH7" s="815"/>
      <c r="AI7" s="816"/>
      <c r="AJ7" s="393" t="s">
        <v>315</v>
      </c>
      <c r="AK7" s="1130"/>
      <c r="AL7" s="1130"/>
      <c r="AM7" s="1130"/>
      <c r="AN7" s="1130"/>
      <c r="AO7" s="1130"/>
      <c r="AP7" s="1130"/>
      <c r="AQ7" s="1130"/>
      <c r="AR7" s="1130"/>
      <c r="AS7" s="1130"/>
      <c r="AT7" s="1130"/>
      <c r="AU7" s="1130"/>
      <c r="AV7" s="1130"/>
      <c r="AW7" s="1130"/>
      <c r="AX7" s="1130"/>
      <c r="AY7" s="1130"/>
      <c r="AZ7" s="1130"/>
      <c r="BA7" s="1130"/>
      <c r="BB7" s="1130"/>
      <c r="BC7" s="1130"/>
      <c r="BD7" s="1130"/>
      <c r="BE7" s="1130"/>
      <c r="BF7" s="1130"/>
      <c r="BG7" s="1130"/>
      <c r="BH7" s="1130"/>
      <c r="BI7" s="1130"/>
      <c r="BJ7" s="1130"/>
      <c r="BK7" s="1130"/>
      <c r="BL7" s="1130"/>
      <c r="BM7" s="1130"/>
      <c r="BN7" s="1130"/>
      <c r="BO7" s="1130"/>
      <c r="BP7" s="1130"/>
      <c r="BQ7" s="1130"/>
      <c r="BR7" s="1130"/>
      <c r="BS7" s="1130"/>
    </row>
    <row r="8" spans="1:71" s="36" customFormat="1" ht="15" customHeight="1">
      <c r="A8" s="443"/>
      <c r="B8" s="444"/>
      <c r="C8" s="444"/>
      <c r="D8" s="444"/>
      <c r="E8" s="1128"/>
      <c r="F8" s="1128"/>
      <c r="G8" s="1128"/>
      <c r="H8" s="1128"/>
      <c r="I8" s="1128"/>
      <c r="J8" s="811"/>
      <c r="K8" s="811"/>
      <c r="L8" s="811"/>
      <c r="M8" s="811"/>
      <c r="N8" s="1128"/>
      <c r="O8" s="1128"/>
      <c r="P8" s="1128"/>
      <c r="Q8" s="1128"/>
      <c r="R8" s="1128"/>
      <c r="S8" s="1128"/>
      <c r="T8" s="1128"/>
      <c r="U8" s="811"/>
      <c r="V8" s="811"/>
      <c r="W8" s="683"/>
      <c r="X8" s="683"/>
      <c r="Y8" s="450"/>
      <c r="Z8" s="2222" t="str">
        <f>IF(X7="",AJ11,CONCATENATE(AJ7," ",AJ8," ",AJ9," ", AJ10))</f>
        <v>Pagina xx de xx</v>
      </c>
      <c r="AA8" s="2222"/>
      <c r="AB8" s="2222"/>
      <c r="AC8" s="2222"/>
      <c r="AD8" s="2222"/>
      <c r="AE8" s="2222"/>
      <c r="AF8" s="2222"/>
      <c r="AG8" s="2222"/>
      <c r="AH8" s="817"/>
      <c r="AI8" s="818"/>
      <c r="AJ8" s="653">
        <v>12</v>
      </c>
      <c r="AK8" s="1130"/>
      <c r="AL8" s="1130"/>
      <c r="AM8" s="1130"/>
      <c r="AN8" s="1130"/>
      <c r="AO8" s="1130"/>
      <c r="AP8" s="1130"/>
      <c r="AQ8" s="1130"/>
      <c r="AR8" s="1130"/>
      <c r="AS8" s="1130"/>
      <c r="AT8" s="1130"/>
      <c r="AU8" s="1130"/>
      <c r="AV8" s="1130"/>
      <c r="AW8" s="1130"/>
      <c r="AX8" s="1130"/>
      <c r="AY8" s="1130"/>
      <c r="AZ8" s="1130"/>
      <c r="BA8" s="1130"/>
      <c r="BB8" s="1130"/>
      <c r="BC8" s="1130"/>
      <c r="BD8" s="1130"/>
      <c r="BE8" s="1130"/>
      <c r="BF8" s="1130"/>
      <c r="BG8" s="1130"/>
      <c r="BH8" s="1130"/>
      <c r="BI8" s="1130"/>
      <c r="BJ8" s="1130"/>
      <c r="BK8" s="1130"/>
      <c r="BL8" s="1130"/>
      <c r="BM8" s="1130"/>
      <c r="BN8" s="1130"/>
      <c r="BO8" s="1130"/>
      <c r="BP8" s="1130"/>
      <c r="BQ8" s="1130"/>
      <c r="BR8" s="1130"/>
      <c r="BS8" s="1130"/>
    </row>
    <row r="9" spans="1:71" s="36" customFormat="1" ht="15" customHeight="1">
      <c r="A9" s="443"/>
      <c r="B9" s="444"/>
      <c r="C9" s="444"/>
      <c r="D9" s="444"/>
      <c r="E9" s="814"/>
      <c r="F9" s="814"/>
      <c r="G9" s="814"/>
      <c r="H9" s="814"/>
      <c r="I9" s="814"/>
      <c r="J9" s="814"/>
      <c r="K9" s="814"/>
      <c r="L9" s="814"/>
      <c r="M9" s="814"/>
      <c r="N9" s="814"/>
      <c r="O9" s="814"/>
      <c r="P9" s="814"/>
      <c r="Q9" s="814"/>
      <c r="R9" s="814"/>
      <c r="S9" s="814"/>
      <c r="T9" s="814"/>
      <c r="U9" s="1131"/>
      <c r="V9" s="48"/>
      <c r="W9" s="44"/>
      <c r="X9" s="44"/>
      <c r="Y9" s="44"/>
      <c r="Z9" s="44"/>
      <c r="AA9" s="44"/>
      <c r="AB9" s="815"/>
      <c r="AC9" s="815"/>
      <c r="AD9" s="815"/>
      <c r="AE9" s="815"/>
      <c r="AF9" s="815"/>
      <c r="AG9" s="815"/>
      <c r="AH9" s="815"/>
      <c r="AI9" s="816"/>
      <c r="AJ9" s="394" t="s">
        <v>316</v>
      </c>
      <c r="AQ9" s="1132"/>
      <c r="AS9" s="1133"/>
      <c r="AT9" s="1133"/>
      <c r="AU9" s="1133"/>
      <c r="AV9" s="1133"/>
      <c r="AW9" s="1134"/>
      <c r="AX9" s="1130"/>
      <c r="AY9" s="1130"/>
      <c r="AZ9" s="1130"/>
      <c r="BA9" s="1130"/>
      <c r="BB9" s="1130"/>
      <c r="BC9" s="1130"/>
      <c r="BD9" s="1130"/>
      <c r="BE9" s="1130"/>
      <c r="BF9" s="1130"/>
      <c r="BG9" s="1130"/>
      <c r="BH9" s="1130"/>
      <c r="BI9" s="1130"/>
      <c r="BJ9" s="1130"/>
      <c r="BK9" s="1130"/>
      <c r="BL9" s="1130"/>
      <c r="BM9" s="1130"/>
      <c r="BN9" s="1130"/>
      <c r="BO9" s="1130"/>
      <c r="BP9" s="1130"/>
      <c r="BQ9" s="1130"/>
      <c r="BR9" s="1130"/>
      <c r="BS9" s="1130"/>
    </row>
    <row r="10" spans="1:71" s="36" customFormat="1" ht="15" customHeight="1">
      <c r="A10" s="1135"/>
      <c r="B10" s="1136"/>
      <c r="C10" s="1137"/>
      <c r="D10" s="1137"/>
      <c r="E10" s="1137"/>
      <c r="F10" s="1137"/>
      <c r="G10" s="1137"/>
      <c r="H10" s="1137"/>
      <c r="I10" s="1137"/>
      <c r="J10" s="1137"/>
      <c r="K10" s="1137"/>
      <c r="L10" s="1137"/>
      <c r="M10" s="1137"/>
      <c r="N10" s="1137"/>
      <c r="O10" s="1137"/>
      <c r="P10" s="1138"/>
      <c r="Q10" s="1138"/>
      <c r="R10" s="1138"/>
      <c r="S10" s="1138"/>
      <c r="T10" s="1138"/>
      <c r="U10" s="1138"/>
      <c r="V10" s="1138"/>
      <c r="W10" s="1138"/>
      <c r="X10" s="444"/>
      <c r="Y10" s="444"/>
      <c r="Z10" s="1139"/>
      <c r="AA10" s="1139"/>
      <c r="AB10" s="1139"/>
      <c r="AC10" s="1140"/>
      <c r="AD10" s="1136"/>
      <c r="AE10" s="1136"/>
      <c r="AF10" s="1141"/>
      <c r="AG10" s="1141"/>
      <c r="AH10" s="1141"/>
      <c r="AI10" s="1142"/>
      <c r="AJ10" s="394">
        <f>IF('1. Encabezado'!AB10="","",'1. Encabezado'!AB10)</f>
        <v>17</v>
      </c>
      <c r="AK10" s="1130"/>
      <c r="AL10" s="1130"/>
      <c r="AM10" s="1130"/>
      <c r="AN10" s="1130"/>
      <c r="AO10" s="1130"/>
      <c r="AP10" s="1130"/>
      <c r="AQ10" s="1130"/>
      <c r="AR10" s="1130"/>
      <c r="AS10" s="1130"/>
      <c r="AT10" s="1130"/>
      <c r="AU10" s="1130"/>
      <c r="AV10" s="1130"/>
      <c r="AW10" s="1130"/>
      <c r="AX10" s="1130"/>
      <c r="AY10" s="1130"/>
      <c r="AZ10" s="1130"/>
      <c r="BA10" s="1130"/>
      <c r="BB10" s="1130"/>
      <c r="BC10" s="1130"/>
      <c r="BD10" s="1130"/>
      <c r="BE10" s="1130"/>
      <c r="BF10" s="1130"/>
      <c r="BG10" s="1130"/>
      <c r="BH10" s="1130"/>
      <c r="BI10" s="1130"/>
      <c r="BJ10" s="1130"/>
      <c r="BK10" s="1130"/>
      <c r="BL10" s="1130"/>
      <c r="BM10" s="1130"/>
      <c r="BN10" s="1130"/>
      <c r="BO10" s="1130"/>
      <c r="BP10" s="1130"/>
      <c r="BQ10" s="1130"/>
      <c r="BR10" s="1130"/>
      <c r="BS10" s="1130"/>
    </row>
    <row r="11" spans="1:71" ht="15" customHeight="1">
      <c r="A11" s="1143"/>
      <c r="B11" s="2959" t="s">
        <v>582</v>
      </c>
      <c r="C11" s="2960"/>
      <c r="D11" s="2960"/>
      <c r="E11" s="2960"/>
      <c r="F11" s="2963"/>
      <c r="G11" s="2963"/>
      <c r="H11" s="2963"/>
      <c r="I11" s="2964"/>
      <c r="J11" s="814"/>
      <c r="K11" s="2967" t="s">
        <v>584</v>
      </c>
      <c r="L11" s="2968"/>
      <c r="M11" s="2968"/>
      <c r="N11" s="2968"/>
      <c r="O11" s="2963"/>
      <c r="P11" s="2963"/>
      <c r="Q11" s="2963"/>
      <c r="R11" s="2963"/>
      <c r="S11" s="2963"/>
      <c r="T11" s="2964"/>
      <c r="U11" s="814"/>
      <c r="V11" s="2967" t="s">
        <v>586</v>
      </c>
      <c r="W11" s="2968"/>
      <c r="X11" s="2968"/>
      <c r="Y11" s="2968"/>
      <c r="Z11" s="2968"/>
      <c r="AA11" s="2968"/>
      <c r="AB11" s="2968"/>
      <c r="AC11" s="2963"/>
      <c r="AD11" s="2963"/>
      <c r="AE11" s="2963"/>
      <c r="AF11" s="2963"/>
      <c r="AG11" s="2963"/>
      <c r="AH11" s="2964"/>
      <c r="AI11" s="1144"/>
      <c r="AJ11" s="395" t="s">
        <v>317</v>
      </c>
      <c r="AU11" s="1145" t="s">
        <v>592</v>
      </c>
    </row>
    <row r="12" spans="1:71" s="1146" customFormat="1" ht="12.95" customHeight="1">
      <c r="A12" s="1143"/>
      <c r="B12" s="2961"/>
      <c r="C12" s="2962"/>
      <c r="D12" s="2962"/>
      <c r="E12" s="2962"/>
      <c r="F12" s="2965"/>
      <c r="G12" s="2965"/>
      <c r="H12" s="2965"/>
      <c r="I12" s="2966"/>
      <c r="J12" s="814"/>
      <c r="K12" s="2969"/>
      <c r="L12" s="2970"/>
      <c r="M12" s="2970"/>
      <c r="N12" s="2970"/>
      <c r="O12" s="2965"/>
      <c r="P12" s="2965"/>
      <c r="Q12" s="2965"/>
      <c r="R12" s="2965"/>
      <c r="S12" s="2965"/>
      <c r="T12" s="2966"/>
      <c r="U12" s="814"/>
      <c r="V12" s="2969"/>
      <c r="W12" s="2970"/>
      <c r="X12" s="2970"/>
      <c r="Y12" s="2970"/>
      <c r="Z12" s="2970"/>
      <c r="AA12" s="2970"/>
      <c r="AB12" s="2970"/>
      <c r="AC12" s="2965"/>
      <c r="AD12" s="2965"/>
      <c r="AE12" s="2965"/>
      <c r="AF12" s="2965"/>
      <c r="AG12" s="2965"/>
      <c r="AH12" s="2966"/>
      <c r="AI12" s="1144"/>
      <c r="AU12" s="1147" t="s">
        <v>230</v>
      </c>
    </row>
    <row r="13" spans="1:71" s="1146" customFormat="1" ht="3" customHeight="1">
      <c r="A13" s="1143"/>
      <c r="B13" s="1148"/>
      <c r="C13" s="814"/>
      <c r="D13" s="814"/>
      <c r="E13" s="814"/>
      <c r="F13" s="814"/>
      <c r="G13" s="814"/>
      <c r="H13" s="814"/>
      <c r="I13" s="814"/>
      <c r="J13" s="814"/>
      <c r="K13" s="814"/>
      <c r="L13" s="814"/>
      <c r="M13" s="814"/>
      <c r="N13" s="814"/>
      <c r="O13" s="814"/>
      <c r="P13" s="1148"/>
      <c r="Q13" s="1148"/>
      <c r="R13" s="1148"/>
      <c r="S13" s="1148"/>
      <c r="T13" s="1148"/>
      <c r="U13" s="1148"/>
      <c r="V13" s="1148"/>
      <c r="W13" s="1148"/>
      <c r="X13" s="444"/>
      <c r="Y13" s="444"/>
      <c r="Z13" s="1139"/>
      <c r="AA13" s="1139"/>
      <c r="AB13" s="1139"/>
      <c r="AC13" s="1149"/>
      <c r="AD13" s="1148"/>
      <c r="AE13" s="1148"/>
      <c r="AF13" s="1150"/>
      <c r="AG13" s="1150"/>
      <c r="AH13" s="1150"/>
      <c r="AI13" s="1151"/>
      <c r="AU13" s="1147" t="s">
        <v>231</v>
      </c>
    </row>
    <row r="14" spans="1:71" s="1152" customFormat="1" ht="12.95" customHeight="1">
      <c r="A14" s="2987" t="s">
        <v>593</v>
      </c>
      <c r="B14" s="2988"/>
      <c r="C14" s="2988"/>
      <c r="D14" s="2988"/>
      <c r="E14" s="2987" t="s">
        <v>594</v>
      </c>
      <c r="F14" s="2988"/>
      <c r="G14" s="2988"/>
      <c r="H14" s="2989"/>
      <c r="I14" s="2990" t="s">
        <v>595</v>
      </c>
      <c r="J14" s="2990"/>
      <c r="K14" s="2990"/>
      <c r="L14" s="2990"/>
      <c r="M14" s="2990" t="s">
        <v>596</v>
      </c>
      <c r="N14" s="2990"/>
      <c r="O14" s="2990"/>
      <c r="P14" s="2990"/>
      <c r="Q14" s="2975" t="s">
        <v>597</v>
      </c>
      <c r="R14" s="2976"/>
      <c r="S14" s="2976"/>
      <c r="T14" s="2992"/>
      <c r="U14" s="2975" t="s">
        <v>598</v>
      </c>
      <c r="V14" s="2976"/>
      <c r="W14" s="2976"/>
      <c r="X14" s="2976"/>
      <c r="Y14" s="2975" t="s">
        <v>599</v>
      </c>
      <c r="Z14" s="2976"/>
      <c r="AA14" s="2976"/>
      <c r="AB14" s="2976"/>
      <c r="AC14" s="2979" t="s">
        <v>600</v>
      </c>
      <c r="AD14" s="2980"/>
      <c r="AE14" s="2980"/>
      <c r="AF14" s="2981"/>
      <c r="AG14" s="2979" t="s">
        <v>601</v>
      </c>
      <c r="AH14" s="2980"/>
      <c r="AI14" s="2981"/>
      <c r="AJ14" s="1146"/>
      <c r="AK14" s="1146"/>
      <c r="AL14" s="1146"/>
      <c r="AM14" s="1146"/>
      <c r="AN14" s="1146"/>
      <c r="AO14" s="1146"/>
      <c r="AP14" s="1146"/>
      <c r="AQ14" s="1146"/>
      <c r="AR14" s="1146"/>
      <c r="AS14" s="1146"/>
      <c r="AT14" s="1146"/>
      <c r="AU14" s="1147" t="s">
        <v>232</v>
      </c>
      <c r="AV14" s="1146"/>
      <c r="AW14" s="1146"/>
      <c r="AX14" s="1146"/>
      <c r="AY14" s="1146"/>
      <c r="AZ14" s="1146"/>
      <c r="BA14" s="1146"/>
      <c r="BB14" s="1146"/>
      <c r="BC14" s="1146"/>
      <c r="BD14" s="1146"/>
      <c r="BE14" s="1146"/>
      <c r="BF14" s="1146"/>
      <c r="BG14" s="1146"/>
      <c r="BH14" s="1146"/>
      <c r="BI14" s="1146"/>
      <c r="BJ14" s="1146"/>
      <c r="BK14" s="1146"/>
      <c r="BL14" s="1146"/>
      <c r="BM14" s="1146"/>
      <c r="BN14" s="1146"/>
      <c r="BO14" s="1146"/>
      <c r="BP14" s="1146"/>
      <c r="BQ14" s="1146"/>
      <c r="BR14" s="1146"/>
      <c r="BS14" s="1146"/>
    </row>
    <row r="15" spans="1:71" s="1152" customFormat="1" ht="17.25" customHeight="1" thickBot="1">
      <c r="A15" s="2982" t="s">
        <v>24</v>
      </c>
      <c r="B15" s="2983"/>
      <c r="C15" s="2982" t="s">
        <v>65</v>
      </c>
      <c r="D15" s="2983"/>
      <c r="E15" s="2982" t="s">
        <v>24</v>
      </c>
      <c r="F15" s="2983"/>
      <c r="G15" s="2982" t="s">
        <v>65</v>
      </c>
      <c r="H15" s="2983"/>
      <c r="I15" s="2991"/>
      <c r="J15" s="2991"/>
      <c r="K15" s="2991"/>
      <c r="L15" s="2991"/>
      <c r="M15" s="2991"/>
      <c r="N15" s="2991"/>
      <c r="O15" s="2991"/>
      <c r="P15" s="2991"/>
      <c r="Q15" s="2977"/>
      <c r="R15" s="2978"/>
      <c r="S15" s="2978"/>
      <c r="T15" s="2993"/>
      <c r="U15" s="2977"/>
      <c r="V15" s="2978"/>
      <c r="W15" s="2978"/>
      <c r="X15" s="2978"/>
      <c r="Y15" s="2977"/>
      <c r="Z15" s="2978"/>
      <c r="AA15" s="2978"/>
      <c r="AB15" s="2978"/>
      <c r="AC15" s="2984" t="s">
        <v>602</v>
      </c>
      <c r="AD15" s="2985"/>
      <c r="AE15" s="2985"/>
      <c r="AF15" s="2986"/>
      <c r="AG15" s="2984" t="s">
        <v>603</v>
      </c>
      <c r="AH15" s="2985"/>
      <c r="AI15" s="2986"/>
      <c r="AJ15" s="1146" t="s">
        <v>749</v>
      </c>
      <c r="AK15" s="1146"/>
      <c r="AL15" s="1146"/>
      <c r="AM15" s="1146"/>
      <c r="AN15" s="1146"/>
      <c r="AO15" s="1146"/>
      <c r="AP15" s="1146"/>
      <c r="AQ15" s="1146"/>
      <c r="AR15" s="1146"/>
      <c r="AS15" s="1146"/>
      <c r="AT15" s="1146"/>
      <c r="AU15" s="1147" t="s">
        <v>233</v>
      </c>
      <c r="AV15" s="1146"/>
      <c r="AW15" s="1146"/>
      <c r="AX15" s="1146"/>
      <c r="AY15" s="1146"/>
      <c r="AZ15" s="1146"/>
      <c r="BA15" s="1146"/>
      <c r="BB15" s="1146"/>
      <c r="BC15" s="1146"/>
      <c r="BD15" s="1146"/>
      <c r="BE15" s="1146"/>
      <c r="BF15" s="1146"/>
      <c r="BG15" s="1146"/>
      <c r="BH15" s="1146"/>
      <c r="BI15" s="1146"/>
      <c r="BJ15" s="1146"/>
      <c r="BK15" s="1146"/>
      <c r="BL15" s="1146"/>
      <c r="BM15" s="1146"/>
      <c r="BN15" s="1146"/>
      <c r="BO15" s="1146"/>
      <c r="BP15" s="1146"/>
      <c r="BQ15" s="1146"/>
      <c r="BR15" s="1146"/>
      <c r="BS15" s="1146"/>
    </row>
    <row r="16" spans="1:71" s="1152" customFormat="1" ht="12.95" customHeight="1" thickTop="1">
      <c r="A16" s="3036" t="s">
        <v>604</v>
      </c>
      <c r="B16" s="3037"/>
      <c r="C16" s="3037"/>
      <c r="D16" s="3037"/>
      <c r="E16" s="3037"/>
      <c r="F16" s="3037"/>
      <c r="G16" s="3037"/>
      <c r="H16" s="3037"/>
      <c r="I16" s="3037"/>
      <c r="J16" s="3037"/>
      <c r="K16" s="3037"/>
      <c r="L16" s="3037"/>
      <c r="M16" s="3037"/>
      <c r="N16" s="3037"/>
      <c r="O16" s="3037"/>
      <c r="P16" s="3037"/>
      <c r="Q16" s="3038" t="s">
        <v>605</v>
      </c>
      <c r="R16" s="3038"/>
      <c r="S16" s="3038"/>
      <c r="T16" s="3038"/>
      <c r="U16" s="3038"/>
      <c r="V16" s="3038"/>
      <c r="W16" s="3038"/>
      <c r="X16" s="3038"/>
      <c r="Y16" s="3038"/>
      <c r="Z16" s="3038"/>
      <c r="AA16" s="3038"/>
      <c r="AB16" s="3038"/>
      <c r="AC16" s="3039">
        <f>+SUM(I17:L26)</f>
        <v>0</v>
      </c>
      <c r="AD16" s="3039"/>
      <c r="AE16" s="3039"/>
      <c r="AF16" s="3039"/>
      <c r="AG16" s="3040" t="s">
        <v>62</v>
      </c>
      <c r="AH16" s="3040"/>
      <c r="AI16" s="3041"/>
      <c r="AJ16" s="1487" t="str">
        <f>IF(X7="","",'Gradacion '!I12)</f>
        <v/>
      </c>
      <c r="AK16" s="1146"/>
      <c r="AL16" s="1146"/>
      <c r="AM16" s="1146"/>
      <c r="AN16" s="1146"/>
      <c r="AO16" s="1146"/>
      <c r="AP16" s="1146"/>
      <c r="AQ16" s="1146"/>
      <c r="AR16" s="1146"/>
      <c r="AS16" s="1146"/>
      <c r="AT16" s="1146"/>
      <c r="AU16" s="1153" t="s">
        <v>245</v>
      </c>
      <c r="AV16" s="1146"/>
      <c r="AW16" s="1146"/>
      <c r="AX16" s="1146"/>
      <c r="AY16" s="1146"/>
      <c r="AZ16" s="1146"/>
      <c r="BA16" s="1146"/>
      <c r="BB16" s="1146"/>
      <c r="BC16" s="1146"/>
      <c r="BD16" s="1146"/>
      <c r="BE16" s="1146"/>
      <c r="BF16" s="1146"/>
      <c r="BG16" s="1146"/>
      <c r="BH16" s="1146"/>
      <c r="BI16" s="1146"/>
      <c r="BJ16" s="1146"/>
      <c r="BK16" s="1146"/>
      <c r="BL16" s="1146"/>
      <c r="BM16" s="1146"/>
      <c r="BN16" s="1146"/>
      <c r="BO16" s="1146"/>
      <c r="BP16" s="1146"/>
      <c r="BQ16" s="1146"/>
      <c r="BR16" s="1146"/>
      <c r="BS16" s="1146"/>
    </row>
    <row r="17" spans="1:71" s="1152" customFormat="1" ht="14.1" customHeight="1">
      <c r="A17" s="3042">
        <v>9.5</v>
      </c>
      <c r="B17" s="3043"/>
      <c r="C17" s="3046">
        <v>4.75</v>
      </c>
      <c r="D17" s="3047"/>
      <c r="E17" s="3050">
        <v>0.375</v>
      </c>
      <c r="F17" s="3051"/>
      <c r="G17" s="3054" t="s">
        <v>157</v>
      </c>
      <c r="H17" s="3055"/>
      <c r="I17" s="3025" t="str">
        <f>IF(AJ17="","",(AJ17/$AJ$16*100))</f>
        <v/>
      </c>
      <c r="J17" s="3026"/>
      <c r="K17" s="3026"/>
      <c r="L17" s="3027"/>
      <c r="M17" s="3026" t="str">
        <f>+IF(I17="","",+I17)</f>
        <v/>
      </c>
      <c r="N17" s="3026"/>
      <c r="O17" s="3026"/>
      <c r="P17" s="3058"/>
      <c r="Q17" s="3014" t="s">
        <v>606</v>
      </c>
      <c r="R17" s="3015"/>
      <c r="S17" s="3015"/>
      <c r="T17" s="3016"/>
      <c r="U17" s="3017"/>
      <c r="V17" s="3018"/>
      <c r="W17" s="3018"/>
      <c r="X17" s="3018"/>
      <c r="Y17" s="3021"/>
      <c r="Z17" s="3018"/>
      <c r="AA17" s="3018"/>
      <c r="AB17" s="3022"/>
      <c r="AC17" s="3025" t="str">
        <f>IF(I17="","",(IF(U17&gt;0,(100*(U17-Y17)/U17),0)))</f>
        <v/>
      </c>
      <c r="AD17" s="3026"/>
      <c r="AE17" s="3026"/>
      <c r="AF17" s="3027"/>
      <c r="AG17" s="3026" t="str">
        <f>IF(AC17="","",(AC17*M17/100))</f>
        <v/>
      </c>
      <c r="AH17" s="3026"/>
      <c r="AI17" s="3031"/>
      <c r="AJ17" s="3283"/>
      <c r="AK17" s="1146"/>
      <c r="AL17" s="1146"/>
      <c r="AM17" s="1146"/>
      <c r="AN17" s="1146"/>
      <c r="AO17" s="1146"/>
      <c r="AP17" s="1146"/>
      <c r="AQ17" s="1146"/>
      <c r="AR17" s="1146"/>
      <c r="AS17" s="1146"/>
      <c r="AT17" s="1146"/>
      <c r="AU17" s="1153" t="s">
        <v>244</v>
      </c>
      <c r="AV17" s="1146"/>
      <c r="AW17" s="1146"/>
      <c r="AX17" s="1146"/>
      <c r="AY17" s="1146"/>
      <c r="AZ17" s="1146"/>
      <c r="BA17" s="1146"/>
      <c r="BB17" s="1146"/>
      <c r="BC17" s="1146"/>
      <c r="BD17" s="1146"/>
      <c r="BE17" s="1146"/>
      <c r="BF17" s="1146"/>
      <c r="BG17" s="1146"/>
      <c r="BH17" s="1146"/>
      <c r="BI17" s="1146"/>
      <c r="BJ17" s="1146"/>
      <c r="BK17" s="1146"/>
      <c r="BL17" s="1146"/>
      <c r="BM17" s="1146"/>
      <c r="BN17" s="1146"/>
      <c r="BO17" s="1146"/>
      <c r="BP17" s="1146"/>
      <c r="BQ17" s="1146"/>
      <c r="BR17" s="1146"/>
      <c r="BS17" s="1146"/>
    </row>
    <row r="18" spans="1:71" s="1152" customFormat="1" ht="14.1" customHeight="1">
      <c r="A18" s="3044"/>
      <c r="B18" s="3045"/>
      <c r="C18" s="3048"/>
      <c r="D18" s="3049"/>
      <c r="E18" s="3052"/>
      <c r="F18" s="3053"/>
      <c r="G18" s="3056"/>
      <c r="H18" s="3057"/>
      <c r="I18" s="3028"/>
      <c r="J18" s="3029"/>
      <c r="K18" s="3029"/>
      <c r="L18" s="3030"/>
      <c r="M18" s="3029"/>
      <c r="N18" s="3029"/>
      <c r="O18" s="3029"/>
      <c r="P18" s="3059"/>
      <c r="Q18" s="3033" t="s">
        <v>607</v>
      </c>
      <c r="R18" s="3034"/>
      <c r="S18" s="3034"/>
      <c r="T18" s="3035"/>
      <c r="U18" s="3019"/>
      <c r="V18" s="3020"/>
      <c r="W18" s="3020"/>
      <c r="X18" s="3020"/>
      <c r="Y18" s="3023"/>
      <c r="Z18" s="3020"/>
      <c r="AA18" s="3020"/>
      <c r="AB18" s="3024"/>
      <c r="AC18" s="3028"/>
      <c r="AD18" s="3029"/>
      <c r="AE18" s="3029"/>
      <c r="AF18" s="3030"/>
      <c r="AG18" s="3029"/>
      <c r="AH18" s="3029"/>
      <c r="AI18" s="3032"/>
      <c r="AJ18" s="3283"/>
      <c r="AK18" s="1146"/>
      <c r="AL18" s="1146"/>
      <c r="AM18" s="1146"/>
      <c r="AN18" s="1146"/>
      <c r="AO18" s="1146"/>
      <c r="AP18" s="1146"/>
      <c r="AQ18" s="1146"/>
      <c r="AR18" s="1146"/>
      <c r="AS18" s="1146"/>
      <c r="AT18" s="1146"/>
      <c r="AU18" s="1153" t="s">
        <v>243</v>
      </c>
      <c r="AV18" s="1146"/>
      <c r="AW18" s="1146"/>
      <c r="AX18" s="1146"/>
      <c r="AY18" s="1146"/>
      <c r="AZ18" s="1146"/>
      <c r="BA18" s="1146"/>
      <c r="BB18" s="1146"/>
      <c r="BC18" s="1146"/>
      <c r="BD18" s="1146"/>
      <c r="BE18" s="1146"/>
      <c r="BF18" s="1146"/>
      <c r="BG18" s="1146"/>
      <c r="BH18" s="1146"/>
      <c r="BI18" s="1146"/>
      <c r="BJ18" s="1146"/>
      <c r="BK18" s="1146"/>
      <c r="BL18" s="1146"/>
      <c r="BM18" s="1146"/>
      <c r="BN18" s="1146"/>
      <c r="BO18" s="1146"/>
      <c r="BP18" s="1146"/>
      <c r="BQ18" s="1146"/>
      <c r="BR18" s="1146"/>
      <c r="BS18" s="1146"/>
    </row>
    <row r="19" spans="1:71" s="1152" customFormat="1" ht="14.1" customHeight="1">
      <c r="A19" s="3073">
        <v>4.75</v>
      </c>
      <c r="B19" s="3074"/>
      <c r="C19" s="3077">
        <v>2.36</v>
      </c>
      <c r="D19" s="3078"/>
      <c r="E19" s="3081" t="s">
        <v>157</v>
      </c>
      <c r="F19" s="3082"/>
      <c r="G19" s="3083" t="s">
        <v>158</v>
      </c>
      <c r="H19" s="3084"/>
      <c r="I19" s="3067" t="str">
        <f>IF(AJ19="","",(AJ19/$AJ$16*100))</f>
        <v/>
      </c>
      <c r="J19" s="3068"/>
      <c r="K19" s="3068"/>
      <c r="L19" s="3069"/>
      <c r="M19" s="3068" t="str">
        <f>+IF(I19="","",+I19)</f>
        <v/>
      </c>
      <c r="N19" s="3068"/>
      <c r="O19" s="3068"/>
      <c r="P19" s="3085"/>
      <c r="Q19" s="3060" t="s">
        <v>608</v>
      </c>
      <c r="R19" s="3061"/>
      <c r="S19" s="3061"/>
      <c r="T19" s="3062"/>
      <c r="U19" s="3063"/>
      <c r="V19" s="3064"/>
      <c r="W19" s="3064"/>
      <c r="X19" s="3064"/>
      <c r="Y19" s="3065"/>
      <c r="Z19" s="3064"/>
      <c r="AA19" s="3064"/>
      <c r="AB19" s="3066"/>
      <c r="AC19" s="3067" t="str">
        <f>IF(I19="","",(IF(U19&gt;0,(100*(U19-Y19)/U19),0)))</f>
        <v/>
      </c>
      <c r="AD19" s="3068"/>
      <c r="AE19" s="3068"/>
      <c r="AF19" s="3069"/>
      <c r="AG19" s="3070" t="str">
        <f>IF(AC19="","",(AC19*M19/100))</f>
        <v/>
      </c>
      <c r="AH19" s="3068"/>
      <c r="AI19" s="3071"/>
      <c r="AJ19" s="3283"/>
      <c r="AK19" s="1146"/>
      <c r="AL19" s="1146"/>
      <c r="AM19" s="1146"/>
      <c r="AN19" s="1146"/>
      <c r="AO19" s="1146"/>
      <c r="AP19" s="1146"/>
      <c r="AQ19" s="1146"/>
      <c r="AR19" s="1146"/>
      <c r="AS19" s="1146"/>
      <c r="AT19" s="1146"/>
      <c r="AU19" s="1153" t="s">
        <v>242</v>
      </c>
      <c r="AV19" s="1146"/>
      <c r="AW19" s="1146"/>
      <c r="AX19" s="1146"/>
      <c r="AY19" s="1146"/>
      <c r="AZ19" s="1146"/>
      <c r="BA19" s="1146"/>
      <c r="BB19" s="1146"/>
      <c r="BC19" s="1146"/>
      <c r="BD19" s="1146"/>
      <c r="BE19" s="1146"/>
      <c r="BF19" s="1146"/>
      <c r="BG19" s="1146"/>
      <c r="BH19" s="1146"/>
      <c r="BI19" s="1146"/>
      <c r="BJ19" s="1146"/>
      <c r="BK19" s="1146"/>
      <c r="BL19" s="1146"/>
      <c r="BM19" s="1146"/>
      <c r="BN19" s="1146"/>
      <c r="BO19" s="1146"/>
      <c r="BP19" s="1146"/>
      <c r="BQ19" s="1146"/>
      <c r="BR19" s="1146"/>
      <c r="BS19" s="1146"/>
    </row>
    <row r="20" spans="1:71" s="1152" customFormat="1" ht="14.1" customHeight="1">
      <c r="A20" s="3075"/>
      <c r="B20" s="3076"/>
      <c r="C20" s="3079"/>
      <c r="D20" s="3080"/>
      <c r="E20" s="3052"/>
      <c r="F20" s="3053"/>
      <c r="G20" s="3056"/>
      <c r="H20" s="3057"/>
      <c r="I20" s="3028"/>
      <c r="J20" s="3029"/>
      <c r="K20" s="3029"/>
      <c r="L20" s="3030"/>
      <c r="M20" s="3029"/>
      <c r="N20" s="3029"/>
      <c r="O20" s="3029"/>
      <c r="P20" s="3059"/>
      <c r="Q20" s="3033" t="s">
        <v>609</v>
      </c>
      <c r="R20" s="3034"/>
      <c r="S20" s="3034"/>
      <c r="T20" s="3035"/>
      <c r="U20" s="3019"/>
      <c r="V20" s="3020"/>
      <c r="W20" s="3020"/>
      <c r="X20" s="3020"/>
      <c r="Y20" s="3023"/>
      <c r="Z20" s="3020"/>
      <c r="AA20" s="3020"/>
      <c r="AB20" s="3024"/>
      <c r="AC20" s="3028"/>
      <c r="AD20" s="3029"/>
      <c r="AE20" s="3029"/>
      <c r="AF20" s="3030"/>
      <c r="AG20" s="3072"/>
      <c r="AH20" s="3029"/>
      <c r="AI20" s="3032"/>
      <c r="AJ20" s="3283"/>
      <c r="AK20" s="1146"/>
      <c r="AL20" s="1146"/>
      <c r="AM20" s="1146"/>
      <c r="AN20" s="1146"/>
      <c r="AO20" s="1146"/>
      <c r="AP20" s="1146"/>
      <c r="AQ20" s="1146"/>
      <c r="AR20" s="1146"/>
      <c r="AS20" s="1146"/>
      <c r="AT20" s="1146"/>
      <c r="AU20" s="1153" t="s">
        <v>241</v>
      </c>
      <c r="AV20" s="1146"/>
      <c r="AW20" s="1146"/>
      <c r="AX20" s="1146"/>
      <c r="AY20" s="1146"/>
      <c r="AZ20" s="1146"/>
      <c r="BA20" s="1146"/>
      <c r="BB20" s="1146"/>
      <c r="BC20" s="1146"/>
      <c r="BD20" s="1146"/>
      <c r="BE20" s="1146"/>
      <c r="BF20" s="1146"/>
      <c r="BG20" s="1146"/>
      <c r="BH20" s="1146"/>
      <c r="BI20" s="1146"/>
      <c r="BJ20" s="1146"/>
      <c r="BK20" s="1146"/>
      <c r="BL20" s="1146"/>
      <c r="BM20" s="1146"/>
      <c r="BN20" s="1146"/>
      <c r="BO20" s="1146"/>
      <c r="BP20" s="1146"/>
      <c r="BQ20" s="1146"/>
      <c r="BR20" s="1146"/>
      <c r="BS20" s="1146"/>
    </row>
    <row r="21" spans="1:71" s="1152" customFormat="1" ht="14.1" customHeight="1">
      <c r="A21" s="3073">
        <v>2.36</v>
      </c>
      <c r="B21" s="3074"/>
      <c r="C21" s="3091">
        <v>1.18</v>
      </c>
      <c r="D21" s="3092"/>
      <c r="E21" s="3081" t="s">
        <v>158</v>
      </c>
      <c r="F21" s="3082"/>
      <c r="G21" s="3083" t="s">
        <v>159</v>
      </c>
      <c r="H21" s="3084"/>
      <c r="I21" s="3067" t="str">
        <f t="shared" ref="I21" si="0">IF(AJ21="","",(AJ21/$AJ$16*100))</f>
        <v/>
      </c>
      <c r="J21" s="3068"/>
      <c r="K21" s="3068"/>
      <c r="L21" s="3069"/>
      <c r="M21" s="3068" t="str">
        <f>+IF(I21="","",+I21)</f>
        <v/>
      </c>
      <c r="N21" s="3068"/>
      <c r="O21" s="3068"/>
      <c r="P21" s="3085"/>
      <c r="Q21" s="3086" t="s">
        <v>610</v>
      </c>
      <c r="R21" s="3087"/>
      <c r="S21" s="3087"/>
      <c r="T21" s="3088"/>
      <c r="U21" s="3063"/>
      <c r="V21" s="3064"/>
      <c r="W21" s="3064"/>
      <c r="X21" s="3064"/>
      <c r="Y21" s="3065"/>
      <c r="Z21" s="3064"/>
      <c r="AA21" s="3064"/>
      <c r="AB21" s="3066"/>
      <c r="AC21" s="3067" t="str">
        <f>IF(I21="","",(IF(U21&gt;0,(100*(U21-Y21)/U21),0)))</f>
        <v/>
      </c>
      <c r="AD21" s="3068"/>
      <c r="AE21" s="3068"/>
      <c r="AF21" s="3069"/>
      <c r="AG21" s="3070" t="str">
        <f>IF(AC21="","",(AC21*M21/100))</f>
        <v/>
      </c>
      <c r="AH21" s="3068"/>
      <c r="AI21" s="3071"/>
      <c r="AJ21" s="3283"/>
      <c r="AK21" s="1146"/>
      <c r="AL21" s="1146"/>
      <c r="AM21" s="1146"/>
      <c r="AN21" s="1146"/>
      <c r="AO21" s="1146"/>
      <c r="AP21" s="1146"/>
      <c r="AQ21" s="1146"/>
      <c r="AR21" s="1146"/>
      <c r="AS21" s="1146"/>
      <c r="AT21" s="1146"/>
      <c r="AU21" s="1153" t="s">
        <v>240</v>
      </c>
      <c r="AV21" s="1146"/>
      <c r="AW21" s="1146"/>
      <c r="AX21" s="1146"/>
      <c r="AY21" s="1146"/>
      <c r="AZ21" s="1146"/>
      <c r="BA21" s="1146"/>
      <c r="BB21" s="1146"/>
      <c r="BC21" s="1146"/>
      <c r="BD21" s="1146"/>
      <c r="BE21" s="1146"/>
      <c r="BF21" s="1146"/>
      <c r="BG21" s="1146"/>
      <c r="BH21" s="1146"/>
      <c r="BI21" s="1146"/>
      <c r="BJ21" s="1146"/>
      <c r="BK21" s="1146"/>
      <c r="BL21" s="1146"/>
      <c r="BM21" s="1146"/>
      <c r="BN21" s="1146"/>
      <c r="BO21" s="1146"/>
      <c r="BP21" s="1146"/>
      <c r="BQ21" s="1146"/>
      <c r="BR21" s="1146"/>
      <c r="BS21" s="1146"/>
    </row>
    <row r="22" spans="1:71" s="1152" customFormat="1" ht="14.1" customHeight="1">
      <c r="A22" s="3089"/>
      <c r="B22" s="3090"/>
      <c r="C22" s="3093"/>
      <c r="D22" s="3092"/>
      <c r="E22" s="3052"/>
      <c r="F22" s="3053"/>
      <c r="G22" s="3056"/>
      <c r="H22" s="3057"/>
      <c r="I22" s="3028"/>
      <c r="J22" s="3029"/>
      <c r="K22" s="3029"/>
      <c r="L22" s="3030"/>
      <c r="M22" s="3029"/>
      <c r="N22" s="3029"/>
      <c r="O22" s="3029"/>
      <c r="P22" s="3059"/>
      <c r="Q22" s="3033" t="s">
        <v>611</v>
      </c>
      <c r="R22" s="3034"/>
      <c r="S22" s="3034"/>
      <c r="T22" s="3035"/>
      <c r="U22" s="3019"/>
      <c r="V22" s="3020"/>
      <c r="W22" s="3020"/>
      <c r="X22" s="3020"/>
      <c r="Y22" s="3023"/>
      <c r="Z22" s="3020"/>
      <c r="AA22" s="3020"/>
      <c r="AB22" s="3024"/>
      <c r="AC22" s="3028"/>
      <c r="AD22" s="3029"/>
      <c r="AE22" s="3029"/>
      <c r="AF22" s="3030"/>
      <c r="AG22" s="3072"/>
      <c r="AH22" s="3029"/>
      <c r="AI22" s="3032"/>
      <c r="AJ22" s="3283"/>
      <c r="AK22" s="1146"/>
      <c r="AL22" s="1146"/>
      <c r="AM22" s="1146"/>
      <c r="AN22" s="1146"/>
      <c r="AO22" s="1146"/>
      <c r="AP22" s="1146"/>
      <c r="AQ22" s="1146"/>
      <c r="AR22" s="1146"/>
      <c r="AS22" s="1146"/>
      <c r="AT22" s="1146"/>
      <c r="AU22" s="1153" t="s">
        <v>239</v>
      </c>
      <c r="AV22" s="1146"/>
      <c r="AW22" s="1146"/>
      <c r="AX22" s="1146"/>
      <c r="AY22" s="1146"/>
      <c r="AZ22" s="1146"/>
      <c r="BA22" s="1146"/>
      <c r="BB22" s="1146"/>
      <c r="BC22" s="1146"/>
      <c r="BD22" s="1146"/>
      <c r="BE22" s="1146"/>
      <c r="BF22" s="1146"/>
      <c r="BG22" s="1146"/>
      <c r="BH22" s="1146"/>
      <c r="BI22" s="1146"/>
      <c r="BJ22" s="1146"/>
      <c r="BK22" s="1146"/>
      <c r="BL22" s="1146"/>
      <c r="BM22" s="1146"/>
      <c r="BN22" s="1146"/>
      <c r="BO22" s="1146"/>
      <c r="BP22" s="1146"/>
      <c r="BQ22" s="1146"/>
      <c r="BR22" s="1146"/>
      <c r="BS22" s="1146"/>
    </row>
    <row r="23" spans="1:71" s="1152" customFormat="1" ht="14.1" customHeight="1">
      <c r="A23" s="3073">
        <v>1.18</v>
      </c>
      <c r="B23" s="3074"/>
      <c r="C23" s="3094">
        <v>600</v>
      </c>
      <c r="D23" s="3078"/>
      <c r="E23" s="3095" t="str">
        <f>+G21</f>
        <v>N° 16</v>
      </c>
      <c r="F23" s="3074"/>
      <c r="G23" s="3097" t="s">
        <v>612</v>
      </c>
      <c r="H23" s="3078"/>
      <c r="I23" s="3067" t="str">
        <f t="shared" ref="I23" si="1">IF(AJ23="","",(AJ23/$AJ$16*100))</f>
        <v/>
      </c>
      <c r="J23" s="3068"/>
      <c r="K23" s="3068"/>
      <c r="L23" s="3069"/>
      <c r="M23" s="3068" t="str">
        <f>+IF(I23="","",+I23)</f>
        <v/>
      </c>
      <c r="N23" s="3068"/>
      <c r="O23" s="3068"/>
      <c r="P23" s="3085"/>
      <c r="Q23" s="3086" t="s">
        <v>613</v>
      </c>
      <c r="R23" s="3087"/>
      <c r="S23" s="3087"/>
      <c r="T23" s="3088"/>
      <c r="U23" s="3063"/>
      <c r="V23" s="3064"/>
      <c r="W23" s="3064"/>
      <c r="X23" s="3064"/>
      <c r="Y23" s="3065"/>
      <c r="Z23" s="3064"/>
      <c r="AA23" s="3064"/>
      <c r="AB23" s="3066"/>
      <c r="AC23" s="3067" t="str">
        <f>IF(I23="","",(IF(U23&gt;0,(100*(U23-Y23)/U23),0)))</f>
        <v/>
      </c>
      <c r="AD23" s="3068"/>
      <c r="AE23" s="3068"/>
      <c r="AF23" s="3069"/>
      <c r="AG23" s="3070" t="str">
        <f>IF(AC23="","",(AC23*M23/100))</f>
        <v/>
      </c>
      <c r="AH23" s="3068"/>
      <c r="AI23" s="3071"/>
      <c r="AJ23" s="3283"/>
      <c r="AK23" s="1146"/>
      <c r="AL23" s="1146"/>
      <c r="AM23" s="1146"/>
      <c r="AN23" s="1146"/>
      <c r="AO23" s="1146"/>
      <c r="AP23" s="1146"/>
      <c r="AQ23" s="1146"/>
      <c r="AR23" s="1146"/>
      <c r="AS23" s="1146"/>
      <c r="AT23" s="1146"/>
      <c r="AU23" s="1153" t="s">
        <v>238</v>
      </c>
      <c r="AV23" s="1146"/>
      <c r="AW23" s="1146"/>
      <c r="AX23" s="1146"/>
      <c r="AY23" s="1146"/>
      <c r="AZ23" s="1146"/>
      <c r="BA23" s="1146"/>
      <c r="BB23" s="1146"/>
      <c r="BC23" s="1146"/>
      <c r="BD23" s="1146"/>
      <c r="BE23" s="1146"/>
      <c r="BF23" s="1146"/>
      <c r="BG23" s="1146"/>
      <c r="BH23" s="1146"/>
      <c r="BI23" s="1146"/>
      <c r="BJ23" s="1146"/>
      <c r="BK23" s="1146"/>
      <c r="BL23" s="1146"/>
      <c r="BM23" s="1146"/>
      <c r="BN23" s="1146"/>
      <c r="BO23" s="1146"/>
      <c r="BP23" s="1146"/>
      <c r="BQ23" s="1146"/>
      <c r="BR23" s="1146"/>
      <c r="BS23" s="1146"/>
    </row>
    <row r="24" spans="1:71" s="1152" customFormat="1" ht="14.1" customHeight="1">
      <c r="A24" s="3089"/>
      <c r="B24" s="3090"/>
      <c r="C24" s="3093"/>
      <c r="D24" s="3092"/>
      <c r="E24" s="3096"/>
      <c r="F24" s="3076"/>
      <c r="G24" s="3098"/>
      <c r="H24" s="3080"/>
      <c r="I24" s="3028"/>
      <c r="J24" s="3029"/>
      <c r="K24" s="3029"/>
      <c r="L24" s="3030"/>
      <c r="M24" s="3029"/>
      <c r="N24" s="3029"/>
      <c r="O24" s="3029"/>
      <c r="P24" s="3059"/>
      <c r="Q24" s="3033" t="s">
        <v>614</v>
      </c>
      <c r="R24" s="3034"/>
      <c r="S24" s="3034"/>
      <c r="T24" s="3035"/>
      <c r="U24" s="3019"/>
      <c r="V24" s="3020"/>
      <c r="W24" s="3020"/>
      <c r="X24" s="3020"/>
      <c r="Y24" s="3023"/>
      <c r="Z24" s="3020"/>
      <c r="AA24" s="3020"/>
      <c r="AB24" s="3024"/>
      <c r="AC24" s="3028"/>
      <c r="AD24" s="3029"/>
      <c r="AE24" s="3029"/>
      <c r="AF24" s="3030"/>
      <c r="AG24" s="3072"/>
      <c r="AH24" s="3029"/>
      <c r="AI24" s="3032"/>
      <c r="AJ24" s="3283"/>
      <c r="AK24" s="1146"/>
      <c r="AL24" s="1146"/>
      <c r="AM24" s="1146"/>
      <c r="AN24" s="1146"/>
      <c r="AO24" s="1146"/>
      <c r="AP24" s="1146"/>
      <c r="AQ24" s="1146"/>
      <c r="AR24" s="1146"/>
      <c r="AS24" s="1146"/>
      <c r="AT24" s="1146"/>
      <c r="AU24" s="1146"/>
      <c r="AV24" s="1146"/>
      <c r="AW24" s="1146"/>
      <c r="AX24" s="1146"/>
      <c r="AY24" s="1146"/>
      <c r="AZ24" s="1146"/>
      <c r="BA24" s="1146"/>
      <c r="BB24" s="1146"/>
      <c r="BC24" s="1146"/>
      <c r="BD24" s="1146"/>
      <c r="BE24" s="1146"/>
      <c r="BF24" s="1146"/>
      <c r="BG24" s="1146"/>
      <c r="BH24" s="1146"/>
      <c r="BI24" s="1146"/>
      <c r="BJ24" s="1146"/>
      <c r="BK24" s="1146"/>
      <c r="BL24" s="1146"/>
      <c r="BM24" s="1146"/>
      <c r="BN24" s="1146"/>
      <c r="BO24" s="1146"/>
      <c r="BP24" s="1146"/>
      <c r="BQ24" s="1146"/>
      <c r="BR24" s="1146"/>
      <c r="BS24" s="1146"/>
    </row>
    <row r="25" spans="1:71" s="1152" customFormat="1" ht="14.1" customHeight="1">
      <c r="A25" s="3124">
        <v>600</v>
      </c>
      <c r="B25" s="3074"/>
      <c r="C25" s="3094">
        <v>300</v>
      </c>
      <c r="D25" s="3078"/>
      <c r="E25" s="3125" t="s">
        <v>160</v>
      </c>
      <c r="F25" s="3090"/>
      <c r="G25" s="3127" t="s">
        <v>162</v>
      </c>
      <c r="H25" s="3092"/>
      <c r="I25" s="3067" t="str">
        <f>IF(AJ25="","",(AJ25/$AJ$16*100))</f>
        <v/>
      </c>
      <c r="J25" s="3068"/>
      <c r="K25" s="3068"/>
      <c r="L25" s="3069"/>
      <c r="M25" s="3117" t="str">
        <f>+IF(I25="","",+I25)</f>
        <v/>
      </c>
      <c r="N25" s="3117"/>
      <c r="O25" s="3117"/>
      <c r="P25" s="3129"/>
      <c r="Q25" s="3086" t="s">
        <v>615</v>
      </c>
      <c r="R25" s="3087"/>
      <c r="S25" s="3087"/>
      <c r="T25" s="3088"/>
      <c r="U25" s="3112"/>
      <c r="V25" s="3113"/>
      <c r="W25" s="3113"/>
      <c r="X25" s="3113"/>
      <c r="Y25" s="3114"/>
      <c r="Z25" s="3113"/>
      <c r="AA25" s="3113"/>
      <c r="AB25" s="3115"/>
      <c r="AC25" s="3116" t="str">
        <f>IF(I25="","",(IF(U25&gt;0,(100*(U25-Y25)/U25),0)))</f>
        <v/>
      </c>
      <c r="AD25" s="3117"/>
      <c r="AE25" s="3117"/>
      <c r="AF25" s="3117"/>
      <c r="AG25" s="3118" t="str">
        <f>IF(AC25="","",AC25*M25/100)</f>
        <v/>
      </c>
      <c r="AH25" s="3119"/>
      <c r="AI25" s="3120"/>
      <c r="AJ25" s="3283"/>
      <c r="AK25" s="1146"/>
      <c r="AL25" s="1146"/>
      <c r="AM25" s="1146"/>
      <c r="AN25" s="1146"/>
      <c r="AO25" s="1146"/>
      <c r="AP25" s="1146"/>
      <c r="AQ25" s="1146"/>
      <c r="AR25" s="1146"/>
      <c r="AS25" s="1146"/>
      <c r="AT25" s="1146"/>
      <c r="AU25" s="1146"/>
      <c r="AV25" s="1146"/>
      <c r="AW25" s="1146"/>
      <c r="AX25" s="1146"/>
      <c r="AY25" s="1146"/>
      <c r="AZ25" s="1146"/>
      <c r="BA25" s="1146"/>
      <c r="BB25" s="1146"/>
      <c r="BC25" s="1146"/>
      <c r="BD25" s="1146"/>
      <c r="BE25" s="1146"/>
      <c r="BF25" s="1146"/>
      <c r="BG25" s="1146"/>
      <c r="BH25" s="1146"/>
      <c r="BI25" s="1146"/>
      <c r="BJ25" s="1146"/>
      <c r="BK25" s="1146"/>
      <c r="BL25" s="1146"/>
      <c r="BM25" s="1146"/>
      <c r="BN25" s="1146"/>
      <c r="BO25" s="1146"/>
      <c r="BP25" s="1146"/>
      <c r="BQ25" s="1146"/>
      <c r="BR25" s="1146"/>
      <c r="BS25" s="1146"/>
    </row>
    <row r="26" spans="1:71" s="1152" customFormat="1" ht="14.1" customHeight="1">
      <c r="A26" s="3089"/>
      <c r="B26" s="3090"/>
      <c r="C26" s="3093"/>
      <c r="D26" s="3092"/>
      <c r="E26" s="3126"/>
      <c r="F26" s="3090"/>
      <c r="G26" s="3128"/>
      <c r="H26" s="3092"/>
      <c r="I26" s="3028"/>
      <c r="J26" s="3029"/>
      <c r="K26" s="3029"/>
      <c r="L26" s="3030"/>
      <c r="M26" s="3117"/>
      <c r="N26" s="3117"/>
      <c r="O26" s="3117"/>
      <c r="P26" s="3129"/>
      <c r="Q26" s="3086" t="s">
        <v>616</v>
      </c>
      <c r="R26" s="3087"/>
      <c r="S26" s="3087"/>
      <c r="T26" s="3088"/>
      <c r="U26" s="3112"/>
      <c r="V26" s="3113"/>
      <c r="W26" s="3113"/>
      <c r="X26" s="3113"/>
      <c r="Y26" s="3114"/>
      <c r="Z26" s="3113"/>
      <c r="AA26" s="3113"/>
      <c r="AB26" s="3115"/>
      <c r="AC26" s="3116"/>
      <c r="AD26" s="3117"/>
      <c r="AE26" s="3117"/>
      <c r="AF26" s="3117"/>
      <c r="AG26" s="3121"/>
      <c r="AH26" s="3122"/>
      <c r="AI26" s="3123"/>
      <c r="AJ26" s="3283"/>
      <c r="AK26" s="1146"/>
      <c r="AL26" s="1146"/>
      <c r="AM26" s="1146"/>
      <c r="AN26" s="1146"/>
      <c r="AO26" s="1146"/>
      <c r="AP26" s="1146"/>
      <c r="AQ26" s="1146"/>
      <c r="AR26" s="1146"/>
      <c r="AS26" s="1146"/>
      <c r="AT26" s="1146"/>
      <c r="AU26" s="1146"/>
      <c r="AV26" s="1146"/>
      <c r="AW26" s="1146"/>
      <c r="AX26" s="1146"/>
      <c r="AY26" s="1146"/>
      <c r="AZ26" s="1146"/>
      <c r="BA26" s="1146"/>
      <c r="BB26" s="1146"/>
      <c r="BC26" s="1146"/>
      <c r="BD26" s="1146"/>
      <c r="BE26" s="1146"/>
      <c r="BF26" s="1146"/>
      <c r="BG26" s="1146"/>
      <c r="BH26" s="1146"/>
      <c r="BI26" s="1146"/>
      <c r="BJ26" s="1146"/>
      <c r="BK26" s="1146"/>
      <c r="BL26" s="1146"/>
      <c r="BM26" s="1146"/>
      <c r="BN26" s="1146"/>
      <c r="BO26" s="1146"/>
      <c r="BP26" s="1146"/>
      <c r="BQ26" s="1146"/>
      <c r="BR26" s="1146"/>
      <c r="BS26" s="1146"/>
    </row>
    <row r="27" spans="1:71" s="1152" customFormat="1" ht="12.95" customHeight="1" thickBot="1">
      <c r="A27" s="3099" t="s">
        <v>66</v>
      </c>
      <c r="B27" s="3100"/>
      <c r="C27" s="3100"/>
      <c r="D27" s="3100"/>
      <c r="E27" s="3100"/>
      <c r="F27" s="3100"/>
      <c r="G27" s="3100"/>
      <c r="H27" s="3100"/>
      <c r="I27" s="3100"/>
      <c r="J27" s="3100"/>
      <c r="K27" s="3100"/>
      <c r="L27" s="3100"/>
      <c r="M27" s="3100"/>
      <c r="N27" s="3100"/>
      <c r="O27" s="3100"/>
      <c r="P27" s="3100"/>
      <c r="Q27" s="3100"/>
      <c r="R27" s="3100"/>
      <c r="S27" s="3100"/>
      <c r="T27" s="3100"/>
      <c r="U27" s="3101" t="str">
        <f>IF((SUM(AG17:AI26))=0,"0",(SUM(AG17:AI26)))</f>
        <v>0</v>
      </c>
      <c r="V27" s="3101"/>
      <c r="W27" s="3101"/>
      <c r="X27" s="3101"/>
      <c r="Y27" s="3101"/>
      <c r="Z27" s="3101"/>
      <c r="AA27" s="3101"/>
      <c r="AB27" s="3101"/>
      <c r="AC27" s="3101"/>
      <c r="AD27" s="3101"/>
      <c r="AE27" s="3101"/>
      <c r="AF27" s="3101"/>
      <c r="AG27" s="3101"/>
      <c r="AH27" s="3101"/>
      <c r="AI27" s="3102"/>
      <c r="AJ27" s="3103">
        <f>SUM(I17:I26)</f>
        <v>0</v>
      </c>
      <c r="AK27" s="3104"/>
      <c r="AL27" s="3104"/>
      <c r="AM27" s="3105"/>
      <c r="AN27" s="1146"/>
      <c r="AO27" s="1146"/>
      <c r="AP27" s="1146"/>
      <c r="AQ27" s="1146"/>
      <c r="AR27" s="1146"/>
      <c r="AS27" s="1146"/>
      <c r="AT27" s="1146"/>
      <c r="AU27" s="1146"/>
      <c r="AV27" s="1146"/>
      <c r="AW27" s="1146"/>
      <c r="AX27" s="1146"/>
      <c r="AY27" s="1146"/>
      <c r="AZ27" s="1146"/>
      <c r="BA27" s="1146"/>
      <c r="BB27" s="1146"/>
      <c r="BC27" s="1146"/>
      <c r="BD27" s="1146"/>
      <c r="BE27" s="1146"/>
      <c r="BF27" s="1146"/>
      <c r="BG27" s="1146"/>
      <c r="BH27" s="1146"/>
      <c r="BI27" s="1146"/>
      <c r="BJ27" s="1146"/>
      <c r="BK27" s="1146"/>
      <c r="BL27" s="1146"/>
      <c r="BM27" s="1146"/>
      <c r="BN27" s="1146"/>
      <c r="BO27" s="1146"/>
      <c r="BP27" s="1146"/>
      <c r="BQ27" s="1146"/>
      <c r="BR27" s="1146"/>
      <c r="BS27" s="1146"/>
    </row>
    <row r="28" spans="1:71" s="1152" customFormat="1" ht="15" customHeight="1" thickTop="1">
      <c r="A28" s="3106" t="s">
        <v>617</v>
      </c>
      <c r="B28" s="3107"/>
      <c r="C28" s="3107"/>
      <c r="D28" s="3107"/>
      <c r="E28" s="3107"/>
      <c r="F28" s="3107"/>
      <c r="G28" s="3107"/>
      <c r="H28" s="3107"/>
      <c r="I28" s="3107"/>
      <c r="J28" s="3107"/>
      <c r="K28" s="3107"/>
      <c r="L28" s="3107"/>
      <c r="M28" s="3107"/>
      <c r="N28" s="3107"/>
      <c r="O28" s="3107"/>
      <c r="P28" s="3107"/>
      <c r="Q28" s="3108" t="s">
        <v>618</v>
      </c>
      <c r="R28" s="3108"/>
      <c r="S28" s="3108"/>
      <c r="T28" s="3108"/>
      <c r="U28" s="3108"/>
      <c r="V28" s="3108"/>
      <c r="W28" s="3108"/>
      <c r="X28" s="3108"/>
      <c r="Y28" s="3108"/>
      <c r="Z28" s="3108"/>
      <c r="AA28" s="3108"/>
      <c r="AB28" s="3108"/>
      <c r="AC28" s="3109">
        <f>+SUM(I29:L35)</f>
        <v>0</v>
      </c>
      <c r="AD28" s="3109"/>
      <c r="AE28" s="3109"/>
      <c r="AF28" s="3109"/>
      <c r="AG28" s="3110" t="s">
        <v>62</v>
      </c>
      <c r="AH28" s="3110"/>
      <c r="AI28" s="3111"/>
      <c r="AJ28" s="1146"/>
      <c r="AK28" s="1146"/>
      <c r="AL28" s="1146"/>
      <c r="AM28" s="1146"/>
      <c r="AN28" s="1146"/>
      <c r="AO28" s="1146"/>
      <c r="AP28" s="1146"/>
      <c r="AQ28" s="1146"/>
      <c r="AR28" s="1146"/>
      <c r="AS28" s="1146"/>
      <c r="AT28" s="1146"/>
      <c r="AU28" s="1146"/>
      <c r="AV28" s="1146"/>
      <c r="AW28" s="1146"/>
      <c r="AX28" s="1146"/>
      <c r="AY28" s="1146"/>
      <c r="AZ28" s="1146"/>
      <c r="BA28" s="1146"/>
      <c r="BB28" s="1146"/>
      <c r="BC28" s="1146"/>
      <c r="BD28" s="1146"/>
      <c r="BE28" s="1146"/>
      <c r="BF28" s="1146"/>
      <c r="BG28" s="1146"/>
      <c r="BH28" s="1146"/>
      <c r="BI28" s="1146"/>
      <c r="BJ28" s="1146"/>
      <c r="BK28" s="1146"/>
      <c r="BL28" s="1146"/>
      <c r="BM28" s="1146"/>
      <c r="BN28" s="1146"/>
      <c r="BO28" s="1146"/>
      <c r="BP28" s="1146"/>
      <c r="BQ28" s="1146"/>
      <c r="BR28" s="1146"/>
      <c r="BS28" s="1146"/>
    </row>
    <row r="29" spans="1:71" s="1152" customFormat="1" ht="14.1" customHeight="1">
      <c r="A29" s="3147">
        <v>63</v>
      </c>
      <c r="B29" s="3148"/>
      <c r="C29" s="3149">
        <v>50</v>
      </c>
      <c r="D29" s="3150"/>
      <c r="E29" s="3151">
        <v>2.5</v>
      </c>
      <c r="F29" s="3152"/>
      <c r="G29" s="3153">
        <v>2</v>
      </c>
      <c r="H29" s="3154"/>
      <c r="I29" s="3142" t="str">
        <f>IF(AJ29="","",(AJ29/$AJ$16*100))</f>
        <v/>
      </c>
      <c r="J29" s="3143"/>
      <c r="K29" s="3143"/>
      <c r="L29" s="3143"/>
      <c r="M29" s="3145" t="str">
        <f>IF(I29="","",SUM(I29:L30))</f>
        <v/>
      </c>
      <c r="N29" s="3143"/>
      <c r="O29" s="3143"/>
      <c r="P29" s="3146"/>
      <c r="Q29" s="3130" t="s">
        <v>619</v>
      </c>
      <c r="R29" s="3131"/>
      <c r="S29" s="3131"/>
      <c r="T29" s="3132"/>
      <c r="U29" s="3133">
        <v>0</v>
      </c>
      <c r="V29" s="3134"/>
      <c r="W29" s="3134">
        <f>+U29+U30</f>
        <v>0</v>
      </c>
      <c r="X29" s="3135"/>
      <c r="Y29" s="3138">
        <v>0</v>
      </c>
      <c r="Z29" s="3139"/>
      <c r="AA29" s="3139"/>
      <c r="AB29" s="3140"/>
      <c r="AC29" s="3142"/>
      <c r="AD29" s="3143"/>
      <c r="AE29" s="3143"/>
      <c r="AF29" s="3143"/>
      <c r="AG29" s="3145"/>
      <c r="AH29" s="3143"/>
      <c r="AI29" s="3146"/>
      <c r="AJ29" s="1486"/>
      <c r="AK29" s="1146"/>
      <c r="AL29" s="1146"/>
      <c r="AM29" s="1146"/>
      <c r="AN29" s="1146"/>
      <c r="AO29" s="1146"/>
      <c r="AP29" s="1146"/>
      <c r="AQ29" s="1146"/>
      <c r="AR29" s="1146"/>
      <c r="AS29" s="1146"/>
      <c r="AT29" s="1146"/>
      <c r="AU29" s="1146"/>
      <c r="AV29" s="1146"/>
      <c r="AW29" s="1146"/>
      <c r="AX29" s="1146"/>
      <c r="AY29" s="1146"/>
      <c r="AZ29" s="1146"/>
      <c r="BA29" s="1146"/>
      <c r="BB29" s="1146"/>
      <c r="BC29" s="1146"/>
      <c r="BD29" s="1146"/>
      <c r="BE29" s="1146"/>
      <c r="BF29" s="1146"/>
      <c r="BG29" s="1146"/>
      <c r="BH29" s="1146"/>
      <c r="BI29" s="1146"/>
      <c r="BJ29" s="1146"/>
      <c r="BK29" s="1146"/>
      <c r="BL29" s="1146"/>
      <c r="BM29" s="1146"/>
      <c r="BN29" s="1146"/>
      <c r="BO29" s="1146"/>
      <c r="BP29" s="1146"/>
      <c r="BQ29" s="1146"/>
      <c r="BR29" s="1146"/>
      <c r="BS29" s="1146"/>
    </row>
    <row r="30" spans="1:71" s="1152" customFormat="1" ht="14.1" customHeight="1">
      <c r="A30" s="3155">
        <v>50</v>
      </c>
      <c r="B30" s="3156"/>
      <c r="C30" s="3157">
        <v>37.5</v>
      </c>
      <c r="D30" s="3158"/>
      <c r="E30" s="3159">
        <v>2</v>
      </c>
      <c r="F30" s="3160"/>
      <c r="G30" s="3161">
        <v>1.5</v>
      </c>
      <c r="H30" s="3162"/>
      <c r="I30" s="3144" t="str">
        <f>IF(AJ30="","",(AJ30/$AJ$16*100))</f>
        <v/>
      </c>
      <c r="J30" s="3029"/>
      <c r="K30" s="3029"/>
      <c r="L30" s="3029"/>
      <c r="M30" s="3072"/>
      <c r="N30" s="3029"/>
      <c r="O30" s="3029"/>
      <c r="P30" s="3032"/>
      <c r="Q30" s="3169" t="s">
        <v>620</v>
      </c>
      <c r="R30" s="3034"/>
      <c r="S30" s="3034"/>
      <c r="T30" s="3170"/>
      <c r="U30" s="3167">
        <v>0</v>
      </c>
      <c r="V30" s="3171"/>
      <c r="W30" s="3136"/>
      <c r="X30" s="3137"/>
      <c r="Y30" s="3023"/>
      <c r="Z30" s="3020"/>
      <c r="AA30" s="3020"/>
      <c r="AB30" s="3141"/>
      <c r="AC30" s="3144"/>
      <c r="AD30" s="3029"/>
      <c r="AE30" s="3029"/>
      <c r="AF30" s="3029"/>
      <c r="AG30" s="3072"/>
      <c r="AH30" s="3029"/>
      <c r="AI30" s="3032"/>
      <c r="AJ30" s="1486"/>
      <c r="AK30" s="1146"/>
      <c r="AL30" s="1146"/>
      <c r="AM30" s="1146"/>
      <c r="AN30" s="1146"/>
      <c r="AO30" s="1146"/>
      <c r="AP30" s="1146"/>
      <c r="AQ30" s="1146"/>
      <c r="AR30" s="1146"/>
      <c r="AS30" s="1146"/>
      <c r="AT30" s="1146"/>
      <c r="AU30" s="1146"/>
      <c r="AV30" s="1146"/>
      <c r="AW30" s="1146"/>
      <c r="AX30" s="1146"/>
      <c r="AY30" s="1146"/>
      <c r="AZ30" s="1146"/>
      <c r="BA30" s="1146"/>
      <c r="BB30" s="1146"/>
      <c r="BC30" s="1146"/>
      <c r="BD30" s="1146"/>
      <c r="BE30" s="1146"/>
      <c r="BF30" s="1146"/>
      <c r="BG30" s="1146"/>
      <c r="BH30" s="1146"/>
      <c r="BI30" s="1146"/>
      <c r="BJ30" s="1146"/>
      <c r="BK30" s="1146"/>
      <c r="BL30" s="1146"/>
      <c r="BM30" s="1146"/>
      <c r="BN30" s="1146"/>
      <c r="BO30" s="1146"/>
      <c r="BP30" s="1146"/>
      <c r="BQ30" s="1146"/>
      <c r="BR30" s="1146"/>
      <c r="BS30" s="1146"/>
    </row>
    <row r="31" spans="1:71" s="1152" customFormat="1" ht="14.1" customHeight="1">
      <c r="A31" s="3172">
        <v>37.5</v>
      </c>
      <c r="B31" s="3173"/>
      <c r="C31" s="3174">
        <v>25</v>
      </c>
      <c r="D31" s="3175"/>
      <c r="E31" s="3176">
        <v>1.5</v>
      </c>
      <c r="F31" s="3177"/>
      <c r="G31" s="3178">
        <v>1</v>
      </c>
      <c r="H31" s="3179"/>
      <c r="I31" s="3163" t="str">
        <f t="shared" ref="I31:I35" si="2">IF(AJ31="","",(AJ31/$AJ$16*100))</f>
        <v/>
      </c>
      <c r="J31" s="3117"/>
      <c r="K31" s="3117"/>
      <c r="L31" s="3117"/>
      <c r="M31" s="3070" t="str">
        <f>+IF(I31="","",SUM(I31:L32))</f>
        <v/>
      </c>
      <c r="N31" s="3068"/>
      <c r="O31" s="3068"/>
      <c r="P31" s="3071"/>
      <c r="Q31" s="3180" t="s">
        <v>621</v>
      </c>
      <c r="R31" s="3087"/>
      <c r="S31" s="3087"/>
      <c r="T31" s="3181"/>
      <c r="U31" s="3184"/>
      <c r="V31" s="3185"/>
      <c r="W31" s="3186">
        <f>+U31+U32</f>
        <v>0</v>
      </c>
      <c r="X31" s="3186"/>
      <c r="Y31" s="3114"/>
      <c r="Z31" s="3113"/>
      <c r="AA31" s="3113"/>
      <c r="AB31" s="3188"/>
      <c r="AC31" s="3163" t="str">
        <f>IF(M31="","",IF(Y31="","",(IF(W31&gt;0,(100*(W31-Y31)/W31),0))))</f>
        <v/>
      </c>
      <c r="AD31" s="3117"/>
      <c r="AE31" s="3117"/>
      <c r="AF31" s="3117"/>
      <c r="AG31" s="3164" t="str">
        <f>+IF(AC31="","",(AC31*M31/100))</f>
        <v/>
      </c>
      <c r="AH31" s="3117"/>
      <c r="AI31" s="3165"/>
      <c r="AJ31" s="1486"/>
      <c r="AK31" s="1146"/>
      <c r="AL31" s="1146"/>
      <c r="AM31" s="1146"/>
      <c r="AN31" s="1146"/>
      <c r="AO31" s="1146"/>
      <c r="AP31" s="1146"/>
      <c r="AQ31" s="1146"/>
      <c r="AR31" s="1146"/>
      <c r="AS31" s="3166"/>
      <c r="AT31" s="3166"/>
      <c r="AU31" s="3166"/>
      <c r="AV31" s="3166"/>
      <c r="AW31" s="1146"/>
      <c r="AX31" s="1146"/>
      <c r="AY31" s="1146"/>
      <c r="AZ31" s="1146"/>
      <c r="BA31" s="1146"/>
      <c r="BB31" s="1146"/>
      <c r="BC31" s="1146"/>
      <c r="BD31" s="1146"/>
      <c r="BE31" s="1146"/>
      <c r="BF31" s="1146"/>
      <c r="BG31" s="1146"/>
      <c r="BH31" s="1146"/>
      <c r="BI31" s="1146"/>
      <c r="BJ31" s="1146"/>
      <c r="BK31" s="1146"/>
      <c r="BL31" s="1146"/>
      <c r="BM31" s="1146"/>
      <c r="BN31" s="1146"/>
      <c r="BO31" s="1146"/>
      <c r="BP31" s="1146"/>
      <c r="BQ31" s="1146"/>
      <c r="BR31" s="1146"/>
      <c r="BS31" s="1146"/>
    </row>
    <row r="32" spans="1:71" s="1152" customFormat="1" ht="14.1" customHeight="1">
      <c r="A32" s="3155">
        <v>25</v>
      </c>
      <c r="B32" s="3156"/>
      <c r="C32" s="3157">
        <v>19</v>
      </c>
      <c r="D32" s="3158"/>
      <c r="E32" s="3159">
        <v>1</v>
      </c>
      <c r="F32" s="3160"/>
      <c r="G32" s="3182">
        <v>0.75</v>
      </c>
      <c r="H32" s="3183"/>
      <c r="I32" s="3144" t="str">
        <f t="shared" si="2"/>
        <v/>
      </c>
      <c r="J32" s="3029"/>
      <c r="K32" s="3029"/>
      <c r="L32" s="3030"/>
      <c r="M32" s="3072"/>
      <c r="N32" s="3029"/>
      <c r="O32" s="3029"/>
      <c r="P32" s="3032"/>
      <c r="Q32" s="3169" t="s">
        <v>622</v>
      </c>
      <c r="R32" s="3034"/>
      <c r="S32" s="3034"/>
      <c r="T32" s="3170"/>
      <c r="U32" s="3167"/>
      <c r="V32" s="3168"/>
      <c r="W32" s="3187"/>
      <c r="X32" s="3187"/>
      <c r="Y32" s="3023"/>
      <c r="Z32" s="3020"/>
      <c r="AA32" s="3020"/>
      <c r="AB32" s="3141"/>
      <c r="AC32" s="3144"/>
      <c r="AD32" s="3029"/>
      <c r="AE32" s="3029"/>
      <c r="AF32" s="3029"/>
      <c r="AG32" s="3072"/>
      <c r="AH32" s="3029"/>
      <c r="AI32" s="3032"/>
      <c r="AJ32" s="1486"/>
      <c r="AK32" s="1146"/>
      <c r="AL32" s="1146"/>
      <c r="AM32" s="1146"/>
      <c r="AN32" s="1146"/>
      <c r="AO32" s="1146"/>
      <c r="AP32" s="1146"/>
      <c r="AQ32" s="1146"/>
      <c r="AR32" s="1146"/>
      <c r="AS32" s="1146"/>
      <c r="AT32" s="1146"/>
      <c r="AU32" s="1146"/>
      <c r="AV32" s="1146"/>
      <c r="AW32" s="1146"/>
      <c r="AX32" s="1146"/>
      <c r="AY32" s="1146"/>
      <c r="AZ32" s="1146"/>
      <c r="BA32" s="1146"/>
      <c r="BB32" s="1146"/>
      <c r="BC32" s="1146"/>
      <c r="BD32" s="1146"/>
      <c r="BE32" s="1146"/>
      <c r="BF32" s="1146"/>
      <c r="BG32" s="1146"/>
      <c r="BH32" s="1146"/>
      <c r="BI32" s="1146"/>
      <c r="BJ32" s="1146"/>
      <c r="BK32" s="1146"/>
      <c r="BL32" s="1146"/>
      <c r="BM32" s="1146"/>
      <c r="BN32" s="1146"/>
      <c r="BO32" s="1146"/>
      <c r="BP32" s="1146"/>
      <c r="BQ32" s="1146"/>
      <c r="BR32" s="1146"/>
      <c r="BS32" s="1146"/>
    </row>
    <row r="33" spans="1:71" s="1152" customFormat="1" ht="14.1" customHeight="1">
      <c r="A33" s="3172">
        <v>19</v>
      </c>
      <c r="B33" s="3173"/>
      <c r="C33" s="3174">
        <v>12.5</v>
      </c>
      <c r="D33" s="3175"/>
      <c r="E33" s="3191">
        <v>0.75</v>
      </c>
      <c r="F33" s="3083"/>
      <c r="G33" s="3178">
        <v>0.5</v>
      </c>
      <c r="H33" s="3179"/>
      <c r="I33" s="3192" t="str">
        <f t="shared" si="2"/>
        <v/>
      </c>
      <c r="J33" s="3068"/>
      <c r="K33" s="3068"/>
      <c r="L33" s="3069"/>
      <c r="M33" s="3070" t="str">
        <f>+IF(I33="","",SUM(I33:L34))</f>
        <v/>
      </c>
      <c r="N33" s="3068"/>
      <c r="O33" s="3068"/>
      <c r="P33" s="3071"/>
      <c r="Q33" s="3180" t="s">
        <v>623</v>
      </c>
      <c r="R33" s="3087"/>
      <c r="S33" s="3087"/>
      <c r="T33" s="3181"/>
      <c r="U33" s="3184"/>
      <c r="V33" s="3185"/>
      <c r="W33" s="3189">
        <f>+U33+U34</f>
        <v>0</v>
      </c>
      <c r="X33" s="3189"/>
      <c r="Y33" s="3065"/>
      <c r="Z33" s="3064"/>
      <c r="AA33" s="3064"/>
      <c r="AB33" s="3190"/>
      <c r="AC33" s="3163" t="str">
        <f>IF(M33="","",IF(Y33="","",(IF(W33&gt;0,(100*(W33-Y33)/W33),0))))</f>
        <v/>
      </c>
      <c r="AD33" s="3117"/>
      <c r="AE33" s="3117"/>
      <c r="AF33" s="3117"/>
      <c r="AG33" s="3164" t="str">
        <f>+IF(AC33="","",(AC33*M33/100))</f>
        <v/>
      </c>
      <c r="AH33" s="3117"/>
      <c r="AI33" s="3165"/>
      <c r="AJ33" s="1486"/>
      <c r="AK33" s="1146"/>
      <c r="AL33" s="1146"/>
      <c r="AM33" s="1146"/>
      <c r="AN33" s="1146"/>
      <c r="AO33" s="1146"/>
      <c r="AP33" s="1146"/>
      <c r="AQ33" s="1146"/>
      <c r="AR33" s="1146"/>
      <c r="AS33" s="1146"/>
      <c r="AT33" s="1146"/>
      <c r="AU33" s="1146"/>
      <c r="AV33" s="1146"/>
      <c r="AW33" s="1146"/>
      <c r="AX33" s="1146"/>
      <c r="AY33" s="1146"/>
      <c r="AZ33" s="1146"/>
      <c r="BA33" s="1146"/>
      <c r="BB33" s="1146"/>
      <c r="BC33" s="1146"/>
      <c r="BD33" s="1146"/>
      <c r="BE33" s="1146"/>
      <c r="BF33" s="1146"/>
      <c r="BG33" s="1146"/>
      <c r="BH33" s="1146"/>
      <c r="BI33" s="1146"/>
      <c r="BJ33" s="1146"/>
      <c r="BK33" s="1146"/>
      <c r="BL33" s="1146"/>
      <c r="BM33" s="1146"/>
      <c r="BN33" s="1146"/>
      <c r="BO33" s="1146"/>
      <c r="BP33" s="1146"/>
      <c r="BQ33" s="1146"/>
      <c r="BR33" s="1146"/>
      <c r="BS33" s="1146"/>
    </row>
    <row r="34" spans="1:71" s="1152" customFormat="1" ht="14.1" customHeight="1">
      <c r="A34" s="3155">
        <v>12.5</v>
      </c>
      <c r="B34" s="3156"/>
      <c r="C34" s="3157">
        <v>9.5</v>
      </c>
      <c r="D34" s="3158"/>
      <c r="E34" s="3193">
        <v>0.5</v>
      </c>
      <c r="F34" s="3056"/>
      <c r="G34" s="3182">
        <v>0.375</v>
      </c>
      <c r="H34" s="3183"/>
      <c r="I34" s="3144" t="str">
        <f t="shared" si="2"/>
        <v/>
      </c>
      <c r="J34" s="3029"/>
      <c r="K34" s="3029"/>
      <c r="L34" s="3029"/>
      <c r="M34" s="3072"/>
      <c r="N34" s="3029"/>
      <c r="O34" s="3029"/>
      <c r="P34" s="3032"/>
      <c r="Q34" s="3169" t="s">
        <v>624</v>
      </c>
      <c r="R34" s="3034"/>
      <c r="S34" s="3034"/>
      <c r="T34" s="3170"/>
      <c r="U34" s="3167"/>
      <c r="V34" s="3168"/>
      <c r="W34" s="3187"/>
      <c r="X34" s="3187"/>
      <c r="Y34" s="3023"/>
      <c r="Z34" s="3020"/>
      <c r="AA34" s="3020"/>
      <c r="AB34" s="3141"/>
      <c r="AC34" s="3144"/>
      <c r="AD34" s="3029"/>
      <c r="AE34" s="3029"/>
      <c r="AF34" s="3029"/>
      <c r="AG34" s="3072"/>
      <c r="AH34" s="3029"/>
      <c r="AI34" s="3032"/>
      <c r="AJ34" s="1486"/>
      <c r="AK34" s="1146"/>
      <c r="AL34" s="1146"/>
      <c r="AM34" s="1146"/>
      <c r="AN34" s="1146"/>
      <c r="AO34" s="1146"/>
      <c r="AP34" s="1146"/>
      <c r="AQ34" s="1146"/>
      <c r="AR34" s="1146"/>
      <c r="AS34" s="1146"/>
      <c r="AT34" s="1146"/>
      <c r="AU34" s="1146"/>
      <c r="AV34" s="1146"/>
      <c r="AW34" s="1146"/>
      <c r="AX34" s="1146"/>
      <c r="AY34" s="1146"/>
      <c r="AZ34" s="1146"/>
      <c r="BA34" s="1146"/>
      <c r="BB34" s="1146"/>
      <c r="BC34" s="1146"/>
      <c r="BD34" s="1146"/>
      <c r="BE34" s="1146"/>
      <c r="BF34" s="1146"/>
      <c r="BG34" s="1146"/>
      <c r="BH34" s="1146"/>
      <c r="BI34" s="1146"/>
      <c r="BJ34" s="1146"/>
      <c r="BK34" s="1146"/>
      <c r="BL34" s="1146"/>
      <c r="BM34" s="1146"/>
      <c r="BN34" s="1146"/>
      <c r="BO34" s="1146"/>
      <c r="BP34" s="1146"/>
      <c r="BQ34" s="1146"/>
      <c r="BR34" s="1146"/>
      <c r="BS34" s="1146"/>
    </row>
    <row r="35" spans="1:71" s="1152" customFormat="1" ht="24.95" customHeight="1">
      <c r="A35" s="3207">
        <v>9.5</v>
      </c>
      <c r="B35" s="3208"/>
      <c r="C35" s="3209">
        <v>4.75</v>
      </c>
      <c r="D35" s="3210"/>
      <c r="E35" s="3211">
        <v>0.375</v>
      </c>
      <c r="F35" s="3212"/>
      <c r="G35" s="3213" t="s">
        <v>157</v>
      </c>
      <c r="H35" s="3214"/>
      <c r="I35" s="3199" t="str">
        <f t="shared" si="2"/>
        <v/>
      </c>
      <c r="J35" s="3200"/>
      <c r="K35" s="3200"/>
      <c r="L35" s="3200"/>
      <c r="M35" s="3201" t="str">
        <f>+IF(I35="","",+I35)</f>
        <v/>
      </c>
      <c r="N35" s="3200"/>
      <c r="O35" s="3200"/>
      <c r="P35" s="3202"/>
      <c r="Q35" s="3215" t="s">
        <v>625</v>
      </c>
      <c r="R35" s="3216"/>
      <c r="S35" s="3216"/>
      <c r="T35" s="3217"/>
      <c r="U35" s="3194"/>
      <c r="V35" s="3195"/>
      <c r="W35" s="3195"/>
      <c r="X35" s="3195"/>
      <c r="Y35" s="3196"/>
      <c r="Z35" s="3197"/>
      <c r="AA35" s="3197"/>
      <c r="AB35" s="3198"/>
      <c r="AC35" s="3199">
        <f>IF(U35&gt;0,(100*(U35-Y35)/U35),0)</f>
        <v>0</v>
      </c>
      <c r="AD35" s="3200"/>
      <c r="AE35" s="3200"/>
      <c r="AF35" s="3200"/>
      <c r="AG35" s="3201" t="str">
        <f>+IF(M35="","",(AC35*M35/100))</f>
        <v/>
      </c>
      <c r="AH35" s="3200"/>
      <c r="AI35" s="3202"/>
      <c r="AJ35" s="1486"/>
      <c r="AK35" s="1146"/>
      <c r="AL35" s="1146"/>
      <c r="AM35" s="1146"/>
      <c r="AN35" s="1146"/>
      <c r="AO35" s="1146"/>
      <c r="AP35" s="1146"/>
      <c r="AQ35" s="1146"/>
      <c r="AR35" s="1146"/>
      <c r="AS35" s="1146"/>
      <c r="AT35" s="1146"/>
      <c r="AU35" s="1146"/>
      <c r="AV35" s="1146"/>
      <c r="AW35" s="1146"/>
      <c r="AX35" s="1146"/>
      <c r="AY35" s="1146"/>
      <c r="AZ35" s="1146"/>
      <c r="BA35" s="1146"/>
      <c r="BB35" s="1146"/>
      <c r="BC35" s="1146"/>
      <c r="BD35" s="1146"/>
      <c r="BE35" s="1146"/>
      <c r="BF35" s="1146"/>
      <c r="BG35" s="1146"/>
      <c r="BH35" s="1146"/>
      <c r="BI35" s="1146"/>
      <c r="BJ35" s="1146"/>
      <c r="BK35" s="1146"/>
      <c r="BL35" s="1146"/>
      <c r="BM35" s="1146"/>
      <c r="BN35" s="1146"/>
      <c r="BO35" s="1146"/>
      <c r="BP35" s="1146"/>
      <c r="BQ35" s="1146"/>
      <c r="BR35" s="1146"/>
      <c r="BS35" s="1146"/>
    </row>
    <row r="36" spans="1:71" s="1152" customFormat="1" ht="12.95" customHeight="1" thickBot="1">
      <c r="A36" s="3203" t="s">
        <v>66</v>
      </c>
      <c r="B36" s="3204"/>
      <c r="C36" s="3204"/>
      <c r="D36" s="3204"/>
      <c r="E36" s="3204"/>
      <c r="F36" s="3204"/>
      <c r="G36" s="3204"/>
      <c r="H36" s="3204"/>
      <c r="I36" s="1154"/>
      <c r="J36" s="1154"/>
      <c r="K36" s="1155"/>
      <c r="L36" s="1155"/>
      <c r="M36" s="1488"/>
      <c r="N36" s="1488"/>
      <c r="O36" s="1488"/>
      <c r="P36" s="1488"/>
      <c r="Q36" s="1489"/>
      <c r="R36" s="1489"/>
      <c r="S36" s="1489"/>
      <c r="T36" s="1489"/>
      <c r="U36" s="3205" t="str">
        <f>IF(SUM(AG29:AI35)=0,"0",SUM(AG29:AI35))</f>
        <v>0</v>
      </c>
      <c r="V36" s="3205"/>
      <c r="W36" s="3205"/>
      <c r="X36" s="3205"/>
      <c r="Y36" s="3205"/>
      <c r="Z36" s="3205"/>
      <c r="AA36" s="3205"/>
      <c r="AB36" s="3205"/>
      <c r="AC36" s="3205"/>
      <c r="AD36" s="3205"/>
      <c r="AE36" s="3205"/>
      <c r="AF36" s="3205"/>
      <c r="AG36" s="3205"/>
      <c r="AH36" s="3205"/>
      <c r="AI36" s="3206"/>
      <c r="AJ36" s="3218">
        <f>SUM(I29:L35)</f>
        <v>0</v>
      </c>
      <c r="AK36" s="3218"/>
      <c r="AL36" s="3218"/>
      <c r="AM36" s="3219"/>
      <c r="AN36" s="1146"/>
      <c r="AO36" s="1146"/>
      <c r="AP36" s="1146"/>
      <c r="AQ36" s="1146"/>
      <c r="AR36" s="1146"/>
      <c r="AS36" s="1146"/>
      <c r="AT36" s="1146"/>
      <c r="AU36" s="1146"/>
      <c r="AV36" s="1146"/>
      <c r="AW36" s="1146"/>
      <c r="AX36" s="1146"/>
      <c r="AY36" s="1146"/>
      <c r="AZ36" s="1146"/>
      <c r="BA36" s="1146"/>
      <c r="BB36" s="1146"/>
      <c r="BC36" s="1146"/>
      <c r="BD36" s="1146"/>
      <c r="BE36" s="1146"/>
      <c r="BF36" s="1146"/>
      <c r="BG36" s="1146"/>
      <c r="BH36" s="1146"/>
      <c r="BI36" s="1146"/>
      <c r="BJ36" s="1146"/>
      <c r="BK36" s="1146"/>
      <c r="BL36" s="1146"/>
      <c r="BM36" s="1146"/>
      <c r="BN36" s="1146"/>
      <c r="BO36" s="1146"/>
      <c r="BP36" s="1146"/>
      <c r="BQ36" s="1146"/>
      <c r="BR36" s="1146"/>
      <c r="BS36" s="1146"/>
    </row>
    <row r="37" spans="1:71" s="1152" customFormat="1" ht="14.1" customHeight="1" thickTop="1">
      <c r="A37" s="3220" t="s">
        <v>626</v>
      </c>
      <c r="B37" s="3221"/>
      <c r="C37" s="3221"/>
      <c r="D37" s="3221"/>
      <c r="E37" s="3221"/>
      <c r="F37" s="3221"/>
      <c r="G37" s="3221"/>
      <c r="H37" s="3221"/>
      <c r="I37" s="3221"/>
      <c r="J37" s="3221"/>
      <c r="K37" s="3221"/>
      <c r="L37" s="3221"/>
      <c r="M37" s="3221"/>
      <c r="N37" s="3221"/>
      <c r="O37" s="3221"/>
      <c r="P37" s="3221"/>
      <c r="Q37" s="3221"/>
      <c r="R37" s="3221"/>
      <c r="S37" s="3221"/>
      <c r="T37" s="3221"/>
      <c r="U37" s="3221"/>
      <c r="V37" s="3221"/>
      <c r="W37" s="3221"/>
      <c r="X37" s="3221"/>
      <c r="Y37" s="3221"/>
      <c r="Z37" s="3221"/>
      <c r="AA37" s="3221"/>
      <c r="AB37" s="3221"/>
      <c r="AC37" s="3221"/>
      <c r="AD37" s="3221"/>
      <c r="AE37" s="3221"/>
      <c r="AF37" s="3221"/>
      <c r="AG37" s="3221"/>
      <c r="AH37" s="3221"/>
      <c r="AI37" s="3222"/>
      <c r="AJ37" s="1146"/>
      <c r="AK37" s="1146"/>
      <c r="AL37" s="1146"/>
      <c r="AM37" s="1146"/>
      <c r="AN37" s="1146"/>
      <c r="AO37" s="1146"/>
      <c r="AP37" s="1146"/>
      <c r="AQ37" s="1146"/>
      <c r="AR37" s="1146"/>
      <c r="AS37" s="1146"/>
      <c r="AT37" s="1146"/>
      <c r="AU37" s="1146"/>
      <c r="AV37" s="1146"/>
      <c r="AW37" s="1146"/>
      <c r="AX37" s="1146"/>
      <c r="AY37" s="1146"/>
      <c r="AZ37" s="1146"/>
      <c r="BA37" s="1146"/>
      <c r="BB37" s="1146"/>
      <c r="BC37" s="1146"/>
      <c r="BD37" s="1146"/>
      <c r="BE37" s="1146"/>
      <c r="BF37" s="1146"/>
      <c r="BG37" s="1146"/>
      <c r="BH37" s="1146"/>
      <c r="BI37" s="1146"/>
      <c r="BJ37" s="1146"/>
      <c r="BK37" s="1146"/>
      <c r="BL37" s="1146"/>
      <c r="BM37" s="1146"/>
      <c r="BN37" s="1146"/>
      <c r="BO37" s="1146"/>
      <c r="BP37" s="1146"/>
      <c r="BQ37" s="1146"/>
      <c r="BR37" s="1146"/>
      <c r="BS37" s="1146"/>
    </row>
    <row r="38" spans="1:71" s="1152" customFormat="1" ht="14.1" customHeight="1">
      <c r="A38" s="3223" t="s">
        <v>593</v>
      </c>
      <c r="B38" s="3224"/>
      <c r="C38" s="3224"/>
      <c r="D38" s="3225"/>
      <c r="E38" s="3226" t="s">
        <v>594</v>
      </c>
      <c r="F38" s="3224"/>
      <c r="G38" s="3224"/>
      <c r="H38" s="3225"/>
      <c r="I38" s="3227" t="s">
        <v>627</v>
      </c>
      <c r="J38" s="3228"/>
      <c r="K38" s="3228"/>
      <c r="L38" s="3229"/>
      <c r="M38" s="3233" t="s">
        <v>628</v>
      </c>
      <c r="N38" s="3234"/>
      <c r="O38" s="3234"/>
      <c r="P38" s="3234"/>
      <c r="Q38" s="3234"/>
      <c r="R38" s="3234"/>
      <c r="S38" s="3234"/>
      <c r="T38" s="3234"/>
      <c r="U38" s="3234"/>
      <c r="V38" s="3234"/>
      <c r="W38" s="3234"/>
      <c r="X38" s="3234"/>
      <c r="Y38" s="3234"/>
      <c r="Z38" s="3234"/>
      <c r="AA38" s="3234"/>
      <c r="AB38" s="3234"/>
      <c r="AC38" s="3234"/>
      <c r="AD38" s="3234"/>
      <c r="AE38" s="3234"/>
      <c r="AF38" s="3234"/>
      <c r="AG38" s="3234"/>
      <c r="AH38" s="3234"/>
      <c r="AI38" s="3235"/>
      <c r="AJ38" s="1146"/>
      <c r="AK38" s="1146"/>
      <c r="AL38" s="1146"/>
      <c r="AM38" s="1146"/>
      <c r="AN38" s="1146"/>
      <c r="AO38" s="1146"/>
      <c r="AP38" s="1146"/>
      <c r="AQ38" s="1146"/>
      <c r="AR38" s="1146"/>
      <c r="AS38" s="1146"/>
      <c r="AT38" s="1146"/>
      <c r="AU38" s="1146"/>
      <c r="AV38" s="1146"/>
      <c r="AW38" s="1146"/>
      <c r="AX38" s="1146"/>
      <c r="AY38" s="1146"/>
      <c r="AZ38" s="1146"/>
      <c r="BA38" s="1146"/>
      <c r="BB38" s="1146"/>
      <c r="BC38" s="1146"/>
      <c r="BD38" s="1146"/>
      <c r="BE38" s="1146"/>
      <c r="BF38" s="1146"/>
      <c r="BG38" s="1146"/>
      <c r="BH38" s="1146"/>
      <c r="BI38" s="1146"/>
      <c r="BJ38" s="1146"/>
      <c r="BK38" s="1146"/>
      <c r="BL38" s="1146"/>
      <c r="BM38" s="1146"/>
      <c r="BN38" s="1146"/>
      <c r="BO38" s="1146"/>
      <c r="BP38" s="1146"/>
      <c r="BQ38" s="1146"/>
      <c r="BR38" s="1146"/>
      <c r="BS38" s="1146"/>
    </row>
    <row r="39" spans="1:71" s="1152" customFormat="1" ht="17.25" customHeight="1">
      <c r="A39" s="3236" t="s">
        <v>24</v>
      </c>
      <c r="B39" s="3237"/>
      <c r="C39" s="3238" t="s">
        <v>65</v>
      </c>
      <c r="D39" s="3239"/>
      <c r="E39" s="3240" t="s">
        <v>24</v>
      </c>
      <c r="F39" s="3241"/>
      <c r="G39" s="3237" t="s">
        <v>65</v>
      </c>
      <c r="H39" s="3242"/>
      <c r="I39" s="3230"/>
      <c r="J39" s="3231"/>
      <c r="K39" s="3231"/>
      <c r="L39" s="3232"/>
      <c r="M39" s="3278" t="s">
        <v>629</v>
      </c>
      <c r="N39" s="3279"/>
      <c r="O39" s="3234" t="s">
        <v>62</v>
      </c>
      <c r="P39" s="3280"/>
      <c r="Q39" s="3281" t="s">
        <v>630</v>
      </c>
      <c r="R39" s="3282"/>
      <c r="S39" s="3282"/>
      <c r="T39" s="1156" t="s">
        <v>62</v>
      </c>
      <c r="U39" s="3278" t="s">
        <v>631</v>
      </c>
      <c r="V39" s="3279"/>
      <c r="W39" s="3279"/>
      <c r="X39" s="3279"/>
      <c r="Y39" s="3234" t="s">
        <v>62</v>
      </c>
      <c r="Z39" s="3234"/>
      <c r="AA39" s="3234"/>
      <c r="AB39" s="3280"/>
      <c r="AC39" s="3233" t="s">
        <v>632</v>
      </c>
      <c r="AD39" s="3234"/>
      <c r="AE39" s="3234"/>
      <c r="AF39" s="3234"/>
      <c r="AG39" s="3234" t="s">
        <v>62</v>
      </c>
      <c r="AH39" s="3234"/>
      <c r="AI39" s="3235"/>
      <c r="AJ39" s="1146"/>
      <c r="AK39" s="1146"/>
      <c r="AL39" s="1146"/>
      <c r="AM39" s="1146"/>
      <c r="AN39" s="1146"/>
      <c r="AO39" s="1146"/>
      <c r="AP39" s="1146"/>
      <c r="AQ39" s="1146"/>
      <c r="AR39" s="1146"/>
      <c r="AS39" s="1146"/>
      <c r="AT39" s="1146"/>
      <c r="AU39" s="1146"/>
      <c r="AV39" s="1146"/>
      <c r="AW39" s="1146"/>
      <c r="AX39" s="1146"/>
      <c r="AY39" s="1146"/>
      <c r="AZ39" s="1146"/>
      <c r="BA39" s="1146"/>
      <c r="BB39" s="1146"/>
      <c r="BC39" s="1146"/>
      <c r="BD39" s="1146"/>
      <c r="BE39" s="1146"/>
      <c r="BF39" s="1146"/>
      <c r="BG39" s="1146"/>
      <c r="BH39" s="1146"/>
      <c r="BI39" s="1146"/>
      <c r="BJ39" s="1146"/>
      <c r="BK39" s="1146"/>
      <c r="BL39" s="1146"/>
      <c r="BM39" s="1146"/>
      <c r="BN39" s="1146"/>
      <c r="BO39" s="1146"/>
      <c r="BP39" s="1146"/>
      <c r="BQ39" s="1146"/>
      <c r="BR39" s="1146"/>
      <c r="BS39" s="1146"/>
    </row>
    <row r="40" spans="1:71" s="1152" customFormat="1" ht="14.1" customHeight="1">
      <c r="A40" s="3259">
        <v>63</v>
      </c>
      <c r="B40" s="3260"/>
      <c r="C40" s="3261">
        <v>37.5</v>
      </c>
      <c r="D40" s="3262"/>
      <c r="E40" s="3263">
        <v>2.5</v>
      </c>
      <c r="F40" s="3264"/>
      <c r="G40" s="3265">
        <v>1.5</v>
      </c>
      <c r="H40" s="3266"/>
      <c r="I40" s="3267"/>
      <c r="J40" s="3268"/>
      <c r="K40" s="3268"/>
      <c r="L40" s="3269"/>
      <c r="M40" s="3270"/>
      <c r="N40" s="3271"/>
      <c r="O40" s="3272">
        <v>0</v>
      </c>
      <c r="P40" s="3273"/>
      <c r="Q40" s="3274"/>
      <c r="R40" s="3275"/>
      <c r="S40" s="1157"/>
      <c r="T40" s="1158"/>
      <c r="U40" s="3276">
        <v>0</v>
      </c>
      <c r="V40" s="3277"/>
      <c r="W40" s="3277"/>
      <c r="X40" s="3277"/>
      <c r="Y40" s="3301"/>
      <c r="Z40" s="3301"/>
      <c r="AA40" s="3301">
        <v>0</v>
      </c>
      <c r="AB40" s="3302"/>
      <c r="AC40" s="3274"/>
      <c r="AD40" s="3303"/>
      <c r="AE40" s="3303"/>
      <c r="AF40" s="3304"/>
      <c r="AG40" s="3243">
        <v>0</v>
      </c>
      <c r="AH40" s="3243"/>
      <c r="AI40" s="3244"/>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c r="BD40" s="1146"/>
      <c r="BE40" s="1146"/>
      <c r="BF40" s="1146"/>
      <c r="BG40" s="1146"/>
      <c r="BH40" s="1146"/>
      <c r="BI40" s="1146"/>
      <c r="BJ40" s="1146"/>
      <c r="BK40" s="1146"/>
      <c r="BL40" s="1146"/>
      <c r="BM40" s="1146"/>
      <c r="BN40" s="1146"/>
      <c r="BO40" s="1146"/>
      <c r="BP40" s="1146"/>
      <c r="BQ40" s="1146"/>
      <c r="BR40" s="1146"/>
      <c r="BS40" s="1146"/>
    </row>
    <row r="41" spans="1:71" s="1152" customFormat="1" ht="14.1" customHeight="1">
      <c r="A41" s="3245">
        <v>37.5</v>
      </c>
      <c r="B41" s="3246"/>
      <c r="C41" s="3246">
        <v>19</v>
      </c>
      <c r="D41" s="3247"/>
      <c r="E41" s="3248">
        <v>1.5</v>
      </c>
      <c r="F41" s="3249"/>
      <c r="G41" s="3250">
        <v>0.75</v>
      </c>
      <c r="H41" s="3251"/>
      <c r="I41" s="3252"/>
      <c r="J41" s="3253"/>
      <c r="K41" s="3253"/>
      <c r="L41" s="3254"/>
      <c r="M41" s="3255"/>
      <c r="N41" s="3256"/>
      <c r="O41" s="3257" t="str">
        <f>+IF(I41="","",(M41*100/$I$41))</f>
        <v/>
      </c>
      <c r="P41" s="3258"/>
      <c r="Q41" s="3252"/>
      <c r="R41" s="3292"/>
      <c r="S41" s="3257" t="str">
        <f>+IF(I41="","",Q41*100/$I$41)</f>
        <v/>
      </c>
      <c r="T41" s="3258"/>
      <c r="U41" s="3293"/>
      <c r="V41" s="3294"/>
      <c r="W41" s="3294"/>
      <c r="X41" s="3295"/>
      <c r="Y41" s="3296" t="str">
        <f>+IF(I41="","",(U41*100/$I$41))</f>
        <v/>
      </c>
      <c r="Z41" s="3296"/>
      <c r="AA41" s="3296" t="e">
        <f>+Y41*100/$I$41</f>
        <v>#VALUE!</v>
      </c>
      <c r="AB41" s="3297"/>
      <c r="AC41" s="3252"/>
      <c r="AD41" s="3253"/>
      <c r="AE41" s="3253"/>
      <c r="AF41" s="3298"/>
      <c r="AG41" s="3299" t="str">
        <f>+IF(I41="","",(AC41*100/$I$41))</f>
        <v/>
      </c>
      <c r="AH41" s="3299"/>
      <c r="AI41" s="3300"/>
      <c r="AJ41" s="1146"/>
      <c r="AK41" s="1146"/>
      <c r="AL41" s="1146"/>
      <c r="AM41" s="1146"/>
      <c r="AN41" s="1146"/>
      <c r="AO41" s="1146"/>
      <c r="AP41" s="1146"/>
      <c r="AQ41" s="1146"/>
      <c r="AR41" s="1146"/>
      <c r="AS41" s="1146"/>
      <c r="AT41" s="1146"/>
      <c r="AU41" s="1146"/>
      <c r="AV41" s="1146"/>
      <c r="AW41" s="1146"/>
      <c r="AX41" s="1146"/>
      <c r="AY41" s="1146"/>
      <c r="AZ41" s="1146"/>
      <c r="BA41" s="1146"/>
      <c r="BB41" s="1146"/>
      <c r="BC41" s="1146"/>
      <c r="BD41" s="1146"/>
      <c r="BE41" s="1146"/>
      <c r="BF41" s="1146"/>
      <c r="BG41" s="1146"/>
      <c r="BH41" s="1146"/>
      <c r="BI41" s="1146"/>
      <c r="BJ41" s="1146"/>
      <c r="BK41" s="1146"/>
      <c r="BL41" s="1146"/>
      <c r="BM41" s="1146"/>
      <c r="BN41" s="1146"/>
      <c r="BO41" s="1146"/>
      <c r="BP41" s="1146"/>
      <c r="BQ41" s="1146"/>
      <c r="BR41" s="1146"/>
      <c r="BS41" s="1146"/>
    </row>
    <row r="42" spans="1:71" s="1152" customFormat="1" ht="14.1" customHeight="1">
      <c r="A42" s="1159"/>
      <c r="B42" s="1160"/>
      <c r="C42" s="1160"/>
      <c r="D42" s="1160"/>
      <c r="E42" s="1161"/>
      <c r="F42" s="1161"/>
      <c r="G42" s="1162"/>
      <c r="H42" s="1162"/>
      <c r="I42" s="1163"/>
      <c r="J42" s="1163"/>
      <c r="K42" s="1163"/>
      <c r="L42" s="1163"/>
      <c r="M42" s="1163"/>
      <c r="N42" s="1163"/>
      <c r="O42" s="1164"/>
      <c r="P42" s="1164"/>
      <c r="Q42" s="1163"/>
      <c r="R42" s="1163"/>
      <c r="S42" s="1164"/>
      <c r="T42" s="1164"/>
      <c r="U42" s="1165"/>
      <c r="V42" s="1165"/>
      <c r="W42" s="1165"/>
      <c r="X42" s="1165"/>
      <c r="Y42" s="1166"/>
      <c r="Z42" s="1166"/>
      <c r="AA42" s="1166"/>
      <c r="AB42" s="1166"/>
      <c r="AC42" s="1163"/>
      <c r="AD42" s="1163"/>
      <c r="AE42" s="1163"/>
      <c r="AF42" s="1163"/>
      <c r="AG42" s="1164"/>
      <c r="AH42" s="1164"/>
      <c r="AI42" s="1167"/>
      <c r="AJ42" s="1146"/>
      <c r="AK42" s="1146"/>
      <c r="AL42" s="1146"/>
      <c r="AM42" s="1146"/>
      <c r="AN42" s="1146"/>
      <c r="AO42" s="1146"/>
      <c r="AP42" s="1146"/>
      <c r="AQ42" s="1146"/>
      <c r="AR42" s="1146"/>
      <c r="AS42" s="1146"/>
      <c r="AT42" s="1146"/>
      <c r="AU42" s="1146"/>
      <c r="AV42" s="1146"/>
      <c r="AW42" s="1146"/>
      <c r="AX42" s="1146"/>
      <c r="AY42" s="1146"/>
      <c r="AZ42" s="1146"/>
      <c r="BA42" s="1146"/>
      <c r="BB42" s="1146"/>
      <c r="BC42" s="1146"/>
      <c r="BD42" s="1146"/>
      <c r="BE42" s="1146"/>
      <c r="BF42" s="1146"/>
      <c r="BG42" s="1146"/>
      <c r="BH42" s="1146"/>
      <c r="BI42" s="1146"/>
      <c r="BJ42" s="1146"/>
      <c r="BK42" s="1146"/>
      <c r="BL42" s="1146"/>
      <c r="BM42" s="1146"/>
      <c r="BN42" s="1146"/>
      <c r="BO42" s="1146"/>
      <c r="BP42" s="1146"/>
      <c r="BQ42" s="1146"/>
      <c r="BR42" s="1146"/>
      <c r="BS42" s="1146"/>
    </row>
    <row r="43" spans="1:71" s="1152" customFormat="1" ht="14.1" customHeight="1">
      <c r="A43" s="1168"/>
      <c r="B43" s="3286" t="s">
        <v>633</v>
      </c>
      <c r="C43" s="3286"/>
      <c r="D43" s="3286"/>
      <c r="E43" s="3286"/>
      <c r="F43" s="3286"/>
      <c r="G43" s="3286"/>
      <c r="H43" s="2958"/>
      <c r="I43" s="2958"/>
      <c r="J43" s="2958"/>
      <c r="K43" s="2958"/>
      <c r="L43" s="2958"/>
      <c r="M43" s="2958"/>
      <c r="N43" s="1348" t="str">
        <f>IF(H43="","","al")</f>
        <v/>
      </c>
      <c r="O43" s="2958"/>
      <c r="P43" s="2958"/>
      <c r="Q43" s="2958"/>
      <c r="R43" s="2958"/>
      <c r="S43" s="2958"/>
      <c r="T43" s="2958"/>
      <c r="U43" s="1171"/>
      <c r="V43" s="1171"/>
      <c r="W43" s="1171"/>
      <c r="X43" s="1171"/>
      <c r="Y43" s="1172"/>
      <c r="Z43" s="1172"/>
      <c r="AA43" s="1172"/>
      <c r="AB43" s="1172"/>
      <c r="AC43" s="1169"/>
      <c r="AD43" s="1169"/>
      <c r="AE43" s="1169"/>
      <c r="AF43" s="1169"/>
      <c r="AG43" s="1170"/>
      <c r="AH43" s="1170"/>
      <c r="AI43" s="1173"/>
      <c r="AJ43" s="1146"/>
      <c r="AK43" s="1146"/>
      <c r="AL43" s="1146"/>
      <c r="AM43" s="1146"/>
      <c r="AN43" s="1146"/>
      <c r="AO43" s="1146"/>
      <c r="AP43" s="1146"/>
      <c r="AQ43" s="1146"/>
      <c r="AR43" s="1146"/>
      <c r="AS43" s="1146"/>
      <c r="AT43" s="1146"/>
      <c r="AU43" s="1146"/>
      <c r="AV43" s="1146"/>
      <c r="AW43" s="1146"/>
      <c r="AX43" s="1146"/>
      <c r="AY43" s="1146"/>
      <c r="AZ43" s="1146"/>
      <c r="BA43" s="1146"/>
      <c r="BB43" s="1146"/>
      <c r="BC43" s="1146"/>
      <c r="BD43" s="1146"/>
      <c r="BE43" s="1146"/>
      <c r="BF43" s="1146"/>
      <c r="BG43" s="1146"/>
      <c r="BH43" s="1146"/>
      <c r="BI43" s="1146"/>
      <c r="BJ43" s="1146"/>
      <c r="BK43" s="1146"/>
      <c r="BL43" s="1146"/>
      <c r="BM43" s="1146"/>
      <c r="BN43" s="1146"/>
      <c r="BO43" s="1146"/>
      <c r="BP43" s="1146"/>
      <c r="BQ43" s="1146"/>
      <c r="BR43" s="1146"/>
      <c r="BS43" s="1146"/>
    </row>
    <row r="44" spans="1:71" s="1152" customFormat="1" ht="14.1" customHeight="1">
      <c r="A44" s="1174"/>
      <c r="B44" s="1175"/>
      <c r="C44" s="1175"/>
      <c r="D44" s="1175"/>
      <c r="E44" s="1176"/>
      <c r="F44" s="1176"/>
      <c r="G44" s="1177"/>
      <c r="H44" s="1177"/>
      <c r="I44" s="1178"/>
      <c r="J44" s="1178"/>
      <c r="K44" s="1178"/>
      <c r="L44" s="1178"/>
      <c r="M44" s="1178"/>
      <c r="N44" s="1178"/>
      <c r="O44" s="1179"/>
      <c r="P44" s="1179"/>
      <c r="Q44" s="1178"/>
      <c r="R44" s="1178"/>
      <c r="S44" s="1179"/>
      <c r="T44" s="1179"/>
      <c r="U44" s="1180"/>
      <c r="V44" s="1180"/>
      <c r="W44" s="1180"/>
      <c r="X44" s="1180"/>
      <c r="Y44" s="1181"/>
      <c r="Z44" s="1181"/>
      <c r="AA44" s="1181"/>
      <c r="AB44" s="1181"/>
      <c r="AC44" s="1178"/>
      <c r="AD44" s="1178"/>
      <c r="AE44" s="1178"/>
      <c r="AF44" s="1178"/>
      <c r="AG44" s="1179"/>
      <c r="AH44" s="1179"/>
      <c r="AI44" s="1182"/>
      <c r="AJ44" s="1146"/>
      <c r="AK44" s="1146"/>
      <c r="AL44" s="1146"/>
      <c r="AM44" s="1146"/>
      <c r="AN44" s="1146"/>
      <c r="AO44" s="1146"/>
      <c r="AP44" s="1146"/>
      <c r="AQ44" s="1146"/>
      <c r="AR44" s="1146"/>
      <c r="AS44" s="1146"/>
      <c r="AT44" s="1146"/>
      <c r="AU44" s="1146"/>
      <c r="AV44" s="1146"/>
      <c r="AW44" s="1146"/>
      <c r="AX44" s="1146"/>
      <c r="AY44" s="1146"/>
      <c r="AZ44" s="1146"/>
      <c r="BA44" s="1146"/>
      <c r="BB44" s="1146"/>
      <c r="BC44" s="1146"/>
      <c r="BD44" s="1146"/>
      <c r="BE44" s="1146"/>
      <c r="BF44" s="1146"/>
      <c r="BG44" s="1146"/>
      <c r="BH44" s="1146"/>
      <c r="BI44" s="1146"/>
      <c r="BJ44" s="1146"/>
      <c r="BK44" s="1146"/>
      <c r="BL44" s="1146"/>
      <c r="BM44" s="1146"/>
      <c r="BN44" s="1146"/>
      <c r="BO44" s="1146"/>
      <c r="BP44" s="1146"/>
      <c r="BQ44" s="1146"/>
      <c r="BR44" s="1146"/>
      <c r="BS44" s="1146"/>
    </row>
    <row r="45" spans="1:71" s="1152" customFormat="1" ht="13.5" customHeight="1">
      <c r="A45" s="1183"/>
      <c r="B45" s="2399" t="s">
        <v>10</v>
      </c>
      <c r="C45" s="2399"/>
      <c r="D45" s="2399"/>
      <c r="E45" s="2399"/>
      <c r="F45" s="2399"/>
      <c r="G45" s="3287"/>
      <c r="H45" s="3287"/>
      <c r="I45" s="3287"/>
      <c r="J45" s="3287"/>
      <c r="K45" s="3287"/>
      <c r="L45" s="3287"/>
      <c r="M45" s="3287"/>
      <c r="N45" s="3287"/>
      <c r="O45" s="3287"/>
      <c r="P45" s="3287"/>
      <c r="Q45" s="3287"/>
      <c r="R45" s="3287"/>
      <c r="S45" s="3287"/>
      <c r="T45" s="3287"/>
      <c r="U45" s="3287"/>
      <c r="V45" s="3287"/>
      <c r="W45" s="3287"/>
      <c r="X45" s="3287"/>
      <c r="Y45" s="3287"/>
      <c r="Z45" s="3287"/>
      <c r="AA45" s="3287"/>
      <c r="AB45" s="3287"/>
      <c r="AC45" s="3287"/>
      <c r="AD45" s="3287"/>
      <c r="AE45" s="3287"/>
      <c r="AF45" s="3287"/>
      <c r="AG45" s="3287"/>
      <c r="AH45" s="3287"/>
      <c r="AI45" s="1184"/>
      <c r="AJ45" s="1146"/>
      <c r="AK45" s="1146"/>
      <c r="AL45" s="1146"/>
      <c r="AM45" s="1146"/>
      <c r="AN45" s="1146"/>
      <c r="AO45" s="1146"/>
      <c r="AP45" s="1146"/>
      <c r="AQ45" s="1146"/>
      <c r="AR45" s="1146"/>
      <c r="AS45" s="1146"/>
      <c r="AT45" s="1146"/>
      <c r="AU45" s="1146"/>
      <c r="AV45" s="1146"/>
      <c r="AW45" s="1146"/>
      <c r="AX45" s="1146"/>
      <c r="AY45" s="1146"/>
      <c r="AZ45" s="1146"/>
      <c r="BA45" s="1146"/>
      <c r="BB45" s="1146"/>
      <c r="BC45" s="1146"/>
      <c r="BD45" s="1146"/>
      <c r="BE45" s="1146"/>
      <c r="BF45" s="1146"/>
      <c r="BG45" s="1146"/>
      <c r="BH45" s="1146"/>
      <c r="BI45" s="1146"/>
      <c r="BJ45" s="1146"/>
      <c r="BK45" s="1146"/>
      <c r="BL45" s="1146"/>
      <c r="BM45" s="1146"/>
      <c r="BN45" s="1146"/>
      <c r="BO45" s="1146"/>
      <c r="BP45" s="1146"/>
      <c r="BQ45" s="1146"/>
      <c r="BR45" s="1146"/>
      <c r="BS45" s="1146"/>
    </row>
    <row r="46" spans="1:71" s="1152" customFormat="1" ht="14.25" customHeight="1">
      <c r="A46" s="3288"/>
      <c r="B46" s="3289"/>
      <c r="C46" s="3289"/>
      <c r="D46" s="3289"/>
      <c r="E46" s="3289"/>
      <c r="F46" s="3289"/>
      <c r="G46" s="3289"/>
      <c r="H46" s="3289"/>
      <c r="I46" s="3289"/>
      <c r="J46" s="3289"/>
      <c r="K46" s="3289"/>
      <c r="L46" s="3289"/>
      <c r="M46" s="3289"/>
      <c r="N46" s="3289"/>
      <c r="O46" s="3289"/>
      <c r="P46" s="3289"/>
      <c r="Q46" s="3289"/>
      <c r="R46" s="3289"/>
      <c r="S46" s="3289"/>
      <c r="T46" s="3289"/>
      <c r="U46" s="3289"/>
      <c r="V46" s="3289"/>
      <c r="W46" s="3289"/>
      <c r="X46" s="3289"/>
      <c r="Y46" s="3289"/>
      <c r="Z46" s="3289"/>
      <c r="AA46" s="3289"/>
      <c r="AB46" s="3289"/>
      <c r="AC46" s="3289"/>
      <c r="AD46" s="3289"/>
      <c r="AE46" s="3289"/>
      <c r="AF46" s="3289"/>
      <c r="AG46" s="3289"/>
      <c r="AH46" s="3289"/>
      <c r="AI46" s="3290"/>
      <c r="AJ46" s="1146"/>
      <c r="AK46" s="1146"/>
      <c r="AL46" s="1146"/>
      <c r="AM46" s="1146"/>
      <c r="AN46" s="1146"/>
      <c r="AO46" s="1146"/>
      <c r="AP46" s="1146"/>
      <c r="AQ46" s="1146"/>
      <c r="AR46" s="1146"/>
      <c r="AS46" s="1146"/>
      <c r="AT46" s="1146"/>
      <c r="AU46" s="1146"/>
      <c r="AV46" s="1146"/>
      <c r="AW46" s="1146"/>
      <c r="AX46" s="1146"/>
      <c r="AY46" s="1146"/>
      <c r="AZ46" s="1146"/>
      <c r="BA46" s="1146"/>
      <c r="BB46" s="1146"/>
      <c r="BC46" s="1146"/>
      <c r="BD46" s="1146"/>
      <c r="BE46" s="1146"/>
      <c r="BF46" s="1146"/>
      <c r="BG46" s="1146"/>
      <c r="BH46" s="1146"/>
      <c r="BI46" s="1146"/>
      <c r="BJ46" s="1146"/>
      <c r="BK46" s="1146"/>
      <c r="BL46" s="1146"/>
      <c r="BM46" s="1146"/>
      <c r="BN46" s="1146"/>
      <c r="BO46" s="1146"/>
      <c r="BP46" s="1146"/>
      <c r="BQ46" s="1146"/>
      <c r="BR46" s="1146"/>
      <c r="BS46" s="1146"/>
    </row>
    <row r="47" spans="1:71" s="1152" customFormat="1" ht="14.25" customHeight="1" thickBot="1">
      <c r="A47" s="3288"/>
      <c r="B47" s="3289"/>
      <c r="C47" s="3289"/>
      <c r="D47" s="3289"/>
      <c r="E47" s="3289"/>
      <c r="F47" s="3289"/>
      <c r="G47" s="3289"/>
      <c r="H47" s="3289"/>
      <c r="I47" s="3289"/>
      <c r="J47" s="3289"/>
      <c r="K47" s="3289"/>
      <c r="L47" s="3289"/>
      <c r="M47" s="3289"/>
      <c r="N47" s="3289"/>
      <c r="O47" s="3289"/>
      <c r="P47" s="3289"/>
      <c r="Q47" s="3289"/>
      <c r="R47" s="3289"/>
      <c r="S47" s="3289"/>
      <c r="T47" s="3289"/>
      <c r="U47" s="3289"/>
      <c r="V47" s="3289"/>
      <c r="W47" s="3289"/>
      <c r="X47" s="3289"/>
      <c r="Y47" s="3289"/>
      <c r="Z47" s="3289"/>
      <c r="AA47" s="3289"/>
      <c r="AB47" s="3289"/>
      <c r="AC47" s="3289"/>
      <c r="AD47" s="3289"/>
      <c r="AE47" s="3289"/>
      <c r="AF47" s="3289"/>
      <c r="AG47" s="3289"/>
      <c r="AH47" s="3289"/>
      <c r="AI47" s="3290"/>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row>
    <row r="48" spans="1:71" s="1152" customFormat="1" ht="15" customHeight="1" thickTop="1" thickBot="1">
      <c r="A48" s="3291" t="s">
        <v>13</v>
      </c>
      <c r="B48" s="3291"/>
      <c r="C48" s="3291"/>
      <c r="D48" s="3291"/>
      <c r="E48" s="3291"/>
      <c r="F48" s="3291"/>
      <c r="G48" s="3291"/>
      <c r="H48" s="3291"/>
      <c r="I48" s="3291"/>
      <c r="J48" s="3291"/>
      <c r="K48" s="3291"/>
      <c r="L48" s="3291"/>
      <c r="M48" s="3291"/>
      <c r="N48" s="3291"/>
      <c r="O48" s="3291"/>
      <c r="P48" s="3291"/>
      <c r="Q48" s="3291"/>
      <c r="R48" s="3291"/>
      <c r="S48" s="3291"/>
      <c r="T48" s="3291"/>
      <c r="U48" s="3291"/>
      <c r="V48" s="3291"/>
      <c r="W48" s="3291"/>
      <c r="X48" s="3291"/>
      <c r="Y48" s="3291"/>
      <c r="Z48" s="3291"/>
      <c r="AA48" s="3291"/>
      <c r="AB48" s="3291"/>
      <c r="AC48" s="3291"/>
      <c r="AD48" s="3291"/>
      <c r="AE48" s="3291"/>
      <c r="AF48" s="3291"/>
      <c r="AG48" s="3291"/>
      <c r="AH48" s="3291"/>
      <c r="AI48" s="3291"/>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row>
    <row r="49" spans="1:71" s="1152" customFormat="1" ht="15" customHeight="1" thickTop="1">
      <c r="A49" s="3284"/>
      <c r="B49" s="3284"/>
      <c r="C49" s="3284"/>
      <c r="D49" s="3284"/>
      <c r="E49" s="3284"/>
      <c r="F49" s="3284"/>
      <c r="G49" s="3284"/>
      <c r="H49" s="3284"/>
      <c r="I49" s="3284"/>
      <c r="J49" s="3284"/>
      <c r="K49" s="3284"/>
      <c r="L49" s="3284"/>
      <c r="M49" s="3284"/>
      <c r="N49" s="3284"/>
      <c r="O49" s="3284"/>
      <c r="P49" s="3284"/>
      <c r="Q49" s="3284"/>
      <c r="R49" s="3284"/>
      <c r="S49" s="3284"/>
      <c r="T49" s="3284"/>
      <c r="U49" s="3284"/>
      <c r="V49" s="3284"/>
      <c r="W49" s="3284"/>
      <c r="X49" s="3284"/>
      <c r="Y49" s="3284"/>
      <c r="Z49" s="3284"/>
      <c r="AA49" s="3284"/>
      <c r="AB49" s="3284"/>
      <c r="AC49" s="3284"/>
      <c r="AD49" s="3284"/>
      <c r="AE49" s="3284"/>
      <c r="AF49" s="3284"/>
      <c r="AG49" s="3284"/>
      <c r="AH49" s="3284"/>
      <c r="AI49" s="3284"/>
      <c r="AJ49" s="1146"/>
      <c r="AK49" s="1146"/>
      <c r="AL49" s="1146"/>
      <c r="AM49" s="1146"/>
      <c r="AN49" s="1146"/>
      <c r="AO49" s="1146"/>
      <c r="AP49" s="1146"/>
      <c r="AQ49" s="1146"/>
      <c r="AR49" s="1146"/>
      <c r="AS49" s="1146"/>
      <c r="AT49" s="1146"/>
      <c r="AU49" s="1146"/>
      <c r="AV49" s="1146"/>
      <c r="AW49" s="1146"/>
      <c r="AX49" s="1146"/>
      <c r="AY49" s="1146"/>
      <c r="AZ49" s="1146"/>
      <c r="BA49" s="1146"/>
      <c r="BB49" s="1146"/>
      <c r="BC49" s="1146"/>
      <c r="BD49" s="1146"/>
      <c r="BE49" s="1146"/>
      <c r="BF49" s="1146"/>
      <c r="BG49" s="1146"/>
      <c r="BH49" s="1146"/>
      <c r="BI49" s="1146"/>
      <c r="BJ49" s="1146"/>
      <c r="BK49" s="1146"/>
      <c r="BL49" s="1146"/>
      <c r="BM49" s="1146"/>
      <c r="BN49" s="1146"/>
      <c r="BO49" s="1146"/>
      <c r="BP49" s="1146"/>
      <c r="BQ49" s="1146"/>
      <c r="BR49" s="1146"/>
      <c r="BS49" s="1146"/>
    </row>
    <row r="50" spans="1:71" s="1152" customFormat="1" ht="15" customHeight="1">
      <c r="A50" s="3285" t="s">
        <v>306</v>
      </c>
      <c r="B50" s="3285"/>
      <c r="C50" s="3285"/>
      <c r="D50" s="3285"/>
      <c r="E50" s="3285"/>
      <c r="F50" s="3285"/>
      <c r="G50" s="3285"/>
      <c r="H50" s="3285"/>
      <c r="I50" s="3285"/>
      <c r="J50" s="3285"/>
      <c r="K50" s="3285"/>
      <c r="L50" s="3285"/>
      <c r="M50" s="3285"/>
      <c r="N50" s="3285"/>
      <c r="O50" s="3285"/>
      <c r="P50" s="3285"/>
      <c r="Q50" s="3285"/>
      <c r="R50" s="3285"/>
      <c r="S50" s="3285"/>
      <c r="T50" s="3285"/>
      <c r="U50" s="3285"/>
      <c r="V50" s="3285"/>
      <c r="W50" s="3285"/>
      <c r="X50" s="3285"/>
      <c r="Y50" s="3285"/>
      <c r="Z50" s="3285"/>
      <c r="AA50" s="3285"/>
      <c r="AB50" s="3285"/>
      <c r="AC50" s="3285"/>
      <c r="AD50" s="3285"/>
      <c r="AE50" s="3285"/>
      <c r="AF50" s="3285"/>
      <c r="AG50" s="3285"/>
      <c r="AH50" s="3285"/>
      <c r="AI50" s="3285"/>
      <c r="AJ50" s="1146"/>
      <c r="AK50" s="1146"/>
      <c r="AL50" s="1146"/>
      <c r="AM50" s="1146"/>
      <c r="AN50" s="1146"/>
      <c r="AO50" s="1146"/>
      <c r="AP50" s="1146"/>
      <c r="AQ50" s="1146"/>
      <c r="AR50" s="1146"/>
      <c r="AS50" s="1146"/>
      <c r="AT50" s="1146"/>
      <c r="AU50" s="1146"/>
      <c r="AV50" s="1146"/>
      <c r="AW50" s="1146"/>
      <c r="AX50" s="1146"/>
      <c r="AY50" s="1146"/>
      <c r="AZ50" s="1146"/>
      <c r="BA50" s="1146"/>
      <c r="BB50" s="1146"/>
      <c r="BC50" s="1146"/>
      <c r="BD50" s="1146"/>
      <c r="BE50" s="1146"/>
      <c r="BF50" s="1146"/>
      <c r="BG50" s="1146"/>
      <c r="BH50" s="1146"/>
      <c r="BI50" s="1146"/>
      <c r="BJ50" s="1146"/>
      <c r="BK50" s="1146"/>
      <c r="BL50" s="1146"/>
      <c r="BM50" s="1146"/>
      <c r="BN50" s="1146"/>
      <c r="BO50" s="1146"/>
      <c r="BP50" s="1146"/>
      <c r="BQ50" s="1146"/>
      <c r="BR50" s="1146"/>
      <c r="BS50" s="1146"/>
    </row>
    <row r="51" spans="1:71" s="1152" customFormat="1" ht="15" customHeight="1">
      <c r="A51" s="3285"/>
      <c r="B51" s="3285"/>
      <c r="C51" s="3285"/>
      <c r="D51" s="3285"/>
      <c r="E51" s="3285"/>
      <c r="F51" s="3285"/>
      <c r="G51" s="3285"/>
      <c r="H51" s="3285"/>
      <c r="I51" s="3285"/>
      <c r="J51" s="3285"/>
      <c r="K51" s="3285"/>
      <c r="L51" s="3285"/>
      <c r="M51" s="3285"/>
      <c r="N51" s="3285"/>
      <c r="O51" s="3285"/>
      <c r="P51" s="3285"/>
      <c r="Q51" s="3285"/>
      <c r="R51" s="3285"/>
      <c r="S51" s="3285"/>
      <c r="T51" s="3285"/>
      <c r="U51" s="3285"/>
      <c r="V51" s="3285"/>
      <c r="W51" s="3285"/>
      <c r="X51" s="3285"/>
      <c r="Y51" s="3285"/>
      <c r="Z51" s="3285"/>
      <c r="AA51" s="3285"/>
      <c r="AB51" s="3285"/>
      <c r="AC51" s="3285"/>
      <c r="AD51" s="3285"/>
      <c r="AE51" s="3285"/>
      <c r="AF51" s="3285"/>
      <c r="AG51" s="3285"/>
      <c r="AH51" s="3285"/>
      <c r="AI51" s="3285"/>
      <c r="AJ51" s="1146"/>
      <c r="AK51" s="1146"/>
      <c r="AL51" s="1146"/>
      <c r="AM51" s="1146"/>
      <c r="AN51" s="1146"/>
      <c r="AO51" s="1146"/>
      <c r="AP51" s="1146"/>
      <c r="AQ51" s="1146"/>
      <c r="AR51" s="1146"/>
      <c r="AS51" s="1146"/>
      <c r="AT51" s="1146"/>
      <c r="AU51" s="1146"/>
      <c r="AV51" s="1146"/>
      <c r="AW51" s="1146"/>
      <c r="AX51" s="1146"/>
      <c r="AY51" s="1146"/>
      <c r="AZ51" s="1146"/>
      <c r="BA51" s="1146"/>
      <c r="BB51" s="1146"/>
      <c r="BC51" s="1146"/>
      <c r="BD51" s="1146"/>
      <c r="BE51" s="1146"/>
      <c r="BF51" s="1146"/>
      <c r="BG51" s="1146"/>
      <c r="BH51" s="1146"/>
      <c r="BI51" s="1146"/>
      <c r="BJ51" s="1146"/>
      <c r="BK51" s="1146"/>
      <c r="BL51" s="1146"/>
      <c r="BM51" s="1146"/>
      <c r="BN51" s="1146"/>
      <c r="BO51" s="1146"/>
      <c r="BP51" s="1146"/>
      <c r="BQ51" s="1146"/>
      <c r="BR51" s="1146"/>
      <c r="BS51" s="1146"/>
    </row>
    <row r="52" spans="1:71" s="1152" customFormat="1" ht="15" customHeight="1">
      <c r="AI52" s="1146"/>
      <c r="AJ52" s="1146"/>
      <c r="AK52" s="1146"/>
      <c r="AL52" s="1146"/>
      <c r="AM52" s="1146"/>
      <c r="AN52" s="1146"/>
      <c r="AO52" s="1146"/>
      <c r="AP52" s="1146"/>
      <c r="AQ52" s="1146"/>
      <c r="AR52" s="1146"/>
      <c r="AS52" s="1146"/>
      <c r="AT52" s="1146"/>
      <c r="AU52" s="1146"/>
      <c r="AV52" s="1146"/>
      <c r="AW52" s="1146"/>
      <c r="AX52" s="1146"/>
      <c r="AY52" s="1146"/>
      <c r="AZ52" s="1146"/>
      <c r="BA52" s="1146"/>
      <c r="BB52" s="1146"/>
      <c r="BC52" s="1146"/>
      <c r="BD52" s="1146"/>
      <c r="BE52" s="1146"/>
      <c r="BF52" s="1146"/>
      <c r="BG52" s="1146"/>
      <c r="BH52" s="1146"/>
      <c r="BI52" s="1146"/>
      <c r="BJ52" s="1146"/>
      <c r="BK52" s="1146"/>
      <c r="BL52" s="1146"/>
      <c r="BM52" s="1146"/>
      <c r="BN52" s="1146"/>
      <c r="BO52" s="1146"/>
      <c r="BP52" s="1146"/>
      <c r="BQ52" s="1146"/>
      <c r="BR52" s="1146"/>
      <c r="BS52" s="1146"/>
    </row>
    <row r="53" spans="1:71" s="1152" customFormat="1" ht="15" customHeight="1">
      <c r="AI53" s="1146"/>
      <c r="AJ53" s="1185"/>
      <c r="AK53" s="1185"/>
      <c r="AL53" s="1146"/>
      <c r="AM53" s="1146"/>
      <c r="AN53" s="1146"/>
      <c r="AO53" s="1146"/>
      <c r="AP53" s="1146"/>
      <c r="AQ53" s="1146"/>
      <c r="AR53" s="1146"/>
      <c r="AS53" s="1146"/>
      <c r="AT53" s="1146"/>
      <c r="AU53" s="1146"/>
      <c r="AV53" s="1146"/>
      <c r="AW53" s="1146"/>
      <c r="AX53" s="1146"/>
      <c r="AY53" s="1146"/>
      <c r="AZ53" s="1146"/>
      <c r="BA53" s="1146"/>
      <c r="BB53" s="1146"/>
      <c r="BC53" s="1146"/>
      <c r="BD53" s="1146"/>
      <c r="BE53" s="1146"/>
      <c r="BF53" s="1146"/>
      <c r="BG53" s="1146"/>
      <c r="BH53" s="1146"/>
      <c r="BI53" s="1146"/>
      <c r="BJ53" s="1146"/>
      <c r="BK53" s="1146"/>
      <c r="BL53" s="1146"/>
      <c r="BM53" s="1146"/>
      <c r="BN53" s="1146"/>
      <c r="BO53" s="1146"/>
      <c r="BP53" s="1146"/>
      <c r="BQ53" s="1146"/>
      <c r="BR53" s="1146"/>
      <c r="BS53" s="1146"/>
    </row>
    <row r="54" spans="1:71" s="31" customFormat="1" ht="15" customHeight="1">
      <c r="A54" s="1152"/>
      <c r="B54" s="1152"/>
      <c r="C54" s="1152"/>
      <c r="D54" s="1152"/>
      <c r="E54" s="1152"/>
      <c r="F54" s="1152"/>
      <c r="G54" s="1152"/>
      <c r="H54" s="1152"/>
      <c r="I54" s="1152"/>
      <c r="J54" s="1152"/>
      <c r="K54" s="1152"/>
      <c r="L54" s="1152"/>
      <c r="M54" s="1152"/>
      <c r="N54" s="1152"/>
      <c r="O54" s="1152"/>
      <c r="P54" s="1152"/>
      <c r="Q54" s="1152"/>
      <c r="R54" s="1152"/>
      <c r="S54" s="1152"/>
      <c r="T54" s="1152"/>
      <c r="U54" s="1152"/>
      <c r="V54" s="1152"/>
      <c r="W54" s="1152"/>
      <c r="X54" s="1152"/>
      <c r="Y54" s="1152"/>
      <c r="Z54" s="1152"/>
      <c r="AA54" s="1152"/>
      <c r="AB54" s="1152"/>
      <c r="AC54" s="1152"/>
      <c r="AD54" s="1152"/>
      <c r="AE54" s="1152"/>
      <c r="AF54" s="1152"/>
      <c r="AG54" s="1152"/>
      <c r="AH54" s="1152"/>
      <c r="AI54" s="1146"/>
    </row>
    <row r="55" spans="1:71" s="26" customFormat="1" ht="15" customHeight="1">
      <c r="A55" s="1152"/>
      <c r="B55" s="1152"/>
      <c r="C55" s="1152"/>
      <c r="D55" s="1152"/>
      <c r="E55" s="1152"/>
      <c r="F55" s="1152"/>
      <c r="G55" s="1152"/>
      <c r="H55" s="1152"/>
      <c r="I55" s="1152"/>
      <c r="J55" s="1152"/>
      <c r="K55" s="1152"/>
      <c r="L55" s="1152"/>
      <c r="M55" s="1152"/>
      <c r="N55" s="1152"/>
      <c r="O55" s="1152"/>
      <c r="P55" s="1152"/>
      <c r="Q55" s="1152"/>
      <c r="R55" s="1152"/>
      <c r="S55" s="1152"/>
      <c r="T55" s="1152"/>
      <c r="U55" s="1152"/>
      <c r="V55" s="1152"/>
      <c r="W55" s="1152"/>
      <c r="X55" s="1152"/>
      <c r="Y55" s="1152"/>
      <c r="Z55" s="1152"/>
      <c r="AA55" s="1152"/>
      <c r="AB55" s="1152"/>
      <c r="AC55" s="1152"/>
      <c r="AD55" s="1152"/>
      <c r="AE55" s="1152"/>
      <c r="AF55" s="1152"/>
      <c r="AG55" s="1152"/>
      <c r="AH55" s="1152"/>
      <c r="AI55" s="1146"/>
    </row>
    <row r="56" spans="1:71" s="26" customFormat="1" ht="30" customHeight="1">
      <c r="A56" s="1152"/>
      <c r="B56" s="1152"/>
      <c r="C56" s="1152"/>
      <c r="D56" s="1152"/>
      <c r="E56" s="1152"/>
      <c r="F56" s="1152"/>
      <c r="G56" s="1152"/>
      <c r="H56" s="1152"/>
      <c r="I56" s="1152"/>
      <c r="J56" s="1152"/>
      <c r="K56" s="1152"/>
      <c r="L56" s="1152"/>
      <c r="M56" s="1152"/>
      <c r="N56" s="1152"/>
      <c r="O56" s="1152"/>
      <c r="P56" s="1152"/>
      <c r="Q56" s="1152"/>
      <c r="R56" s="1152"/>
      <c r="S56" s="1152"/>
      <c r="T56" s="1152"/>
      <c r="U56" s="1152"/>
      <c r="V56" s="1152"/>
      <c r="W56" s="1152"/>
      <c r="X56" s="1152"/>
      <c r="Y56" s="1152"/>
      <c r="Z56" s="1152"/>
      <c r="AA56" s="1152"/>
      <c r="AB56" s="1152"/>
      <c r="AC56" s="1152"/>
      <c r="AD56" s="1152"/>
      <c r="AE56" s="1152"/>
      <c r="AF56" s="1152"/>
      <c r="AG56" s="1152"/>
      <c r="AH56" s="1152"/>
      <c r="AI56" s="1146"/>
    </row>
    <row r="57" spans="1:71" s="32" customFormat="1" ht="18" customHeight="1">
      <c r="A57" s="1152"/>
      <c r="B57" s="1152"/>
      <c r="C57" s="1152"/>
      <c r="D57" s="1152"/>
      <c r="E57" s="1152"/>
      <c r="F57" s="1152"/>
      <c r="G57" s="1152"/>
      <c r="H57" s="1152"/>
      <c r="I57" s="1152"/>
      <c r="J57" s="1152"/>
      <c r="K57" s="1152"/>
      <c r="L57" s="1152"/>
      <c r="M57" s="1152"/>
      <c r="N57" s="1152"/>
      <c r="O57" s="1152"/>
      <c r="P57" s="1152"/>
      <c r="Q57" s="1152"/>
      <c r="R57" s="1152"/>
      <c r="S57" s="1152"/>
      <c r="T57" s="1152"/>
      <c r="U57" s="1152"/>
      <c r="V57" s="1152"/>
      <c r="W57" s="1152"/>
      <c r="X57" s="1152"/>
      <c r="Y57" s="1152"/>
      <c r="Z57" s="1152"/>
      <c r="AA57" s="1152"/>
      <c r="AB57" s="1152"/>
      <c r="AC57" s="1152"/>
      <c r="AD57" s="1152"/>
      <c r="AE57" s="1152"/>
      <c r="AF57" s="1152"/>
      <c r="AG57" s="1152"/>
      <c r="AH57" s="1152"/>
      <c r="AI57" s="1146"/>
    </row>
    <row r="58" spans="1:71" s="26" customFormat="1" ht="18.75" customHeight="1">
      <c r="A58" s="1152"/>
      <c r="B58" s="1152"/>
      <c r="C58" s="1152"/>
      <c r="D58" s="1152"/>
      <c r="E58" s="1152"/>
      <c r="F58" s="1152"/>
      <c r="G58" s="1152"/>
      <c r="H58" s="1152"/>
      <c r="I58" s="1152"/>
      <c r="J58" s="1152"/>
      <c r="K58" s="1152"/>
      <c r="L58" s="1152"/>
      <c r="M58" s="1152"/>
      <c r="N58" s="1152"/>
      <c r="O58" s="1152"/>
      <c r="P58" s="1152"/>
      <c r="Q58" s="1152"/>
      <c r="R58" s="1152"/>
      <c r="S58" s="1152"/>
      <c r="T58" s="1152"/>
      <c r="U58" s="1152"/>
      <c r="V58" s="1152"/>
      <c r="W58" s="1152"/>
      <c r="X58" s="1152"/>
      <c r="Y58" s="1152"/>
      <c r="Z58" s="1152"/>
      <c r="AA58" s="1152"/>
      <c r="AB58" s="1152"/>
      <c r="AC58" s="1152"/>
      <c r="AD58" s="1152"/>
      <c r="AE58" s="1152"/>
      <c r="AF58" s="1152"/>
      <c r="AG58" s="1152"/>
      <c r="AH58" s="1152"/>
      <c r="AI58" s="1146"/>
    </row>
    <row r="59" spans="1:71" s="26" customFormat="1" ht="30" customHeight="1">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1121"/>
    </row>
    <row r="60" spans="1:71" s="1152" customFormat="1" ht="13.5" customHeight="1">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1121"/>
      <c r="AJ60" s="1146"/>
      <c r="AK60" s="1146"/>
      <c r="AL60" s="1146"/>
      <c r="AM60" s="1146"/>
      <c r="AN60" s="1146"/>
      <c r="AO60" s="1146"/>
      <c r="AP60" s="1146"/>
      <c r="AQ60" s="1146"/>
      <c r="AR60" s="1146"/>
      <c r="AS60" s="1146"/>
      <c r="AT60" s="1146"/>
      <c r="AU60" s="1146"/>
      <c r="AV60" s="1146"/>
      <c r="AW60" s="1146"/>
      <c r="AX60" s="1146"/>
      <c r="AY60" s="1146"/>
      <c r="AZ60" s="1146"/>
      <c r="BA60" s="1146"/>
      <c r="BB60" s="1146"/>
      <c r="BC60" s="1146"/>
      <c r="BD60" s="1146"/>
      <c r="BE60" s="1146"/>
      <c r="BF60" s="1146"/>
      <c r="BG60" s="1146"/>
      <c r="BH60" s="1146"/>
      <c r="BI60" s="1146"/>
      <c r="BJ60" s="1146"/>
      <c r="BK60" s="1146"/>
      <c r="BL60" s="1146"/>
      <c r="BM60" s="1146"/>
      <c r="BN60" s="1146"/>
      <c r="BO60" s="1146"/>
      <c r="BP60" s="1146"/>
      <c r="BQ60" s="1146"/>
      <c r="BR60" s="1146"/>
      <c r="BS60" s="1146"/>
    </row>
    <row r="61" spans="1:71" s="1152" customFormat="1" ht="13.5" customHeight="1">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1121"/>
      <c r="AJ61" s="1146"/>
      <c r="AK61" s="1146"/>
      <c r="AL61" s="1146"/>
      <c r="AM61" s="1146"/>
      <c r="AN61" s="1146"/>
      <c r="AO61" s="1146"/>
      <c r="AP61" s="1146"/>
      <c r="AQ61" s="1146"/>
      <c r="AR61" s="1146"/>
      <c r="AS61" s="1146"/>
      <c r="AT61" s="1146"/>
      <c r="AU61" s="1146"/>
      <c r="AV61" s="1146"/>
      <c r="AW61" s="1146"/>
      <c r="AX61" s="1146"/>
      <c r="AY61" s="1146"/>
      <c r="AZ61" s="1146"/>
      <c r="BA61" s="1146"/>
      <c r="BB61" s="1146"/>
      <c r="BC61" s="1146"/>
      <c r="BD61" s="1146"/>
      <c r="BE61" s="1146"/>
      <c r="BF61" s="1146"/>
      <c r="BG61" s="1146"/>
      <c r="BH61" s="1146"/>
      <c r="BI61" s="1146"/>
      <c r="BJ61" s="1146"/>
      <c r="BK61" s="1146"/>
      <c r="BL61" s="1146"/>
      <c r="BM61" s="1146"/>
      <c r="BN61" s="1146"/>
      <c r="BO61" s="1146"/>
      <c r="BP61" s="1146"/>
      <c r="BQ61" s="1146"/>
      <c r="BR61" s="1146"/>
      <c r="BS61" s="1146"/>
    </row>
    <row r="62" spans="1:71" s="1152" customFormat="1" ht="13.5" customHeight="1">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1121"/>
      <c r="AJ62" s="1146"/>
      <c r="AK62" s="1146"/>
      <c r="AL62" s="1146"/>
      <c r="AM62" s="1146"/>
      <c r="AN62" s="1146"/>
      <c r="AO62" s="1146"/>
      <c r="AP62" s="1146"/>
      <c r="AQ62" s="1146"/>
      <c r="AR62" s="1146"/>
      <c r="AS62" s="1146"/>
      <c r="AT62" s="1146"/>
      <c r="AU62" s="1146"/>
      <c r="AV62" s="1146"/>
      <c r="AW62" s="1146"/>
      <c r="AX62" s="1146"/>
      <c r="AY62" s="1146"/>
      <c r="AZ62" s="1146"/>
      <c r="BA62" s="1146"/>
      <c r="BB62" s="1146"/>
      <c r="BC62" s="1146"/>
      <c r="BD62" s="1146"/>
      <c r="BE62" s="1146"/>
      <c r="BF62" s="1146"/>
      <c r="BG62" s="1146"/>
      <c r="BH62" s="1146"/>
      <c r="BI62" s="1146"/>
      <c r="BJ62" s="1146"/>
      <c r="BK62" s="1146"/>
      <c r="BL62" s="1146"/>
      <c r="BM62" s="1146"/>
      <c r="BN62" s="1146"/>
      <c r="BO62" s="1146"/>
      <c r="BP62" s="1146"/>
      <c r="BQ62" s="1146"/>
      <c r="BR62" s="1146"/>
      <c r="BS62" s="1146"/>
    </row>
    <row r="63" spans="1:71" s="1152" customFormat="1" ht="13.5" customHeight="1">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1121"/>
      <c r="AJ63" s="1146"/>
      <c r="AK63" s="1146"/>
      <c r="AL63" s="1146"/>
      <c r="AM63" s="1146"/>
      <c r="AN63" s="1146"/>
      <c r="AO63" s="1146"/>
      <c r="AP63" s="1146"/>
      <c r="AQ63" s="1146"/>
      <c r="AR63" s="1146"/>
      <c r="AS63" s="1146"/>
      <c r="AT63" s="1146"/>
      <c r="AU63" s="1146"/>
      <c r="AV63" s="1146"/>
      <c r="AW63" s="1146"/>
      <c r="AX63" s="1146"/>
      <c r="AY63" s="1146"/>
      <c r="AZ63" s="1146"/>
      <c r="BA63" s="1146"/>
      <c r="BB63" s="1146"/>
      <c r="BC63" s="1146"/>
      <c r="BD63" s="1146"/>
      <c r="BE63" s="1146"/>
      <c r="BF63" s="1146"/>
      <c r="BG63" s="1146"/>
      <c r="BH63" s="1146"/>
      <c r="BI63" s="1146"/>
      <c r="BJ63" s="1146"/>
      <c r="BK63" s="1146"/>
      <c r="BL63" s="1146"/>
      <c r="BM63" s="1146"/>
      <c r="BN63" s="1146"/>
      <c r="BO63" s="1146"/>
      <c r="BP63" s="1146"/>
      <c r="BQ63" s="1146"/>
      <c r="BR63" s="1146"/>
      <c r="BS63" s="1146"/>
    </row>
    <row r="64" spans="1:71" s="1152" customFormat="1" ht="13.5" customHeight="1">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1121"/>
      <c r="AJ64" s="1146"/>
      <c r="AK64" s="1146"/>
      <c r="AL64" s="1146"/>
      <c r="AM64" s="1146"/>
      <c r="AN64" s="1146"/>
      <c r="AO64" s="1146"/>
      <c r="AP64" s="1146"/>
      <c r="AQ64" s="1146"/>
      <c r="AR64" s="1146"/>
      <c r="AS64" s="1146"/>
      <c r="AT64" s="1146"/>
      <c r="AU64" s="1146"/>
      <c r="AV64" s="1146"/>
      <c r="AW64" s="1146"/>
      <c r="AX64" s="1146"/>
      <c r="AY64" s="1146"/>
      <c r="AZ64" s="1146"/>
      <c r="BA64" s="1146"/>
      <c r="BB64" s="1146"/>
      <c r="BC64" s="1146"/>
      <c r="BD64" s="1146"/>
      <c r="BE64" s="1146"/>
      <c r="BF64" s="1146"/>
      <c r="BG64" s="1146"/>
      <c r="BH64" s="1146"/>
      <c r="BI64" s="1146"/>
      <c r="BJ64" s="1146"/>
      <c r="BK64" s="1146"/>
      <c r="BL64" s="1146"/>
      <c r="BM64" s="1146"/>
      <c r="BN64" s="1146"/>
      <c r="BO64" s="1146"/>
      <c r="BP64" s="1146"/>
      <c r="BQ64" s="1146"/>
      <c r="BR64" s="1146"/>
      <c r="BS64" s="1146"/>
    </row>
    <row r="65" spans="1:71" s="1152" customFormat="1" ht="13.5" customHeight="1">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1121"/>
      <c r="AJ65" s="1146"/>
      <c r="AK65" s="1146"/>
      <c r="AL65" s="1146"/>
      <c r="AM65" s="1146"/>
      <c r="AN65" s="1146"/>
      <c r="AO65" s="1146"/>
      <c r="AP65" s="1146"/>
      <c r="AQ65" s="1146"/>
      <c r="AR65" s="1146"/>
      <c r="AS65" s="1146"/>
      <c r="AT65" s="1146"/>
      <c r="AU65" s="1146"/>
      <c r="AV65" s="1146"/>
      <c r="AW65" s="1146"/>
      <c r="AX65" s="1146"/>
      <c r="AY65" s="1146"/>
      <c r="AZ65" s="1146"/>
      <c r="BA65" s="1146"/>
      <c r="BB65" s="1146"/>
      <c r="BC65" s="1146"/>
      <c r="BD65" s="1146"/>
      <c r="BE65" s="1146"/>
      <c r="BF65" s="1146"/>
      <c r="BG65" s="1146"/>
      <c r="BH65" s="1146"/>
      <c r="BI65" s="1146"/>
      <c r="BJ65" s="1146"/>
      <c r="BK65" s="1146"/>
      <c r="BL65" s="1146"/>
      <c r="BM65" s="1146"/>
      <c r="BN65" s="1146"/>
      <c r="BO65" s="1146"/>
      <c r="BP65" s="1146"/>
      <c r="BQ65" s="1146"/>
      <c r="BR65" s="1146"/>
      <c r="BS65" s="1146"/>
    </row>
    <row r="66" spans="1:71" s="1152" customFormat="1" ht="13.5" customHeight="1">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1121"/>
      <c r="AJ66" s="1146"/>
      <c r="AK66" s="1146"/>
      <c r="AL66" s="1146"/>
      <c r="AM66" s="1146"/>
      <c r="AN66" s="1146"/>
      <c r="AO66" s="1146"/>
      <c r="AP66" s="1146"/>
      <c r="AQ66" s="1146"/>
      <c r="AR66" s="1146"/>
      <c r="AS66" s="1146"/>
      <c r="AT66" s="1146"/>
      <c r="AU66" s="1146"/>
      <c r="AV66" s="1146"/>
      <c r="AW66" s="1146"/>
      <c r="AX66" s="1146"/>
      <c r="AY66" s="1146"/>
      <c r="AZ66" s="1146"/>
      <c r="BA66" s="1146"/>
      <c r="BB66" s="1146"/>
      <c r="BC66" s="1146"/>
      <c r="BD66" s="1146"/>
      <c r="BE66" s="1146"/>
      <c r="BF66" s="1146"/>
      <c r="BG66" s="1146"/>
      <c r="BH66" s="1146"/>
      <c r="BI66" s="1146"/>
      <c r="BJ66" s="1146"/>
      <c r="BK66" s="1146"/>
      <c r="BL66" s="1146"/>
      <c r="BM66" s="1146"/>
      <c r="BN66" s="1146"/>
      <c r="BO66" s="1146"/>
      <c r="BP66" s="1146"/>
      <c r="BQ66" s="1146"/>
      <c r="BR66" s="1146"/>
      <c r="BS66" s="1146"/>
    </row>
    <row r="67" spans="1:71" s="1152" customFormat="1" ht="13.5" customHeight="1">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1121"/>
      <c r="AJ67" s="1146"/>
      <c r="AK67" s="1146"/>
      <c r="AL67" s="1146"/>
      <c r="AM67" s="1146"/>
      <c r="AN67" s="1146"/>
      <c r="AO67" s="1146"/>
      <c r="AP67" s="1146"/>
      <c r="AQ67" s="1146"/>
      <c r="AR67" s="1146"/>
      <c r="AS67" s="1146"/>
      <c r="AT67" s="1146"/>
      <c r="AU67" s="1146"/>
      <c r="AV67" s="1146"/>
      <c r="AW67" s="1146"/>
      <c r="AX67" s="1146"/>
      <c r="AY67" s="1146"/>
      <c r="AZ67" s="1146"/>
      <c r="BA67" s="1146"/>
      <c r="BB67" s="1146"/>
      <c r="BC67" s="1146"/>
      <c r="BD67" s="1146"/>
      <c r="BE67" s="1146"/>
      <c r="BF67" s="1146"/>
      <c r="BG67" s="1146"/>
      <c r="BH67" s="1146"/>
      <c r="BI67" s="1146"/>
      <c r="BJ67" s="1146"/>
      <c r="BK67" s="1146"/>
      <c r="BL67" s="1146"/>
      <c r="BM67" s="1146"/>
      <c r="BN67" s="1146"/>
      <c r="BO67" s="1146"/>
      <c r="BP67" s="1146"/>
      <c r="BQ67" s="1146"/>
      <c r="BR67" s="1146"/>
      <c r="BS67" s="1146"/>
    </row>
    <row r="68" spans="1:71" s="1152" customFormat="1" ht="13.5" customHeight="1">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1121"/>
      <c r="AJ68" s="1146"/>
      <c r="AK68" s="1146"/>
      <c r="AL68" s="1146"/>
      <c r="AM68" s="1146"/>
      <c r="AN68" s="1146"/>
      <c r="AO68" s="1146"/>
      <c r="AP68" s="1146"/>
      <c r="AQ68" s="1146"/>
      <c r="AR68" s="1146"/>
      <c r="AS68" s="1146"/>
      <c r="AT68" s="1146"/>
      <c r="AU68" s="1146"/>
      <c r="AV68" s="1146"/>
      <c r="AW68" s="1146"/>
      <c r="AX68" s="1146"/>
      <c r="AY68" s="1146"/>
      <c r="AZ68" s="1146"/>
      <c r="BA68" s="1146"/>
      <c r="BB68" s="1146"/>
      <c r="BC68" s="1146"/>
      <c r="BD68" s="1146"/>
      <c r="BE68" s="1146"/>
      <c r="BF68" s="1146"/>
      <c r="BG68" s="1146"/>
      <c r="BH68" s="1146"/>
      <c r="BI68" s="1146"/>
      <c r="BJ68" s="1146"/>
      <c r="BK68" s="1146"/>
      <c r="BL68" s="1146"/>
      <c r="BM68" s="1146"/>
      <c r="BN68" s="1146"/>
      <c r="BO68" s="1146"/>
      <c r="BP68" s="1146"/>
      <c r="BQ68" s="1146"/>
      <c r="BR68" s="1146"/>
      <c r="BS68" s="1146"/>
    </row>
    <row r="69" spans="1:71" s="1152" customFormat="1" ht="13.5" customHeight="1">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1121"/>
      <c r="AJ69" s="1146"/>
      <c r="AK69" s="1146"/>
      <c r="AL69" s="1146"/>
      <c r="AM69" s="1146"/>
      <c r="AN69" s="1146"/>
      <c r="AO69" s="1146"/>
      <c r="AP69" s="1146"/>
      <c r="AQ69" s="1146"/>
      <c r="AR69" s="1146"/>
      <c r="AS69" s="1146"/>
      <c r="AT69" s="1146"/>
      <c r="AU69" s="1146"/>
      <c r="AV69" s="1146"/>
      <c r="AW69" s="1146"/>
      <c r="AX69" s="1146"/>
      <c r="AY69" s="1146"/>
      <c r="AZ69" s="1146"/>
      <c r="BA69" s="1146"/>
      <c r="BB69" s="1146"/>
      <c r="BC69" s="1146"/>
      <c r="BD69" s="1146"/>
      <c r="BE69" s="1146"/>
      <c r="BF69" s="1146"/>
      <c r="BG69" s="1146"/>
      <c r="BH69" s="1146"/>
      <c r="BI69" s="1146"/>
      <c r="BJ69" s="1146"/>
      <c r="BK69" s="1146"/>
      <c r="BL69" s="1146"/>
      <c r="BM69" s="1146"/>
      <c r="BN69" s="1146"/>
      <c r="BO69" s="1146"/>
      <c r="BP69" s="1146"/>
      <c r="BQ69" s="1146"/>
      <c r="BR69" s="1146"/>
      <c r="BS69" s="1146"/>
    </row>
  </sheetData>
  <sheetProtection algorithmName="SHA-512" hashValue="PlBve8XBqtiIoxTJiGTRcHT6rNx119tT6A5O+WgexZgmd1GkKTMARHkE+Fy26FP5eOJItdGN7xvhK6Pql91oWQ==" saltValue="rPdDCFttQQ/Qv3eKGH1FvA==" spinCount="100000" sheet="1" formatCells="0" formatColumns="0" formatRows="0"/>
  <mergeCells count="237">
    <mergeCell ref="AJ17:AJ18"/>
    <mergeCell ref="AJ19:AJ20"/>
    <mergeCell ref="AJ21:AJ22"/>
    <mergeCell ref="AJ23:AJ24"/>
    <mergeCell ref="AJ25:AJ26"/>
    <mergeCell ref="O43:T43"/>
    <mergeCell ref="A49:AI49"/>
    <mergeCell ref="A50:AI51"/>
    <mergeCell ref="X7:AG7"/>
    <mergeCell ref="U7:W7"/>
    <mergeCell ref="B43:G43"/>
    <mergeCell ref="B45:F45"/>
    <mergeCell ref="G45:AH45"/>
    <mergeCell ref="A46:AI46"/>
    <mergeCell ref="A47:AI47"/>
    <mergeCell ref="A48:AI48"/>
    <mergeCell ref="Q41:R41"/>
    <mergeCell ref="S41:T41"/>
    <mergeCell ref="U41:X41"/>
    <mergeCell ref="Y41:AB41"/>
    <mergeCell ref="AC41:AF41"/>
    <mergeCell ref="AG41:AI41"/>
    <mergeCell ref="Y40:AB40"/>
    <mergeCell ref="AC40:AF40"/>
    <mergeCell ref="AG40:AI40"/>
    <mergeCell ref="A41:B41"/>
    <mergeCell ref="C41:D41"/>
    <mergeCell ref="E41:F41"/>
    <mergeCell ref="G41:H41"/>
    <mergeCell ref="I41:L41"/>
    <mergeCell ref="M41:N41"/>
    <mergeCell ref="O41:P41"/>
    <mergeCell ref="AG39:AI39"/>
    <mergeCell ref="A40:B40"/>
    <mergeCell ref="C40:D40"/>
    <mergeCell ref="E40:F40"/>
    <mergeCell ref="G40:H40"/>
    <mergeCell ref="I40:L40"/>
    <mergeCell ref="M40:N40"/>
    <mergeCell ref="O40:P40"/>
    <mergeCell ref="Q40:R40"/>
    <mergeCell ref="U40:X40"/>
    <mergeCell ref="M39:N39"/>
    <mergeCell ref="O39:P39"/>
    <mergeCell ref="Q39:S39"/>
    <mergeCell ref="U39:X39"/>
    <mergeCell ref="Y39:AB39"/>
    <mergeCell ref="AC39:AF39"/>
    <mergeCell ref="AJ36:AM36"/>
    <mergeCell ref="A37:AI37"/>
    <mergeCell ref="A38:D38"/>
    <mergeCell ref="E38:H38"/>
    <mergeCell ref="I38:L39"/>
    <mergeCell ref="M38:AI38"/>
    <mergeCell ref="A39:B39"/>
    <mergeCell ref="C39:D39"/>
    <mergeCell ref="E39:F39"/>
    <mergeCell ref="G39:H39"/>
    <mergeCell ref="U35:X35"/>
    <mergeCell ref="Y35:AB35"/>
    <mergeCell ref="AC35:AF35"/>
    <mergeCell ref="AG35:AI35"/>
    <mergeCell ref="A36:H36"/>
    <mergeCell ref="U36:AI36"/>
    <mergeCell ref="I34:L34"/>
    <mergeCell ref="Q34:T34"/>
    <mergeCell ref="U34:V34"/>
    <mergeCell ref="A35:B35"/>
    <mergeCell ref="C35:D35"/>
    <mergeCell ref="E35:F35"/>
    <mergeCell ref="G35:H35"/>
    <mergeCell ref="I35:L35"/>
    <mergeCell ref="M35:P35"/>
    <mergeCell ref="Q35:T35"/>
    <mergeCell ref="Q33:T33"/>
    <mergeCell ref="U33:V33"/>
    <mergeCell ref="W33:X34"/>
    <mergeCell ref="Y33:AB34"/>
    <mergeCell ref="AC33:AF34"/>
    <mergeCell ref="AG33:AI34"/>
    <mergeCell ref="A33:B33"/>
    <mergeCell ref="C33:D33"/>
    <mergeCell ref="E33:F33"/>
    <mergeCell ref="G33:H33"/>
    <mergeCell ref="I33:L33"/>
    <mergeCell ref="M33:P34"/>
    <mergeCell ref="A34:B34"/>
    <mergeCell ref="C34:D34"/>
    <mergeCell ref="E34:F34"/>
    <mergeCell ref="G34:H34"/>
    <mergeCell ref="AC31:AF32"/>
    <mergeCell ref="AG31:AI32"/>
    <mergeCell ref="AS31:AV31"/>
    <mergeCell ref="U32:V32"/>
    <mergeCell ref="I30:L30"/>
    <mergeCell ref="Q30:T30"/>
    <mergeCell ref="U30:V30"/>
    <mergeCell ref="A31:B31"/>
    <mergeCell ref="C31:D31"/>
    <mergeCell ref="E31:F31"/>
    <mergeCell ref="G31:H31"/>
    <mergeCell ref="I31:L31"/>
    <mergeCell ref="M31:P32"/>
    <mergeCell ref="Q31:T31"/>
    <mergeCell ref="A32:B32"/>
    <mergeCell ref="C32:D32"/>
    <mergeCell ref="E32:F32"/>
    <mergeCell ref="G32:H32"/>
    <mergeCell ref="I32:L32"/>
    <mergeCell ref="Q32:T32"/>
    <mergeCell ref="U31:V31"/>
    <mergeCell ref="W31:X32"/>
    <mergeCell ref="Y31:AB32"/>
    <mergeCell ref="Q29:T29"/>
    <mergeCell ref="U29:V29"/>
    <mergeCell ref="W29:X30"/>
    <mergeCell ref="Y29:AB30"/>
    <mergeCell ref="AC29:AF30"/>
    <mergeCell ref="AG29:AI30"/>
    <mergeCell ref="A29:B29"/>
    <mergeCell ref="C29:D29"/>
    <mergeCell ref="E29:F29"/>
    <mergeCell ref="G29:H29"/>
    <mergeCell ref="I29:L29"/>
    <mergeCell ref="M29:P30"/>
    <mergeCell ref="A30:B30"/>
    <mergeCell ref="C30:D30"/>
    <mergeCell ref="E30:F30"/>
    <mergeCell ref="G30:H30"/>
    <mergeCell ref="A27:T27"/>
    <mergeCell ref="U27:AI27"/>
    <mergeCell ref="AJ27:AM27"/>
    <mergeCell ref="A28:P28"/>
    <mergeCell ref="Q28:AB28"/>
    <mergeCell ref="AC28:AF28"/>
    <mergeCell ref="AG28:AI28"/>
    <mergeCell ref="Q25:T25"/>
    <mergeCell ref="U25:X26"/>
    <mergeCell ref="Y25:AB26"/>
    <mergeCell ref="AC25:AF26"/>
    <mergeCell ref="AG25:AI26"/>
    <mergeCell ref="Q26:T26"/>
    <mergeCell ref="A25:B26"/>
    <mergeCell ref="C25:D26"/>
    <mergeCell ref="E25:F26"/>
    <mergeCell ref="G25:H26"/>
    <mergeCell ref="I25:L26"/>
    <mergeCell ref="M25:P26"/>
    <mergeCell ref="Q23:T23"/>
    <mergeCell ref="U23:X24"/>
    <mergeCell ref="Y23:AB24"/>
    <mergeCell ref="AC23:AF24"/>
    <mergeCell ref="AG23:AI24"/>
    <mergeCell ref="Q24:T24"/>
    <mergeCell ref="A23:B24"/>
    <mergeCell ref="C23:D24"/>
    <mergeCell ref="E23:F24"/>
    <mergeCell ref="G23:H24"/>
    <mergeCell ref="I23:L24"/>
    <mergeCell ref="M23:P24"/>
    <mergeCell ref="Q21:T21"/>
    <mergeCell ref="U21:X22"/>
    <mergeCell ref="Y21:AB22"/>
    <mergeCell ref="AC21:AF22"/>
    <mergeCell ref="AG21:AI22"/>
    <mergeCell ref="Q22:T22"/>
    <mergeCell ref="A21:B22"/>
    <mergeCell ref="C21:D22"/>
    <mergeCell ref="E21:F22"/>
    <mergeCell ref="G21:H22"/>
    <mergeCell ref="I21:L22"/>
    <mergeCell ref="M21:P22"/>
    <mergeCell ref="Q19:T19"/>
    <mergeCell ref="U19:X20"/>
    <mergeCell ref="Y19:AB20"/>
    <mergeCell ref="AC19:AF20"/>
    <mergeCell ref="AG19:AI20"/>
    <mergeCell ref="Q20:T20"/>
    <mergeCell ref="A19:B20"/>
    <mergeCell ref="C19:D20"/>
    <mergeCell ref="E19:F20"/>
    <mergeCell ref="G19:H20"/>
    <mergeCell ref="I19:L20"/>
    <mergeCell ref="M19:P20"/>
    <mergeCell ref="Q17:T17"/>
    <mergeCell ref="U17:X18"/>
    <mergeCell ref="Y17:AB18"/>
    <mergeCell ref="AC17:AF18"/>
    <mergeCell ref="AG17:AI18"/>
    <mergeCell ref="Q18:T18"/>
    <mergeCell ref="A16:P16"/>
    <mergeCell ref="Q16:AB16"/>
    <mergeCell ref="AC16:AF16"/>
    <mergeCell ref="AG16:AI16"/>
    <mergeCell ref="A17:B18"/>
    <mergeCell ref="C17:D18"/>
    <mergeCell ref="E17:F18"/>
    <mergeCell ref="G17:H18"/>
    <mergeCell ref="I17:L18"/>
    <mergeCell ref="M17:P18"/>
    <mergeCell ref="BQ2:BR2"/>
    <mergeCell ref="AS3:AT3"/>
    <mergeCell ref="BD3:BE3"/>
    <mergeCell ref="BQ3:BR3"/>
    <mergeCell ref="E4:T4"/>
    <mergeCell ref="U4:AI4"/>
    <mergeCell ref="A1:D5"/>
    <mergeCell ref="E1:AI3"/>
    <mergeCell ref="AM2:AP3"/>
    <mergeCell ref="AS2:AT2"/>
    <mergeCell ref="AV2:AY3"/>
    <mergeCell ref="BD2:BE2"/>
    <mergeCell ref="E5:AI5"/>
    <mergeCell ref="H43:M43"/>
    <mergeCell ref="Z8:AG8"/>
    <mergeCell ref="B11:E12"/>
    <mergeCell ref="F11:I12"/>
    <mergeCell ref="K11:N12"/>
    <mergeCell ref="O11:T12"/>
    <mergeCell ref="V11:AB12"/>
    <mergeCell ref="AC11:AH12"/>
    <mergeCell ref="BG2:BL3"/>
    <mergeCell ref="Y14:AB15"/>
    <mergeCell ref="AC14:AF14"/>
    <mergeCell ref="AG14:AI14"/>
    <mergeCell ref="A15:B15"/>
    <mergeCell ref="C15:D15"/>
    <mergeCell ref="E15:F15"/>
    <mergeCell ref="G15:H15"/>
    <mergeCell ref="AC15:AF15"/>
    <mergeCell ref="AG15:AI15"/>
    <mergeCell ref="A14:D14"/>
    <mergeCell ref="E14:H14"/>
    <mergeCell ref="I14:L15"/>
    <mergeCell ref="M14:P15"/>
    <mergeCell ref="Q14:T15"/>
    <mergeCell ref="U14:X15"/>
  </mergeCells>
  <dataValidations count="3">
    <dataValidation type="list" allowBlank="1" showInputMessage="1" showErrorMessage="1" sqref="F11:I12">
      <formula1>$AQ$2:$AQ$3</formula1>
    </dataValidation>
    <dataValidation type="list" allowBlank="1" showInputMessage="1" showErrorMessage="1" sqref="O11:T12">
      <formula1>$AZ$2:$AZ$3</formula1>
    </dataValidation>
    <dataValidation type="list" allowBlank="1" showInputMessage="1" showErrorMessage="1" sqref="AC11:AH12">
      <formula1>$BM$2:$BM$4</formula1>
    </dataValidation>
  </dataValidations>
  <printOptions horizontalCentered="1"/>
  <pageMargins left="0.59055118110236227" right="0.19685039370078741" top="0" bottom="0" header="0" footer="0.19685039370078741"/>
  <pageSetup orientation="portrait" copies="2"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ignoredErrors>
    <ignoredError sqref="AJ36" unlockedFormula="1"/>
  </ignoredError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54"/>
  <sheetViews>
    <sheetView showGridLines="0" view="pageBreakPreview" topLeftCell="A28" zoomScaleSheetLayoutView="100" workbookViewId="0">
      <selection activeCell="AA40" sqref="AA40"/>
    </sheetView>
  </sheetViews>
  <sheetFormatPr baseColWidth="10" defaultColWidth="2.7109375" defaultRowHeight="12.95" customHeight="1"/>
  <cols>
    <col min="1" max="6" width="2.7109375" style="1354" customWidth="1"/>
    <col min="7" max="8" width="2" style="1354" customWidth="1"/>
    <col min="9" max="9" width="2.7109375" style="1354" customWidth="1"/>
    <col min="10" max="10" width="1.85546875" style="1354" customWidth="1"/>
    <col min="11" max="11" width="2.7109375" style="1354" customWidth="1"/>
    <col min="12" max="12" width="2.28515625" style="1354" customWidth="1"/>
    <col min="13" max="13" width="2.5703125" style="1354" customWidth="1"/>
    <col min="14" max="28" width="2.7109375" style="1354" customWidth="1"/>
    <col min="29" max="29" width="5.28515625" style="1354" customWidth="1"/>
    <col min="30" max="35" width="2.7109375" style="1354" customWidth="1"/>
    <col min="36" max="36" width="12.85546875" style="1354" customWidth="1"/>
    <col min="37" max="255" width="2.7109375" style="1354"/>
    <col min="256" max="291" width="2.7109375" style="1354" customWidth="1"/>
    <col min="292" max="511" width="2.7109375" style="1354"/>
    <col min="512" max="547" width="2.7109375" style="1354" customWidth="1"/>
    <col min="548" max="767" width="2.7109375" style="1354"/>
    <col min="768" max="803" width="2.7109375" style="1354" customWidth="1"/>
    <col min="804" max="1023" width="2.7109375" style="1354"/>
    <col min="1024" max="1059" width="2.7109375" style="1354" customWidth="1"/>
    <col min="1060" max="1279" width="2.7109375" style="1354"/>
    <col min="1280" max="1315" width="2.7109375" style="1354" customWidth="1"/>
    <col min="1316" max="1535" width="2.7109375" style="1354"/>
    <col min="1536" max="1571" width="2.7109375" style="1354" customWidth="1"/>
    <col min="1572" max="1791" width="2.7109375" style="1354"/>
    <col min="1792" max="1827" width="2.7109375" style="1354" customWidth="1"/>
    <col min="1828" max="2047" width="2.7109375" style="1354"/>
    <col min="2048" max="2083" width="2.7109375" style="1354" customWidth="1"/>
    <col min="2084" max="2303" width="2.7109375" style="1354"/>
    <col min="2304" max="2339" width="2.7109375" style="1354" customWidth="1"/>
    <col min="2340" max="2559" width="2.7109375" style="1354"/>
    <col min="2560" max="2595" width="2.7109375" style="1354" customWidth="1"/>
    <col min="2596" max="2815" width="2.7109375" style="1354"/>
    <col min="2816" max="2851" width="2.7109375" style="1354" customWidth="1"/>
    <col min="2852" max="3071" width="2.7109375" style="1354"/>
    <col min="3072" max="3107" width="2.7109375" style="1354" customWidth="1"/>
    <col min="3108" max="3327" width="2.7109375" style="1354"/>
    <col min="3328" max="3363" width="2.7109375" style="1354" customWidth="1"/>
    <col min="3364" max="3583" width="2.7109375" style="1354"/>
    <col min="3584" max="3619" width="2.7109375" style="1354" customWidth="1"/>
    <col min="3620" max="3839" width="2.7109375" style="1354"/>
    <col min="3840" max="3875" width="2.7109375" style="1354" customWidth="1"/>
    <col min="3876" max="4095" width="2.7109375" style="1354"/>
    <col min="4096" max="4131" width="2.7109375" style="1354" customWidth="1"/>
    <col min="4132" max="4351" width="2.7109375" style="1354"/>
    <col min="4352" max="4387" width="2.7109375" style="1354" customWidth="1"/>
    <col min="4388" max="4607" width="2.7109375" style="1354"/>
    <col min="4608" max="4643" width="2.7109375" style="1354" customWidth="1"/>
    <col min="4644" max="4863" width="2.7109375" style="1354"/>
    <col min="4864" max="4899" width="2.7109375" style="1354" customWidth="1"/>
    <col min="4900" max="5119" width="2.7109375" style="1354"/>
    <col min="5120" max="5155" width="2.7109375" style="1354" customWidth="1"/>
    <col min="5156" max="5375" width="2.7109375" style="1354"/>
    <col min="5376" max="5411" width="2.7109375" style="1354" customWidth="1"/>
    <col min="5412" max="5631" width="2.7109375" style="1354"/>
    <col min="5632" max="5667" width="2.7109375" style="1354" customWidth="1"/>
    <col min="5668" max="5887" width="2.7109375" style="1354"/>
    <col min="5888" max="5923" width="2.7109375" style="1354" customWidth="1"/>
    <col min="5924" max="6143" width="2.7109375" style="1354"/>
    <col min="6144" max="6179" width="2.7109375" style="1354" customWidth="1"/>
    <col min="6180" max="6399" width="2.7109375" style="1354"/>
    <col min="6400" max="6435" width="2.7109375" style="1354" customWidth="1"/>
    <col min="6436" max="6655" width="2.7109375" style="1354"/>
    <col min="6656" max="6691" width="2.7109375" style="1354" customWidth="1"/>
    <col min="6692" max="6911" width="2.7109375" style="1354"/>
    <col min="6912" max="6947" width="2.7109375" style="1354" customWidth="1"/>
    <col min="6948" max="7167" width="2.7109375" style="1354"/>
    <col min="7168" max="7203" width="2.7109375" style="1354" customWidth="1"/>
    <col min="7204" max="7423" width="2.7109375" style="1354"/>
    <col min="7424" max="7459" width="2.7109375" style="1354" customWidth="1"/>
    <col min="7460" max="7679" width="2.7109375" style="1354"/>
    <col min="7680" max="7715" width="2.7109375" style="1354" customWidth="1"/>
    <col min="7716" max="7935" width="2.7109375" style="1354"/>
    <col min="7936" max="7971" width="2.7109375" style="1354" customWidth="1"/>
    <col min="7972" max="8191" width="2.7109375" style="1354"/>
    <col min="8192" max="8227" width="2.7109375" style="1354" customWidth="1"/>
    <col min="8228" max="8447" width="2.7109375" style="1354"/>
    <col min="8448" max="8483" width="2.7109375" style="1354" customWidth="1"/>
    <col min="8484" max="8703" width="2.7109375" style="1354"/>
    <col min="8704" max="8739" width="2.7109375" style="1354" customWidth="1"/>
    <col min="8740" max="8959" width="2.7109375" style="1354"/>
    <col min="8960" max="8995" width="2.7109375" style="1354" customWidth="1"/>
    <col min="8996" max="9215" width="2.7109375" style="1354"/>
    <col min="9216" max="9251" width="2.7109375" style="1354" customWidth="1"/>
    <col min="9252" max="9471" width="2.7109375" style="1354"/>
    <col min="9472" max="9507" width="2.7109375" style="1354" customWidth="1"/>
    <col min="9508" max="9727" width="2.7109375" style="1354"/>
    <col min="9728" max="9763" width="2.7109375" style="1354" customWidth="1"/>
    <col min="9764" max="9983" width="2.7109375" style="1354"/>
    <col min="9984" max="10019" width="2.7109375" style="1354" customWidth="1"/>
    <col min="10020" max="10239" width="2.7109375" style="1354"/>
    <col min="10240" max="10275" width="2.7109375" style="1354" customWidth="1"/>
    <col min="10276" max="10495" width="2.7109375" style="1354"/>
    <col min="10496" max="10531" width="2.7109375" style="1354" customWidth="1"/>
    <col min="10532" max="10751" width="2.7109375" style="1354"/>
    <col min="10752" max="10787" width="2.7109375" style="1354" customWidth="1"/>
    <col min="10788" max="11007" width="2.7109375" style="1354"/>
    <col min="11008" max="11043" width="2.7109375" style="1354" customWidth="1"/>
    <col min="11044" max="11263" width="2.7109375" style="1354"/>
    <col min="11264" max="11299" width="2.7109375" style="1354" customWidth="1"/>
    <col min="11300" max="11519" width="2.7109375" style="1354"/>
    <col min="11520" max="11555" width="2.7109375" style="1354" customWidth="1"/>
    <col min="11556" max="11775" width="2.7109375" style="1354"/>
    <col min="11776" max="11811" width="2.7109375" style="1354" customWidth="1"/>
    <col min="11812" max="12031" width="2.7109375" style="1354"/>
    <col min="12032" max="12067" width="2.7109375" style="1354" customWidth="1"/>
    <col min="12068" max="12287" width="2.7109375" style="1354"/>
    <col min="12288" max="12323" width="2.7109375" style="1354" customWidth="1"/>
    <col min="12324" max="12543" width="2.7109375" style="1354"/>
    <col min="12544" max="12579" width="2.7109375" style="1354" customWidth="1"/>
    <col min="12580" max="12799" width="2.7109375" style="1354"/>
    <col min="12800" max="12835" width="2.7109375" style="1354" customWidth="1"/>
    <col min="12836" max="13055" width="2.7109375" style="1354"/>
    <col min="13056" max="13091" width="2.7109375" style="1354" customWidth="1"/>
    <col min="13092" max="13311" width="2.7109375" style="1354"/>
    <col min="13312" max="13347" width="2.7109375" style="1354" customWidth="1"/>
    <col min="13348" max="13567" width="2.7109375" style="1354"/>
    <col min="13568" max="13603" width="2.7109375" style="1354" customWidth="1"/>
    <col min="13604" max="13823" width="2.7109375" style="1354"/>
    <col min="13824" max="13859" width="2.7109375" style="1354" customWidth="1"/>
    <col min="13860" max="14079" width="2.7109375" style="1354"/>
    <col min="14080" max="14115" width="2.7109375" style="1354" customWidth="1"/>
    <col min="14116" max="14335" width="2.7109375" style="1354"/>
    <col min="14336" max="14371" width="2.7109375" style="1354" customWidth="1"/>
    <col min="14372" max="14591" width="2.7109375" style="1354"/>
    <col min="14592" max="14627" width="2.7109375" style="1354" customWidth="1"/>
    <col min="14628" max="14847" width="2.7109375" style="1354"/>
    <col min="14848" max="14883" width="2.7109375" style="1354" customWidth="1"/>
    <col min="14884" max="15103" width="2.7109375" style="1354"/>
    <col min="15104" max="15139" width="2.7109375" style="1354" customWidth="1"/>
    <col min="15140" max="15359" width="2.7109375" style="1354"/>
    <col min="15360" max="15395" width="2.7109375" style="1354" customWidth="1"/>
    <col min="15396" max="15615" width="2.7109375" style="1354"/>
    <col min="15616" max="15651" width="2.7109375" style="1354" customWidth="1"/>
    <col min="15652" max="15871" width="2.7109375" style="1354"/>
    <col min="15872" max="15907" width="2.7109375" style="1354" customWidth="1"/>
    <col min="15908" max="16127" width="2.7109375" style="1354"/>
    <col min="16128" max="16163" width="2.7109375" style="1354" customWidth="1"/>
    <col min="16164" max="16384" width="2.7109375" style="1354"/>
  </cols>
  <sheetData>
    <row r="1" spans="1:36" ht="15" customHeight="1">
      <c r="A1" s="3343"/>
      <c r="B1" s="3344"/>
      <c r="C1" s="3344"/>
      <c r="D1" s="3344"/>
      <c r="E1" s="3345"/>
      <c r="F1" s="3352" t="s">
        <v>706</v>
      </c>
      <c r="G1" s="3352"/>
      <c r="H1" s="3352"/>
      <c r="I1" s="3352"/>
      <c r="J1" s="3352"/>
      <c r="K1" s="3352"/>
      <c r="L1" s="3352"/>
      <c r="M1" s="3352"/>
      <c r="N1" s="3352"/>
      <c r="O1" s="3352"/>
      <c r="P1" s="3352"/>
      <c r="Q1" s="3352"/>
      <c r="R1" s="3352"/>
      <c r="S1" s="3352"/>
      <c r="T1" s="3352"/>
      <c r="U1" s="3352"/>
      <c r="V1" s="3352"/>
      <c r="W1" s="3352"/>
      <c r="X1" s="3352"/>
      <c r="Y1" s="3352"/>
      <c r="Z1" s="3352"/>
      <c r="AA1" s="3352"/>
      <c r="AB1" s="3352"/>
      <c r="AC1" s="3352"/>
      <c r="AD1" s="3352"/>
      <c r="AE1" s="3352"/>
      <c r="AF1" s="3352"/>
      <c r="AG1" s="3352"/>
      <c r="AH1" s="3352"/>
      <c r="AI1" s="3352"/>
    </row>
    <row r="2" spans="1:36" ht="15" customHeight="1">
      <c r="A2" s="3346"/>
      <c r="B2" s="3347"/>
      <c r="C2" s="3347"/>
      <c r="D2" s="3347"/>
      <c r="E2" s="3348"/>
      <c r="F2" s="3352"/>
      <c r="G2" s="3352"/>
      <c r="H2" s="3352"/>
      <c r="I2" s="3352"/>
      <c r="J2" s="3352"/>
      <c r="K2" s="3352"/>
      <c r="L2" s="3352"/>
      <c r="M2" s="3352"/>
      <c r="N2" s="3352"/>
      <c r="O2" s="3352"/>
      <c r="P2" s="3352"/>
      <c r="Q2" s="3352"/>
      <c r="R2" s="3352"/>
      <c r="S2" s="3352"/>
      <c r="T2" s="3352"/>
      <c r="U2" s="3352"/>
      <c r="V2" s="3352"/>
      <c r="W2" s="3352"/>
      <c r="X2" s="3352"/>
      <c r="Y2" s="3352"/>
      <c r="Z2" s="3352"/>
      <c r="AA2" s="3352"/>
      <c r="AB2" s="3352"/>
      <c r="AC2" s="3352"/>
      <c r="AD2" s="3352"/>
      <c r="AE2" s="3352"/>
      <c r="AF2" s="3352"/>
      <c r="AG2" s="3352"/>
      <c r="AH2" s="3352"/>
      <c r="AI2" s="3352"/>
    </row>
    <row r="3" spans="1:36" ht="15" customHeight="1">
      <c r="A3" s="3346"/>
      <c r="B3" s="3347"/>
      <c r="C3" s="3347"/>
      <c r="D3" s="3347"/>
      <c r="E3" s="3348"/>
      <c r="F3" s="3352"/>
      <c r="G3" s="3352"/>
      <c r="H3" s="3352"/>
      <c r="I3" s="3352"/>
      <c r="J3" s="3352"/>
      <c r="K3" s="3352"/>
      <c r="L3" s="3352"/>
      <c r="M3" s="3352"/>
      <c r="N3" s="3352"/>
      <c r="O3" s="3352"/>
      <c r="P3" s="3352"/>
      <c r="Q3" s="3352"/>
      <c r="R3" s="3352"/>
      <c r="S3" s="3352"/>
      <c r="T3" s="3352"/>
      <c r="U3" s="3352"/>
      <c r="V3" s="3352"/>
      <c r="W3" s="3352"/>
      <c r="X3" s="3352"/>
      <c r="Y3" s="3352"/>
      <c r="Z3" s="3352"/>
      <c r="AA3" s="3352"/>
      <c r="AB3" s="3352"/>
      <c r="AC3" s="3352"/>
      <c r="AD3" s="3352"/>
      <c r="AE3" s="3352"/>
      <c r="AF3" s="3352"/>
      <c r="AG3" s="3352"/>
      <c r="AH3" s="3352"/>
      <c r="AI3" s="3352"/>
    </row>
    <row r="4" spans="1:36" ht="15" customHeight="1">
      <c r="A4" s="3346"/>
      <c r="B4" s="3347"/>
      <c r="C4" s="3347"/>
      <c r="D4" s="3347"/>
      <c r="E4" s="3348"/>
      <c r="F4" s="2472" t="s">
        <v>707</v>
      </c>
      <c r="G4" s="2472"/>
      <c r="H4" s="2472"/>
      <c r="I4" s="2472"/>
      <c r="J4" s="2472"/>
      <c r="K4" s="2472"/>
      <c r="L4" s="2472"/>
      <c r="M4" s="2472"/>
      <c r="N4" s="2472"/>
      <c r="O4" s="2472"/>
      <c r="P4" s="2472"/>
      <c r="Q4" s="2472"/>
      <c r="R4" s="2472"/>
      <c r="S4" s="2472"/>
      <c r="T4" s="2472"/>
      <c r="U4" s="2472"/>
      <c r="V4" s="2472"/>
      <c r="W4" s="2472"/>
      <c r="X4" s="2472"/>
      <c r="Y4" s="2472"/>
      <c r="Z4" s="2472"/>
      <c r="AA4" s="2472"/>
      <c r="AB4" s="2472"/>
      <c r="AC4" s="2472" t="s">
        <v>498</v>
      </c>
      <c r="AD4" s="2472"/>
      <c r="AE4" s="2472"/>
      <c r="AF4" s="2472"/>
      <c r="AG4" s="2472"/>
      <c r="AH4" s="2472"/>
      <c r="AI4" s="2472"/>
    </row>
    <row r="5" spans="1:36" ht="15" customHeight="1">
      <c r="A5" s="3349"/>
      <c r="B5" s="3350"/>
      <c r="C5" s="3350"/>
      <c r="D5" s="3350"/>
      <c r="E5" s="3351"/>
      <c r="F5" s="2473" t="s">
        <v>648</v>
      </c>
      <c r="G5" s="2473"/>
      <c r="H5" s="2473"/>
      <c r="I5" s="2473"/>
      <c r="J5" s="2473"/>
      <c r="K5" s="2473"/>
      <c r="L5" s="2473"/>
      <c r="M5" s="2473"/>
      <c r="N5" s="2473"/>
      <c r="O5" s="2473"/>
      <c r="P5" s="2473"/>
      <c r="Q5" s="2473"/>
      <c r="R5" s="2473"/>
      <c r="S5" s="2473"/>
      <c r="T5" s="2473"/>
      <c r="U5" s="2473"/>
      <c r="V5" s="2473"/>
      <c r="W5" s="2473"/>
      <c r="X5" s="2473"/>
      <c r="Y5" s="2473"/>
      <c r="Z5" s="2473"/>
      <c r="AA5" s="2473"/>
      <c r="AB5" s="2473"/>
      <c r="AC5" s="2473"/>
      <c r="AD5" s="2473"/>
      <c r="AE5" s="2473"/>
      <c r="AF5" s="2473"/>
      <c r="AG5" s="2473"/>
      <c r="AH5" s="2473"/>
      <c r="AI5" s="2473"/>
    </row>
    <row r="6" spans="1:36" ht="15" customHeight="1">
      <c r="A6" s="808"/>
      <c r="B6" s="809"/>
      <c r="C6" s="809"/>
      <c r="D6" s="809"/>
      <c r="E6" s="1355"/>
      <c r="F6" s="1355"/>
      <c r="G6" s="1355"/>
      <c r="H6" s="1355"/>
      <c r="I6" s="1355"/>
      <c r="J6" s="1355"/>
      <c r="K6" s="1355"/>
      <c r="L6" s="1355"/>
      <c r="M6" s="1355"/>
      <c r="N6" s="1355"/>
      <c r="O6" s="1355"/>
      <c r="P6" s="1355"/>
      <c r="Q6" s="1355"/>
      <c r="R6" s="1355"/>
      <c r="S6" s="1355"/>
      <c r="T6" s="1355"/>
      <c r="U6" s="1355"/>
      <c r="V6" s="1355"/>
      <c r="W6" s="1355"/>
      <c r="X6" s="1355"/>
      <c r="Y6" s="875"/>
      <c r="Z6" s="875"/>
      <c r="AA6" s="875"/>
      <c r="AB6" s="875"/>
      <c r="AC6" s="875"/>
      <c r="AD6" s="1356"/>
      <c r="AE6" s="812"/>
      <c r="AF6" s="812"/>
      <c r="AG6" s="812"/>
      <c r="AH6" s="812"/>
      <c r="AI6" s="813"/>
      <c r="AJ6" s="392" t="s">
        <v>314</v>
      </c>
    </row>
    <row r="7" spans="1:36" s="1358" customFormat="1" ht="15" customHeight="1">
      <c r="A7" s="443"/>
      <c r="B7" s="444"/>
      <c r="C7" s="444"/>
      <c r="D7" s="444"/>
      <c r="E7" s="1357"/>
      <c r="F7" s="1357"/>
      <c r="G7" s="1357"/>
      <c r="H7" s="1357"/>
      <c r="I7" s="1357"/>
      <c r="J7" s="1357"/>
      <c r="K7" s="1357"/>
      <c r="L7" s="1357"/>
      <c r="M7" s="1357"/>
      <c r="N7" s="1357"/>
      <c r="O7" s="1357"/>
      <c r="P7" s="1357"/>
      <c r="Q7" s="1357"/>
      <c r="R7" s="1357"/>
      <c r="S7" s="1357"/>
      <c r="T7" s="1357"/>
      <c r="U7" s="1357"/>
      <c r="V7" s="1357"/>
      <c r="W7" s="1357"/>
      <c r="X7" s="1357"/>
      <c r="Y7" s="2503" t="s">
        <v>9</v>
      </c>
      <c r="Z7" s="2503"/>
      <c r="AA7" s="2503"/>
      <c r="AB7" s="2195" t="str">
        <f>IF('1. Encabezado'!T7="","",'1. Encabezado'!T7)</f>
        <v/>
      </c>
      <c r="AC7" s="2195"/>
      <c r="AD7" s="2195"/>
      <c r="AE7" s="2195"/>
      <c r="AF7" s="2195"/>
      <c r="AG7" s="2195"/>
      <c r="AH7" s="2195"/>
      <c r="AI7" s="772"/>
      <c r="AJ7" s="393" t="s">
        <v>315</v>
      </c>
    </row>
    <row r="8" spans="1:36" s="1358" customFormat="1" ht="15" customHeight="1">
      <c r="A8" s="443"/>
      <c r="B8" s="444"/>
      <c r="C8" s="444"/>
      <c r="D8" s="444"/>
      <c r="E8" s="1359"/>
      <c r="F8" s="1359"/>
      <c r="G8" s="1359"/>
      <c r="H8" s="1359"/>
      <c r="I8" s="1359"/>
      <c r="J8" s="1359"/>
      <c r="K8" s="1359"/>
      <c r="L8" s="1359"/>
      <c r="M8" s="1359"/>
      <c r="N8" s="1359"/>
      <c r="O8" s="1129"/>
      <c r="P8" s="1129"/>
      <c r="Q8" s="1129"/>
      <c r="R8" s="1129"/>
      <c r="S8" s="1359"/>
      <c r="T8" s="1359"/>
      <c r="U8" s="1359"/>
      <c r="V8" s="1359"/>
      <c r="W8" s="1359"/>
      <c r="X8" s="1359"/>
      <c r="Y8" s="683"/>
      <c r="Z8" s="683"/>
      <c r="AA8" s="450"/>
      <c r="AB8" s="2222" t="str">
        <f>IF(AB7="",AJ11,CONCATENATE(AJ7," ",AJ8," ",AJ9," ", AJ10))</f>
        <v>Pagina xx de xx</v>
      </c>
      <c r="AC8" s="2222"/>
      <c r="AD8" s="2222"/>
      <c r="AE8" s="2222"/>
      <c r="AF8" s="2222"/>
      <c r="AG8" s="2222"/>
      <c r="AH8" s="2222"/>
      <c r="AI8" s="818"/>
      <c r="AJ8" s="653">
        <v>13</v>
      </c>
    </row>
    <row r="9" spans="1:36" s="1358" customFormat="1" ht="15" customHeight="1">
      <c r="A9" s="443"/>
      <c r="B9" s="444"/>
      <c r="C9" s="444"/>
      <c r="D9" s="444"/>
      <c r="E9" s="1359"/>
      <c r="F9" s="1359"/>
      <c r="G9" s="1359"/>
      <c r="H9" s="1359"/>
      <c r="I9" s="1359"/>
      <c r="J9" s="1359"/>
      <c r="K9" s="1359"/>
      <c r="L9" s="1359"/>
      <c r="M9" s="1359"/>
      <c r="N9" s="1359"/>
      <c r="O9" s="811"/>
      <c r="P9" s="811"/>
      <c r="Q9" s="811"/>
      <c r="R9" s="811"/>
      <c r="S9" s="1359"/>
      <c r="T9" s="1359"/>
      <c r="U9" s="1359"/>
      <c r="V9" s="1359"/>
      <c r="W9" s="1359"/>
      <c r="X9" s="1359"/>
      <c r="Y9" s="811"/>
      <c r="Z9" s="811"/>
      <c r="AA9" s="811"/>
      <c r="AB9" s="811"/>
      <c r="AC9" s="811"/>
      <c r="AD9" s="817"/>
      <c r="AE9" s="817"/>
      <c r="AF9" s="817"/>
      <c r="AG9" s="817"/>
      <c r="AH9" s="817"/>
      <c r="AI9" s="818"/>
      <c r="AJ9" s="394" t="s">
        <v>316</v>
      </c>
    </row>
    <row r="10" spans="1:36" ht="15" customHeight="1">
      <c r="A10" s="443"/>
      <c r="B10" s="444"/>
      <c r="C10" s="444"/>
      <c r="D10" s="444"/>
      <c r="E10" s="1360"/>
      <c r="F10" s="1360"/>
      <c r="G10" s="1360"/>
      <c r="H10" s="1360"/>
      <c r="I10" s="1360"/>
      <c r="J10" s="1360"/>
      <c r="K10" s="1360"/>
      <c r="L10" s="1360"/>
      <c r="M10" s="1360"/>
      <c r="N10" s="1360"/>
      <c r="O10" s="1360"/>
      <c r="P10" s="1360"/>
      <c r="Q10" s="1360"/>
      <c r="R10" s="1360"/>
      <c r="S10" s="1360"/>
      <c r="T10" s="1360"/>
      <c r="U10" s="1360"/>
      <c r="V10" s="1360"/>
      <c r="W10" s="1360"/>
      <c r="X10" s="1360"/>
      <c r="Y10" s="1361"/>
      <c r="Z10" s="1361"/>
      <c r="AA10" s="1361"/>
      <c r="AB10" s="1361"/>
      <c r="AC10" s="1361"/>
      <c r="AD10" s="817"/>
      <c r="AE10" s="817"/>
      <c r="AF10" s="817"/>
      <c r="AG10" s="817"/>
      <c r="AH10" s="817"/>
      <c r="AI10" s="818"/>
      <c r="AJ10" s="394" t="str">
        <f>IF(AB7="","",'1. Encabezado'!AB10)</f>
        <v/>
      </c>
    </row>
    <row r="11" spans="1:36" ht="15" customHeight="1">
      <c r="A11" s="3312" t="s">
        <v>708</v>
      </c>
      <c r="B11" s="3313"/>
      <c r="C11" s="3313"/>
      <c r="D11" s="3313"/>
      <c r="E11" s="3313"/>
      <c r="F11" s="3313"/>
      <c r="G11" s="3313"/>
      <c r="H11" s="3313"/>
      <c r="I11" s="3313"/>
      <c r="J11" s="3313"/>
      <c r="K11" s="3313"/>
      <c r="L11" s="3313"/>
      <c r="M11" s="3313"/>
      <c r="N11" s="3313"/>
      <c r="O11" s="3313"/>
      <c r="P11" s="3313"/>
      <c r="Q11" s="3313"/>
      <c r="R11" s="3313"/>
      <c r="S11" s="3313"/>
      <c r="T11" s="3313"/>
      <c r="U11" s="3313"/>
      <c r="V11" s="3313"/>
      <c r="W11" s="3313"/>
      <c r="X11" s="3313"/>
      <c r="Y11" s="3313"/>
      <c r="Z11" s="3313"/>
      <c r="AA11" s="3313"/>
      <c r="AB11" s="3313"/>
      <c r="AC11" s="3313"/>
      <c r="AD11" s="3313"/>
      <c r="AE11" s="3313"/>
      <c r="AF11" s="3313"/>
      <c r="AG11" s="3313"/>
      <c r="AH11" s="3313"/>
      <c r="AI11" s="3314"/>
      <c r="AJ11" s="395" t="s">
        <v>317</v>
      </c>
    </row>
    <row r="12" spans="1:36" ht="15" customHeight="1">
      <c r="A12" s="1362"/>
      <c r="B12" s="1363"/>
      <c r="C12" s="1363"/>
      <c r="D12" s="1363"/>
      <c r="E12" s="1363"/>
      <c r="F12" s="1363"/>
      <c r="G12" s="1363"/>
      <c r="H12" s="1363"/>
      <c r="I12" s="1363"/>
      <c r="J12" s="1363"/>
      <c r="K12" s="1363"/>
      <c r="L12" s="1363"/>
      <c r="M12" s="1363"/>
      <c r="N12" s="1363"/>
      <c r="O12" s="1363"/>
      <c r="P12" s="1363"/>
      <c r="Q12" s="1363"/>
      <c r="R12" s="1363"/>
      <c r="S12" s="1363"/>
      <c r="T12" s="1363"/>
      <c r="U12" s="1363"/>
      <c r="V12" s="1363"/>
      <c r="W12" s="1363"/>
      <c r="X12" s="1363"/>
      <c r="Y12" s="1363"/>
      <c r="Z12" s="1363"/>
      <c r="AA12" s="1363"/>
      <c r="AB12" s="1363"/>
      <c r="AC12" s="1363"/>
      <c r="AD12" s="1363"/>
      <c r="AE12" s="1363"/>
      <c r="AF12" s="1363"/>
      <c r="AG12" s="1363"/>
      <c r="AH12" s="1363"/>
      <c r="AI12" s="1364"/>
    </row>
    <row r="13" spans="1:36" s="1368" customFormat="1" ht="15" customHeight="1">
      <c r="A13" s="3337" t="s">
        <v>709</v>
      </c>
      <c r="B13" s="3338"/>
      <c r="C13" s="3338"/>
      <c r="D13" s="3338"/>
      <c r="E13" s="3338"/>
      <c r="F13" s="3338"/>
      <c r="G13" s="3338"/>
      <c r="H13" s="3338"/>
      <c r="I13" s="3338"/>
      <c r="J13" s="3338"/>
      <c r="K13" s="3338"/>
      <c r="L13" s="3338"/>
      <c r="M13" s="3338"/>
      <c r="N13" s="3338"/>
      <c r="O13" s="3338"/>
      <c r="P13" s="3338"/>
      <c r="Q13" s="3338"/>
      <c r="R13" s="3338"/>
      <c r="S13" s="3338"/>
      <c r="T13" s="3338"/>
      <c r="U13" s="1365"/>
      <c r="V13" s="1365"/>
      <c r="W13" s="1365" t="s">
        <v>92</v>
      </c>
      <c r="X13" s="1365"/>
      <c r="Y13" s="1365"/>
      <c r="Z13" s="3339"/>
      <c r="AA13" s="3339"/>
      <c r="AB13" s="3339"/>
      <c r="AC13" s="3339"/>
      <c r="AD13" s="1365"/>
      <c r="AE13" s="1366" t="s">
        <v>58</v>
      </c>
      <c r="AF13" s="1366"/>
      <c r="AG13" s="1366"/>
      <c r="AH13" s="1366"/>
      <c r="AI13" s="1367"/>
    </row>
    <row r="14" spans="1:36" s="1368" customFormat="1" ht="15" customHeight="1">
      <c r="A14" s="3337" t="s">
        <v>710</v>
      </c>
      <c r="B14" s="3338"/>
      <c r="C14" s="3338"/>
      <c r="D14" s="3338"/>
      <c r="E14" s="3338"/>
      <c r="F14" s="3338"/>
      <c r="G14" s="3338"/>
      <c r="H14" s="3338"/>
      <c r="I14" s="3338"/>
      <c r="J14" s="3338"/>
      <c r="K14" s="3338"/>
      <c r="L14" s="3338"/>
      <c r="M14" s="3338"/>
      <c r="N14" s="3338"/>
      <c r="O14" s="3338"/>
      <c r="P14" s="3338"/>
      <c r="Q14" s="3338"/>
      <c r="R14" s="3338"/>
      <c r="S14" s="3338"/>
      <c r="T14" s="3338"/>
      <c r="U14" s="1365"/>
      <c r="V14" s="1365"/>
      <c r="W14" s="1365" t="s">
        <v>92</v>
      </c>
      <c r="X14" s="1365"/>
      <c r="Y14" s="1365"/>
      <c r="Z14" s="3339"/>
      <c r="AA14" s="3339"/>
      <c r="AB14" s="3339"/>
      <c r="AC14" s="3339"/>
      <c r="AD14" s="1365"/>
      <c r="AE14" s="1366" t="s">
        <v>58</v>
      </c>
      <c r="AF14" s="1366"/>
      <c r="AG14" s="1369"/>
      <c r="AH14" s="1369"/>
      <c r="AI14" s="1370"/>
      <c r="AJ14" s="1368" t="s">
        <v>711</v>
      </c>
    </row>
    <row r="15" spans="1:36" s="1368" customFormat="1" ht="15" customHeight="1">
      <c r="A15" s="3337" t="s">
        <v>712</v>
      </c>
      <c r="B15" s="3338"/>
      <c r="C15" s="3338"/>
      <c r="D15" s="3338"/>
      <c r="E15" s="3338"/>
      <c r="F15" s="3338"/>
      <c r="G15" s="3338"/>
      <c r="H15" s="3338"/>
      <c r="I15" s="3338"/>
      <c r="J15" s="3338"/>
      <c r="K15" s="3338"/>
      <c r="L15" s="3338"/>
      <c r="M15" s="3338"/>
      <c r="N15" s="3338"/>
      <c r="O15" s="3338"/>
      <c r="P15" s="3338"/>
      <c r="Q15" s="3338"/>
      <c r="R15" s="3338"/>
      <c r="S15" s="3338"/>
      <c r="T15" s="3338"/>
      <c r="U15" s="1365"/>
      <c r="V15" s="1365"/>
      <c r="W15" s="1365" t="s">
        <v>92</v>
      </c>
      <c r="X15" s="1365"/>
      <c r="Y15" s="1365"/>
      <c r="Z15" s="3339"/>
      <c r="AA15" s="3339"/>
      <c r="AB15" s="3339"/>
      <c r="AC15" s="3339"/>
      <c r="AD15" s="1365"/>
      <c r="AE15" s="1366" t="s">
        <v>58</v>
      </c>
      <c r="AF15" s="1366"/>
      <c r="AG15" s="1369"/>
      <c r="AH15" s="1369"/>
      <c r="AI15" s="1370"/>
      <c r="AJ15" s="1368" t="s">
        <v>713</v>
      </c>
    </row>
    <row r="16" spans="1:36" s="1368" customFormat="1" ht="15" customHeight="1">
      <c r="A16" s="3337" t="s">
        <v>714</v>
      </c>
      <c r="B16" s="3338"/>
      <c r="C16" s="3338"/>
      <c r="D16" s="3338"/>
      <c r="E16" s="3338"/>
      <c r="F16" s="3338"/>
      <c r="G16" s="3338"/>
      <c r="H16" s="3338"/>
      <c r="I16" s="3338"/>
      <c r="J16" s="3338"/>
      <c r="K16" s="3338"/>
      <c r="L16" s="3338"/>
      <c r="M16" s="3338"/>
      <c r="N16" s="3338"/>
      <c r="O16" s="3338"/>
      <c r="P16" s="3338"/>
      <c r="Q16" s="3338"/>
      <c r="R16" s="3338"/>
      <c r="S16" s="3338"/>
      <c r="T16" s="3338"/>
      <c r="U16" s="1365"/>
      <c r="V16" s="1365"/>
      <c r="W16" s="1365" t="s">
        <v>92</v>
      </c>
      <c r="X16" s="1365"/>
      <c r="Y16" s="1365"/>
      <c r="Z16" s="3339"/>
      <c r="AA16" s="3339"/>
      <c r="AB16" s="3339"/>
      <c r="AC16" s="3339"/>
      <c r="AD16" s="1365"/>
      <c r="AE16" s="1366" t="s">
        <v>58</v>
      </c>
      <c r="AF16" s="1366"/>
      <c r="AG16" s="1369"/>
      <c r="AH16" s="1369"/>
      <c r="AI16" s="1370"/>
    </row>
    <row r="17" spans="1:35" ht="15" customHeight="1">
      <c r="A17" s="1371" t="s">
        <v>715</v>
      </c>
      <c r="B17" s="1369"/>
      <c r="C17" s="1369"/>
      <c r="D17" s="1369"/>
      <c r="E17" s="1369"/>
      <c r="F17" s="1369"/>
      <c r="G17" s="1369"/>
      <c r="H17" s="1369"/>
      <c r="I17" s="1369"/>
      <c r="J17" s="1369"/>
      <c r="K17" s="1369"/>
      <c r="L17" s="1369"/>
      <c r="M17" s="1369"/>
      <c r="N17" s="1369"/>
      <c r="O17" s="1369"/>
      <c r="P17" s="1369"/>
      <c r="Q17" s="1369"/>
      <c r="R17" s="1369"/>
      <c r="S17" s="1369"/>
      <c r="T17" s="1369"/>
      <c r="U17" s="1372"/>
      <c r="V17" s="1372"/>
      <c r="W17" s="1365" t="s">
        <v>92</v>
      </c>
      <c r="X17" s="1372"/>
      <c r="Y17" s="1372"/>
      <c r="Z17" s="3339"/>
      <c r="AA17" s="3339"/>
      <c r="AB17" s="3339"/>
      <c r="AC17" s="3339"/>
      <c r="AD17" s="1372"/>
      <c r="AE17" s="1369"/>
      <c r="AF17" s="1369"/>
      <c r="AG17" s="1369"/>
      <c r="AH17" s="1369"/>
      <c r="AI17" s="1370"/>
    </row>
    <row r="18" spans="1:35" s="1383" customFormat="1" ht="15" customHeight="1">
      <c r="A18" s="1373"/>
      <c r="B18" s="1374"/>
      <c r="C18" s="1375"/>
      <c r="D18" s="1376"/>
      <c r="E18" s="1375"/>
      <c r="F18" s="1376"/>
      <c r="G18" s="1375"/>
      <c r="H18" s="1376"/>
      <c r="I18" s="1375"/>
      <c r="J18" s="1375"/>
      <c r="K18" s="1375"/>
      <c r="L18" s="1375"/>
      <c r="M18" s="1375"/>
      <c r="N18" s="1375"/>
      <c r="O18" s="1375"/>
      <c r="P18" s="1377"/>
      <c r="Q18" s="1377"/>
      <c r="R18" s="1377"/>
      <c r="S18" s="1378"/>
      <c r="T18" s="1377"/>
      <c r="U18" s="1379"/>
      <c r="V18" s="1379"/>
      <c r="W18" s="1380"/>
      <c r="X18" s="1380"/>
      <c r="Y18" s="1379"/>
      <c r="Z18" s="1381"/>
      <c r="AA18" s="1381"/>
      <c r="AB18" s="1381"/>
      <c r="AC18" s="1381"/>
      <c r="AD18" s="1380"/>
      <c r="AE18" s="1375"/>
      <c r="AF18" s="1375"/>
      <c r="AG18" s="1377"/>
      <c r="AH18" s="1377"/>
      <c r="AI18" s="1382"/>
    </row>
    <row r="19" spans="1:35" s="1368" customFormat="1" ht="15" customHeight="1">
      <c r="A19" s="3312" t="s">
        <v>716</v>
      </c>
      <c r="B19" s="3313"/>
      <c r="C19" s="3313"/>
      <c r="D19" s="3313"/>
      <c r="E19" s="3313"/>
      <c r="F19" s="3313"/>
      <c r="G19" s="3313"/>
      <c r="H19" s="3313"/>
      <c r="I19" s="3313"/>
      <c r="J19" s="3313"/>
      <c r="K19" s="3313"/>
      <c r="L19" s="3313"/>
      <c r="M19" s="3313"/>
      <c r="N19" s="3313"/>
      <c r="O19" s="3313"/>
      <c r="P19" s="3313"/>
      <c r="Q19" s="3313"/>
      <c r="R19" s="3313"/>
      <c r="S19" s="3313"/>
      <c r="T19" s="3313"/>
      <c r="U19" s="3313"/>
      <c r="V19" s="3313"/>
      <c r="W19" s="3313"/>
      <c r="X19" s="3313"/>
      <c r="Y19" s="3313"/>
      <c r="Z19" s="3313"/>
      <c r="AA19" s="3313"/>
      <c r="AB19" s="3313"/>
      <c r="AC19" s="3313"/>
      <c r="AD19" s="3313"/>
      <c r="AE19" s="3313"/>
      <c r="AF19" s="3313"/>
      <c r="AG19" s="3313"/>
      <c r="AH19" s="3313"/>
      <c r="AI19" s="3314"/>
    </row>
    <row r="20" spans="1:35" s="1368" customFormat="1" ht="15" customHeight="1">
      <c r="A20" s="1384"/>
      <c r="B20" s="1385"/>
      <c r="C20" s="1386"/>
      <c r="D20" s="1386"/>
      <c r="E20" s="1386"/>
      <c r="F20" s="1386"/>
      <c r="G20" s="1386"/>
      <c r="H20" s="1386"/>
      <c r="I20" s="1386"/>
      <c r="J20" s="1386"/>
      <c r="K20" s="1386"/>
      <c r="L20" s="1386"/>
      <c r="M20" s="1386"/>
      <c r="N20" s="1386"/>
      <c r="O20" s="1386"/>
      <c r="P20" s="1387"/>
      <c r="Q20" s="1387"/>
      <c r="R20" s="1387"/>
      <c r="S20" s="1387"/>
      <c r="T20" s="1387"/>
      <c r="U20" s="1386"/>
      <c r="V20" s="1386"/>
      <c r="W20" s="1386"/>
      <c r="X20" s="1386"/>
      <c r="Y20" s="1386"/>
      <c r="Z20" s="1386"/>
      <c r="AA20" s="1386"/>
      <c r="AB20" s="1386"/>
      <c r="AC20" s="1386"/>
      <c r="AD20" s="1386"/>
      <c r="AE20" s="1386"/>
      <c r="AF20" s="1386"/>
      <c r="AG20" s="1386"/>
      <c r="AH20" s="1386"/>
      <c r="AI20" s="1388"/>
    </row>
    <row r="21" spans="1:35" s="1368" customFormat="1" ht="15" customHeight="1">
      <c r="A21" s="1384"/>
      <c r="B21" s="1387"/>
      <c r="C21" s="1389"/>
      <c r="D21" s="1389"/>
      <c r="E21" s="3315" t="s">
        <v>717</v>
      </c>
      <c r="F21" s="3315"/>
      <c r="G21" s="3315"/>
      <c r="H21" s="3315"/>
      <c r="I21" s="3315"/>
      <c r="J21" s="3315"/>
      <c r="K21" s="3315"/>
      <c r="L21" s="3315"/>
      <c r="M21" s="1390"/>
      <c r="N21" s="3331" t="str">
        <f>+IF(Z13="","",Z13/(Z16+Z14-Z15))</f>
        <v/>
      </c>
      <c r="O21" s="3332"/>
      <c r="P21" s="3333"/>
      <c r="Q21" s="1387"/>
      <c r="R21" s="1385"/>
      <c r="S21" s="1385"/>
      <c r="T21" s="3315" t="s">
        <v>718</v>
      </c>
      <c r="U21" s="3315"/>
      <c r="V21" s="3315"/>
      <c r="W21" s="3315"/>
      <c r="X21" s="3315"/>
      <c r="Y21" s="3315"/>
      <c r="Z21" s="3315"/>
      <c r="AA21" s="3315"/>
      <c r="AB21" s="1387"/>
      <c r="AC21" s="3331" t="str">
        <f>+IF(Z14="","",Z14/(Z16+Z14-Z15))</f>
        <v/>
      </c>
      <c r="AD21" s="3340"/>
      <c r="AE21" s="1387"/>
      <c r="AF21" s="3322"/>
      <c r="AG21" s="3322"/>
      <c r="AH21" s="3322"/>
      <c r="AI21" s="1391"/>
    </row>
    <row r="22" spans="1:35" s="1368" customFormat="1" ht="15" customHeight="1">
      <c r="A22" s="1384"/>
      <c r="B22" s="1387"/>
      <c r="C22" s="1389"/>
      <c r="D22" s="1389"/>
      <c r="E22" s="3315"/>
      <c r="F22" s="3315"/>
      <c r="G22" s="3315"/>
      <c r="H22" s="3315"/>
      <c r="I22" s="3315"/>
      <c r="J22" s="3315"/>
      <c r="K22" s="3315"/>
      <c r="L22" s="3315"/>
      <c r="M22" s="1390"/>
      <c r="N22" s="3334"/>
      <c r="O22" s="3335"/>
      <c r="P22" s="3336"/>
      <c r="Q22" s="1392"/>
      <c r="R22" s="1385"/>
      <c r="S22" s="1385"/>
      <c r="T22" s="3315"/>
      <c r="U22" s="3315"/>
      <c r="V22" s="3315"/>
      <c r="W22" s="3315"/>
      <c r="X22" s="3315"/>
      <c r="Y22" s="3315"/>
      <c r="Z22" s="3315"/>
      <c r="AA22" s="3315"/>
      <c r="AB22" s="1387"/>
      <c r="AC22" s="3341"/>
      <c r="AD22" s="3342"/>
      <c r="AE22" s="1392"/>
      <c r="AF22" s="3322"/>
      <c r="AG22" s="3322"/>
      <c r="AH22" s="3322"/>
      <c r="AI22" s="1391"/>
    </row>
    <row r="23" spans="1:35" s="1368" customFormat="1" ht="15" customHeight="1">
      <c r="A23" s="1384"/>
      <c r="B23" s="1387"/>
      <c r="C23" s="1393"/>
      <c r="D23" s="1393"/>
      <c r="E23" s="1393"/>
      <c r="F23" s="1393"/>
      <c r="G23" s="1393"/>
      <c r="H23" s="1393"/>
      <c r="I23" s="1393"/>
      <c r="J23" s="1394"/>
      <c r="K23" s="1394"/>
      <c r="L23" s="1394"/>
      <c r="M23" s="1394"/>
      <c r="N23" s="1395"/>
      <c r="O23" s="1395"/>
      <c r="P23" s="1395"/>
      <c r="Q23" s="1387"/>
      <c r="R23" s="1385"/>
      <c r="S23" s="1385"/>
      <c r="T23" s="1387"/>
      <c r="U23" s="1396"/>
      <c r="V23" s="1396"/>
      <c r="W23" s="1396"/>
      <c r="X23" s="1396"/>
      <c r="Y23" s="1396"/>
      <c r="Z23" s="1396"/>
      <c r="AA23" s="1396"/>
      <c r="AB23" s="1397"/>
      <c r="AC23" s="1398"/>
      <c r="AD23" s="1398"/>
      <c r="AE23" s="1398"/>
      <c r="AF23" s="1399"/>
      <c r="AG23" s="1399"/>
      <c r="AH23" s="1399"/>
      <c r="AI23" s="1391"/>
    </row>
    <row r="24" spans="1:35" s="1368" customFormat="1" ht="15" customHeight="1">
      <c r="A24" s="1384"/>
      <c r="B24" s="1387"/>
      <c r="C24" s="1387"/>
      <c r="D24" s="1387"/>
      <c r="E24" s="1387"/>
      <c r="F24" s="1387"/>
      <c r="G24" s="1387"/>
      <c r="H24" s="1387"/>
      <c r="I24" s="1387"/>
      <c r="J24" s="3330" t="s">
        <v>719</v>
      </c>
      <c r="K24" s="3330"/>
      <c r="L24" s="3330"/>
      <c r="M24" s="3330"/>
      <c r="N24" s="3330"/>
      <c r="O24" s="3330"/>
      <c r="P24" s="3330"/>
      <c r="Q24" s="3330"/>
      <c r="R24" s="3330"/>
      <c r="S24" s="3330"/>
      <c r="T24" s="1400"/>
      <c r="U24" s="3331" t="str">
        <f>+IF(Z13="","",Z13/(Z16+Z13-Z15))</f>
        <v/>
      </c>
      <c r="V24" s="3332"/>
      <c r="W24" s="3333"/>
      <c r="X24" s="1396"/>
      <c r="Y24" s="1396"/>
      <c r="Z24" s="1396"/>
      <c r="AA24" s="1396"/>
      <c r="AB24" s="1397"/>
      <c r="AC24" s="1398"/>
      <c r="AD24" s="1398"/>
      <c r="AE24" s="1398"/>
      <c r="AF24" s="1399"/>
      <c r="AG24" s="1399"/>
      <c r="AH24" s="1399"/>
      <c r="AI24" s="1391"/>
    </row>
    <row r="25" spans="1:35" s="1368" customFormat="1" ht="15" customHeight="1">
      <c r="A25" s="1384"/>
      <c r="B25" s="1387"/>
      <c r="C25" s="1387"/>
      <c r="D25" s="1387"/>
      <c r="E25" s="1387"/>
      <c r="F25" s="1387"/>
      <c r="G25" s="1387"/>
      <c r="H25" s="1387"/>
      <c r="I25" s="1387"/>
      <c r="J25" s="3330"/>
      <c r="K25" s="3330"/>
      <c r="L25" s="3330"/>
      <c r="M25" s="3330"/>
      <c r="N25" s="3330"/>
      <c r="O25" s="3330"/>
      <c r="P25" s="3330"/>
      <c r="Q25" s="3330"/>
      <c r="R25" s="3330"/>
      <c r="S25" s="3330"/>
      <c r="T25" s="1400"/>
      <c r="U25" s="3334"/>
      <c r="V25" s="3335"/>
      <c r="W25" s="3336"/>
      <c r="X25" s="1396"/>
      <c r="Y25" s="1396"/>
      <c r="Z25" s="1396"/>
      <c r="AA25" s="1396"/>
      <c r="AB25" s="1397"/>
      <c r="AC25" s="1398"/>
      <c r="AD25" s="1398"/>
      <c r="AE25" s="1398"/>
      <c r="AF25" s="1399"/>
      <c r="AG25" s="1399"/>
      <c r="AH25" s="1399"/>
      <c r="AI25" s="1391"/>
    </row>
    <row r="26" spans="1:35" s="1402" customFormat="1" ht="15" customHeight="1">
      <c r="A26" s="1384"/>
      <c r="B26" s="1387"/>
      <c r="C26" s="1387"/>
      <c r="D26" s="1387"/>
      <c r="E26" s="1387"/>
      <c r="F26" s="1387"/>
      <c r="G26" s="1387"/>
      <c r="H26" s="1387"/>
      <c r="I26" s="1387"/>
      <c r="J26" s="1393"/>
      <c r="K26" s="1393"/>
      <c r="L26" s="1393"/>
      <c r="M26" s="1393"/>
      <c r="N26" s="1393"/>
      <c r="O26" s="1393"/>
      <c r="P26" s="1393"/>
      <c r="Q26" s="1401"/>
      <c r="R26" s="1401"/>
      <c r="S26" s="1401"/>
      <c r="T26" s="1401"/>
      <c r="U26" s="1395"/>
      <c r="V26" s="1395"/>
      <c r="W26" s="1395"/>
      <c r="X26" s="1396"/>
      <c r="Y26" s="1396"/>
      <c r="Z26" s="1396"/>
      <c r="AA26" s="1396"/>
      <c r="AB26" s="1397"/>
      <c r="AC26" s="1398"/>
      <c r="AD26" s="1398"/>
      <c r="AE26" s="1398"/>
      <c r="AF26" s="1399"/>
      <c r="AG26" s="1399"/>
      <c r="AH26" s="1399"/>
      <c r="AI26" s="1391"/>
    </row>
    <row r="27" spans="1:35" s="1368" customFormat="1" ht="15" customHeight="1">
      <c r="A27" s="3312" t="s">
        <v>720</v>
      </c>
      <c r="B27" s="3313"/>
      <c r="C27" s="3313"/>
      <c r="D27" s="3313"/>
      <c r="E27" s="3313"/>
      <c r="F27" s="3313"/>
      <c r="G27" s="3313"/>
      <c r="H27" s="3313"/>
      <c r="I27" s="3313"/>
      <c r="J27" s="3313"/>
      <c r="K27" s="3313"/>
      <c r="L27" s="3313"/>
      <c r="M27" s="3313"/>
      <c r="N27" s="3313"/>
      <c r="O27" s="3313"/>
      <c r="P27" s="3313"/>
      <c r="Q27" s="3313"/>
      <c r="R27" s="3313"/>
      <c r="S27" s="3313"/>
      <c r="T27" s="3313"/>
      <c r="U27" s="3313"/>
      <c r="V27" s="3313"/>
      <c r="W27" s="3313"/>
      <c r="X27" s="3313"/>
      <c r="Y27" s="3313"/>
      <c r="Z27" s="3313"/>
      <c r="AA27" s="3313"/>
      <c r="AB27" s="3313"/>
      <c r="AC27" s="3313"/>
      <c r="AD27" s="3313"/>
      <c r="AE27" s="3313"/>
      <c r="AF27" s="3313"/>
      <c r="AG27" s="3313"/>
      <c r="AH27" s="3313"/>
      <c r="AI27" s="3314"/>
    </row>
    <row r="28" spans="1:35" s="1368" customFormat="1" ht="15" customHeight="1">
      <c r="A28" s="1384"/>
      <c r="B28" s="1385"/>
      <c r="C28" s="1386"/>
      <c r="D28" s="1386"/>
      <c r="E28" s="1386"/>
      <c r="F28" s="1386"/>
      <c r="G28" s="1386"/>
      <c r="H28" s="1386"/>
      <c r="I28" s="1386"/>
      <c r="J28" s="1386"/>
      <c r="K28" s="1386"/>
      <c r="L28" s="1386"/>
      <c r="M28" s="1386"/>
      <c r="N28" s="1386"/>
      <c r="O28" s="1386"/>
      <c r="P28" s="1387"/>
      <c r="Q28" s="1387"/>
      <c r="R28" s="1387"/>
      <c r="S28" s="1387"/>
      <c r="T28" s="1387"/>
      <c r="U28" s="1386"/>
      <c r="V28" s="1386"/>
      <c r="W28" s="1386"/>
      <c r="X28" s="1386"/>
      <c r="Y28" s="1386"/>
      <c r="Z28" s="1386"/>
      <c r="AA28" s="1386"/>
      <c r="AB28" s="1386"/>
      <c r="AC28" s="1386"/>
      <c r="AD28" s="1386"/>
      <c r="AE28" s="1386"/>
      <c r="AF28" s="1386"/>
      <c r="AG28" s="1386"/>
      <c r="AH28" s="1386"/>
      <c r="AI28" s="1388"/>
    </row>
    <row r="29" spans="1:35" s="1368" customFormat="1" ht="15" customHeight="1">
      <c r="A29" s="1384"/>
      <c r="B29" s="1387"/>
      <c r="C29" s="1389"/>
      <c r="D29" s="1389"/>
      <c r="E29" s="3315" t="s">
        <v>721</v>
      </c>
      <c r="F29" s="3315"/>
      <c r="G29" s="3315"/>
      <c r="H29" s="3315"/>
      <c r="I29" s="3315"/>
      <c r="J29" s="3315"/>
      <c r="K29" s="3315"/>
      <c r="L29" s="3315"/>
      <c r="M29" s="1403"/>
      <c r="N29" s="3316" t="str">
        <f>IF(Z13="","",ROUND(997.5*Z13/(Z16+Z14-Z15),0.1))</f>
        <v/>
      </c>
      <c r="O29" s="3317"/>
      <c r="P29" s="3318"/>
      <c r="Q29" s="1387"/>
      <c r="R29" s="1385"/>
      <c r="S29" s="1385"/>
      <c r="T29" s="3315" t="s">
        <v>722</v>
      </c>
      <c r="U29" s="3315"/>
      <c r="V29" s="3315"/>
      <c r="W29" s="3315"/>
      <c r="X29" s="3315"/>
      <c r="Y29" s="3315"/>
      <c r="Z29" s="3315"/>
      <c r="AA29" s="3315"/>
      <c r="AB29" s="1403"/>
      <c r="AC29" s="3316" t="str">
        <f>IF(Z14="","",997.5*Z14/(Z16+Z14-Z15))</f>
        <v/>
      </c>
      <c r="AD29" s="3318"/>
      <c r="AE29" s="1387"/>
      <c r="AF29" s="3322"/>
      <c r="AG29" s="3322"/>
      <c r="AH29" s="3322"/>
      <c r="AI29" s="1391"/>
    </row>
    <row r="30" spans="1:35" s="1368" customFormat="1" ht="15" customHeight="1">
      <c r="A30" s="1384"/>
      <c r="B30" s="1387"/>
      <c r="C30" s="1389"/>
      <c r="D30" s="1389"/>
      <c r="E30" s="3315"/>
      <c r="F30" s="3315"/>
      <c r="G30" s="3315"/>
      <c r="H30" s="3315"/>
      <c r="I30" s="3315"/>
      <c r="J30" s="3315"/>
      <c r="K30" s="3315"/>
      <c r="L30" s="3315"/>
      <c r="M30" s="1403"/>
      <c r="N30" s="3319"/>
      <c r="O30" s="3320"/>
      <c r="P30" s="3321"/>
      <c r="Q30" s="1392"/>
      <c r="R30" s="1385"/>
      <c r="S30" s="1385"/>
      <c r="T30" s="3315"/>
      <c r="U30" s="3315"/>
      <c r="V30" s="3315"/>
      <c r="W30" s="3315"/>
      <c r="X30" s="3315"/>
      <c r="Y30" s="3315"/>
      <c r="Z30" s="3315"/>
      <c r="AA30" s="3315"/>
      <c r="AB30" s="1403"/>
      <c r="AC30" s="3319"/>
      <c r="AD30" s="3321"/>
      <c r="AE30" s="1392"/>
      <c r="AF30" s="3322"/>
      <c r="AG30" s="3322"/>
      <c r="AH30" s="3322"/>
      <c r="AI30" s="1391"/>
    </row>
    <row r="31" spans="1:35" s="1368" customFormat="1" ht="15" customHeight="1">
      <c r="A31" s="1384"/>
      <c r="B31" s="1387"/>
      <c r="C31" s="1393"/>
      <c r="D31" s="1393"/>
      <c r="E31" s="1393"/>
      <c r="F31" s="1393"/>
      <c r="G31" s="1393"/>
      <c r="H31" s="1393"/>
      <c r="I31" s="1393"/>
      <c r="J31" s="1394"/>
      <c r="K31" s="1394"/>
      <c r="L31" s="1394"/>
      <c r="M31" s="1394"/>
      <c r="N31" s="1395"/>
      <c r="O31" s="1395"/>
      <c r="P31" s="1395"/>
      <c r="Q31" s="1387"/>
      <c r="R31" s="1385"/>
      <c r="S31" s="1385"/>
      <c r="T31" s="1387"/>
      <c r="U31" s="1396"/>
      <c r="V31" s="1396"/>
      <c r="W31" s="1396"/>
      <c r="X31" s="1396"/>
      <c r="Y31" s="1396"/>
      <c r="Z31" s="1396"/>
      <c r="AA31" s="1396"/>
      <c r="AB31" s="1397"/>
      <c r="AC31" s="1398"/>
      <c r="AD31" s="1398"/>
      <c r="AE31" s="1398"/>
      <c r="AF31" s="1399"/>
      <c r="AG31" s="1399"/>
      <c r="AH31" s="1399"/>
      <c r="AI31" s="1391"/>
    </row>
    <row r="32" spans="1:35" s="1368" customFormat="1" ht="15" customHeight="1">
      <c r="A32" s="1384"/>
      <c r="B32" s="1387"/>
      <c r="C32" s="1387"/>
      <c r="D32" s="1387"/>
      <c r="E32" s="1387"/>
      <c r="F32" s="1387"/>
      <c r="G32" s="1387"/>
      <c r="H32" s="1387"/>
      <c r="I32" s="1387"/>
      <c r="J32" s="1389"/>
      <c r="K32" s="1389"/>
      <c r="L32" s="3323" t="s">
        <v>723</v>
      </c>
      <c r="M32" s="3323"/>
      <c r="N32" s="3323"/>
      <c r="O32" s="3323"/>
      <c r="P32" s="3323"/>
      <c r="Q32" s="3323"/>
      <c r="R32" s="3323"/>
      <c r="S32" s="3323"/>
      <c r="T32" s="1404"/>
      <c r="U32" s="3316" t="str">
        <f>IF(Z13="","",997.5*Z13/(Z16+Z13-Z15))</f>
        <v/>
      </c>
      <c r="V32" s="3317"/>
      <c r="W32" s="3318"/>
      <c r="X32" s="1396"/>
      <c r="Y32" s="1396"/>
      <c r="Z32" s="1396"/>
      <c r="AA32" s="1396"/>
      <c r="AB32" s="1397"/>
      <c r="AC32" s="1398"/>
      <c r="AD32" s="1398"/>
      <c r="AE32" s="1398"/>
      <c r="AF32" s="1399"/>
      <c r="AG32" s="1399"/>
      <c r="AH32" s="1399"/>
      <c r="AI32" s="1391"/>
    </row>
    <row r="33" spans="1:35" s="1368" customFormat="1" ht="15" customHeight="1">
      <c r="A33" s="1384"/>
      <c r="B33" s="1387"/>
      <c r="C33" s="1387"/>
      <c r="D33" s="1387"/>
      <c r="E33" s="1387"/>
      <c r="F33" s="1387"/>
      <c r="G33" s="1387"/>
      <c r="H33" s="1387"/>
      <c r="I33" s="1387"/>
      <c r="J33" s="1389"/>
      <c r="K33" s="1389"/>
      <c r="L33" s="3323"/>
      <c r="M33" s="3323"/>
      <c r="N33" s="3323"/>
      <c r="O33" s="3323"/>
      <c r="P33" s="3323"/>
      <c r="Q33" s="3323"/>
      <c r="R33" s="3323"/>
      <c r="S33" s="3323"/>
      <c r="T33" s="1404"/>
      <c r="U33" s="3319"/>
      <c r="V33" s="3320"/>
      <c r="W33" s="3321"/>
      <c r="X33" s="1396"/>
      <c r="Y33" s="1396"/>
      <c r="Z33" s="1396"/>
      <c r="AA33" s="1396"/>
      <c r="AB33" s="1397"/>
      <c r="AC33" s="1398"/>
      <c r="AD33" s="1398"/>
      <c r="AE33" s="1398"/>
      <c r="AF33" s="1399"/>
      <c r="AG33" s="1399"/>
      <c r="AH33" s="1399"/>
      <c r="AI33" s="1391"/>
    </row>
    <row r="34" spans="1:35" s="1402" customFormat="1" ht="15" customHeight="1">
      <c r="A34" s="1405"/>
      <c r="B34" s="1406"/>
      <c r="C34" s="1407"/>
      <c r="D34" s="1407"/>
      <c r="E34" s="1407"/>
      <c r="F34" s="1407"/>
      <c r="G34" s="1407"/>
      <c r="H34" s="1407"/>
      <c r="I34" s="1407"/>
      <c r="J34" s="1408"/>
      <c r="K34" s="1408"/>
      <c r="L34" s="1408"/>
      <c r="M34" s="1408"/>
      <c r="N34" s="1409"/>
      <c r="O34" s="1409"/>
      <c r="P34" s="1409"/>
      <c r="Q34" s="1406"/>
      <c r="R34" s="1410"/>
      <c r="S34" s="1410"/>
      <c r="T34" s="1406"/>
      <c r="U34" s="1411"/>
      <c r="V34" s="1411"/>
      <c r="W34" s="1411"/>
      <c r="X34" s="1411"/>
      <c r="Y34" s="1411"/>
      <c r="Z34" s="1411"/>
      <c r="AA34" s="1411"/>
      <c r="AB34" s="1412"/>
      <c r="AC34" s="1413"/>
      <c r="AD34" s="1413"/>
      <c r="AE34" s="1413"/>
      <c r="AF34" s="1414"/>
      <c r="AG34" s="1414"/>
      <c r="AH34" s="1414"/>
      <c r="AI34" s="1415"/>
    </row>
    <row r="35" spans="1:35" s="1368" customFormat="1" ht="15" customHeight="1">
      <c r="A35" s="3312" t="s">
        <v>724</v>
      </c>
      <c r="B35" s="3313"/>
      <c r="C35" s="3313"/>
      <c r="D35" s="3313"/>
      <c r="E35" s="3313"/>
      <c r="F35" s="3313"/>
      <c r="G35" s="3313"/>
      <c r="H35" s="3313"/>
      <c r="I35" s="3313"/>
      <c r="J35" s="3313"/>
      <c r="K35" s="3313"/>
      <c r="L35" s="3313"/>
      <c r="M35" s="3313"/>
      <c r="N35" s="3313"/>
      <c r="O35" s="3313"/>
      <c r="P35" s="3313"/>
      <c r="Q35" s="3313"/>
      <c r="R35" s="3313"/>
      <c r="S35" s="3313"/>
      <c r="T35" s="3313"/>
      <c r="U35" s="3313"/>
      <c r="V35" s="3313"/>
      <c r="W35" s="3313"/>
      <c r="X35" s="3313"/>
      <c r="Y35" s="3313"/>
      <c r="Z35" s="3313"/>
      <c r="AA35" s="3313"/>
      <c r="AB35" s="3313"/>
      <c r="AC35" s="3313"/>
      <c r="AD35" s="3313"/>
      <c r="AE35" s="3313"/>
      <c r="AF35" s="3313"/>
      <c r="AG35" s="3313"/>
      <c r="AH35" s="3313"/>
      <c r="AI35" s="3314"/>
    </row>
    <row r="36" spans="1:35" s="1368" customFormat="1" ht="15" customHeight="1">
      <c r="A36" s="1384"/>
      <c r="B36" s="1387"/>
      <c r="C36" s="1393"/>
      <c r="D36" s="1393"/>
      <c r="E36" s="1393"/>
      <c r="F36" s="1393"/>
      <c r="G36" s="1393"/>
      <c r="H36" s="1393"/>
      <c r="I36" s="1393"/>
      <c r="J36" s="1394"/>
      <c r="K36" s="1394"/>
      <c r="L36" s="1394"/>
      <c r="M36" s="1394"/>
      <c r="N36" s="1395"/>
      <c r="O36" s="1395"/>
      <c r="P36" s="1395"/>
      <c r="Q36" s="1387"/>
      <c r="R36" s="1385"/>
      <c r="S36" s="1385"/>
      <c r="T36" s="1387"/>
      <c r="U36" s="1396"/>
      <c r="V36" s="1396"/>
      <c r="W36" s="1396"/>
      <c r="X36" s="1396"/>
      <c r="Y36" s="1396"/>
      <c r="Z36" s="1396"/>
      <c r="AA36" s="1396"/>
      <c r="AB36" s="1397"/>
      <c r="AC36" s="1398"/>
      <c r="AD36" s="1398"/>
      <c r="AE36" s="1398"/>
      <c r="AF36" s="1399"/>
      <c r="AG36" s="1399"/>
      <c r="AH36" s="1399"/>
      <c r="AI36" s="1391"/>
    </row>
    <row r="37" spans="1:35" s="1368" customFormat="1" ht="15" customHeight="1">
      <c r="A37" s="1384"/>
      <c r="B37" s="1387"/>
      <c r="C37" s="1393"/>
      <c r="D37" s="1393"/>
      <c r="E37" s="1393"/>
      <c r="F37" s="1393"/>
      <c r="G37" s="1393"/>
      <c r="H37" s="1393"/>
      <c r="I37" s="1393"/>
      <c r="J37" s="1394"/>
      <c r="K37" s="1416"/>
      <c r="L37" s="3315" t="s">
        <v>725</v>
      </c>
      <c r="M37" s="3315"/>
      <c r="N37" s="3315"/>
      <c r="O37" s="3315"/>
      <c r="P37" s="3315"/>
      <c r="Q37" s="3315"/>
      <c r="R37" s="3315"/>
      <c r="S37" s="3315"/>
      <c r="T37" s="1416"/>
      <c r="U37" s="3324" t="str">
        <f>+IF(Z13="","",(Z14-Z13)*100/Z13)</f>
        <v/>
      </c>
      <c r="V37" s="3325"/>
      <c r="W37" s="3326"/>
      <c r="X37" s="1396"/>
      <c r="Y37" s="1396"/>
      <c r="Z37" s="1396"/>
      <c r="AA37" s="1396"/>
      <c r="AB37" s="1397"/>
      <c r="AC37" s="1398"/>
      <c r="AD37" s="1398"/>
      <c r="AE37" s="1398"/>
      <c r="AF37" s="1399"/>
      <c r="AG37" s="1399"/>
      <c r="AH37" s="1399"/>
      <c r="AI37" s="1417"/>
    </row>
    <row r="38" spans="1:35" s="1368" customFormat="1" ht="15" customHeight="1">
      <c r="A38" s="1384"/>
      <c r="B38" s="1387"/>
      <c r="C38" s="1393"/>
      <c r="D38" s="1393"/>
      <c r="E38" s="1393"/>
      <c r="F38" s="1393"/>
      <c r="G38" s="1393"/>
      <c r="H38" s="1393"/>
      <c r="I38" s="1393"/>
      <c r="J38" s="1394"/>
      <c r="K38" s="1418"/>
      <c r="L38" s="3315"/>
      <c r="M38" s="3315"/>
      <c r="N38" s="3315"/>
      <c r="O38" s="3315"/>
      <c r="P38" s="3315"/>
      <c r="Q38" s="3315"/>
      <c r="R38" s="3315"/>
      <c r="S38" s="3315"/>
      <c r="T38" s="1416"/>
      <c r="U38" s="3327"/>
      <c r="V38" s="3328"/>
      <c r="W38" s="3329"/>
      <c r="X38" s="1396"/>
      <c r="Y38" s="1396"/>
      <c r="Z38" s="1396"/>
      <c r="AA38" s="1396"/>
      <c r="AB38" s="1397"/>
      <c r="AC38" s="1398"/>
      <c r="AD38" s="1398"/>
      <c r="AE38" s="1398"/>
      <c r="AF38" s="1399"/>
      <c r="AG38" s="1399"/>
      <c r="AH38" s="1399"/>
      <c r="AI38" s="1391"/>
    </row>
    <row r="39" spans="1:35" s="1368" customFormat="1" ht="15" customHeight="1">
      <c r="A39" s="1384"/>
      <c r="B39" s="1387"/>
      <c r="C39" s="1393"/>
      <c r="D39" s="1393"/>
      <c r="E39" s="1393"/>
      <c r="F39" s="1393"/>
      <c r="G39" s="1393"/>
      <c r="H39" s="1393"/>
      <c r="I39" s="1393"/>
      <c r="J39" s="1394"/>
      <c r="K39" s="1418"/>
      <c r="L39" s="1419"/>
      <c r="M39" s="1419"/>
      <c r="N39" s="1419"/>
      <c r="O39" s="1419"/>
      <c r="P39" s="1419"/>
      <c r="Q39" s="1419"/>
      <c r="R39" s="1419"/>
      <c r="S39" s="1419"/>
      <c r="T39" s="1416"/>
      <c r="U39" s="1420"/>
      <c r="V39" s="1420"/>
      <c r="W39" s="1420"/>
      <c r="X39" s="1396"/>
      <c r="Y39" s="1396"/>
      <c r="Z39" s="1396"/>
      <c r="AA39" s="1396"/>
      <c r="AB39" s="1397"/>
      <c r="AC39" s="1398"/>
      <c r="AD39" s="1398"/>
      <c r="AE39" s="1398"/>
      <c r="AF39" s="1399"/>
      <c r="AG39" s="1399"/>
      <c r="AH39" s="1399"/>
      <c r="AI39" s="1391"/>
    </row>
    <row r="40" spans="1:35" s="1368" customFormat="1" ht="15" customHeight="1">
      <c r="A40" s="1384"/>
      <c r="B40" s="3310" t="s">
        <v>169</v>
      </c>
      <c r="C40" s="3310"/>
      <c r="D40" s="3310"/>
      <c r="E40" s="3310"/>
      <c r="F40" s="3310"/>
      <c r="G40" s="3310"/>
      <c r="H40" s="3310"/>
      <c r="I40" s="3311"/>
      <c r="J40" s="3311"/>
      <c r="K40" s="3311"/>
      <c r="L40" s="3311"/>
      <c r="M40" s="3311"/>
      <c r="N40" s="3311"/>
      <c r="O40" s="1419" t="str">
        <f>IF(I40="","","al")</f>
        <v/>
      </c>
      <c r="P40" s="3311"/>
      <c r="Q40" s="3311"/>
      <c r="R40" s="3311"/>
      <c r="S40" s="3311"/>
      <c r="T40" s="3311"/>
      <c r="U40" s="3311"/>
      <c r="V40" s="1420"/>
      <c r="W40" s="1420"/>
      <c r="X40" s="1396"/>
      <c r="Y40" s="1396"/>
      <c r="Z40" s="1396"/>
      <c r="AA40" s="1396"/>
      <c r="AB40" s="1397"/>
      <c r="AC40" s="1398"/>
      <c r="AD40" s="1398"/>
      <c r="AE40" s="1398"/>
      <c r="AF40" s="1399"/>
      <c r="AG40" s="1399"/>
      <c r="AH40" s="1399"/>
      <c r="AI40" s="1391"/>
    </row>
    <row r="41" spans="1:35" s="1368" customFormat="1" ht="15" customHeight="1">
      <c r="A41" s="1405"/>
      <c r="B41" s="1406"/>
      <c r="C41" s="1407"/>
      <c r="D41" s="1407"/>
      <c r="E41" s="1407"/>
      <c r="F41" s="1407"/>
      <c r="G41" s="1407"/>
      <c r="H41" s="1407"/>
      <c r="I41" s="1407"/>
      <c r="J41" s="1408"/>
      <c r="K41" s="1408"/>
      <c r="L41" s="1408"/>
      <c r="M41" s="1408"/>
      <c r="N41" s="1409"/>
      <c r="O41" s="1409"/>
      <c r="P41" s="1409"/>
      <c r="Q41" s="1406"/>
      <c r="R41" s="1410"/>
      <c r="S41" s="1410"/>
      <c r="T41" s="1406"/>
      <c r="U41" s="1411"/>
      <c r="V41" s="1411"/>
      <c r="W41" s="1411"/>
      <c r="X41" s="1411"/>
      <c r="Y41" s="1411"/>
      <c r="Z41" s="1411"/>
      <c r="AA41" s="1411"/>
      <c r="AB41" s="1412"/>
      <c r="AC41" s="1413"/>
      <c r="AD41" s="1413"/>
      <c r="AE41" s="1413"/>
      <c r="AF41" s="1414"/>
      <c r="AG41" s="1414"/>
      <c r="AH41" s="1414"/>
      <c r="AI41" s="1415"/>
    </row>
    <row r="42" spans="1:35" s="1368" customFormat="1" ht="15" customHeight="1">
      <c r="A42" s="1421"/>
      <c r="B42" s="2399" t="s">
        <v>10</v>
      </c>
      <c r="C42" s="2399"/>
      <c r="D42" s="2399"/>
      <c r="E42" s="2399"/>
      <c r="F42" s="2399"/>
      <c r="G42" s="2399"/>
      <c r="H42" s="3305"/>
      <c r="I42" s="3305"/>
      <c r="J42" s="3305"/>
      <c r="K42" s="3305"/>
      <c r="L42" s="3305"/>
      <c r="M42" s="3305"/>
      <c r="N42" s="3305"/>
      <c r="O42" s="3305"/>
      <c r="P42" s="3305"/>
      <c r="Q42" s="3305"/>
      <c r="R42" s="3305"/>
      <c r="S42" s="3305"/>
      <c r="T42" s="3305"/>
      <c r="U42" s="3305"/>
      <c r="V42" s="3305"/>
      <c r="W42" s="3305"/>
      <c r="X42" s="3305"/>
      <c r="Y42" s="3305"/>
      <c r="Z42" s="3305"/>
      <c r="AA42" s="3305"/>
      <c r="AB42" s="3305"/>
      <c r="AC42" s="3305"/>
      <c r="AD42" s="3305"/>
      <c r="AE42" s="3305"/>
      <c r="AF42" s="3305"/>
      <c r="AG42" s="3305"/>
      <c r="AH42" s="3305"/>
      <c r="AI42" s="3306"/>
    </row>
    <row r="43" spans="1:35" s="1368" customFormat="1" ht="15" customHeight="1">
      <c r="A43" s="3307"/>
      <c r="B43" s="3308"/>
      <c r="C43" s="3308"/>
      <c r="D43" s="3308"/>
      <c r="E43" s="3308"/>
      <c r="F43" s="3308"/>
      <c r="G43" s="3308"/>
      <c r="H43" s="3308"/>
      <c r="I43" s="3308"/>
      <c r="J43" s="3308"/>
      <c r="K43" s="3308"/>
      <c r="L43" s="3308"/>
      <c r="M43" s="3308"/>
      <c r="N43" s="3308"/>
      <c r="O43" s="3308"/>
      <c r="P43" s="3308"/>
      <c r="Q43" s="3308"/>
      <c r="R43" s="3308"/>
      <c r="S43" s="3308"/>
      <c r="T43" s="3308"/>
      <c r="U43" s="3308"/>
      <c r="V43" s="3308"/>
      <c r="W43" s="3308"/>
      <c r="X43" s="3308"/>
      <c r="Y43" s="3308"/>
      <c r="Z43" s="3308"/>
      <c r="AA43" s="3308"/>
      <c r="AB43" s="3308"/>
      <c r="AC43" s="3308"/>
      <c r="AD43" s="3308"/>
      <c r="AE43" s="3308"/>
      <c r="AF43" s="3308"/>
      <c r="AG43" s="3308"/>
      <c r="AH43" s="3308"/>
      <c r="AI43" s="3309"/>
    </row>
    <row r="44" spans="1:35" s="1368" customFormat="1" ht="15" customHeight="1" thickBot="1">
      <c r="A44" s="3307"/>
      <c r="B44" s="3308"/>
      <c r="C44" s="3308"/>
      <c r="D44" s="3308"/>
      <c r="E44" s="3308"/>
      <c r="F44" s="3308"/>
      <c r="G44" s="3308"/>
      <c r="H44" s="3308"/>
      <c r="I44" s="3308"/>
      <c r="J44" s="3308"/>
      <c r="K44" s="3308"/>
      <c r="L44" s="3308"/>
      <c r="M44" s="3308"/>
      <c r="N44" s="3308"/>
      <c r="O44" s="3308"/>
      <c r="P44" s="3308"/>
      <c r="Q44" s="3308"/>
      <c r="R44" s="3308"/>
      <c r="S44" s="3308"/>
      <c r="T44" s="3308"/>
      <c r="U44" s="3308"/>
      <c r="V44" s="3308"/>
      <c r="W44" s="3308"/>
      <c r="X44" s="3308"/>
      <c r="Y44" s="3308"/>
      <c r="Z44" s="3308"/>
      <c r="AA44" s="3308"/>
      <c r="AB44" s="3308"/>
      <c r="AC44" s="3308"/>
      <c r="AD44" s="3308"/>
      <c r="AE44" s="3308"/>
      <c r="AF44" s="3308"/>
      <c r="AG44" s="3308"/>
      <c r="AH44" s="3308"/>
      <c r="AI44" s="3309"/>
    </row>
    <row r="45" spans="1:35" s="31" customFormat="1" ht="15" customHeight="1" thickTop="1" thickBot="1">
      <c r="A45" s="2759" t="s">
        <v>13</v>
      </c>
      <c r="B45" s="2759"/>
      <c r="C45" s="2759"/>
      <c r="D45" s="2759"/>
      <c r="E45" s="2759"/>
      <c r="F45" s="2759"/>
      <c r="G45" s="2759"/>
      <c r="H45" s="2759"/>
      <c r="I45" s="2759"/>
      <c r="J45" s="2759"/>
      <c r="K45" s="2759"/>
      <c r="L45" s="2759"/>
      <c r="M45" s="2759"/>
      <c r="N45" s="2759"/>
      <c r="O45" s="2759"/>
      <c r="P45" s="2759"/>
      <c r="Q45" s="2759"/>
      <c r="R45" s="2759"/>
      <c r="S45" s="2759"/>
      <c r="T45" s="2759"/>
      <c r="U45" s="2759"/>
      <c r="V45" s="2759"/>
      <c r="W45" s="2759"/>
      <c r="X45" s="2759"/>
      <c r="Y45" s="2759"/>
      <c r="Z45" s="2759"/>
      <c r="AA45" s="2759"/>
      <c r="AB45" s="2759"/>
      <c r="AC45" s="2759"/>
      <c r="AD45" s="2759"/>
      <c r="AE45" s="2759"/>
      <c r="AF45" s="2759"/>
      <c r="AG45" s="2759"/>
      <c r="AH45" s="2759"/>
      <c r="AI45" s="2759"/>
    </row>
    <row r="46" spans="1:35" s="26" customFormat="1" ht="15" customHeight="1" thickTop="1">
      <c r="A46" s="2760"/>
      <c r="B46" s="2760"/>
      <c r="C46" s="2760"/>
      <c r="D46" s="2760"/>
      <c r="E46" s="2760"/>
      <c r="F46" s="2760"/>
      <c r="G46" s="2760"/>
      <c r="H46" s="2760"/>
      <c r="I46" s="2760"/>
      <c r="J46" s="2760"/>
      <c r="K46" s="2760"/>
      <c r="L46" s="2760"/>
      <c r="M46" s="2760"/>
      <c r="N46" s="2760"/>
      <c r="O46" s="2760"/>
      <c r="P46" s="2760"/>
      <c r="Q46" s="2760"/>
      <c r="R46" s="2760"/>
      <c r="S46" s="2760"/>
      <c r="T46" s="2760"/>
      <c r="U46" s="2760"/>
      <c r="V46" s="2760"/>
      <c r="W46" s="2760"/>
      <c r="X46" s="2760"/>
      <c r="Y46" s="2760"/>
      <c r="Z46" s="2760"/>
      <c r="AA46" s="2760"/>
      <c r="AB46" s="2760"/>
      <c r="AC46" s="2760"/>
      <c r="AD46" s="2760"/>
      <c r="AE46" s="2760"/>
      <c r="AF46" s="2760"/>
      <c r="AG46" s="2760"/>
      <c r="AH46" s="2760"/>
      <c r="AI46" s="2760"/>
    </row>
    <row r="47" spans="1:35" s="26" customFormat="1" ht="15" customHeight="1">
      <c r="A47" s="1977" t="s">
        <v>306</v>
      </c>
      <c r="B47" s="1977"/>
      <c r="C47" s="1977"/>
      <c r="D47" s="1977"/>
      <c r="E47" s="1977"/>
      <c r="F47" s="1977"/>
      <c r="G47" s="1977"/>
      <c r="H47" s="1977"/>
      <c r="I47" s="1977"/>
      <c r="J47" s="1977"/>
      <c r="K47" s="1977"/>
      <c r="L47" s="1977"/>
      <c r="M47" s="1977"/>
      <c r="N47" s="1977"/>
      <c r="O47" s="1977"/>
      <c r="P47" s="1977"/>
      <c r="Q47" s="1977"/>
      <c r="R47" s="1977"/>
      <c r="S47" s="1977"/>
      <c r="T47" s="1977"/>
      <c r="U47" s="1977"/>
      <c r="V47" s="1977"/>
      <c r="W47" s="1977"/>
      <c r="X47" s="1977"/>
      <c r="Y47" s="1977"/>
      <c r="Z47" s="1977"/>
      <c r="AA47" s="1977"/>
      <c r="AB47" s="1977"/>
      <c r="AC47" s="1977"/>
      <c r="AD47" s="1977"/>
      <c r="AE47" s="1977"/>
      <c r="AF47" s="1977"/>
      <c r="AG47" s="1977"/>
      <c r="AH47" s="1977"/>
      <c r="AI47" s="1977"/>
    </row>
    <row r="48" spans="1:35" s="26" customFormat="1" ht="15" customHeight="1">
      <c r="A48" s="1977"/>
      <c r="B48" s="1977"/>
      <c r="C48" s="1977"/>
      <c r="D48" s="1977"/>
      <c r="E48" s="1977"/>
      <c r="F48" s="1977"/>
      <c r="G48" s="1977"/>
      <c r="H48" s="1977"/>
      <c r="I48" s="1977"/>
      <c r="J48" s="1977"/>
      <c r="K48" s="1977"/>
      <c r="L48" s="1977"/>
      <c r="M48" s="1977"/>
      <c r="N48" s="1977"/>
      <c r="O48" s="1977"/>
      <c r="P48" s="1977"/>
      <c r="Q48" s="1977"/>
      <c r="R48" s="1977"/>
      <c r="S48" s="1977"/>
      <c r="T48" s="1977"/>
      <c r="U48" s="1977"/>
      <c r="V48" s="1977"/>
      <c r="W48" s="1977"/>
      <c r="X48" s="1977"/>
      <c r="Y48" s="1977"/>
      <c r="Z48" s="1977"/>
      <c r="AA48" s="1977"/>
      <c r="AB48" s="1977"/>
      <c r="AC48" s="1977"/>
      <c r="AD48" s="1977"/>
      <c r="AE48" s="1977"/>
      <c r="AF48" s="1977"/>
      <c r="AG48" s="1977"/>
      <c r="AH48" s="1977"/>
      <c r="AI48" s="1977"/>
    </row>
    <row r="49" spans="1:35" s="26" customFormat="1" ht="15" customHeight="1">
      <c r="A49" s="1354"/>
      <c r="B49" s="1354"/>
      <c r="C49" s="1354"/>
      <c r="D49" s="1354"/>
      <c r="E49" s="1354"/>
      <c r="F49" s="1354"/>
      <c r="G49" s="1354"/>
      <c r="H49" s="1354"/>
      <c r="I49" s="1354"/>
      <c r="J49" s="1354"/>
      <c r="K49" s="1354"/>
      <c r="L49" s="1354"/>
      <c r="M49" s="1354"/>
      <c r="N49" s="1354"/>
      <c r="O49" s="1354"/>
      <c r="P49" s="1354"/>
      <c r="Q49" s="1354"/>
      <c r="R49" s="1354"/>
      <c r="S49" s="1354"/>
      <c r="T49" s="1354"/>
      <c r="U49" s="1354"/>
      <c r="V49" s="1354"/>
      <c r="W49" s="1354"/>
      <c r="X49" s="1354"/>
      <c r="Y49" s="1354"/>
      <c r="Z49" s="1354"/>
      <c r="AA49" s="1354"/>
      <c r="AB49" s="1354"/>
      <c r="AC49" s="1354"/>
      <c r="AD49" s="1354"/>
      <c r="AE49" s="1354"/>
      <c r="AF49" s="1354"/>
      <c r="AG49" s="1354"/>
      <c r="AH49" s="1354"/>
      <c r="AI49" s="1354"/>
    </row>
    <row r="50" spans="1:35" s="26" customFormat="1" ht="20.100000000000001" customHeight="1">
      <c r="A50" s="1354"/>
      <c r="B50" s="1354"/>
      <c r="C50" s="1354"/>
      <c r="D50" s="1354"/>
      <c r="E50" s="1354"/>
      <c r="F50" s="1354"/>
      <c r="G50" s="1354"/>
      <c r="H50" s="1354"/>
      <c r="I50" s="1354"/>
      <c r="J50" s="1354"/>
      <c r="K50" s="1354"/>
      <c r="L50" s="1354"/>
      <c r="M50" s="1354"/>
      <c r="N50" s="1354"/>
      <c r="O50" s="1354"/>
      <c r="P50" s="1354"/>
      <c r="Q50" s="1354"/>
      <c r="R50" s="1354"/>
      <c r="S50" s="1354"/>
      <c r="T50" s="1354"/>
      <c r="U50" s="1354"/>
      <c r="V50" s="1354"/>
      <c r="W50" s="1354"/>
      <c r="X50" s="1354"/>
      <c r="Y50" s="1354"/>
      <c r="Z50" s="1354"/>
      <c r="AA50" s="1354"/>
      <c r="AB50" s="1354"/>
      <c r="AC50" s="1354"/>
      <c r="AD50" s="1354"/>
      <c r="AE50" s="1354"/>
      <c r="AF50" s="1354"/>
      <c r="AG50" s="1354"/>
      <c r="AH50" s="1354"/>
      <c r="AI50" s="1354"/>
    </row>
    <row r="51" spans="1:35" s="32" customFormat="1" ht="30" customHeight="1">
      <c r="A51" s="1354"/>
      <c r="B51" s="1354"/>
      <c r="C51" s="1354"/>
      <c r="D51" s="1354"/>
      <c r="E51" s="1354"/>
      <c r="F51" s="1354"/>
      <c r="G51" s="1354"/>
      <c r="H51" s="1354"/>
      <c r="I51" s="1354"/>
      <c r="J51" s="1354"/>
      <c r="K51" s="1354"/>
      <c r="L51" s="1354"/>
      <c r="M51" s="1354"/>
      <c r="N51" s="1354"/>
      <c r="O51" s="1354"/>
      <c r="P51" s="1354"/>
      <c r="Q51" s="1354"/>
      <c r="R51" s="1354"/>
      <c r="S51" s="1354"/>
      <c r="T51" s="1354"/>
      <c r="U51" s="1354"/>
      <c r="V51" s="1354"/>
      <c r="W51" s="1354"/>
      <c r="X51" s="1354"/>
      <c r="Y51" s="1354"/>
      <c r="Z51" s="1354"/>
      <c r="AA51" s="1354"/>
      <c r="AB51" s="1354"/>
      <c r="AC51" s="1354"/>
      <c r="AD51" s="1354"/>
      <c r="AE51" s="1354"/>
      <c r="AF51" s="1354"/>
      <c r="AG51" s="1354"/>
      <c r="AH51" s="1354"/>
      <c r="AI51" s="1354"/>
    </row>
    <row r="52" spans="1:35" s="26" customFormat="1" ht="18.75" customHeight="1">
      <c r="A52" s="1354"/>
      <c r="B52" s="1354"/>
      <c r="C52" s="1354"/>
      <c r="D52" s="1354"/>
      <c r="E52" s="1354"/>
      <c r="F52" s="1354"/>
      <c r="G52" s="1354"/>
      <c r="H52" s="1354"/>
      <c r="I52" s="1354"/>
      <c r="J52" s="1354"/>
      <c r="K52" s="1354"/>
      <c r="L52" s="1354"/>
      <c r="M52" s="1354"/>
      <c r="N52" s="1354"/>
      <c r="O52" s="1354"/>
      <c r="P52" s="1354"/>
      <c r="Q52" s="1354"/>
      <c r="R52" s="1354"/>
      <c r="S52" s="1354"/>
      <c r="T52" s="1354"/>
      <c r="U52" s="1354"/>
      <c r="V52" s="1354"/>
      <c r="W52" s="1354"/>
      <c r="X52" s="1354"/>
      <c r="Y52" s="1354"/>
      <c r="Z52" s="1354"/>
      <c r="AA52" s="1354"/>
      <c r="AB52" s="1354"/>
      <c r="AC52" s="1354"/>
      <c r="AD52" s="1354"/>
      <c r="AE52" s="1354"/>
      <c r="AF52" s="1354"/>
      <c r="AG52" s="1354"/>
      <c r="AH52" s="1354"/>
      <c r="AI52" s="1354"/>
    </row>
    <row r="53" spans="1:35" s="26" customFormat="1" ht="30" customHeight="1">
      <c r="A53" s="1354"/>
      <c r="B53" s="1354"/>
      <c r="C53" s="1354"/>
      <c r="D53" s="1354"/>
      <c r="E53" s="1354"/>
      <c r="F53" s="1354"/>
      <c r="G53" s="1354"/>
      <c r="H53" s="1354"/>
      <c r="I53" s="1354"/>
      <c r="J53" s="1354"/>
      <c r="K53" s="1354"/>
      <c r="L53" s="1354"/>
      <c r="M53" s="1354"/>
      <c r="N53" s="1354"/>
      <c r="O53" s="1354"/>
      <c r="P53" s="1354"/>
      <c r="Q53" s="1354"/>
      <c r="R53" s="1354"/>
      <c r="S53" s="1354"/>
      <c r="T53" s="1354"/>
      <c r="U53" s="1354"/>
      <c r="V53" s="1354"/>
      <c r="W53" s="1354"/>
      <c r="X53" s="1354"/>
      <c r="Y53" s="1354"/>
      <c r="Z53" s="1354"/>
      <c r="AA53" s="1354"/>
      <c r="AB53" s="1354"/>
      <c r="AC53" s="1354"/>
      <c r="AD53" s="1354"/>
      <c r="AE53" s="1354"/>
      <c r="AF53" s="1354"/>
      <c r="AG53" s="1354"/>
      <c r="AH53" s="1354"/>
      <c r="AI53" s="1354"/>
    </row>
    <row r="54" spans="1:35" ht="45" customHeight="1"/>
  </sheetData>
  <sheetProtection algorithmName="SHA-512" hashValue="KqvDuPpzrnHN0Uoi1YFogqZw0CPj4kZqWXaZwDUgCVsYLj5gcdHcCCI4zE23zZ7CXtmUKIaXVUZ9Gb5H117dIQ==" saltValue="OZvC2BDHuTChsrvz2u1M0g==" spinCount="100000" sheet="1" formatCells="0" formatColumns="0" formatRows="0"/>
  <mergeCells count="47">
    <mergeCell ref="Y7:AA7"/>
    <mergeCell ref="AB7:AH7"/>
    <mergeCell ref="A1:E5"/>
    <mergeCell ref="F1:AI3"/>
    <mergeCell ref="F4:AB4"/>
    <mergeCell ref="AC4:AI4"/>
    <mergeCell ref="F5:AI5"/>
    <mergeCell ref="AB8:AH8"/>
    <mergeCell ref="A11:AI11"/>
    <mergeCell ref="A13:T13"/>
    <mergeCell ref="Z13:AC13"/>
    <mergeCell ref="A14:T14"/>
    <mergeCell ref="Z14:AC14"/>
    <mergeCell ref="J24:S25"/>
    <mergeCell ref="U24:W25"/>
    <mergeCell ref="A15:T15"/>
    <mergeCell ref="Z15:AC15"/>
    <mergeCell ref="A16:T16"/>
    <mergeCell ref="Z16:AC16"/>
    <mergeCell ref="Z17:AC17"/>
    <mergeCell ref="A19:AI19"/>
    <mergeCell ref="E21:L22"/>
    <mergeCell ref="N21:P22"/>
    <mergeCell ref="T21:AA22"/>
    <mergeCell ref="AC21:AD22"/>
    <mergeCell ref="AF21:AH22"/>
    <mergeCell ref="B40:H40"/>
    <mergeCell ref="I40:N40"/>
    <mergeCell ref="P40:U40"/>
    <mergeCell ref="A27:AI27"/>
    <mergeCell ref="E29:L30"/>
    <mergeCell ref="N29:P30"/>
    <mergeCell ref="T29:AA30"/>
    <mergeCell ref="AC29:AD30"/>
    <mergeCell ref="AF29:AH30"/>
    <mergeCell ref="L32:S33"/>
    <mergeCell ref="U32:W33"/>
    <mergeCell ref="A35:AI35"/>
    <mergeCell ref="L37:S38"/>
    <mergeCell ref="U37:W38"/>
    <mergeCell ref="A47:AI48"/>
    <mergeCell ref="B42:G42"/>
    <mergeCell ref="H42:AI42"/>
    <mergeCell ref="A43:AI43"/>
    <mergeCell ref="A44:AI44"/>
    <mergeCell ref="A45:AI45"/>
    <mergeCell ref="A46:AI46"/>
  </mergeCells>
  <dataValidations count="1">
    <dataValidation type="list" allowBlank="1" showInputMessage="1" showErrorMessage="1" sqref="Z17:AC17">
      <formula1>$AJ$14:$AJ$15</formula1>
    </dataValidation>
  </dataValidations>
  <printOptions horizontalCentered="1"/>
  <pageMargins left="0.59055118110236227" right="0.39370078740157483" top="0.59055118110236227" bottom="0.59055118110236227" header="0" footer="0.19685039370078741"/>
  <pageSetup orientation="portrait" r:id="rId1"/>
  <headerFooter alignWithMargins="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51"/>
  <sheetViews>
    <sheetView showGridLines="0" view="pageBreakPreview" topLeftCell="A28" zoomScaleSheetLayoutView="100" workbookViewId="0">
      <selection activeCell="G41" sqref="G41:AG41"/>
    </sheetView>
  </sheetViews>
  <sheetFormatPr baseColWidth="10" defaultColWidth="2.7109375" defaultRowHeight="12.95" customHeight="1"/>
  <cols>
    <col min="1" max="3" width="3.5703125" style="158" customWidth="1"/>
    <col min="4" max="33" width="2.7109375" style="158" customWidth="1"/>
    <col min="34" max="34" width="13.5703125" style="158" customWidth="1"/>
    <col min="35" max="40" width="2.7109375" style="158" customWidth="1"/>
    <col min="41" max="41" width="12.85546875" style="158" customWidth="1"/>
    <col min="42" max="253" width="2.7109375" style="158"/>
    <col min="254" max="296" width="2.7109375" style="158" customWidth="1"/>
    <col min="297" max="297" width="12.85546875" style="158" customWidth="1"/>
    <col min="298" max="509" width="2.7109375" style="158"/>
    <col min="510" max="552" width="2.7109375" style="158" customWidth="1"/>
    <col min="553" max="553" width="12.85546875" style="158" customWidth="1"/>
    <col min="554" max="765" width="2.7109375" style="158"/>
    <col min="766" max="808" width="2.7109375" style="158" customWidth="1"/>
    <col min="809" max="809" width="12.85546875" style="158" customWidth="1"/>
    <col min="810" max="1021" width="2.7109375" style="158"/>
    <col min="1022" max="1064" width="2.7109375" style="158" customWidth="1"/>
    <col min="1065" max="1065" width="12.85546875" style="158" customWidth="1"/>
    <col min="1066" max="1277" width="2.7109375" style="158"/>
    <col min="1278" max="1320" width="2.7109375" style="158" customWidth="1"/>
    <col min="1321" max="1321" width="12.85546875" style="158" customWidth="1"/>
    <col min="1322" max="1533" width="2.7109375" style="158"/>
    <col min="1534" max="1576" width="2.7109375" style="158" customWidth="1"/>
    <col min="1577" max="1577" width="12.85546875" style="158" customWidth="1"/>
    <col min="1578" max="1789" width="2.7109375" style="158"/>
    <col min="1790" max="1832" width="2.7109375" style="158" customWidth="1"/>
    <col min="1833" max="1833" width="12.85546875" style="158" customWidth="1"/>
    <col min="1834" max="2045" width="2.7109375" style="158"/>
    <col min="2046" max="2088" width="2.7109375" style="158" customWidth="1"/>
    <col min="2089" max="2089" width="12.85546875" style="158" customWidth="1"/>
    <col min="2090" max="2301" width="2.7109375" style="158"/>
    <col min="2302" max="2344" width="2.7109375" style="158" customWidth="1"/>
    <col min="2345" max="2345" width="12.85546875" style="158" customWidth="1"/>
    <col min="2346" max="2557" width="2.7109375" style="158"/>
    <col min="2558" max="2600" width="2.7109375" style="158" customWidth="1"/>
    <col min="2601" max="2601" width="12.85546875" style="158" customWidth="1"/>
    <col min="2602" max="2813" width="2.7109375" style="158"/>
    <col min="2814" max="2856" width="2.7109375" style="158" customWidth="1"/>
    <col min="2857" max="2857" width="12.85546875" style="158" customWidth="1"/>
    <col min="2858" max="3069" width="2.7109375" style="158"/>
    <col min="3070" max="3112" width="2.7109375" style="158" customWidth="1"/>
    <col min="3113" max="3113" width="12.85546875" style="158" customWidth="1"/>
    <col min="3114" max="3325" width="2.7109375" style="158"/>
    <col min="3326" max="3368" width="2.7109375" style="158" customWidth="1"/>
    <col min="3369" max="3369" width="12.85546875" style="158" customWidth="1"/>
    <col min="3370" max="3581" width="2.7109375" style="158"/>
    <col min="3582" max="3624" width="2.7109375" style="158" customWidth="1"/>
    <col min="3625" max="3625" width="12.85546875" style="158" customWidth="1"/>
    <col min="3626" max="3837" width="2.7109375" style="158"/>
    <col min="3838" max="3880" width="2.7109375" style="158" customWidth="1"/>
    <col min="3881" max="3881" width="12.85546875" style="158" customWidth="1"/>
    <col min="3882" max="4093" width="2.7109375" style="158"/>
    <col min="4094" max="4136" width="2.7109375" style="158" customWidth="1"/>
    <col min="4137" max="4137" width="12.85546875" style="158" customWidth="1"/>
    <col min="4138" max="4349" width="2.7109375" style="158"/>
    <col min="4350" max="4392" width="2.7109375" style="158" customWidth="1"/>
    <col min="4393" max="4393" width="12.85546875" style="158" customWidth="1"/>
    <col min="4394" max="4605" width="2.7109375" style="158"/>
    <col min="4606" max="4648" width="2.7109375" style="158" customWidth="1"/>
    <col min="4649" max="4649" width="12.85546875" style="158" customWidth="1"/>
    <col min="4650" max="4861" width="2.7109375" style="158"/>
    <col min="4862" max="4904" width="2.7109375" style="158" customWidth="1"/>
    <col min="4905" max="4905" width="12.85546875" style="158" customWidth="1"/>
    <col min="4906" max="5117" width="2.7109375" style="158"/>
    <col min="5118" max="5160" width="2.7109375" style="158" customWidth="1"/>
    <col min="5161" max="5161" width="12.85546875" style="158" customWidth="1"/>
    <col min="5162" max="5373" width="2.7109375" style="158"/>
    <col min="5374" max="5416" width="2.7109375" style="158" customWidth="1"/>
    <col min="5417" max="5417" width="12.85546875" style="158" customWidth="1"/>
    <col min="5418" max="5629" width="2.7109375" style="158"/>
    <col min="5630" max="5672" width="2.7109375" style="158" customWidth="1"/>
    <col min="5673" max="5673" width="12.85546875" style="158" customWidth="1"/>
    <col min="5674" max="5885" width="2.7109375" style="158"/>
    <col min="5886" max="5928" width="2.7109375" style="158" customWidth="1"/>
    <col min="5929" max="5929" width="12.85546875" style="158" customWidth="1"/>
    <col min="5930" max="6141" width="2.7109375" style="158"/>
    <col min="6142" max="6184" width="2.7109375" style="158" customWidth="1"/>
    <col min="6185" max="6185" width="12.85546875" style="158" customWidth="1"/>
    <col min="6186" max="6397" width="2.7109375" style="158"/>
    <col min="6398" max="6440" width="2.7109375" style="158" customWidth="1"/>
    <col min="6441" max="6441" width="12.85546875" style="158" customWidth="1"/>
    <col min="6442" max="6653" width="2.7109375" style="158"/>
    <col min="6654" max="6696" width="2.7109375" style="158" customWidth="1"/>
    <col min="6697" max="6697" width="12.85546875" style="158" customWidth="1"/>
    <col min="6698" max="6909" width="2.7109375" style="158"/>
    <col min="6910" max="6952" width="2.7109375" style="158" customWidth="1"/>
    <col min="6953" max="6953" width="12.85546875" style="158" customWidth="1"/>
    <col min="6954" max="7165" width="2.7109375" style="158"/>
    <col min="7166" max="7208" width="2.7109375" style="158" customWidth="1"/>
    <col min="7209" max="7209" width="12.85546875" style="158" customWidth="1"/>
    <col min="7210" max="7421" width="2.7109375" style="158"/>
    <col min="7422" max="7464" width="2.7109375" style="158" customWidth="1"/>
    <col min="7465" max="7465" width="12.85546875" style="158" customWidth="1"/>
    <col min="7466" max="7677" width="2.7109375" style="158"/>
    <col min="7678" max="7720" width="2.7109375" style="158" customWidth="1"/>
    <col min="7721" max="7721" width="12.85546875" style="158" customWidth="1"/>
    <col min="7722" max="7933" width="2.7109375" style="158"/>
    <col min="7934" max="7976" width="2.7109375" style="158" customWidth="1"/>
    <col min="7977" max="7977" width="12.85546875" style="158" customWidth="1"/>
    <col min="7978" max="8189" width="2.7109375" style="158"/>
    <col min="8190" max="8232" width="2.7109375" style="158" customWidth="1"/>
    <col min="8233" max="8233" width="12.85546875" style="158" customWidth="1"/>
    <col min="8234" max="8445" width="2.7109375" style="158"/>
    <col min="8446" max="8488" width="2.7109375" style="158" customWidth="1"/>
    <col min="8489" max="8489" width="12.85546875" style="158" customWidth="1"/>
    <col min="8490" max="8701" width="2.7109375" style="158"/>
    <col min="8702" max="8744" width="2.7109375" style="158" customWidth="1"/>
    <col min="8745" max="8745" width="12.85546875" style="158" customWidth="1"/>
    <col min="8746" max="8957" width="2.7109375" style="158"/>
    <col min="8958" max="9000" width="2.7109375" style="158" customWidth="1"/>
    <col min="9001" max="9001" width="12.85546875" style="158" customWidth="1"/>
    <col min="9002" max="9213" width="2.7109375" style="158"/>
    <col min="9214" max="9256" width="2.7109375" style="158" customWidth="1"/>
    <col min="9257" max="9257" width="12.85546875" style="158" customWidth="1"/>
    <col min="9258" max="9469" width="2.7109375" style="158"/>
    <col min="9470" max="9512" width="2.7109375" style="158" customWidth="1"/>
    <col min="9513" max="9513" width="12.85546875" style="158" customWidth="1"/>
    <col min="9514" max="9725" width="2.7109375" style="158"/>
    <col min="9726" max="9768" width="2.7109375" style="158" customWidth="1"/>
    <col min="9769" max="9769" width="12.85546875" style="158" customWidth="1"/>
    <col min="9770" max="9981" width="2.7109375" style="158"/>
    <col min="9982" max="10024" width="2.7109375" style="158" customWidth="1"/>
    <col min="10025" max="10025" width="12.85546875" style="158" customWidth="1"/>
    <col min="10026" max="10237" width="2.7109375" style="158"/>
    <col min="10238" max="10280" width="2.7109375" style="158" customWidth="1"/>
    <col min="10281" max="10281" width="12.85546875" style="158" customWidth="1"/>
    <col min="10282" max="10493" width="2.7109375" style="158"/>
    <col min="10494" max="10536" width="2.7109375" style="158" customWidth="1"/>
    <col min="10537" max="10537" width="12.85546875" style="158" customWidth="1"/>
    <col min="10538" max="10749" width="2.7109375" style="158"/>
    <col min="10750" max="10792" width="2.7109375" style="158" customWidth="1"/>
    <col min="10793" max="10793" width="12.85546875" style="158" customWidth="1"/>
    <col min="10794" max="11005" width="2.7109375" style="158"/>
    <col min="11006" max="11048" width="2.7109375" style="158" customWidth="1"/>
    <col min="11049" max="11049" width="12.85546875" style="158" customWidth="1"/>
    <col min="11050" max="11261" width="2.7109375" style="158"/>
    <col min="11262" max="11304" width="2.7109375" style="158" customWidth="1"/>
    <col min="11305" max="11305" width="12.85546875" style="158" customWidth="1"/>
    <col min="11306" max="11517" width="2.7109375" style="158"/>
    <col min="11518" max="11560" width="2.7109375" style="158" customWidth="1"/>
    <col min="11561" max="11561" width="12.85546875" style="158" customWidth="1"/>
    <col min="11562" max="11773" width="2.7109375" style="158"/>
    <col min="11774" max="11816" width="2.7109375" style="158" customWidth="1"/>
    <col min="11817" max="11817" width="12.85546875" style="158" customWidth="1"/>
    <col min="11818" max="12029" width="2.7109375" style="158"/>
    <col min="12030" max="12072" width="2.7109375" style="158" customWidth="1"/>
    <col min="12073" max="12073" width="12.85546875" style="158" customWidth="1"/>
    <col min="12074" max="12285" width="2.7109375" style="158"/>
    <col min="12286" max="12328" width="2.7109375" style="158" customWidth="1"/>
    <col min="12329" max="12329" width="12.85546875" style="158" customWidth="1"/>
    <col min="12330" max="12541" width="2.7109375" style="158"/>
    <col min="12542" max="12584" width="2.7109375" style="158" customWidth="1"/>
    <col min="12585" max="12585" width="12.85546875" style="158" customWidth="1"/>
    <col min="12586" max="12797" width="2.7109375" style="158"/>
    <col min="12798" max="12840" width="2.7109375" style="158" customWidth="1"/>
    <col min="12841" max="12841" width="12.85546875" style="158" customWidth="1"/>
    <col min="12842" max="13053" width="2.7109375" style="158"/>
    <col min="13054" max="13096" width="2.7109375" style="158" customWidth="1"/>
    <col min="13097" max="13097" width="12.85546875" style="158" customWidth="1"/>
    <col min="13098" max="13309" width="2.7109375" style="158"/>
    <col min="13310" max="13352" width="2.7109375" style="158" customWidth="1"/>
    <col min="13353" max="13353" width="12.85546875" style="158" customWidth="1"/>
    <col min="13354" max="13565" width="2.7109375" style="158"/>
    <col min="13566" max="13608" width="2.7109375" style="158" customWidth="1"/>
    <col min="13609" max="13609" width="12.85546875" style="158" customWidth="1"/>
    <col min="13610" max="13821" width="2.7109375" style="158"/>
    <col min="13822" max="13864" width="2.7109375" style="158" customWidth="1"/>
    <col min="13865" max="13865" width="12.85546875" style="158" customWidth="1"/>
    <col min="13866" max="14077" width="2.7109375" style="158"/>
    <col min="14078" max="14120" width="2.7109375" style="158" customWidth="1"/>
    <col min="14121" max="14121" width="12.85546875" style="158" customWidth="1"/>
    <col min="14122" max="14333" width="2.7109375" style="158"/>
    <col min="14334" max="14376" width="2.7109375" style="158" customWidth="1"/>
    <col min="14377" max="14377" width="12.85546875" style="158" customWidth="1"/>
    <col min="14378" max="14589" width="2.7109375" style="158"/>
    <col min="14590" max="14632" width="2.7109375" style="158" customWidth="1"/>
    <col min="14633" max="14633" width="12.85546875" style="158" customWidth="1"/>
    <col min="14634" max="14845" width="2.7109375" style="158"/>
    <col min="14846" max="14888" width="2.7109375" style="158" customWidth="1"/>
    <col min="14889" max="14889" width="12.85546875" style="158" customWidth="1"/>
    <col min="14890" max="15101" width="2.7109375" style="158"/>
    <col min="15102" max="15144" width="2.7109375" style="158" customWidth="1"/>
    <col min="15145" max="15145" width="12.85546875" style="158" customWidth="1"/>
    <col min="15146" max="15357" width="2.7109375" style="158"/>
    <col min="15358" max="15400" width="2.7109375" style="158" customWidth="1"/>
    <col min="15401" max="15401" width="12.85546875" style="158" customWidth="1"/>
    <col min="15402" max="15613" width="2.7109375" style="158"/>
    <col min="15614" max="15656" width="2.7109375" style="158" customWidth="1"/>
    <col min="15657" max="15657" width="12.85546875" style="158" customWidth="1"/>
    <col min="15658" max="15869" width="2.7109375" style="158"/>
    <col min="15870" max="15912" width="2.7109375" style="158" customWidth="1"/>
    <col min="15913" max="15913" width="12.85546875" style="158" customWidth="1"/>
    <col min="15914" max="16125" width="2.7109375" style="158"/>
    <col min="16126" max="16168" width="2.7109375" style="158" customWidth="1"/>
    <col min="16169" max="16169" width="12.85546875" style="158" customWidth="1"/>
    <col min="16170" max="16384" width="2.7109375" style="158"/>
  </cols>
  <sheetData>
    <row r="1" spans="1:34" ht="15" customHeight="1">
      <c r="A1" s="3397"/>
      <c r="B1" s="3398"/>
      <c r="C1" s="3398"/>
      <c r="D1" s="3399"/>
      <c r="E1" s="2692" t="s">
        <v>726</v>
      </c>
      <c r="F1" s="2692"/>
      <c r="G1" s="2692"/>
      <c r="H1" s="2692"/>
      <c r="I1" s="2692"/>
      <c r="J1" s="2692"/>
      <c r="K1" s="2692"/>
      <c r="L1" s="2692"/>
      <c r="M1" s="2692"/>
      <c r="N1" s="2692"/>
      <c r="O1" s="2692"/>
      <c r="P1" s="2692"/>
      <c r="Q1" s="2692"/>
      <c r="R1" s="2692"/>
      <c r="S1" s="2692"/>
      <c r="T1" s="2692"/>
      <c r="U1" s="2692"/>
      <c r="V1" s="2692"/>
      <c r="W1" s="2692"/>
      <c r="X1" s="2692"/>
      <c r="Y1" s="2692"/>
      <c r="Z1" s="2692"/>
      <c r="AA1" s="2692"/>
      <c r="AB1" s="2692"/>
      <c r="AC1" s="2692"/>
      <c r="AD1" s="2692"/>
      <c r="AE1" s="2692"/>
      <c r="AF1" s="2692"/>
      <c r="AG1" s="2692"/>
    </row>
    <row r="2" spans="1:34" ht="15" customHeight="1">
      <c r="A2" s="3400"/>
      <c r="B2" s="3401"/>
      <c r="C2" s="3401"/>
      <c r="D2" s="3402"/>
      <c r="E2" s="2692"/>
      <c r="F2" s="2692"/>
      <c r="G2" s="2692"/>
      <c r="H2" s="2692"/>
      <c r="I2" s="2692"/>
      <c r="J2" s="2692"/>
      <c r="K2" s="2692"/>
      <c r="L2" s="2692"/>
      <c r="M2" s="2692"/>
      <c r="N2" s="2692"/>
      <c r="O2" s="2692"/>
      <c r="P2" s="2692"/>
      <c r="Q2" s="2692"/>
      <c r="R2" s="2692"/>
      <c r="S2" s="2692"/>
      <c r="T2" s="2692"/>
      <c r="U2" s="2692"/>
      <c r="V2" s="2692"/>
      <c r="W2" s="2692"/>
      <c r="X2" s="2692"/>
      <c r="Y2" s="2692"/>
      <c r="Z2" s="2692"/>
      <c r="AA2" s="2692"/>
      <c r="AB2" s="2692"/>
      <c r="AC2" s="2692"/>
      <c r="AD2" s="2692"/>
      <c r="AE2" s="2692"/>
      <c r="AF2" s="2692"/>
      <c r="AG2" s="2692"/>
      <c r="AH2" s="1"/>
    </row>
    <row r="3" spans="1:34" ht="15" customHeight="1">
      <c r="A3" s="3400"/>
      <c r="B3" s="3401"/>
      <c r="C3" s="3401"/>
      <c r="D3" s="3402"/>
      <c r="E3" s="2692"/>
      <c r="F3" s="2692"/>
      <c r="G3" s="2692"/>
      <c r="H3" s="2692"/>
      <c r="I3" s="2692"/>
      <c r="J3" s="2692"/>
      <c r="K3" s="2692"/>
      <c r="L3" s="2692"/>
      <c r="M3" s="2692"/>
      <c r="N3" s="2692"/>
      <c r="O3" s="2692"/>
      <c r="P3" s="2692"/>
      <c r="Q3" s="2692"/>
      <c r="R3" s="2692"/>
      <c r="S3" s="2692"/>
      <c r="T3" s="2692"/>
      <c r="U3" s="2692"/>
      <c r="V3" s="2692"/>
      <c r="W3" s="2692"/>
      <c r="X3" s="2692"/>
      <c r="Y3" s="2692"/>
      <c r="Z3" s="2692"/>
      <c r="AA3" s="2692"/>
      <c r="AB3" s="2692"/>
      <c r="AC3" s="2692"/>
      <c r="AD3" s="2692"/>
      <c r="AE3" s="2692"/>
      <c r="AF3" s="2692"/>
      <c r="AG3" s="2692"/>
      <c r="AH3" s="1"/>
    </row>
    <row r="4" spans="1:34" ht="15" customHeight="1">
      <c r="A4" s="3400"/>
      <c r="B4" s="3401"/>
      <c r="C4" s="3401"/>
      <c r="D4" s="3402"/>
      <c r="E4" s="2472" t="s">
        <v>727</v>
      </c>
      <c r="F4" s="2472"/>
      <c r="G4" s="2472"/>
      <c r="H4" s="2472"/>
      <c r="I4" s="2472"/>
      <c r="J4" s="2472"/>
      <c r="K4" s="2472"/>
      <c r="L4" s="2472"/>
      <c r="M4" s="2472"/>
      <c r="N4" s="2472"/>
      <c r="O4" s="2472"/>
      <c r="P4" s="2472"/>
      <c r="Q4" s="2472"/>
      <c r="R4" s="2472"/>
      <c r="S4" s="2472"/>
      <c r="T4" s="2472"/>
      <c r="U4" s="2472"/>
      <c r="V4" s="2472"/>
      <c r="W4" s="2472"/>
      <c r="X4" s="2472"/>
      <c r="Y4" s="2472" t="s">
        <v>498</v>
      </c>
      <c r="Z4" s="2472"/>
      <c r="AA4" s="2472"/>
      <c r="AB4" s="2472"/>
      <c r="AC4" s="2472"/>
      <c r="AD4" s="2472"/>
      <c r="AE4" s="2472"/>
      <c r="AF4" s="2472"/>
      <c r="AG4" s="2472"/>
      <c r="AH4" s="1423"/>
    </row>
    <row r="5" spans="1:34" ht="15" customHeight="1">
      <c r="A5" s="3403"/>
      <c r="B5" s="3404"/>
      <c r="C5" s="3404"/>
      <c r="D5" s="3405"/>
      <c r="E5" s="2473" t="s">
        <v>648</v>
      </c>
      <c r="F5" s="2473"/>
      <c r="G5" s="2473"/>
      <c r="H5" s="2473"/>
      <c r="I5" s="2473"/>
      <c r="J5" s="2473"/>
      <c r="K5" s="2473"/>
      <c r="L5" s="2473"/>
      <c r="M5" s="2473"/>
      <c r="N5" s="2473"/>
      <c r="O5" s="2473"/>
      <c r="P5" s="2473"/>
      <c r="Q5" s="2473"/>
      <c r="R5" s="2473"/>
      <c r="S5" s="2473"/>
      <c r="T5" s="2473"/>
      <c r="U5" s="2473"/>
      <c r="V5" s="2473"/>
      <c r="W5" s="2473"/>
      <c r="X5" s="2473"/>
      <c r="Y5" s="2473"/>
      <c r="Z5" s="2473"/>
      <c r="AA5" s="2473"/>
      <c r="AB5" s="2473"/>
      <c r="AC5" s="2473"/>
      <c r="AD5" s="2473"/>
      <c r="AE5" s="2473"/>
      <c r="AF5" s="2473"/>
      <c r="AG5" s="2473"/>
      <c r="AH5" s="1423"/>
    </row>
    <row r="6" spans="1:34" ht="15" customHeight="1">
      <c r="A6" s="1424"/>
      <c r="B6" s="1425"/>
      <c r="C6" s="1425"/>
      <c r="D6" s="1425"/>
      <c r="E6" s="1426"/>
      <c r="F6" s="1426"/>
      <c r="G6" s="1426"/>
      <c r="H6" s="1426"/>
      <c r="I6" s="1426"/>
      <c r="J6" s="1426"/>
      <c r="K6" s="1426"/>
      <c r="L6" s="1426"/>
      <c r="M6" s="1426"/>
      <c r="N6" s="1426"/>
      <c r="O6" s="1426"/>
      <c r="P6" s="1426"/>
      <c r="Q6" s="1426"/>
      <c r="R6" s="1426"/>
      <c r="S6" s="1426"/>
      <c r="T6" s="1426"/>
      <c r="U6" s="1426"/>
      <c r="V6" s="1426"/>
      <c r="W6" s="1426"/>
      <c r="X6" s="1426"/>
      <c r="Y6" s="875"/>
      <c r="Z6" s="875"/>
      <c r="AA6" s="875"/>
      <c r="AB6" s="875"/>
      <c r="AC6" s="875"/>
      <c r="AD6" s="875"/>
      <c r="AE6" s="1427"/>
      <c r="AF6" s="1427"/>
      <c r="AG6" s="1428"/>
      <c r="AH6" s="1429" t="s">
        <v>314</v>
      </c>
    </row>
    <row r="7" spans="1:34" ht="15" customHeight="1">
      <c r="A7" s="1430"/>
      <c r="B7" s="1431"/>
      <c r="C7" s="1431"/>
      <c r="D7" s="1431"/>
      <c r="E7" s="1432"/>
      <c r="F7" s="1432"/>
      <c r="G7" s="1432"/>
      <c r="H7" s="1432"/>
      <c r="I7" s="1432"/>
      <c r="J7" s="1432"/>
      <c r="K7" s="1432"/>
      <c r="L7" s="1432"/>
      <c r="M7" s="1432"/>
      <c r="N7" s="1432"/>
      <c r="O7" s="1432"/>
      <c r="P7" s="1432"/>
      <c r="Q7" s="1432"/>
      <c r="R7" s="1432"/>
      <c r="S7" s="1432"/>
      <c r="T7" s="1432"/>
      <c r="U7" s="2503" t="s">
        <v>9</v>
      </c>
      <c r="V7" s="2503"/>
      <c r="W7" s="2503"/>
      <c r="X7" s="2195" t="str">
        <f>IF('1. Encabezado'!T7="","",'1. Encabezado'!T7)</f>
        <v/>
      </c>
      <c r="Y7" s="2195"/>
      <c r="Z7" s="2195"/>
      <c r="AA7" s="2195"/>
      <c r="AB7" s="2195"/>
      <c r="AC7" s="2195"/>
      <c r="AD7" s="2195"/>
      <c r="AE7" s="2195"/>
      <c r="AF7" s="1433"/>
      <c r="AG7" s="1434"/>
      <c r="AH7" s="393" t="s">
        <v>315</v>
      </c>
    </row>
    <row r="8" spans="1:34" s="1436" customFormat="1" ht="15" customHeight="1">
      <c r="A8" s="455"/>
      <c r="B8" s="456"/>
      <c r="C8" s="456"/>
      <c r="D8" s="456"/>
      <c r="E8" s="1435"/>
      <c r="F8" s="1435"/>
      <c r="G8" s="1435"/>
      <c r="H8" s="1435"/>
      <c r="I8" s="1435"/>
      <c r="J8" s="1435"/>
      <c r="K8" s="1435"/>
      <c r="L8" s="1435"/>
      <c r="M8" s="1310"/>
      <c r="N8" s="1310"/>
      <c r="O8" s="1310"/>
      <c r="P8" s="1310"/>
      <c r="Q8" s="1435"/>
      <c r="R8" s="1435"/>
      <c r="S8" s="1435"/>
      <c r="T8" s="1435"/>
      <c r="U8" s="1435"/>
      <c r="V8" s="1435"/>
      <c r="W8" s="683"/>
      <c r="X8" s="683"/>
      <c r="Y8" s="450"/>
      <c r="Z8" s="2222" t="str">
        <f>IF(X7="",AH11,CONCATENATE(AH7," ",AH8," ",AH9," ", AH10))</f>
        <v>Pagina xx de xx</v>
      </c>
      <c r="AA8" s="2222"/>
      <c r="AB8" s="2222"/>
      <c r="AC8" s="2222"/>
      <c r="AD8" s="2222"/>
      <c r="AE8" s="2222"/>
      <c r="AF8" s="1313"/>
      <c r="AG8" s="1314"/>
      <c r="AH8" s="653">
        <v>14</v>
      </c>
    </row>
    <row r="9" spans="1:34" s="1436" customFormat="1" ht="15" customHeight="1">
      <c r="A9" s="455"/>
      <c r="B9" s="456"/>
      <c r="C9" s="456"/>
      <c r="D9" s="456"/>
      <c r="E9" s="1435"/>
      <c r="F9" s="1435"/>
      <c r="G9" s="1435"/>
      <c r="H9" s="1435"/>
      <c r="I9" s="1435"/>
      <c r="J9" s="1435"/>
      <c r="K9" s="1435"/>
      <c r="L9" s="1435"/>
      <c r="M9" s="456"/>
      <c r="N9" s="456"/>
      <c r="O9" s="456"/>
      <c r="P9" s="456"/>
      <c r="Q9" s="1435"/>
      <c r="R9" s="1435"/>
      <c r="S9" s="1435"/>
      <c r="T9" s="1435"/>
      <c r="U9" s="1435"/>
      <c r="V9" s="1435"/>
      <c r="W9" s="1435"/>
      <c r="X9" s="1435"/>
      <c r="Y9" s="456"/>
      <c r="Z9" s="456"/>
      <c r="AA9" s="456"/>
      <c r="AB9" s="456"/>
      <c r="AC9" s="456"/>
      <c r="AD9" s="456"/>
      <c r="AE9" s="1313"/>
      <c r="AF9" s="1313"/>
      <c r="AG9" s="1314"/>
      <c r="AH9" s="394" t="s">
        <v>316</v>
      </c>
    </row>
    <row r="10" spans="1:34" s="1436" customFormat="1" ht="15" customHeight="1">
      <c r="A10" s="3381" t="s">
        <v>728</v>
      </c>
      <c r="B10" s="3382"/>
      <c r="C10" s="3382"/>
      <c r="D10" s="3382"/>
      <c r="E10" s="3382"/>
      <c r="F10" s="3382"/>
      <c r="G10" s="3382"/>
      <c r="H10" s="3382"/>
      <c r="I10" s="3382"/>
      <c r="J10" s="3382"/>
      <c r="K10" s="3382"/>
      <c r="L10" s="3382"/>
      <c r="M10" s="3382"/>
      <c r="N10" s="3382"/>
      <c r="O10" s="3382"/>
      <c r="P10" s="3382"/>
      <c r="Q10" s="3382"/>
      <c r="R10" s="3382"/>
      <c r="S10" s="3382"/>
      <c r="T10" s="3382"/>
      <c r="U10" s="3382"/>
      <c r="V10" s="3382"/>
      <c r="W10" s="3382"/>
      <c r="X10" s="3382"/>
      <c r="Y10" s="3382"/>
      <c r="Z10" s="3382"/>
      <c r="AA10" s="3382"/>
      <c r="AB10" s="3382"/>
      <c r="AC10" s="3382"/>
      <c r="AD10" s="3382"/>
      <c r="AE10" s="3382"/>
      <c r="AF10" s="3382"/>
      <c r="AG10" s="3383"/>
      <c r="AH10" s="394" t="str">
        <f>IF(X7="","",'1. Encabezado'!AB10)</f>
        <v/>
      </c>
    </row>
    <row r="11" spans="1:34" ht="15" customHeight="1">
      <c r="A11" s="1437"/>
      <c r="B11" s="1438"/>
      <c r="C11" s="1438"/>
      <c r="D11" s="1438"/>
      <c r="E11" s="1438"/>
      <c r="F11" s="1438"/>
      <c r="G11" s="1438"/>
      <c r="H11" s="1438"/>
      <c r="I11" s="1438"/>
      <c r="J11" s="1438"/>
      <c r="K11" s="1438"/>
      <c r="L11" s="1438"/>
      <c r="M11" s="1438"/>
      <c r="N11" s="1438"/>
      <c r="O11" s="1438"/>
      <c r="P11" s="1438"/>
      <c r="Q11" s="1438"/>
      <c r="R11" s="1438"/>
      <c r="S11" s="1438"/>
      <c r="T11" s="1438"/>
      <c r="U11" s="1438"/>
      <c r="V11" s="1438"/>
      <c r="W11" s="1438"/>
      <c r="X11" s="1438"/>
      <c r="Y11" s="1438"/>
      <c r="Z11" s="1438"/>
      <c r="AA11" s="1438"/>
      <c r="AB11" s="1438"/>
      <c r="AC11" s="1438"/>
      <c r="AD11" s="1438"/>
      <c r="AE11" s="1438"/>
      <c r="AF11" s="1438"/>
      <c r="AG11" s="1439"/>
      <c r="AH11" s="1201" t="s">
        <v>317</v>
      </c>
    </row>
    <row r="12" spans="1:34" ht="15" customHeight="1">
      <c r="A12" s="3388" t="s">
        <v>709</v>
      </c>
      <c r="B12" s="3389"/>
      <c r="C12" s="3389"/>
      <c r="D12" s="3389"/>
      <c r="E12" s="3389"/>
      <c r="F12" s="3389"/>
      <c r="G12" s="3389"/>
      <c r="H12" s="3389"/>
      <c r="I12" s="3389"/>
      <c r="J12" s="3389"/>
      <c r="K12" s="3389"/>
      <c r="L12" s="3389"/>
      <c r="M12" s="3389"/>
      <c r="N12" s="3389"/>
      <c r="O12" s="3389"/>
      <c r="P12" s="3389"/>
      <c r="Q12" s="3389"/>
      <c r="R12" s="3389"/>
      <c r="S12" s="3389"/>
      <c r="T12" s="3389"/>
      <c r="U12" s="1346"/>
      <c r="V12" s="1346"/>
      <c r="W12" s="1346" t="s">
        <v>92</v>
      </c>
      <c r="X12" s="1346"/>
      <c r="Y12" s="1346"/>
      <c r="Z12" s="3390"/>
      <c r="AA12" s="3390"/>
      <c r="AB12" s="3390"/>
      <c r="AC12" s="3390"/>
      <c r="AD12" s="3390"/>
      <c r="AE12" s="1346"/>
      <c r="AF12" s="1346" t="s">
        <v>58</v>
      </c>
      <c r="AG12" s="480"/>
    </row>
    <row r="13" spans="1:34" s="143" customFormat="1" ht="15" customHeight="1">
      <c r="A13" s="3388" t="s">
        <v>729</v>
      </c>
      <c r="B13" s="3389"/>
      <c r="C13" s="3389"/>
      <c r="D13" s="3389"/>
      <c r="E13" s="3389"/>
      <c r="F13" s="3389"/>
      <c r="G13" s="3389"/>
      <c r="H13" s="3389"/>
      <c r="I13" s="3389"/>
      <c r="J13" s="3389"/>
      <c r="K13" s="3389"/>
      <c r="L13" s="3389"/>
      <c r="M13" s="3389"/>
      <c r="N13" s="3389"/>
      <c r="O13" s="3389"/>
      <c r="P13" s="3389"/>
      <c r="Q13" s="3389"/>
      <c r="R13" s="3389"/>
      <c r="S13" s="3389"/>
      <c r="T13" s="3389"/>
      <c r="U13" s="1346"/>
      <c r="V13" s="1346"/>
      <c r="W13" s="1346" t="s">
        <v>92</v>
      </c>
      <c r="X13" s="1346"/>
      <c r="Y13" s="1346"/>
      <c r="Z13" s="3390"/>
      <c r="AA13" s="3390"/>
      <c r="AB13" s="3390"/>
      <c r="AC13" s="3390"/>
      <c r="AD13" s="3390"/>
      <c r="AE13" s="1346"/>
      <c r="AF13" s="1346" t="s">
        <v>58</v>
      </c>
      <c r="AG13" s="480"/>
    </row>
    <row r="14" spans="1:34" s="143" customFormat="1" ht="15" customHeight="1">
      <c r="A14" s="3388" t="s">
        <v>730</v>
      </c>
      <c r="B14" s="3389"/>
      <c r="C14" s="3389"/>
      <c r="D14" s="3389"/>
      <c r="E14" s="3389"/>
      <c r="F14" s="3389"/>
      <c r="G14" s="3389"/>
      <c r="H14" s="3389"/>
      <c r="I14" s="3389"/>
      <c r="J14" s="3389"/>
      <c r="K14" s="3389"/>
      <c r="L14" s="3389"/>
      <c r="M14" s="3389"/>
      <c r="N14" s="3389"/>
      <c r="O14" s="3389"/>
      <c r="P14" s="3389"/>
      <c r="Q14" s="3389"/>
      <c r="R14" s="3389"/>
      <c r="S14" s="3389"/>
      <c r="T14" s="3389"/>
      <c r="U14" s="1346"/>
      <c r="V14" s="1346"/>
      <c r="W14" s="1346" t="s">
        <v>92</v>
      </c>
      <c r="X14" s="1346"/>
      <c r="Y14" s="1346"/>
      <c r="Z14" s="3390"/>
      <c r="AA14" s="3390"/>
      <c r="AB14" s="3390"/>
      <c r="AC14" s="3390"/>
      <c r="AD14" s="3390"/>
      <c r="AE14" s="1346"/>
      <c r="AF14" s="1346" t="s">
        <v>58</v>
      </c>
      <c r="AG14" s="480"/>
    </row>
    <row r="15" spans="1:34" s="143" customFormat="1" ht="15" customHeight="1">
      <c r="A15" s="1440"/>
      <c r="B15" s="1441"/>
      <c r="C15" s="1193"/>
      <c r="D15" s="1193"/>
      <c r="E15" s="1193"/>
      <c r="F15" s="1193"/>
      <c r="G15" s="1193"/>
      <c r="H15" s="1193"/>
      <c r="I15" s="1193"/>
      <c r="J15" s="1193"/>
      <c r="K15" s="1193"/>
      <c r="L15" s="1193"/>
      <c r="M15" s="1193"/>
      <c r="N15" s="1193"/>
      <c r="O15" s="1193"/>
      <c r="P15" s="1442"/>
      <c r="Q15" s="1442"/>
      <c r="R15" s="1442"/>
      <c r="S15" s="1443"/>
      <c r="T15" s="1442"/>
      <c r="U15" s="1444"/>
      <c r="V15" s="1193"/>
      <c r="W15" s="1193"/>
      <c r="X15" s="1193"/>
      <c r="Y15" s="1193"/>
      <c r="Z15" s="1445"/>
      <c r="AA15" s="1445"/>
      <c r="AB15" s="1445"/>
      <c r="AC15" s="1445"/>
      <c r="AD15" s="1445"/>
      <c r="AE15" s="1193"/>
      <c r="AF15" s="1193"/>
      <c r="AG15" s="21"/>
    </row>
    <row r="16" spans="1:34" ht="15" customHeight="1">
      <c r="A16" s="3381" t="s">
        <v>731</v>
      </c>
      <c r="B16" s="3382"/>
      <c r="C16" s="3382"/>
      <c r="D16" s="3382"/>
      <c r="E16" s="3382"/>
      <c r="F16" s="3382"/>
      <c r="G16" s="3382"/>
      <c r="H16" s="3382"/>
      <c r="I16" s="3382"/>
      <c r="J16" s="3382"/>
      <c r="K16" s="3382"/>
      <c r="L16" s="3382"/>
      <c r="M16" s="3382"/>
      <c r="N16" s="3382"/>
      <c r="O16" s="3382"/>
      <c r="P16" s="3382"/>
      <c r="Q16" s="3382"/>
      <c r="R16" s="3382"/>
      <c r="S16" s="3382"/>
      <c r="T16" s="3382"/>
      <c r="U16" s="3382"/>
      <c r="V16" s="3382"/>
      <c r="W16" s="3382"/>
      <c r="X16" s="3382"/>
      <c r="Y16" s="3382"/>
      <c r="Z16" s="3382"/>
      <c r="AA16" s="3382"/>
      <c r="AB16" s="3382"/>
      <c r="AC16" s="3382"/>
      <c r="AD16" s="3382"/>
      <c r="AE16" s="3382"/>
      <c r="AF16" s="3382"/>
      <c r="AG16" s="3383"/>
    </row>
    <row r="17" spans="1:33" s="143" customFormat="1" ht="15" customHeight="1">
      <c r="A17" s="1446"/>
      <c r="B17" s="1347"/>
      <c r="C17" s="1347"/>
      <c r="D17" s="1347"/>
      <c r="E17" s="1347"/>
      <c r="F17" s="1347"/>
      <c r="G17" s="1347"/>
      <c r="H17" s="1347"/>
      <c r="I17" s="1347"/>
      <c r="J17" s="1347"/>
      <c r="K17" s="1347"/>
      <c r="L17" s="1347"/>
      <c r="M17" s="1347"/>
      <c r="N17" s="1347"/>
      <c r="O17" s="1347"/>
      <c r="P17" s="1347"/>
      <c r="Q17" s="1347"/>
      <c r="R17" s="1347"/>
      <c r="S17" s="1347"/>
      <c r="T17" s="1347"/>
      <c r="U17" s="1347"/>
      <c r="V17" s="1347"/>
      <c r="W17" s="1347"/>
      <c r="X17" s="1347"/>
      <c r="Y17" s="1347"/>
      <c r="Z17" s="1347"/>
      <c r="AA17" s="1347"/>
      <c r="AB17" s="1347"/>
      <c r="AC17" s="1347"/>
      <c r="AD17" s="1347"/>
      <c r="AE17" s="1347"/>
      <c r="AF17" s="1347"/>
      <c r="AG17" s="1447"/>
    </row>
    <row r="18" spans="1:33" s="143" customFormat="1" ht="15" customHeight="1">
      <c r="A18" s="3"/>
      <c r="B18" s="159"/>
      <c r="C18" s="1346"/>
      <c r="D18" s="1346"/>
      <c r="E18" s="1346"/>
      <c r="F18" s="1346"/>
      <c r="G18" s="1346"/>
      <c r="H18" s="1346"/>
      <c r="I18" s="1346"/>
      <c r="J18" s="1346"/>
      <c r="K18" s="1346"/>
      <c r="L18" s="1346"/>
      <c r="M18" s="1346"/>
      <c r="N18" s="1346"/>
      <c r="O18" s="1346"/>
      <c r="P18" s="160"/>
      <c r="Q18" s="160"/>
      <c r="R18" s="160"/>
      <c r="S18" s="160"/>
      <c r="T18" s="160"/>
      <c r="U18" s="1346"/>
      <c r="V18" s="1346"/>
      <c r="W18" s="1346"/>
      <c r="X18" s="1346"/>
      <c r="Y18" s="1346"/>
      <c r="Z18" s="1346"/>
      <c r="AA18" s="1346"/>
      <c r="AB18" s="1346"/>
      <c r="AC18" s="1346"/>
      <c r="AD18" s="1346"/>
      <c r="AE18" s="1346"/>
      <c r="AF18" s="1346"/>
      <c r="AG18" s="480"/>
    </row>
    <row r="19" spans="1:33" s="143" customFormat="1" ht="15" customHeight="1">
      <c r="A19" s="3"/>
      <c r="B19" s="160"/>
      <c r="C19" s="161"/>
      <c r="D19" s="161"/>
      <c r="E19" s="3387" t="s">
        <v>732</v>
      </c>
      <c r="F19" s="3387"/>
      <c r="G19" s="3387"/>
      <c r="H19" s="3387"/>
      <c r="I19" s="3387"/>
      <c r="J19" s="3387"/>
      <c r="K19" s="3387"/>
      <c r="L19" s="3387"/>
      <c r="M19" s="160"/>
      <c r="N19" s="2696" t="str">
        <f>+IF(Z12="","",Z12/(Z13-Z14))</f>
        <v/>
      </c>
      <c r="O19" s="2697"/>
      <c r="P19" s="2698"/>
      <c r="Q19" s="160"/>
      <c r="R19" s="159"/>
      <c r="S19" s="1448"/>
      <c r="T19" s="1448"/>
      <c r="U19" s="3387" t="s">
        <v>733</v>
      </c>
      <c r="V19" s="3387"/>
      <c r="W19" s="3387"/>
      <c r="X19" s="3387"/>
      <c r="Y19" s="3387"/>
      <c r="Z19" s="3387"/>
      <c r="AA19" s="3387"/>
      <c r="AB19" s="1449"/>
      <c r="AC19" s="2696" t="str">
        <f>+IF(Z13="","",Z13/(Z13-Z14))</f>
        <v/>
      </c>
      <c r="AD19" s="3391"/>
      <c r="AE19" s="3392"/>
      <c r="AF19" s="160"/>
      <c r="AG19" s="3396"/>
    </row>
    <row r="20" spans="1:33" s="143" customFormat="1" ht="15" customHeight="1">
      <c r="A20" s="3"/>
      <c r="B20" s="160"/>
      <c r="C20" s="161"/>
      <c r="D20" s="161"/>
      <c r="E20" s="3387"/>
      <c r="F20" s="3387"/>
      <c r="G20" s="3387"/>
      <c r="H20" s="3387"/>
      <c r="I20" s="3387"/>
      <c r="J20" s="3387"/>
      <c r="K20" s="3387"/>
      <c r="L20" s="3387"/>
      <c r="M20" s="1449"/>
      <c r="N20" s="2699"/>
      <c r="O20" s="2700"/>
      <c r="P20" s="2701"/>
      <c r="Q20" s="1450"/>
      <c r="R20" s="159"/>
      <c r="S20" s="1448"/>
      <c r="T20" s="1448"/>
      <c r="U20" s="3387"/>
      <c r="V20" s="3387"/>
      <c r="W20" s="3387"/>
      <c r="X20" s="3387"/>
      <c r="Y20" s="3387"/>
      <c r="Z20" s="3387"/>
      <c r="AA20" s="3387"/>
      <c r="AB20" s="1449"/>
      <c r="AC20" s="3393"/>
      <c r="AD20" s="3394"/>
      <c r="AE20" s="3395"/>
      <c r="AF20" s="1450"/>
      <c r="AG20" s="3396"/>
    </row>
    <row r="21" spans="1:33" s="143" customFormat="1" ht="15" customHeight="1">
      <c r="A21" s="3"/>
      <c r="B21" s="160"/>
      <c r="C21" s="1343"/>
      <c r="D21" s="1343"/>
      <c r="E21" s="1343"/>
      <c r="F21" s="1343"/>
      <c r="G21" s="1343"/>
      <c r="H21" s="1343"/>
      <c r="I21" s="1343"/>
      <c r="J21" s="1451"/>
      <c r="K21" s="1451"/>
      <c r="L21" s="1451"/>
      <c r="M21" s="1451"/>
      <c r="N21" s="1452"/>
      <c r="O21" s="1452"/>
      <c r="P21" s="1452"/>
      <c r="Q21" s="160"/>
      <c r="R21" s="159"/>
      <c r="S21" s="159"/>
      <c r="T21" s="160"/>
      <c r="U21" s="163"/>
      <c r="V21" s="163"/>
      <c r="W21" s="163"/>
      <c r="X21" s="163"/>
      <c r="Y21" s="163"/>
      <c r="Z21" s="163"/>
      <c r="AA21" s="163"/>
      <c r="AB21" s="165"/>
      <c r="AC21" s="1453"/>
      <c r="AD21" s="1453"/>
      <c r="AE21" s="1453"/>
      <c r="AF21" s="1454"/>
      <c r="AG21" s="1455"/>
    </row>
    <row r="22" spans="1:33" s="143" customFormat="1" ht="15" customHeight="1">
      <c r="A22" s="3"/>
      <c r="B22" s="160"/>
      <c r="C22" s="160"/>
      <c r="D22" s="160"/>
      <c r="E22" s="160"/>
      <c r="F22" s="160"/>
      <c r="G22" s="160"/>
      <c r="H22" s="160"/>
      <c r="I22" s="160"/>
      <c r="J22" s="161"/>
      <c r="K22" s="161"/>
      <c r="L22" s="161"/>
      <c r="M22" s="3387" t="s">
        <v>734</v>
      </c>
      <c r="N22" s="3387"/>
      <c r="O22" s="3387"/>
      <c r="P22" s="3387"/>
      <c r="Q22" s="3387"/>
      <c r="R22" s="3387"/>
      <c r="S22" s="3387"/>
      <c r="T22" s="1449"/>
      <c r="U22" s="2696" t="str">
        <f>+IF(Z12="","",Z12/(Z12-Z14))</f>
        <v/>
      </c>
      <c r="V22" s="2697"/>
      <c r="W22" s="2698"/>
      <c r="X22" s="163"/>
      <c r="Y22" s="163"/>
      <c r="Z22" s="163"/>
      <c r="AA22" s="163"/>
      <c r="AB22" s="165"/>
      <c r="AC22" s="1453"/>
      <c r="AD22" s="1453"/>
      <c r="AE22" s="1453"/>
      <c r="AF22" s="1454"/>
      <c r="AG22" s="1455"/>
    </row>
    <row r="23" spans="1:33" s="143" customFormat="1" ht="15" customHeight="1">
      <c r="A23" s="3"/>
      <c r="B23" s="160"/>
      <c r="C23" s="160"/>
      <c r="D23" s="160"/>
      <c r="E23" s="160"/>
      <c r="F23" s="160"/>
      <c r="G23" s="160"/>
      <c r="H23" s="160"/>
      <c r="I23" s="160"/>
      <c r="J23" s="161"/>
      <c r="K23" s="161"/>
      <c r="L23" s="161"/>
      <c r="M23" s="3387"/>
      <c r="N23" s="3387"/>
      <c r="O23" s="3387"/>
      <c r="P23" s="3387"/>
      <c r="Q23" s="3387"/>
      <c r="R23" s="3387"/>
      <c r="S23" s="3387"/>
      <c r="T23" s="1449"/>
      <c r="U23" s="2699"/>
      <c r="V23" s="2700"/>
      <c r="W23" s="2701"/>
      <c r="X23" s="163"/>
      <c r="Y23" s="163"/>
      <c r="Z23" s="163"/>
      <c r="AA23" s="163"/>
      <c r="AB23" s="165"/>
      <c r="AC23" s="1453"/>
      <c r="AD23" s="1453"/>
      <c r="AE23" s="1453"/>
      <c r="AF23" s="1454"/>
      <c r="AG23" s="1455"/>
    </row>
    <row r="24" spans="1:33" s="143" customFormat="1" ht="15" customHeight="1">
      <c r="A24" s="1440"/>
      <c r="B24" s="1442"/>
      <c r="C24" s="1456"/>
      <c r="D24" s="1456"/>
      <c r="E24" s="1456"/>
      <c r="F24" s="1456"/>
      <c r="G24" s="1456"/>
      <c r="H24" s="1456"/>
      <c r="I24" s="1456"/>
      <c r="J24" s="1457"/>
      <c r="K24" s="1457"/>
      <c r="L24" s="1457"/>
      <c r="M24" s="1457"/>
      <c r="N24" s="1458"/>
      <c r="O24" s="1458"/>
      <c r="P24" s="1458"/>
      <c r="Q24" s="1442"/>
      <c r="R24" s="1441"/>
      <c r="S24" s="1441"/>
      <c r="T24" s="1442"/>
      <c r="U24" s="1459"/>
      <c r="V24" s="1459"/>
      <c r="W24" s="1459"/>
      <c r="X24" s="1459"/>
      <c r="Y24" s="1459"/>
      <c r="Z24" s="1459"/>
      <c r="AA24" s="1459"/>
      <c r="AB24" s="1460"/>
      <c r="AC24" s="1461"/>
      <c r="AD24" s="1461"/>
      <c r="AE24" s="1461"/>
      <c r="AF24" s="1462"/>
      <c r="AG24" s="1463"/>
    </row>
    <row r="25" spans="1:33" s="143" customFormat="1" ht="15" customHeight="1">
      <c r="A25" s="3381" t="s">
        <v>735</v>
      </c>
      <c r="B25" s="3382"/>
      <c r="C25" s="3382"/>
      <c r="D25" s="3382"/>
      <c r="E25" s="3382"/>
      <c r="F25" s="3382"/>
      <c r="G25" s="3382"/>
      <c r="H25" s="3382"/>
      <c r="I25" s="3382"/>
      <c r="J25" s="3382"/>
      <c r="K25" s="3382"/>
      <c r="L25" s="3382"/>
      <c r="M25" s="3382"/>
      <c r="N25" s="3382"/>
      <c r="O25" s="3382"/>
      <c r="P25" s="3382"/>
      <c r="Q25" s="3382"/>
      <c r="R25" s="3382"/>
      <c r="S25" s="3382"/>
      <c r="T25" s="3382"/>
      <c r="U25" s="3382"/>
      <c r="V25" s="3382"/>
      <c r="W25" s="3382"/>
      <c r="X25" s="3382"/>
      <c r="Y25" s="3382"/>
      <c r="Z25" s="3382"/>
      <c r="AA25" s="3382"/>
      <c r="AB25" s="3382"/>
      <c r="AC25" s="3382"/>
      <c r="AD25" s="3382"/>
      <c r="AE25" s="3382"/>
      <c r="AF25" s="3382"/>
      <c r="AG25" s="3383"/>
    </row>
    <row r="26" spans="1:33" s="143" customFormat="1" ht="15" customHeight="1">
      <c r="A26" s="1464"/>
      <c r="B26" s="1465"/>
      <c r="C26" s="1465"/>
      <c r="D26" s="1465"/>
      <c r="E26" s="1465"/>
      <c r="F26" s="1465"/>
      <c r="G26" s="1465"/>
      <c r="H26" s="1465"/>
      <c r="I26" s="1465"/>
      <c r="J26" s="1465"/>
      <c r="K26" s="1465"/>
      <c r="L26" s="1465"/>
      <c r="M26" s="1465"/>
      <c r="N26" s="1465"/>
      <c r="O26" s="1465"/>
      <c r="P26" s="1465"/>
      <c r="Q26" s="1465"/>
      <c r="R26" s="1465"/>
      <c r="S26" s="1465"/>
      <c r="T26" s="1465"/>
      <c r="U26" s="1465"/>
      <c r="V26" s="1465"/>
      <c r="W26" s="1465"/>
      <c r="X26" s="1465"/>
      <c r="Y26" s="1465"/>
      <c r="Z26" s="1465"/>
      <c r="AA26" s="1465"/>
      <c r="AB26" s="1465"/>
      <c r="AC26" s="1465"/>
      <c r="AD26" s="1465"/>
      <c r="AE26" s="1465"/>
      <c r="AF26" s="1465"/>
      <c r="AG26" s="1466"/>
    </row>
    <row r="27" spans="1:33" s="143" customFormat="1" ht="15" customHeight="1">
      <c r="A27" s="3"/>
      <c r="B27" s="159"/>
      <c r="C27" s="1346"/>
      <c r="D27" s="1346"/>
      <c r="E27" s="1346"/>
      <c r="F27" s="1346"/>
      <c r="G27" s="1346"/>
      <c r="H27" s="1346"/>
      <c r="I27" s="1346"/>
      <c r="J27" s="1346"/>
      <c r="K27" s="1346"/>
      <c r="L27" s="1346"/>
      <c r="M27" s="1346"/>
      <c r="N27" s="1346"/>
      <c r="O27" s="1346"/>
      <c r="P27" s="160"/>
      <c r="Q27" s="160"/>
      <c r="R27" s="160"/>
      <c r="S27" s="160"/>
      <c r="T27" s="160"/>
      <c r="U27" s="1346"/>
      <c r="V27" s="1346"/>
      <c r="W27" s="1346"/>
      <c r="X27" s="1346"/>
      <c r="Y27" s="1346"/>
      <c r="Z27" s="1346"/>
      <c r="AA27" s="1346"/>
      <c r="AB27" s="1346"/>
      <c r="AC27" s="1346"/>
      <c r="AD27" s="1346"/>
      <c r="AE27" s="1346"/>
      <c r="AF27" s="1346"/>
      <c r="AG27" s="480"/>
    </row>
    <row r="28" spans="1:33" s="143" customFormat="1" ht="15" customHeight="1">
      <c r="A28" s="3"/>
      <c r="B28" s="160"/>
      <c r="C28" s="1467"/>
      <c r="D28" s="1467"/>
      <c r="E28" s="1467"/>
      <c r="F28" s="3387" t="s">
        <v>736</v>
      </c>
      <c r="G28" s="3387"/>
      <c r="H28" s="3387"/>
      <c r="I28" s="3387"/>
      <c r="J28" s="3387"/>
      <c r="K28" s="3387"/>
      <c r="L28" s="3387"/>
      <c r="M28" s="1468"/>
      <c r="N28" s="3375" t="str">
        <f>IF(Z12="","",997.5*Z12/(Z13-Z14))</f>
        <v/>
      </c>
      <c r="O28" s="3376"/>
      <c r="P28" s="3377"/>
      <c r="Q28" s="160"/>
      <c r="R28" s="159"/>
      <c r="S28" s="1467"/>
      <c r="T28" s="1467"/>
      <c r="U28" s="1467"/>
      <c r="V28" s="1467"/>
      <c r="W28" s="3385" t="s">
        <v>737</v>
      </c>
      <c r="X28" s="3385"/>
      <c r="Y28" s="3385"/>
      <c r="Z28" s="3385"/>
      <c r="AA28" s="3385"/>
      <c r="AB28" s="1468"/>
      <c r="AC28" s="3375" t="str">
        <f>IF(Z13="","",997.5*Z13/(Z13-Z14))</f>
        <v/>
      </c>
      <c r="AD28" s="3376"/>
      <c r="AE28" s="3377"/>
      <c r="AF28" s="160"/>
      <c r="AG28" s="3386"/>
    </row>
    <row r="29" spans="1:33" s="143" customFormat="1" ht="15" customHeight="1">
      <c r="A29" s="3"/>
      <c r="B29" s="160"/>
      <c r="C29" s="1467"/>
      <c r="D29" s="1467"/>
      <c r="E29" s="1467"/>
      <c r="F29" s="3387"/>
      <c r="G29" s="3387"/>
      <c r="H29" s="3387"/>
      <c r="I29" s="3387"/>
      <c r="J29" s="3387"/>
      <c r="K29" s="3387"/>
      <c r="L29" s="3387"/>
      <c r="M29" s="1468"/>
      <c r="N29" s="3378"/>
      <c r="O29" s="3379"/>
      <c r="P29" s="3380"/>
      <c r="Q29" s="1450"/>
      <c r="R29" s="159"/>
      <c r="S29" s="1467"/>
      <c r="T29" s="1467"/>
      <c r="U29" s="1467"/>
      <c r="V29" s="1467"/>
      <c r="W29" s="3385"/>
      <c r="X29" s="3385"/>
      <c r="Y29" s="3385"/>
      <c r="Z29" s="3385"/>
      <c r="AA29" s="3385"/>
      <c r="AB29" s="1468"/>
      <c r="AC29" s="3378"/>
      <c r="AD29" s="3379"/>
      <c r="AE29" s="3380"/>
      <c r="AF29" s="1450"/>
      <c r="AG29" s="3386"/>
    </row>
    <row r="30" spans="1:33" s="143" customFormat="1" ht="15" customHeight="1">
      <c r="A30" s="3"/>
      <c r="B30" s="160"/>
      <c r="C30" s="1469"/>
      <c r="D30" s="1469"/>
      <c r="E30" s="1469"/>
      <c r="F30" s="1469"/>
      <c r="G30" s="1469"/>
      <c r="H30" s="1469"/>
      <c r="I30" s="1469"/>
      <c r="J30" s="1451"/>
      <c r="K30" s="1451"/>
      <c r="L30" s="1451"/>
      <c r="M30" s="1451"/>
      <c r="N30" s="1470"/>
      <c r="O30" s="1470"/>
      <c r="P30" s="1470"/>
      <c r="Q30" s="160"/>
      <c r="R30" s="159"/>
      <c r="S30" s="159"/>
      <c r="T30" s="160"/>
      <c r="U30" s="1471"/>
      <c r="V30" s="1471"/>
      <c r="W30" s="1471"/>
      <c r="X30" s="1471"/>
      <c r="Y30" s="1471"/>
      <c r="Z30" s="1471"/>
      <c r="AA30" s="1471"/>
      <c r="AB30" s="165"/>
      <c r="AC30" s="1453"/>
      <c r="AD30" s="1453"/>
      <c r="AE30" s="1453"/>
      <c r="AF30" s="1453"/>
      <c r="AG30" s="1472"/>
    </row>
    <row r="31" spans="1:33" s="143" customFormat="1" ht="15" customHeight="1">
      <c r="A31" s="3"/>
      <c r="B31" s="160"/>
      <c r="C31" s="160"/>
      <c r="D31" s="160"/>
      <c r="E31" s="160"/>
      <c r="F31" s="160"/>
      <c r="G31" s="160"/>
      <c r="H31" s="160"/>
      <c r="I31" s="160"/>
      <c r="J31" s="1467"/>
      <c r="K31" s="3374" t="s">
        <v>738</v>
      </c>
      <c r="L31" s="3374"/>
      <c r="M31" s="3374"/>
      <c r="N31" s="3374"/>
      <c r="O31" s="3374"/>
      <c r="P31" s="3374"/>
      <c r="Q31" s="3374"/>
      <c r="R31" s="3374"/>
      <c r="S31" s="3374"/>
      <c r="T31" s="1473"/>
      <c r="U31" s="3375" t="str">
        <f>IF(Z12="","",997.5*Z12/(Z12-Z14))</f>
        <v/>
      </c>
      <c r="V31" s="3376"/>
      <c r="W31" s="3377"/>
      <c r="X31" s="1471"/>
      <c r="Y31" s="1471"/>
      <c r="Z31" s="1471"/>
      <c r="AA31" s="1471"/>
      <c r="AB31" s="165"/>
      <c r="AC31" s="1453"/>
      <c r="AD31" s="1453"/>
      <c r="AE31" s="1453"/>
      <c r="AF31" s="1453"/>
      <c r="AG31" s="1472"/>
    </row>
    <row r="32" spans="1:33" s="143" customFormat="1" ht="15" customHeight="1">
      <c r="A32" s="3"/>
      <c r="B32" s="160"/>
      <c r="C32" s="160"/>
      <c r="D32" s="160"/>
      <c r="E32" s="160"/>
      <c r="F32" s="160"/>
      <c r="G32" s="160"/>
      <c r="H32" s="160"/>
      <c r="I32" s="160"/>
      <c r="J32" s="1467"/>
      <c r="K32" s="3374"/>
      <c r="L32" s="3374"/>
      <c r="M32" s="3374"/>
      <c r="N32" s="3374"/>
      <c r="O32" s="3374"/>
      <c r="P32" s="3374"/>
      <c r="Q32" s="3374"/>
      <c r="R32" s="3374"/>
      <c r="S32" s="3374"/>
      <c r="T32" s="1473"/>
      <c r="U32" s="3378"/>
      <c r="V32" s="3379"/>
      <c r="W32" s="3380"/>
      <c r="X32" s="1471"/>
      <c r="Y32" s="1471"/>
      <c r="Z32" s="1471"/>
      <c r="AA32" s="1471"/>
      <c r="AB32" s="165"/>
      <c r="AC32" s="1453"/>
      <c r="AD32" s="1453"/>
      <c r="AE32" s="1453"/>
      <c r="AF32" s="1453"/>
      <c r="AG32" s="1472"/>
    </row>
    <row r="33" spans="1:34" s="143" customFormat="1" ht="15" customHeight="1">
      <c r="A33" s="3"/>
      <c r="B33" s="160"/>
      <c r="C33" s="160"/>
      <c r="D33" s="160"/>
      <c r="E33" s="160"/>
      <c r="F33" s="160"/>
      <c r="G33" s="160"/>
      <c r="H33" s="160"/>
      <c r="I33" s="160"/>
      <c r="J33" s="161"/>
      <c r="K33" s="161"/>
      <c r="L33" s="1474"/>
      <c r="M33" s="1474"/>
      <c r="N33" s="1474"/>
      <c r="O33" s="1474"/>
      <c r="P33" s="1474"/>
      <c r="Q33" s="1474"/>
      <c r="R33" s="1474"/>
      <c r="S33" s="1474"/>
      <c r="T33" s="1475"/>
      <c r="U33" s="1476"/>
      <c r="V33" s="1476"/>
      <c r="W33" s="1476"/>
      <c r="X33" s="163"/>
      <c r="Y33" s="163"/>
      <c r="Z33" s="163"/>
      <c r="AA33" s="163"/>
      <c r="AB33" s="165"/>
      <c r="AC33" s="1454"/>
      <c r="AD33" s="1454"/>
      <c r="AE33" s="1454"/>
      <c r="AF33" s="1454"/>
      <c r="AG33" s="1455"/>
    </row>
    <row r="34" spans="1:34" s="143" customFormat="1" ht="15" customHeight="1">
      <c r="A34" s="3381" t="s">
        <v>739</v>
      </c>
      <c r="B34" s="3382"/>
      <c r="C34" s="3382"/>
      <c r="D34" s="3382"/>
      <c r="E34" s="3382"/>
      <c r="F34" s="3382"/>
      <c r="G34" s="3382"/>
      <c r="H34" s="3382"/>
      <c r="I34" s="3382"/>
      <c r="J34" s="3382"/>
      <c r="K34" s="3382"/>
      <c r="L34" s="3382"/>
      <c r="M34" s="3382"/>
      <c r="N34" s="3382"/>
      <c r="O34" s="3382"/>
      <c r="P34" s="3382"/>
      <c r="Q34" s="3382"/>
      <c r="R34" s="3382"/>
      <c r="S34" s="3382"/>
      <c r="T34" s="3382"/>
      <c r="U34" s="3382"/>
      <c r="V34" s="3382"/>
      <c r="W34" s="3382"/>
      <c r="X34" s="3382"/>
      <c r="Y34" s="3382"/>
      <c r="Z34" s="3382"/>
      <c r="AA34" s="3382"/>
      <c r="AB34" s="3382"/>
      <c r="AC34" s="3382"/>
      <c r="AD34" s="3382"/>
      <c r="AE34" s="3382"/>
      <c r="AF34" s="3382"/>
      <c r="AG34" s="3383"/>
    </row>
    <row r="35" spans="1:34" s="143" customFormat="1" ht="15" customHeight="1">
      <c r="A35" s="1477"/>
      <c r="B35" s="1478"/>
      <c r="C35" s="1478"/>
      <c r="D35" s="1478"/>
      <c r="E35" s="1478"/>
      <c r="F35" s="1478"/>
      <c r="G35" s="1478"/>
      <c r="H35" s="1478"/>
      <c r="I35" s="1478"/>
      <c r="J35" s="1478"/>
      <c r="K35" s="1478"/>
      <c r="L35" s="1478"/>
      <c r="M35" s="1478"/>
      <c r="N35" s="1478"/>
      <c r="O35" s="1478"/>
      <c r="P35" s="1478"/>
      <c r="Q35" s="1478"/>
      <c r="R35" s="1478"/>
      <c r="S35" s="1478"/>
      <c r="T35" s="1478"/>
      <c r="U35" s="1478"/>
      <c r="V35" s="1478"/>
      <c r="W35" s="1478"/>
      <c r="X35" s="1478"/>
      <c r="Y35" s="1478"/>
      <c r="Z35" s="1478"/>
      <c r="AA35" s="1478"/>
      <c r="AB35" s="1478"/>
      <c r="AC35" s="1478"/>
      <c r="AD35" s="1478"/>
      <c r="AE35" s="1478"/>
      <c r="AF35" s="1478"/>
      <c r="AG35" s="1479"/>
    </row>
    <row r="36" spans="1:34" s="143" customFormat="1" ht="15" customHeight="1">
      <c r="A36" s="3"/>
      <c r="B36" s="160"/>
      <c r="C36" s="1343"/>
      <c r="D36" s="1343"/>
      <c r="E36" s="1343"/>
      <c r="F36" s="1343"/>
      <c r="G36" s="1343"/>
      <c r="H36" s="1343"/>
      <c r="I36" s="1343"/>
      <c r="J36" s="1480"/>
      <c r="K36" s="1480"/>
      <c r="L36" s="1480"/>
      <c r="M36" s="3384" t="s">
        <v>725</v>
      </c>
      <c r="N36" s="3384"/>
      <c r="O36" s="3384"/>
      <c r="P36" s="3384"/>
      <c r="Q36" s="3384"/>
      <c r="R36" s="3384"/>
      <c r="S36" s="3384"/>
      <c r="T36" s="208"/>
      <c r="U36" s="3368" t="str">
        <f>+IF(Z12="","",(Z13-Z12)*100/Z12)</f>
        <v/>
      </c>
      <c r="V36" s="3369"/>
      <c r="W36" s="3370"/>
      <c r="X36" s="163"/>
      <c r="Y36" s="163"/>
      <c r="Z36" s="163"/>
      <c r="AA36" s="163"/>
      <c r="AB36" s="165"/>
      <c r="AC36" s="1454"/>
      <c r="AD36" s="1454"/>
      <c r="AE36" s="1454"/>
      <c r="AF36" s="1454"/>
      <c r="AG36" s="1455"/>
    </row>
    <row r="37" spans="1:34" s="143" customFormat="1" ht="15" customHeight="1">
      <c r="A37" s="3"/>
      <c r="B37" s="160"/>
      <c r="C37" s="1343"/>
      <c r="D37" s="1343"/>
      <c r="E37" s="1343"/>
      <c r="F37" s="1343"/>
      <c r="G37" s="1343"/>
      <c r="H37" s="1343"/>
      <c r="I37" s="1343"/>
      <c r="J37" s="1480"/>
      <c r="K37" s="1480"/>
      <c r="L37" s="1480"/>
      <c r="M37" s="3384"/>
      <c r="N37" s="3384"/>
      <c r="O37" s="3384"/>
      <c r="P37" s="3384"/>
      <c r="Q37" s="3384"/>
      <c r="R37" s="3384"/>
      <c r="S37" s="3384"/>
      <c r="T37" s="208"/>
      <c r="U37" s="3371"/>
      <c r="V37" s="3372"/>
      <c r="W37" s="3373"/>
      <c r="X37" s="163"/>
      <c r="Y37" s="163"/>
      <c r="Z37" s="163"/>
      <c r="AA37" s="163"/>
      <c r="AB37" s="165"/>
      <c r="AC37" s="1454"/>
      <c r="AD37" s="1454"/>
      <c r="AE37" s="1454"/>
      <c r="AF37" s="1454"/>
      <c r="AG37" s="1455"/>
    </row>
    <row r="38" spans="1:34" s="143" customFormat="1" ht="15" customHeight="1">
      <c r="A38" s="3"/>
      <c r="B38" s="160"/>
      <c r="C38" s="1343"/>
      <c r="D38" s="1343"/>
      <c r="E38" s="1343"/>
      <c r="F38" s="1343"/>
      <c r="G38" s="1343"/>
      <c r="H38" s="1343"/>
      <c r="I38" s="1343"/>
      <c r="J38" s="1480"/>
      <c r="K38" s="1480"/>
      <c r="L38" s="1480"/>
      <c r="M38" s="1451"/>
      <c r="N38" s="1451"/>
      <c r="O38" s="1451"/>
      <c r="P38" s="1451"/>
      <c r="Q38" s="1451"/>
      <c r="R38" s="1451"/>
      <c r="S38" s="1451"/>
      <c r="T38" s="208"/>
      <c r="U38" s="1481"/>
      <c r="V38" s="1481"/>
      <c r="W38" s="1481"/>
      <c r="X38" s="163"/>
      <c r="Y38" s="163"/>
      <c r="Z38" s="163"/>
      <c r="AA38" s="163"/>
      <c r="AB38" s="165"/>
      <c r="AC38" s="1454"/>
      <c r="AD38" s="1454"/>
      <c r="AE38" s="1454"/>
      <c r="AF38" s="1454"/>
      <c r="AG38" s="1455"/>
    </row>
    <row r="39" spans="1:34" s="143" customFormat="1" ht="15" customHeight="1">
      <c r="A39" s="3"/>
      <c r="B39" s="3353" t="s">
        <v>633</v>
      </c>
      <c r="C39" s="3353"/>
      <c r="D39" s="3353"/>
      <c r="E39" s="3353"/>
      <c r="F39" s="3353"/>
      <c r="G39" s="3353"/>
      <c r="H39" s="3354"/>
      <c r="I39" s="3354"/>
      <c r="J39" s="3354"/>
      <c r="K39" s="3354"/>
      <c r="L39" s="3354"/>
      <c r="M39" s="3354"/>
      <c r="N39" s="2681" t="str">
        <f>IF(H39="","","al")</f>
        <v/>
      </c>
      <c r="O39" s="2681"/>
      <c r="P39" s="3354"/>
      <c r="Q39" s="3354"/>
      <c r="R39" s="3354"/>
      <c r="S39" s="3354"/>
      <c r="T39" s="3354"/>
      <c r="U39" s="3354"/>
      <c r="V39" s="1481"/>
      <c r="W39" s="1481"/>
      <c r="X39" s="163"/>
      <c r="Y39" s="163"/>
      <c r="Z39" s="163"/>
      <c r="AA39" s="163"/>
      <c r="AB39" s="165"/>
      <c r="AC39" s="1454"/>
      <c r="AD39" s="1454"/>
      <c r="AE39" s="1454"/>
      <c r="AF39" s="1454"/>
      <c r="AG39" s="1455"/>
    </row>
    <row r="40" spans="1:34" s="143" customFormat="1" ht="15" customHeight="1">
      <c r="A40" s="1440"/>
      <c r="B40" s="1442"/>
      <c r="C40" s="1456"/>
      <c r="D40" s="1456"/>
      <c r="E40" s="1456"/>
      <c r="F40" s="1456"/>
      <c r="G40" s="1456"/>
      <c r="H40" s="1456"/>
      <c r="I40" s="1456"/>
      <c r="J40" s="1482"/>
      <c r="K40" s="1482"/>
      <c r="L40" s="1482"/>
      <c r="M40" s="1482"/>
      <c r="N40" s="1458"/>
      <c r="O40" s="1458"/>
      <c r="P40" s="1458"/>
      <c r="Q40" s="1442"/>
      <c r="R40" s="1441"/>
      <c r="S40" s="1441"/>
      <c r="T40" s="1442"/>
      <c r="U40" s="1459"/>
      <c r="V40" s="1459"/>
      <c r="W40" s="1459"/>
      <c r="X40" s="1459"/>
      <c r="Y40" s="1459"/>
      <c r="Z40" s="1459"/>
      <c r="AA40" s="1459"/>
      <c r="AB40" s="1460"/>
      <c r="AC40" s="1462"/>
      <c r="AD40" s="1462"/>
      <c r="AE40" s="1462"/>
      <c r="AF40" s="1462"/>
      <c r="AG40" s="1463"/>
    </row>
    <row r="41" spans="1:34" s="143" customFormat="1" ht="15" customHeight="1">
      <c r="A41" s="1483"/>
      <c r="B41" s="3355" t="s">
        <v>10</v>
      </c>
      <c r="C41" s="3355"/>
      <c r="D41" s="3355"/>
      <c r="E41" s="3355"/>
      <c r="F41" s="3355"/>
      <c r="G41" s="3356"/>
      <c r="H41" s="3356"/>
      <c r="I41" s="3356"/>
      <c r="J41" s="3356"/>
      <c r="K41" s="3356"/>
      <c r="L41" s="3356"/>
      <c r="M41" s="3356"/>
      <c r="N41" s="3356"/>
      <c r="O41" s="3356"/>
      <c r="P41" s="3356"/>
      <c r="Q41" s="3356"/>
      <c r="R41" s="3356"/>
      <c r="S41" s="3356"/>
      <c r="T41" s="3356"/>
      <c r="U41" s="3356"/>
      <c r="V41" s="3356"/>
      <c r="W41" s="3356"/>
      <c r="X41" s="3356"/>
      <c r="Y41" s="3356"/>
      <c r="Z41" s="3356"/>
      <c r="AA41" s="3356"/>
      <c r="AB41" s="3356"/>
      <c r="AC41" s="3356"/>
      <c r="AD41" s="3356"/>
      <c r="AE41" s="3356"/>
      <c r="AF41" s="3356"/>
      <c r="AG41" s="3357"/>
    </row>
    <row r="42" spans="1:34" s="143" customFormat="1" ht="15" customHeight="1">
      <c r="A42" s="3358"/>
      <c r="B42" s="3359"/>
      <c r="C42" s="3359"/>
      <c r="D42" s="3359"/>
      <c r="E42" s="3359"/>
      <c r="F42" s="3359"/>
      <c r="G42" s="3359"/>
      <c r="H42" s="3359"/>
      <c r="I42" s="3359"/>
      <c r="J42" s="3359"/>
      <c r="K42" s="3359"/>
      <c r="L42" s="3359"/>
      <c r="M42" s="3359"/>
      <c r="N42" s="3359"/>
      <c r="O42" s="3359"/>
      <c r="P42" s="3359"/>
      <c r="Q42" s="3359"/>
      <c r="R42" s="3359"/>
      <c r="S42" s="3359"/>
      <c r="T42" s="3359"/>
      <c r="U42" s="3359"/>
      <c r="V42" s="3359"/>
      <c r="W42" s="3359"/>
      <c r="X42" s="3359"/>
      <c r="Y42" s="3359"/>
      <c r="Z42" s="3359"/>
      <c r="AA42" s="3359"/>
      <c r="AB42" s="3359"/>
      <c r="AC42" s="3359"/>
      <c r="AD42" s="3359"/>
      <c r="AE42" s="3359"/>
      <c r="AF42" s="3359"/>
      <c r="AG42" s="3360"/>
    </row>
    <row r="43" spans="1:34" s="143" customFormat="1" ht="15" customHeight="1">
      <c r="A43" s="3361"/>
      <c r="B43" s="3362"/>
      <c r="C43" s="3362"/>
      <c r="D43" s="3362"/>
      <c r="E43" s="3362"/>
      <c r="F43" s="3362"/>
      <c r="G43" s="3362"/>
      <c r="H43" s="3362"/>
      <c r="I43" s="3362"/>
      <c r="J43" s="3362"/>
      <c r="K43" s="3362"/>
      <c r="L43" s="3362"/>
      <c r="M43" s="3362"/>
      <c r="N43" s="3362"/>
      <c r="O43" s="3362"/>
      <c r="P43" s="3362"/>
      <c r="Q43" s="3362"/>
      <c r="R43" s="3362"/>
      <c r="S43" s="3362"/>
      <c r="T43" s="3362"/>
      <c r="U43" s="3362"/>
      <c r="V43" s="3362"/>
      <c r="W43" s="3362"/>
      <c r="X43" s="3362"/>
      <c r="Y43" s="3362"/>
      <c r="Z43" s="3362"/>
      <c r="AA43" s="3362"/>
      <c r="AB43" s="3362"/>
      <c r="AC43" s="3362"/>
      <c r="AD43" s="3362"/>
      <c r="AE43" s="3362"/>
      <c r="AF43" s="3362"/>
      <c r="AG43" s="3363"/>
    </row>
    <row r="44" spans="1:34" s="143" customFormat="1" ht="15" customHeight="1" thickBot="1">
      <c r="A44" s="3364"/>
      <c r="B44" s="3365"/>
      <c r="C44" s="3365"/>
      <c r="D44" s="3365"/>
      <c r="E44" s="3365"/>
      <c r="F44" s="3365"/>
      <c r="G44" s="3365"/>
      <c r="H44" s="3365"/>
      <c r="I44" s="3365"/>
      <c r="J44" s="3365"/>
      <c r="K44" s="3365"/>
      <c r="L44" s="3365"/>
      <c r="M44" s="3365"/>
      <c r="N44" s="3365"/>
      <c r="O44" s="3365"/>
      <c r="P44" s="3365"/>
      <c r="Q44" s="3365"/>
      <c r="R44" s="3365"/>
      <c r="S44" s="3365"/>
      <c r="T44" s="3365"/>
      <c r="U44" s="3365"/>
      <c r="V44" s="3365"/>
      <c r="W44" s="3365"/>
      <c r="X44" s="3365"/>
      <c r="Y44" s="3365"/>
      <c r="Z44" s="3365"/>
      <c r="AA44" s="3365"/>
      <c r="AB44" s="3365"/>
      <c r="AC44" s="3365"/>
      <c r="AD44" s="3365"/>
      <c r="AE44" s="3365"/>
      <c r="AF44" s="3365"/>
      <c r="AG44" s="3366"/>
    </row>
    <row r="45" spans="1:34" s="228" customFormat="1" ht="15" customHeight="1" thickTop="1" thickBot="1">
      <c r="A45" s="3367" t="s">
        <v>13</v>
      </c>
      <c r="B45" s="3367"/>
      <c r="C45" s="3367"/>
      <c r="D45" s="3367"/>
      <c r="E45" s="3367"/>
      <c r="F45" s="3367"/>
      <c r="G45" s="3367"/>
      <c r="H45" s="3367"/>
      <c r="I45" s="3367"/>
      <c r="J45" s="3367"/>
      <c r="K45" s="3367"/>
      <c r="L45" s="3367"/>
      <c r="M45" s="3367"/>
      <c r="N45" s="3367"/>
      <c r="O45" s="3367"/>
      <c r="P45" s="3367"/>
      <c r="Q45" s="3367"/>
      <c r="R45" s="3367"/>
      <c r="S45" s="3367"/>
      <c r="T45" s="3367"/>
      <c r="U45" s="3367"/>
      <c r="V45" s="3367"/>
      <c r="W45" s="3367"/>
      <c r="X45" s="3367"/>
      <c r="Y45" s="3367"/>
      <c r="Z45" s="3367"/>
      <c r="AA45" s="3367"/>
      <c r="AB45" s="3367"/>
      <c r="AC45" s="3367"/>
      <c r="AD45" s="3367"/>
      <c r="AE45" s="3367"/>
      <c r="AF45" s="3367"/>
      <c r="AG45" s="3367"/>
    </row>
    <row r="46" spans="1:34" s="228" customFormat="1" ht="15" customHeight="1" thickTop="1">
      <c r="A46" s="2760"/>
      <c r="B46" s="2760"/>
      <c r="C46" s="2760"/>
      <c r="D46" s="2760"/>
      <c r="E46" s="2760"/>
      <c r="F46" s="2760"/>
      <c r="G46" s="2760"/>
      <c r="H46" s="2760"/>
      <c r="I46" s="2760"/>
      <c r="J46" s="2760"/>
      <c r="K46" s="2760"/>
      <c r="L46" s="2760"/>
      <c r="M46" s="2760"/>
      <c r="N46" s="2760"/>
      <c r="O46" s="2760"/>
      <c r="P46" s="2760"/>
      <c r="Q46" s="2760"/>
      <c r="R46" s="2760"/>
      <c r="S46" s="2760"/>
      <c r="T46" s="2760"/>
      <c r="U46" s="2760"/>
      <c r="V46" s="2760"/>
      <c r="W46" s="2760"/>
      <c r="X46" s="2760"/>
      <c r="Y46" s="2760"/>
      <c r="Z46" s="2760"/>
      <c r="AA46" s="2760"/>
      <c r="AB46" s="2760"/>
      <c r="AC46" s="2760"/>
      <c r="AD46" s="2760"/>
      <c r="AE46" s="2760"/>
      <c r="AF46" s="2760"/>
      <c r="AG46" s="2760"/>
    </row>
    <row r="47" spans="1:34" s="228" customFormat="1" ht="15" customHeight="1">
      <c r="A47" s="2737" t="s">
        <v>306</v>
      </c>
      <c r="B47" s="2737"/>
      <c r="C47" s="2737"/>
      <c r="D47" s="2737"/>
      <c r="E47" s="2737"/>
      <c r="F47" s="2737"/>
      <c r="G47" s="2737"/>
      <c r="H47" s="2737"/>
      <c r="I47" s="2737"/>
      <c r="J47" s="2737"/>
      <c r="K47" s="2737"/>
      <c r="L47" s="2737"/>
      <c r="M47" s="2737"/>
      <c r="N47" s="2737"/>
      <c r="O47" s="2737"/>
      <c r="P47" s="2737"/>
      <c r="Q47" s="2737"/>
      <c r="R47" s="2737"/>
      <c r="S47" s="2737"/>
      <c r="T47" s="2737"/>
      <c r="U47" s="2737"/>
      <c r="V47" s="2737"/>
      <c r="W47" s="2737"/>
      <c r="X47" s="2737"/>
      <c r="Y47" s="2737"/>
      <c r="Z47" s="2737"/>
      <c r="AA47" s="2737"/>
      <c r="AB47" s="2737"/>
      <c r="AC47" s="2737"/>
      <c r="AD47" s="2737"/>
      <c r="AE47" s="2737"/>
      <c r="AF47" s="2737"/>
      <c r="AG47" s="2737"/>
      <c r="AH47" s="329"/>
    </row>
    <row r="48" spans="1:34" s="228" customFormat="1" ht="15" customHeight="1">
      <c r="A48" s="2737"/>
      <c r="B48" s="2737"/>
      <c r="C48" s="2737"/>
      <c r="D48" s="2737"/>
      <c r="E48" s="2737"/>
      <c r="F48" s="2737"/>
      <c r="G48" s="2737"/>
      <c r="H48" s="2737"/>
      <c r="I48" s="2737"/>
      <c r="J48" s="2737"/>
      <c r="K48" s="2737"/>
      <c r="L48" s="2737"/>
      <c r="M48" s="2737"/>
      <c r="N48" s="2737"/>
      <c r="O48" s="2737"/>
      <c r="P48" s="2737"/>
      <c r="Q48" s="2737"/>
      <c r="R48" s="2737"/>
      <c r="S48" s="2737"/>
      <c r="T48" s="2737"/>
      <c r="U48" s="2737"/>
      <c r="V48" s="2737"/>
      <c r="W48" s="2737"/>
      <c r="X48" s="2737"/>
      <c r="Y48" s="2737"/>
      <c r="Z48" s="2737"/>
      <c r="AA48" s="2737"/>
      <c r="AB48" s="2737"/>
      <c r="AC48" s="2737"/>
      <c r="AD48" s="2737"/>
      <c r="AE48" s="2737"/>
      <c r="AF48" s="2737"/>
      <c r="AG48" s="2737"/>
      <c r="AH48" s="329"/>
    </row>
    <row r="49" spans="1:33" s="229" customFormat="1" ht="15" customHeight="1">
      <c r="A49" s="158"/>
      <c r="B49" s="158"/>
      <c r="C49" s="158"/>
      <c r="D49" s="158"/>
      <c r="E49" s="158"/>
      <c r="F49" s="158"/>
      <c r="G49" s="158"/>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row>
    <row r="50" spans="1:33" s="228" customFormat="1" ht="20.100000000000001" customHeight="1">
      <c r="A50" s="158"/>
      <c r="B50" s="158"/>
      <c r="C50" s="158"/>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row>
    <row r="51" spans="1:33" s="228" customFormat="1" ht="27.95" customHeight="1">
      <c r="A51" s="158"/>
      <c r="B51" s="158"/>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row>
  </sheetData>
  <sheetProtection algorithmName="SHA-512" hashValue="KnZFCc/5o3Jgklfk7GOAlbPvKjdhqwiRl3NoVceBSOSIHeHhAwJUxqAb3pXFD3j82zbdiVJVNO4tQKu4JI82OQ==" saltValue="jIHiNui8kOMeSUmbyPBwkw==" spinCount="100000" sheet="1" formatCells="0" formatColumns="0" formatRows="0"/>
  <mergeCells count="46">
    <mergeCell ref="U7:W7"/>
    <mergeCell ref="X7:AE7"/>
    <mergeCell ref="A1:D5"/>
    <mergeCell ref="E1:AG3"/>
    <mergeCell ref="E4:X4"/>
    <mergeCell ref="Y4:AG4"/>
    <mergeCell ref="E5:AG5"/>
    <mergeCell ref="A14:T14"/>
    <mergeCell ref="Z14:AD14"/>
    <mergeCell ref="A16:AG16"/>
    <mergeCell ref="E19:L20"/>
    <mergeCell ref="N19:P20"/>
    <mergeCell ref="U19:AA20"/>
    <mergeCell ref="AC19:AE20"/>
    <mergeCell ref="AG19:AG20"/>
    <mergeCell ref="Z8:AE8"/>
    <mergeCell ref="A10:AG10"/>
    <mergeCell ref="A12:T12"/>
    <mergeCell ref="Z12:AD12"/>
    <mergeCell ref="A13:T13"/>
    <mergeCell ref="Z13:AD13"/>
    <mergeCell ref="N28:P29"/>
    <mergeCell ref="W28:AA29"/>
    <mergeCell ref="AC28:AE29"/>
    <mergeCell ref="AG28:AG29"/>
    <mergeCell ref="M22:S23"/>
    <mergeCell ref="U22:W23"/>
    <mergeCell ref="A25:AG25"/>
    <mergeCell ref="F28:L29"/>
    <mergeCell ref="U36:W37"/>
    <mergeCell ref="K31:S32"/>
    <mergeCell ref="U31:W32"/>
    <mergeCell ref="A34:AG34"/>
    <mergeCell ref="M36:S37"/>
    <mergeCell ref="A47:AG48"/>
    <mergeCell ref="B41:F41"/>
    <mergeCell ref="G41:AG41"/>
    <mergeCell ref="A42:AG42"/>
    <mergeCell ref="A43:AG43"/>
    <mergeCell ref="A44:AG44"/>
    <mergeCell ref="A45:AG45"/>
    <mergeCell ref="B39:G39"/>
    <mergeCell ref="H39:M39"/>
    <mergeCell ref="N39:O39"/>
    <mergeCell ref="P39:U39"/>
    <mergeCell ref="A46:AG46"/>
  </mergeCells>
  <printOptions horizontalCentered="1"/>
  <pageMargins left="0.59055118110236227" right="0.39370078740157483" top="0.59055118110236227" bottom="0.59055118110236227" header="0" footer="0.19685039370078741"/>
  <pageSetup orientation="portrait" r:id="rId1"/>
  <headerFooter alignWithMargins="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Y76"/>
  <sheetViews>
    <sheetView showGridLines="0" view="pageBreakPreview" topLeftCell="A31" zoomScaleSheetLayoutView="100" workbookViewId="0">
      <selection activeCell="R43" sqref="R43"/>
    </sheetView>
  </sheetViews>
  <sheetFormatPr baseColWidth="10" defaultColWidth="5.7109375" defaultRowHeight="12.75"/>
  <cols>
    <col min="1" max="1" width="3.5703125" style="90" customWidth="1"/>
    <col min="2" max="2" width="11" style="90" customWidth="1"/>
    <col min="3" max="3" width="6.7109375" style="90" customWidth="1"/>
    <col min="4" max="4" width="8.5703125" style="90" customWidth="1"/>
    <col min="5" max="5" width="9.85546875" style="90" customWidth="1"/>
    <col min="6" max="6" width="1.85546875" style="90" customWidth="1"/>
    <col min="7" max="7" width="14.28515625" style="90" customWidth="1"/>
    <col min="8" max="8" width="11.28515625" style="90" customWidth="1"/>
    <col min="9" max="9" width="7.5703125" style="90" customWidth="1"/>
    <col min="10" max="10" width="9.7109375" style="90" customWidth="1"/>
    <col min="11" max="11" width="3.5703125" style="90" customWidth="1"/>
    <col min="12" max="12" width="12.42578125" style="90" customWidth="1"/>
    <col min="13" max="13" width="5.42578125" style="90" customWidth="1"/>
    <col min="14" max="14" width="5.5703125" style="91" customWidth="1"/>
    <col min="15" max="15" width="6.5703125" style="91" customWidth="1"/>
    <col min="16" max="16" width="18.28515625" style="91" customWidth="1"/>
    <col min="17" max="19" width="10.7109375" style="91" customWidth="1"/>
    <col min="20" max="20" width="16.140625" style="91" customWidth="1"/>
    <col min="21" max="21" width="10.7109375" style="91" customWidth="1"/>
    <col min="22" max="25" width="10.7109375" style="90" customWidth="1"/>
    <col min="26" max="246" width="14.42578125" style="90" customWidth="1"/>
    <col min="247" max="247" width="5.7109375" style="90" customWidth="1"/>
    <col min="248" max="248" width="12.7109375" style="90" customWidth="1"/>
    <col min="249" max="249" width="0" style="90" hidden="1" customWidth="1"/>
    <col min="250" max="250" width="11.42578125" style="90" customWidth="1"/>
    <col min="251" max="254" width="14.7109375" style="90" customWidth="1"/>
    <col min="255" max="255" width="16.140625" style="90" customWidth="1"/>
    <col min="256" max="256" width="5.7109375" style="90"/>
    <col min="257" max="257" width="3.7109375" style="90" customWidth="1"/>
    <col min="258" max="258" width="12.7109375" style="90" customWidth="1"/>
    <col min="259" max="259" width="1.7109375" style="90" customWidth="1"/>
    <col min="260" max="260" width="12.28515625" style="90" customWidth="1"/>
    <col min="261" max="261" width="14.7109375" style="90" customWidth="1"/>
    <col min="262" max="265" width="7.7109375" style="90" customWidth="1"/>
    <col min="266" max="266" width="16.5703125" style="90" customWidth="1"/>
    <col min="267" max="267" width="14.7109375" style="90" customWidth="1"/>
    <col min="268" max="268" width="3.7109375" style="90" customWidth="1"/>
    <col min="269" max="269" width="4.42578125" style="90" customWidth="1"/>
    <col min="270" max="270" width="5.5703125" style="90" customWidth="1"/>
    <col min="271" max="271" width="6.5703125" style="90" customWidth="1"/>
    <col min="272" max="272" width="18.28515625" style="90" customWidth="1"/>
    <col min="273" max="281" width="10.7109375" style="90" customWidth="1"/>
    <col min="282" max="502" width="14.42578125" style="90" customWidth="1"/>
    <col min="503" max="503" width="5.7109375" style="90" customWidth="1"/>
    <col min="504" max="504" width="12.7109375" style="90" customWidth="1"/>
    <col min="505" max="505" width="0" style="90" hidden="1" customWidth="1"/>
    <col min="506" max="506" width="11.42578125" style="90" customWidth="1"/>
    <col min="507" max="510" width="14.7109375" style="90" customWidth="1"/>
    <col min="511" max="511" width="16.140625" style="90" customWidth="1"/>
    <col min="512" max="512" width="5.7109375" style="90"/>
    <col min="513" max="513" width="3.7109375" style="90" customWidth="1"/>
    <col min="514" max="514" width="12.7109375" style="90" customWidth="1"/>
    <col min="515" max="515" width="1.7109375" style="90" customWidth="1"/>
    <col min="516" max="516" width="12.28515625" style="90" customWidth="1"/>
    <col min="517" max="517" width="14.7109375" style="90" customWidth="1"/>
    <col min="518" max="521" width="7.7109375" style="90" customWidth="1"/>
    <col min="522" max="522" width="16.5703125" style="90" customWidth="1"/>
    <col min="523" max="523" width="14.7109375" style="90" customWidth="1"/>
    <col min="524" max="524" width="3.7109375" style="90" customWidth="1"/>
    <col min="525" max="525" width="4.42578125" style="90" customWidth="1"/>
    <col min="526" max="526" width="5.5703125" style="90" customWidth="1"/>
    <col min="527" max="527" width="6.5703125" style="90" customWidth="1"/>
    <col min="528" max="528" width="18.28515625" style="90" customWidth="1"/>
    <col min="529" max="537" width="10.7109375" style="90" customWidth="1"/>
    <col min="538" max="758" width="14.42578125" style="90" customWidth="1"/>
    <col min="759" max="759" width="5.7109375" style="90" customWidth="1"/>
    <col min="760" max="760" width="12.7109375" style="90" customWidth="1"/>
    <col min="761" max="761" width="0" style="90" hidden="1" customWidth="1"/>
    <col min="762" max="762" width="11.42578125" style="90" customWidth="1"/>
    <col min="763" max="766" width="14.7109375" style="90" customWidth="1"/>
    <col min="767" max="767" width="16.140625" style="90" customWidth="1"/>
    <col min="768" max="768" width="5.7109375" style="90"/>
    <col min="769" max="769" width="3.7109375" style="90" customWidth="1"/>
    <col min="770" max="770" width="12.7109375" style="90" customWidth="1"/>
    <col min="771" max="771" width="1.7109375" style="90" customWidth="1"/>
    <col min="772" max="772" width="12.28515625" style="90" customWidth="1"/>
    <col min="773" max="773" width="14.7109375" style="90" customWidth="1"/>
    <col min="774" max="777" width="7.7109375" style="90" customWidth="1"/>
    <col min="778" max="778" width="16.5703125" style="90" customWidth="1"/>
    <col min="779" max="779" width="14.7109375" style="90" customWidth="1"/>
    <col min="780" max="780" width="3.7109375" style="90" customWidth="1"/>
    <col min="781" max="781" width="4.42578125" style="90" customWidth="1"/>
    <col min="782" max="782" width="5.5703125" style="90" customWidth="1"/>
    <col min="783" max="783" width="6.5703125" style="90" customWidth="1"/>
    <col min="784" max="784" width="18.28515625" style="90" customWidth="1"/>
    <col min="785" max="793" width="10.7109375" style="90" customWidth="1"/>
    <col min="794" max="1014" width="14.42578125" style="90" customWidth="1"/>
    <col min="1015" max="1015" width="5.7109375" style="90" customWidth="1"/>
    <col min="1016" max="1016" width="12.7109375" style="90" customWidth="1"/>
    <col min="1017" max="1017" width="0" style="90" hidden="1" customWidth="1"/>
    <col min="1018" max="1018" width="11.42578125" style="90" customWidth="1"/>
    <col min="1019" max="1022" width="14.7109375" style="90" customWidth="1"/>
    <col min="1023" max="1023" width="16.140625" style="90" customWidth="1"/>
    <col min="1024" max="1024" width="5.7109375" style="90"/>
    <col min="1025" max="1025" width="3.7109375" style="90" customWidth="1"/>
    <col min="1026" max="1026" width="12.7109375" style="90" customWidth="1"/>
    <col min="1027" max="1027" width="1.7109375" style="90" customWidth="1"/>
    <col min="1028" max="1028" width="12.28515625" style="90" customWidth="1"/>
    <col min="1029" max="1029" width="14.7109375" style="90" customWidth="1"/>
    <col min="1030" max="1033" width="7.7109375" style="90" customWidth="1"/>
    <col min="1034" max="1034" width="16.5703125" style="90" customWidth="1"/>
    <col min="1035" max="1035" width="14.7109375" style="90" customWidth="1"/>
    <col min="1036" max="1036" width="3.7109375" style="90" customWidth="1"/>
    <col min="1037" max="1037" width="4.42578125" style="90" customWidth="1"/>
    <col min="1038" max="1038" width="5.5703125" style="90" customWidth="1"/>
    <col min="1039" max="1039" width="6.5703125" style="90" customWidth="1"/>
    <col min="1040" max="1040" width="18.28515625" style="90" customWidth="1"/>
    <col min="1041" max="1049" width="10.7109375" style="90" customWidth="1"/>
    <col min="1050" max="1270" width="14.42578125" style="90" customWidth="1"/>
    <col min="1271" max="1271" width="5.7109375" style="90" customWidth="1"/>
    <col min="1272" max="1272" width="12.7109375" style="90" customWidth="1"/>
    <col min="1273" max="1273" width="0" style="90" hidden="1" customWidth="1"/>
    <col min="1274" max="1274" width="11.42578125" style="90" customWidth="1"/>
    <col min="1275" max="1278" width="14.7109375" style="90" customWidth="1"/>
    <col min="1279" max="1279" width="16.140625" style="90" customWidth="1"/>
    <col min="1280" max="1280" width="5.7109375" style="90"/>
    <col min="1281" max="1281" width="3.7109375" style="90" customWidth="1"/>
    <col min="1282" max="1282" width="12.7109375" style="90" customWidth="1"/>
    <col min="1283" max="1283" width="1.7109375" style="90" customWidth="1"/>
    <col min="1284" max="1284" width="12.28515625" style="90" customWidth="1"/>
    <col min="1285" max="1285" width="14.7109375" style="90" customWidth="1"/>
    <col min="1286" max="1289" width="7.7109375" style="90" customWidth="1"/>
    <col min="1290" max="1290" width="16.5703125" style="90" customWidth="1"/>
    <col min="1291" max="1291" width="14.7109375" style="90" customWidth="1"/>
    <col min="1292" max="1292" width="3.7109375" style="90" customWidth="1"/>
    <col min="1293" max="1293" width="4.42578125" style="90" customWidth="1"/>
    <col min="1294" max="1294" width="5.5703125" style="90" customWidth="1"/>
    <col min="1295" max="1295" width="6.5703125" style="90" customWidth="1"/>
    <col min="1296" max="1296" width="18.28515625" style="90" customWidth="1"/>
    <col min="1297" max="1305" width="10.7109375" style="90" customWidth="1"/>
    <col min="1306" max="1526" width="14.42578125" style="90" customWidth="1"/>
    <col min="1527" max="1527" width="5.7109375" style="90" customWidth="1"/>
    <col min="1528" max="1528" width="12.7109375" style="90" customWidth="1"/>
    <col min="1529" max="1529" width="0" style="90" hidden="1" customWidth="1"/>
    <col min="1530" max="1530" width="11.42578125" style="90" customWidth="1"/>
    <col min="1531" max="1534" width="14.7109375" style="90" customWidth="1"/>
    <col min="1535" max="1535" width="16.140625" style="90" customWidth="1"/>
    <col min="1536" max="1536" width="5.7109375" style="90"/>
    <col min="1537" max="1537" width="3.7109375" style="90" customWidth="1"/>
    <col min="1538" max="1538" width="12.7109375" style="90" customWidth="1"/>
    <col min="1539" max="1539" width="1.7109375" style="90" customWidth="1"/>
    <col min="1540" max="1540" width="12.28515625" style="90" customWidth="1"/>
    <col min="1541" max="1541" width="14.7109375" style="90" customWidth="1"/>
    <col min="1542" max="1545" width="7.7109375" style="90" customWidth="1"/>
    <col min="1546" max="1546" width="16.5703125" style="90" customWidth="1"/>
    <col min="1547" max="1547" width="14.7109375" style="90" customWidth="1"/>
    <col min="1548" max="1548" width="3.7109375" style="90" customWidth="1"/>
    <col min="1549" max="1549" width="4.42578125" style="90" customWidth="1"/>
    <col min="1550" max="1550" width="5.5703125" style="90" customWidth="1"/>
    <col min="1551" max="1551" width="6.5703125" style="90" customWidth="1"/>
    <col min="1552" max="1552" width="18.28515625" style="90" customWidth="1"/>
    <col min="1553" max="1561" width="10.7109375" style="90" customWidth="1"/>
    <col min="1562" max="1782" width="14.42578125" style="90" customWidth="1"/>
    <col min="1783" max="1783" width="5.7109375" style="90" customWidth="1"/>
    <col min="1784" max="1784" width="12.7109375" style="90" customWidth="1"/>
    <col min="1785" max="1785" width="0" style="90" hidden="1" customWidth="1"/>
    <col min="1786" max="1786" width="11.42578125" style="90" customWidth="1"/>
    <col min="1787" max="1790" width="14.7109375" style="90" customWidth="1"/>
    <col min="1791" max="1791" width="16.140625" style="90" customWidth="1"/>
    <col min="1792" max="1792" width="5.7109375" style="90"/>
    <col min="1793" max="1793" width="3.7109375" style="90" customWidth="1"/>
    <col min="1794" max="1794" width="12.7109375" style="90" customWidth="1"/>
    <col min="1795" max="1795" width="1.7109375" style="90" customWidth="1"/>
    <col min="1796" max="1796" width="12.28515625" style="90" customWidth="1"/>
    <col min="1797" max="1797" width="14.7109375" style="90" customWidth="1"/>
    <col min="1798" max="1801" width="7.7109375" style="90" customWidth="1"/>
    <col min="1802" max="1802" width="16.5703125" style="90" customWidth="1"/>
    <col min="1803" max="1803" width="14.7109375" style="90" customWidth="1"/>
    <col min="1804" max="1804" width="3.7109375" style="90" customWidth="1"/>
    <col min="1805" max="1805" width="4.42578125" style="90" customWidth="1"/>
    <col min="1806" max="1806" width="5.5703125" style="90" customWidth="1"/>
    <col min="1807" max="1807" width="6.5703125" style="90" customWidth="1"/>
    <col min="1808" max="1808" width="18.28515625" style="90" customWidth="1"/>
    <col min="1809" max="1817" width="10.7109375" style="90" customWidth="1"/>
    <col min="1818" max="2038" width="14.42578125" style="90" customWidth="1"/>
    <col min="2039" max="2039" width="5.7109375" style="90" customWidth="1"/>
    <col min="2040" max="2040" width="12.7109375" style="90" customWidth="1"/>
    <col min="2041" max="2041" width="0" style="90" hidden="1" customWidth="1"/>
    <col min="2042" max="2042" width="11.42578125" style="90" customWidth="1"/>
    <col min="2043" max="2046" width="14.7109375" style="90" customWidth="1"/>
    <col min="2047" max="2047" width="16.140625" style="90" customWidth="1"/>
    <col min="2048" max="2048" width="5.7109375" style="90"/>
    <col min="2049" max="2049" width="3.7109375" style="90" customWidth="1"/>
    <col min="2050" max="2050" width="12.7109375" style="90" customWidth="1"/>
    <col min="2051" max="2051" width="1.7109375" style="90" customWidth="1"/>
    <col min="2052" max="2052" width="12.28515625" style="90" customWidth="1"/>
    <col min="2053" max="2053" width="14.7109375" style="90" customWidth="1"/>
    <col min="2054" max="2057" width="7.7109375" style="90" customWidth="1"/>
    <col min="2058" max="2058" width="16.5703125" style="90" customWidth="1"/>
    <col min="2059" max="2059" width="14.7109375" style="90" customWidth="1"/>
    <col min="2060" max="2060" width="3.7109375" style="90" customWidth="1"/>
    <col min="2061" max="2061" width="4.42578125" style="90" customWidth="1"/>
    <col min="2062" max="2062" width="5.5703125" style="90" customWidth="1"/>
    <col min="2063" max="2063" width="6.5703125" style="90" customWidth="1"/>
    <col min="2064" max="2064" width="18.28515625" style="90" customWidth="1"/>
    <col min="2065" max="2073" width="10.7109375" style="90" customWidth="1"/>
    <col min="2074" max="2294" width="14.42578125" style="90" customWidth="1"/>
    <col min="2295" max="2295" width="5.7109375" style="90" customWidth="1"/>
    <col min="2296" max="2296" width="12.7109375" style="90" customWidth="1"/>
    <col min="2297" max="2297" width="0" style="90" hidden="1" customWidth="1"/>
    <col min="2298" max="2298" width="11.42578125" style="90" customWidth="1"/>
    <col min="2299" max="2302" width="14.7109375" style="90" customWidth="1"/>
    <col min="2303" max="2303" width="16.140625" style="90" customWidth="1"/>
    <col min="2304" max="2304" width="5.7109375" style="90"/>
    <col min="2305" max="2305" width="3.7109375" style="90" customWidth="1"/>
    <col min="2306" max="2306" width="12.7109375" style="90" customWidth="1"/>
    <col min="2307" max="2307" width="1.7109375" style="90" customWidth="1"/>
    <col min="2308" max="2308" width="12.28515625" style="90" customWidth="1"/>
    <col min="2309" max="2309" width="14.7109375" style="90" customWidth="1"/>
    <col min="2310" max="2313" width="7.7109375" style="90" customWidth="1"/>
    <col min="2314" max="2314" width="16.5703125" style="90" customWidth="1"/>
    <col min="2315" max="2315" width="14.7109375" style="90" customWidth="1"/>
    <col min="2316" max="2316" width="3.7109375" style="90" customWidth="1"/>
    <col min="2317" max="2317" width="4.42578125" style="90" customWidth="1"/>
    <col min="2318" max="2318" width="5.5703125" style="90" customWidth="1"/>
    <col min="2319" max="2319" width="6.5703125" style="90" customWidth="1"/>
    <col min="2320" max="2320" width="18.28515625" style="90" customWidth="1"/>
    <col min="2321" max="2329" width="10.7109375" style="90" customWidth="1"/>
    <col min="2330" max="2550" width="14.42578125" style="90" customWidth="1"/>
    <col min="2551" max="2551" width="5.7109375" style="90" customWidth="1"/>
    <col min="2552" max="2552" width="12.7109375" style="90" customWidth="1"/>
    <col min="2553" max="2553" width="0" style="90" hidden="1" customWidth="1"/>
    <col min="2554" max="2554" width="11.42578125" style="90" customWidth="1"/>
    <col min="2555" max="2558" width="14.7109375" style="90" customWidth="1"/>
    <col min="2559" max="2559" width="16.140625" style="90" customWidth="1"/>
    <col min="2560" max="2560" width="5.7109375" style="90"/>
    <col min="2561" max="2561" width="3.7109375" style="90" customWidth="1"/>
    <col min="2562" max="2562" width="12.7109375" style="90" customWidth="1"/>
    <col min="2563" max="2563" width="1.7109375" style="90" customWidth="1"/>
    <col min="2564" max="2564" width="12.28515625" style="90" customWidth="1"/>
    <col min="2565" max="2565" width="14.7109375" style="90" customWidth="1"/>
    <col min="2566" max="2569" width="7.7109375" style="90" customWidth="1"/>
    <col min="2570" max="2570" width="16.5703125" style="90" customWidth="1"/>
    <col min="2571" max="2571" width="14.7109375" style="90" customWidth="1"/>
    <col min="2572" max="2572" width="3.7109375" style="90" customWidth="1"/>
    <col min="2573" max="2573" width="4.42578125" style="90" customWidth="1"/>
    <col min="2574" max="2574" width="5.5703125" style="90" customWidth="1"/>
    <col min="2575" max="2575" width="6.5703125" style="90" customWidth="1"/>
    <col min="2576" max="2576" width="18.28515625" style="90" customWidth="1"/>
    <col min="2577" max="2585" width="10.7109375" style="90" customWidth="1"/>
    <col min="2586" max="2806" width="14.42578125" style="90" customWidth="1"/>
    <col min="2807" max="2807" width="5.7109375" style="90" customWidth="1"/>
    <col min="2808" max="2808" width="12.7109375" style="90" customWidth="1"/>
    <col min="2809" max="2809" width="0" style="90" hidden="1" customWidth="1"/>
    <col min="2810" max="2810" width="11.42578125" style="90" customWidth="1"/>
    <col min="2811" max="2814" width="14.7109375" style="90" customWidth="1"/>
    <col min="2815" max="2815" width="16.140625" style="90" customWidth="1"/>
    <col min="2816" max="2816" width="5.7109375" style="90"/>
    <col min="2817" max="2817" width="3.7109375" style="90" customWidth="1"/>
    <col min="2818" max="2818" width="12.7109375" style="90" customWidth="1"/>
    <col min="2819" max="2819" width="1.7109375" style="90" customWidth="1"/>
    <col min="2820" max="2820" width="12.28515625" style="90" customWidth="1"/>
    <col min="2821" max="2821" width="14.7109375" style="90" customWidth="1"/>
    <col min="2822" max="2825" width="7.7109375" style="90" customWidth="1"/>
    <col min="2826" max="2826" width="16.5703125" style="90" customWidth="1"/>
    <col min="2827" max="2827" width="14.7109375" style="90" customWidth="1"/>
    <col min="2828" max="2828" width="3.7109375" style="90" customWidth="1"/>
    <col min="2829" max="2829" width="4.42578125" style="90" customWidth="1"/>
    <col min="2830" max="2830" width="5.5703125" style="90" customWidth="1"/>
    <col min="2831" max="2831" width="6.5703125" style="90" customWidth="1"/>
    <col min="2832" max="2832" width="18.28515625" style="90" customWidth="1"/>
    <col min="2833" max="2841" width="10.7109375" style="90" customWidth="1"/>
    <col min="2842" max="3062" width="14.42578125" style="90" customWidth="1"/>
    <col min="3063" max="3063" width="5.7109375" style="90" customWidth="1"/>
    <col min="3064" max="3064" width="12.7109375" style="90" customWidth="1"/>
    <col min="3065" max="3065" width="0" style="90" hidden="1" customWidth="1"/>
    <col min="3066" max="3066" width="11.42578125" style="90" customWidth="1"/>
    <col min="3067" max="3070" width="14.7109375" style="90" customWidth="1"/>
    <col min="3071" max="3071" width="16.140625" style="90" customWidth="1"/>
    <col min="3072" max="3072" width="5.7109375" style="90"/>
    <col min="3073" max="3073" width="3.7109375" style="90" customWidth="1"/>
    <col min="3074" max="3074" width="12.7109375" style="90" customWidth="1"/>
    <col min="3075" max="3075" width="1.7109375" style="90" customWidth="1"/>
    <col min="3076" max="3076" width="12.28515625" style="90" customWidth="1"/>
    <col min="3077" max="3077" width="14.7109375" style="90" customWidth="1"/>
    <col min="3078" max="3081" width="7.7109375" style="90" customWidth="1"/>
    <col min="3082" max="3082" width="16.5703125" style="90" customWidth="1"/>
    <col min="3083" max="3083" width="14.7109375" style="90" customWidth="1"/>
    <col min="3084" max="3084" width="3.7109375" style="90" customWidth="1"/>
    <col min="3085" max="3085" width="4.42578125" style="90" customWidth="1"/>
    <col min="3086" max="3086" width="5.5703125" style="90" customWidth="1"/>
    <col min="3087" max="3087" width="6.5703125" style="90" customWidth="1"/>
    <col min="3088" max="3088" width="18.28515625" style="90" customWidth="1"/>
    <col min="3089" max="3097" width="10.7109375" style="90" customWidth="1"/>
    <col min="3098" max="3318" width="14.42578125" style="90" customWidth="1"/>
    <col min="3319" max="3319" width="5.7109375" style="90" customWidth="1"/>
    <col min="3320" max="3320" width="12.7109375" style="90" customWidth="1"/>
    <col min="3321" max="3321" width="0" style="90" hidden="1" customWidth="1"/>
    <col min="3322" max="3322" width="11.42578125" style="90" customWidth="1"/>
    <col min="3323" max="3326" width="14.7109375" style="90" customWidth="1"/>
    <col min="3327" max="3327" width="16.140625" style="90" customWidth="1"/>
    <col min="3328" max="3328" width="5.7109375" style="90"/>
    <col min="3329" max="3329" width="3.7109375" style="90" customWidth="1"/>
    <col min="3330" max="3330" width="12.7109375" style="90" customWidth="1"/>
    <col min="3331" max="3331" width="1.7109375" style="90" customWidth="1"/>
    <col min="3332" max="3332" width="12.28515625" style="90" customWidth="1"/>
    <col min="3333" max="3333" width="14.7109375" style="90" customWidth="1"/>
    <col min="3334" max="3337" width="7.7109375" style="90" customWidth="1"/>
    <col min="3338" max="3338" width="16.5703125" style="90" customWidth="1"/>
    <col min="3339" max="3339" width="14.7109375" style="90" customWidth="1"/>
    <col min="3340" max="3340" width="3.7109375" style="90" customWidth="1"/>
    <col min="3341" max="3341" width="4.42578125" style="90" customWidth="1"/>
    <col min="3342" max="3342" width="5.5703125" style="90" customWidth="1"/>
    <col min="3343" max="3343" width="6.5703125" style="90" customWidth="1"/>
    <col min="3344" max="3344" width="18.28515625" style="90" customWidth="1"/>
    <col min="3345" max="3353" width="10.7109375" style="90" customWidth="1"/>
    <col min="3354" max="3574" width="14.42578125" style="90" customWidth="1"/>
    <col min="3575" max="3575" width="5.7109375" style="90" customWidth="1"/>
    <col min="3576" max="3576" width="12.7109375" style="90" customWidth="1"/>
    <col min="3577" max="3577" width="0" style="90" hidden="1" customWidth="1"/>
    <col min="3578" max="3578" width="11.42578125" style="90" customWidth="1"/>
    <col min="3579" max="3582" width="14.7109375" style="90" customWidth="1"/>
    <col min="3583" max="3583" width="16.140625" style="90" customWidth="1"/>
    <col min="3584" max="3584" width="5.7109375" style="90"/>
    <col min="3585" max="3585" width="3.7109375" style="90" customWidth="1"/>
    <col min="3586" max="3586" width="12.7109375" style="90" customWidth="1"/>
    <col min="3587" max="3587" width="1.7109375" style="90" customWidth="1"/>
    <col min="3588" max="3588" width="12.28515625" style="90" customWidth="1"/>
    <col min="3589" max="3589" width="14.7109375" style="90" customWidth="1"/>
    <col min="3590" max="3593" width="7.7109375" style="90" customWidth="1"/>
    <col min="3594" max="3594" width="16.5703125" style="90" customWidth="1"/>
    <col min="3595" max="3595" width="14.7109375" style="90" customWidth="1"/>
    <col min="3596" max="3596" width="3.7109375" style="90" customWidth="1"/>
    <col min="3597" max="3597" width="4.42578125" style="90" customWidth="1"/>
    <col min="3598" max="3598" width="5.5703125" style="90" customWidth="1"/>
    <col min="3599" max="3599" width="6.5703125" style="90" customWidth="1"/>
    <col min="3600" max="3600" width="18.28515625" style="90" customWidth="1"/>
    <col min="3601" max="3609" width="10.7109375" style="90" customWidth="1"/>
    <col min="3610" max="3830" width="14.42578125" style="90" customWidth="1"/>
    <col min="3831" max="3831" width="5.7109375" style="90" customWidth="1"/>
    <col min="3832" max="3832" width="12.7109375" style="90" customWidth="1"/>
    <col min="3833" max="3833" width="0" style="90" hidden="1" customWidth="1"/>
    <col min="3834" max="3834" width="11.42578125" style="90" customWidth="1"/>
    <col min="3835" max="3838" width="14.7109375" style="90" customWidth="1"/>
    <col min="3839" max="3839" width="16.140625" style="90" customWidth="1"/>
    <col min="3840" max="3840" width="5.7109375" style="90"/>
    <col min="3841" max="3841" width="3.7109375" style="90" customWidth="1"/>
    <col min="3842" max="3842" width="12.7109375" style="90" customWidth="1"/>
    <col min="3843" max="3843" width="1.7109375" style="90" customWidth="1"/>
    <col min="3844" max="3844" width="12.28515625" style="90" customWidth="1"/>
    <col min="3845" max="3845" width="14.7109375" style="90" customWidth="1"/>
    <col min="3846" max="3849" width="7.7109375" style="90" customWidth="1"/>
    <col min="3850" max="3850" width="16.5703125" style="90" customWidth="1"/>
    <col min="3851" max="3851" width="14.7109375" style="90" customWidth="1"/>
    <col min="3852" max="3852" width="3.7109375" style="90" customWidth="1"/>
    <col min="3853" max="3853" width="4.42578125" style="90" customWidth="1"/>
    <col min="3854" max="3854" width="5.5703125" style="90" customWidth="1"/>
    <col min="3855" max="3855" width="6.5703125" style="90" customWidth="1"/>
    <col min="3856" max="3856" width="18.28515625" style="90" customWidth="1"/>
    <col min="3857" max="3865" width="10.7109375" style="90" customWidth="1"/>
    <col min="3866" max="4086" width="14.42578125" style="90" customWidth="1"/>
    <col min="4087" max="4087" width="5.7109375" style="90" customWidth="1"/>
    <col min="4088" max="4088" width="12.7109375" style="90" customWidth="1"/>
    <col min="4089" max="4089" width="0" style="90" hidden="1" customWidth="1"/>
    <col min="4090" max="4090" width="11.42578125" style="90" customWidth="1"/>
    <col min="4091" max="4094" width="14.7109375" style="90" customWidth="1"/>
    <col min="4095" max="4095" width="16.140625" style="90" customWidth="1"/>
    <col min="4096" max="4096" width="5.7109375" style="90"/>
    <col min="4097" max="4097" width="3.7109375" style="90" customWidth="1"/>
    <col min="4098" max="4098" width="12.7109375" style="90" customWidth="1"/>
    <col min="4099" max="4099" width="1.7109375" style="90" customWidth="1"/>
    <col min="4100" max="4100" width="12.28515625" style="90" customWidth="1"/>
    <col min="4101" max="4101" width="14.7109375" style="90" customWidth="1"/>
    <col min="4102" max="4105" width="7.7109375" style="90" customWidth="1"/>
    <col min="4106" max="4106" width="16.5703125" style="90" customWidth="1"/>
    <col min="4107" max="4107" width="14.7109375" style="90" customWidth="1"/>
    <col min="4108" max="4108" width="3.7109375" style="90" customWidth="1"/>
    <col min="4109" max="4109" width="4.42578125" style="90" customWidth="1"/>
    <col min="4110" max="4110" width="5.5703125" style="90" customWidth="1"/>
    <col min="4111" max="4111" width="6.5703125" style="90" customWidth="1"/>
    <col min="4112" max="4112" width="18.28515625" style="90" customWidth="1"/>
    <col min="4113" max="4121" width="10.7109375" style="90" customWidth="1"/>
    <col min="4122" max="4342" width="14.42578125" style="90" customWidth="1"/>
    <col min="4343" max="4343" width="5.7109375" style="90" customWidth="1"/>
    <col min="4344" max="4344" width="12.7109375" style="90" customWidth="1"/>
    <col min="4345" max="4345" width="0" style="90" hidden="1" customWidth="1"/>
    <col min="4346" max="4346" width="11.42578125" style="90" customWidth="1"/>
    <col min="4347" max="4350" width="14.7109375" style="90" customWidth="1"/>
    <col min="4351" max="4351" width="16.140625" style="90" customWidth="1"/>
    <col min="4352" max="4352" width="5.7109375" style="90"/>
    <col min="4353" max="4353" width="3.7109375" style="90" customWidth="1"/>
    <col min="4354" max="4354" width="12.7109375" style="90" customWidth="1"/>
    <col min="4355" max="4355" width="1.7109375" style="90" customWidth="1"/>
    <col min="4356" max="4356" width="12.28515625" style="90" customWidth="1"/>
    <col min="4357" max="4357" width="14.7109375" style="90" customWidth="1"/>
    <col min="4358" max="4361" width="7.7109375" style="90" customWidth="1"/>
    <col min="4362" max="4362" width="16.5703125" style="90" customWidth="1"/>
    <col min="4363" max="4363" width="14.7109375" style="90" customWidth="1"/>
    <col min="4364" max="4364" width="3.7109375" style="90" customWidth="1"/>
    <col min="4365" max="4365" width="4.42578125" style="90" customWidth="1"/>
    <col min="4366" max="4366" width="5.5703125" style="90" customWidth="1"/>
    <col min="4367" max="4367" width="6.5703125" style="90" customWidth="1"/>
    <col min="4368" max="4368" width="18.28515625" style="90" customWidth="1"/>
    <col min="4369" max="4377" width="10.7109375" style="90" customWidth="1"/>
    <col min="4378" max="4598" width="14.42578125" style="90" customWidth="1"/>
    <col min="4599" max="4599" width="5.7109375" style="90" customWidth="1"/>
    <col min="4600" max="4600" width="12.7109375" style="90" customWidth="1"/>
    <col min="4601" max="4601" width="0" style="90" hidden="1" customWidth="1"/>
    <col min="4602" max="4602" width="11.42578125" style="90" customWidth="1"/>
    <col min="4603" max="4606" width="14.7109375" style="90" customWidth="1"/>
    <col min="4607" max="4607" width="16.140625" style="90" customWidth="1"/>
    <col min="4608" max="4608" width="5.7109375" style="90"/>
    <col min="4609" max="4609" width="3.7109375" style="90" customWidth="1"/>
    <col min="4610" max="4610" width="12.7109375" style="90" customWidth="1"/>
    <col min="4611" max="4611" width="1.7109375" style="90" customWidth="1"/>
    <col min="4612" max="4612" width="12.28515625" style="90" customWidth="1"/>
    <col min="4613" max="4613" width="14.7109375" style="90" customWidth="1"/>
    <col min="4614" max="4617" width="7.7109375" style="90" customWidth="1"/>
    <col min="4618" max="4618" width="16.5703125" style="90" customWidth="1"/>
    <col min="4619" max="4619" width="14.7109375" style="90" customWidth="1"/>
    <col min="4620" max="4620" width="3.7109375" style="90" customWidth="1"/>
    <col min="4621" max="4621" width="4.42578125" style="90" customWidth="1"/>
    <col min="4622" max="4622" width="5.5703125" style="90" customWidth="1"/>
    <col min="4623" max="4623" width="6.5703125" style="90" customWidth="1"/>
    <col min="4624" max="4624" width="18.28515625" style="90" customWidth="1"/>
    <col min="4625" max="4633" width="10.7109375" style="90" customWidth="1"/>
    <col min="4634" max="4854" width="14.42578125" style="90" customWidth="1"/>
    <col min="4855" max="4855" width="5.7109375" style="90" customWidth="1"/>
    <col min="4856" max="4856" width="12.7109375" style="90" customWidth="1"/>
    <col min="4857" max="4857" width="0" style="90" hidden="1" customWidth="1"/>
    <col min="4858" max="4858" width="11.42578125" style="90" customWidth="1"/>
    <col min="4859" max="4862" width="14.7109375" style="90" customWidth="1"/>
    <col min="4863" max="4863" width="16.140625" style="90" customWidth="1"/>
    <col min="4864" max="4864" width="5.7109375" style="90"/>
    <col min="4865" max="4865" width="3.7109375" style="90" customWidth="1"/>
    <col min="4866" max="4866" width="12.7109375" style="90" customWidth="1"/>
    <col min="4867" max="4867" width="1.7109375" style="90" customWidth="1"/>
    <col min="4868" max="4868" width="12.28515625" style="90" customWidth="1"/>
    <col min="4869" max="4869" width="14.7109375" style="90" customWidth="1"/>
    <col min="4870" max="4873" width="7.7109375" style="90" customWidth="1"/>
    <col min="4874" max="4874" width="16.5703125" style="90" customWidth="1"/>
    <col min="4875" max="4875" width="14.7109375" style="90" customWidth="1"/>
    <col min="4876" max="4876" width="3.7109375" style="90" customWidth="1"/>
    <col min="4877" max="4877" width="4.42578125" style="90" customWidth="1"/>
    <col min="4878" max="4878" width="5.5703125" style="90" customWidth="1"/>
    <col min="4879" max="4879" width="6.5703125" style="90" customWidth="1"/>
    <col min="4880" max="4880" width="18.28515625" style="90" customWidth="1"/>
    <col min="4881" max="4889" width="10.7109375" style="90" customWidth="1"/>
    <col min="4890" max="5110" width="14.42578125" style="90" customWidth="1"/>
    <col min="5111" max="5111" width="5.7109375" style="90" customWidth="1"/>
    <col min="5112" max="5112" width="12.7109375" style="90" customWidth="1"/>
    <col min="5113" max="5113" width="0" style="90" hidden="1" customWidth="1"/>
    <col min="5114" max="5114" width="11.42578125" style="90" customWidth="1"/>
    <col min="5115" max="5118" width="14.7109375" style="90" customWidth="1"/>
    <col min="5119" max="5119" width="16.140625" style="90" customWidth="1"/>
    <col min="5120" max="5120" width="5.7109375" style="90"/>
    <col min="5121" max="5121" width="3.7109375" style="90" customWidth="1"/>
    <col min="5122" max="5122" width="12.7109375" style="90" customWidth="1"/>
    <col min="5123" max="5123" width="1.7109375" style="90" customWidth="1"/>
    <col min="5124" max="5124" width="12.28515625" style="90" customWidth="1"/>
    <col min="5125" max="5125" width="14.7109375" style="90" customWidth="1"/>
    <col min="5126" max="5129" width="7.7109375" style="90" customWidth="1"/>
    <col min="5130" max="5130" width="16.5703125" style="90" customWidth="1"/>
    <col min="5131" max="5131" width="14.7109375" style="90" customWidth="1"/>
    <col min="5132" max="5132" width="3.7109375" style="90" customWidth="1"/>
    <col min="5133" max="5133" width="4.42578125" style="90" customWidth="1"/>
    <col min="5134" max="5134" width="5.5703125" style="90" customWidth="1"/>
    <col min="5135" max="5135" width="6.5703125" style="90" customWidth="1"/>
    <col min="5136" max="5136" width="18.28515625" style="90" customWidth="1"/>
    <col min="5137" max="5145" width="10.7109375" style="90" customWidth="1"/>
    <col min="5146" max="5366" width="14.42578125" style="90" customWidth="1"/>
    <col min="5367" max="5367" width="5.7109375" style="90" customWidth="1"/>
    <col min="5368" max="5368" width="12.7109375" style="90" customWidth="1"/>
    <col min="5369" max="5369" width="0" style="90" hidden="1" customWidth="1"/>
    <col min="5370" max="5370" width="11.42578125" style="90" customWidth="1"/>
    <col min="5371" max="5374" width="14.7109375" style="90" customWidth="1"/>
    <col min="5375" max="5375" width="16.140625" style="90" customWidth="1"/>
    <col min="5376" max="5376" width="5.7109375" style="90"/>
    <col min="5377" max="5377" width="3.7109375" style="90" customWidth="1"/>
    <col min="5378" max="5378" width="12.7109375" style="90" customWidth="1"/>
    <col min="5379" max="5379" width="1.7109375" style="90" customWidth="1"/>
    <col min="5380" max="5380" width="12.28515625" style="90" customWidth="1"/>
    <col min="5381" max="5381" width="14.7109375" style="90" customWidth="1"/>
    <col min="5382" max="5385" width="7.7109375" style="90" customWidth="1"/>
    <col min="5386" max="5386" width="16.5703125" style="90" customWidth="1"/>
    <col min="5387" max="5387" width="14.7109375" style="90" customWidth="1"/>
    <col min="5388" max="5388" width="3.7109375" style="90" customWidth="1"/>
    <col min="5389" max="5389" width="4.42578125" style="90" customWidth="1"/>
    <col min="5390" max="5390" width="5.5703125" style="90" customWidth="1"/>
    <col min="5391" max="5391" width="6.5703125" style="90" customWidth="1"/>
    <col min="5392" max="5392" width="18.28515625" style="90" customWidth="1"/>
    <col min="5393" max="5401" width="10.7109375" style="90" customWidth="1"/>
    <col min="5402" max="5622" width="14.42578125" style="90" customWidth="1"/>
    <col min="5623" max="5623" width="5.7109375" style="90" customWidth="1"/>
    <col min="5624" max="5624" width="12.7109375" style="90" customWidth="1"/>
    <col min="5625" max="5625" width="0" style="90" hidden="1" customWidth="1"/>
    <col min="5626" max="5626" width="11.42578125" style="90" customWidth="1"/>
    <col min="5627" max="5630" width="14.7109375" style="90" customWidth="1"/>
    <col min="5631" max="5631" width="16.140625" style="90" customWidth="1"/>
    <col min="5632" max="5632" width="5.7109375" style="90"/>
    <col min="5633" max="5633" width="3.7109375" style="90" customWidth="1"/>
    <col min="5634" max="5634" width="12.7109375" style="90" customWidth="1"/>
    <col min="5635" max="5635" width="1.7109375" style="90" customWidth="1"/>
    <col min="5636" max="5636" width="12.28515625" style="90" customWidth="1"/>
    <col min="5637" max="5637" width="14.7109375" style="90" customWidth="1"/>
    <col min="5638" max="5641" width="7.7109375" style="90" customWidth="1"/>
    <col min="5642" max="5642" width="16.5703125" style="90" customWidth="1"/>
    <col min="5643" max="5643" width="14.7109375" style="90" customWidth="1"/>
    <col min="5644" max="5644" width="3.7109375" style="90" customWidth="1"/>
    <col min="5645" max="5645" width="4.42578125" style="90" customWidth="1"/>
    <col min="5646" max="5646" width="5.5703125" style="90" customWidth="1"/>
    <col min="5647" max="5647" width="6.5703125" style="90" customWidth="1"/>
    <col min="5648" max="5648" width="18.28515625" style="90" customWidth="1"/>
    <col min="5649" max="5657" width="10.7109375" style="90" customWidth="1"/>
    <col min="5658" max="5878" width="14.42578125" style="90" customWidth="1"/>
    <col min="5879" max="5879" width="5.7109375" style="90" customWidth="1"/>
    <col min="5880" max="5880" width="12.7109375" style="90" customWidth="1"/>
    <col min="5881" max="5881" width="0" style="90" hidden="1" customWidth="1"/>
    <col min="5882" max="5882" width="11.42578125" style="90" customWidth="1"/>
    <col min="5883" max="5886" width="14.7109375" style="90" customWidth="1"/>
    <col min="5887" max="5887" width="16.140625" style="90" customWidth="1"/>
    <col min="5888" max="5888" width="5.7109375" style="90"/>
    <col min="5889" max="5889" width="3.7109375" style="90" customWidth="1"/>
    <col min="5890" max="5890" width="12.7109375" style="90" customWidth="1"/>
    <col min="5891" max="5891" width="1.7109375" style="90" customWidth="1"/>
    <col min="5892" max="5892" width="12.28515625" style="90" customWidth="1"/>
    <col min="5893" max="5893" width="14.7109375" style="90" customWidth="1"/>
    <col min="5894" max="5897" width="7.7109375" style="90" customWidth="1"/>
    <col min="5898" max="5898" width="16.5703125" style="90" customWidth="1"/>
    <col min="5899" max="5899" width="14.7109375" style="90" customWidth="1"/>
    <col min="5900" max="5900" width="3.7109375" style="90" customWidth="1"/>
    <col min="5901" max="5901" width="4.42578125" style="90" customWidth="1"/>
    <col min="5902" max="5902" width="5.5703125" style="90" customWidth="1"/>
    <col min="5903" max="5903" width="6.5703125" style="90" customWidth="1"/>
    <col min="5904" max="5904" width="18.28515625" style="90" customWidth="1"/>
    <col min="5905" max="5913" width="10.7109375" style="90" customWidth="1"/>
    <col min="5914" max="6134" width="14.42578125" style="90" customWidth="1"/>
    <col min="6135" max="6135" width="5.7109375" style="90" customWidth="1"/>
    <col min="6136" max="6136" width="12.7109375" style="90" customWidth="1"/>
    <col min="6137" max="6137" width="0" style="90" hidden="1" customWidth="1"/>
    <col min="6138" max="6138" width="11.42578125" style="90" customWidth="1"/>
    <col min="6139" max="6142" width="14.7109375" style="90" customWidth="1"/>
    <col min="6143" max="6143" width="16.140625" style="90" customWidth="1"/>
    <col min="6144" max="6144" width="5.7109375" style="90"/>
    <col min="6145" max="6145" width="3.7109375" style="90" customWidth="1"/>
    <col min="6146" max="6146" width="12.7109375" style="90" customWidth="1"/>
    <col min="6147" max="6147" width="1.7109375" style="90" customWidth="1"/>
    <col min="6148" max="6148" width="12.28515625" style="90" customWidth="1"/>
    <col min="6149" max="6149" width="14.7109375" style="90" customWidth="1"/>
    <col min="6150" max="6153" width="7.7109375" style="90" customWidth="1"/>
    <col min="6154" max="6154" width="16.5703125" style="90" customWidth="1"/>
    <col min="6155" max="6155" width="14.7109375" style="90" customWidth="1"/>
    <col min="6156" max="6156" width="3.7109375" style="90" customWidth="1"/>
    <col min="6157" max="6157" width="4.42578125" style="90" customWidth="1"/>
    <col min="6158" max="6158" width="5.5703125" style="90" customWidth="1"/>
    <col min="6159" max="6159" width="6.5703125" style="90" customWidth="1"/>
    <col min="6160" max="6160" width="18.28515625" style="90" customWidth="1"/>
    <col min="6161" max="6169" width="10.7109375" style="90" customWidth="1"/>
    <col min="6170" max="6390" width="14.42578125" style="90" customWidth="1"/>
    <col min="6391" max="6391" width="5.7109375" style="90" customWidth="1"/>
    <col min="6392" max="6392" width="12.7109375" style="90" customWidth="1"/>
    <col min="6393" max="6393" width="0" style="90" hidden="1" customWidth="1"/>
    <col min="6394" max="6394" width="11.42578125" style="90" customWidth="1"/>
    <col min="6395" max="6398" width="14.7109375" style="90" customWidth="1"/>
    <col min="6399" max="6399" width="16.140625" style="90" customWidth="1"/>
    <col min="6400" max="6400" width="5.7109375" style="90"/>
    <col min="6401" max="6401" width="3.7109375" style="90" customWidth="1"/>
    <col min="6402" max="6402" width="12.7109375" style="90" customWidth="1"/>
    <col min="6403" max="6403" width="1.7109375" style="90" customWidth="1"/>
    <col min="6404" max="6404" width="12.28515625" style="90" customWidth="1"/>
    <col min="6405" max="6405" width="14.7109375" style="90" customWidth="1"/>
    <col min="6406" max="6409" width="7.7109375" style="90" customWidth="1"/>
    <col min="6410" max="6410" width="16.5703125" style="90" customWidth="1"/>
    <col min="6411" max="6411" width="14.7109375" style="90" customWidth="1"/>
    <col min="6412" max="6412" width="3.7109375" style="90" customWidth="1"/>
    <col min="6413" max="6413" width="4.42578125" style="90" customWidth="1"/>
    <col min="6414" max="6414" width="5.5703125" style="90" customWidth="1"/>
    <col min="6415" max="6415" width="6.5703125" style="90" customWidth="1"/>
    <col min="6416" max="6416" width="18.28515625" style="90" customWidth="1"/>
    <col min="6417" max="6425" width="10.7109375" style="90" customWidth="1"/>
    <col min="6426" max="6646" width="14.42578125" style="90" customWidth="1"/>
    <col min="6647" max="6647" width="5.7109375" style="90" customWidth="1"/>
    <col min="6648" max="6648" width="12.7109375" style="90" customWidth="1"/>
    <col min="6649" max="6649" width="0" style="90" hidden="1" customWidth="1"/>
    <col min="6650" max="6650" width="11.42578125" style="90" customWidth="1"/>
    <col min="6651" max="6654" width="14.7109375" style="90" customWidth="1"/>
    <col min="6655" max="6655" width="16.140625" style="90" customWidth="1"/>
    <col min="6656" max="6656" width="5.7109375" style="90"/>
    <col min="6657" max="6657" width="3.7109375" style="90" customWidth="1"/>
    <col min="6658" max="6658" width="12.7109375" style="90" customWidth="1"/>
    <col min="6659" max="6659" width="1.7109375" style="90" customWidth="1"/>
    <col min="6660" max="6660" width="12.28515625" style="90" customWidth="1"/>
    <col min="6661" max="6661" width="14.7109375" style="90" customWidth="1"/>
    <col min="6662" max="6665" width="7.7109375" style="90" customWidth="1"/>
    <col min="6666" max="6666" width="16.5703125" style="90" customWidth="1"/>
    <col min="6667" max="6667" width="14.7109375" style="90" customWidth="1"/>
    <col min="6668" max="6668" width="3.7109375" style="90" customWidth="1"/>
    <col min="6669" max="6669" width="4.42578125" style="90" customWidth="1"/>
    <col min="6670" max="6670" width="5.5703125" style="90" customWidth="1"/>
    <col min="6671" max="6671" width="6.5703125" style="90" customWidth="1"/>
    <col min="6672" max="6672" width="18.28515625" style="90" customWidth="1"/>
    <col min="6673" max="6681" width="10.7109375" style="90" customWidth="1"/>
    <col min="6682" max="6902" width="14.42578125" style="90" customWidth="1"/>
    <col min="6903" max="6903" width="5.7109375" style="90" customWidth="1"/>
    <col min="6904" max="6904" width="12.7109375" style="90" customWidth="1"/>
    <col min="6905" max="6905" width="0" style="90" hidden="1" customWidth="1"/>
    <col min="6906" max="6906" width="11.42578125" style="90" customWidth="1"/>
    <col min="6907" max="6910" width="14.7109375" style="90" customWidth="1"/>
    <col min="6911" max="6911" width="16.140625" style="90" customWidth="1"/>
    <col min="6912" max="6912" width="5.7109375" style="90"/>
    <col min="6913" max="6913" width="3.7109375" style="90" customWidth="1"/>
    <col min="6914" max="6914" width="12.7109375" style="90" customWidth="1"/>
    <col min="6915" max="6915" width="1.7109375" style="90" customWidth="1"/>
    <col min="6916" max="6916" width="12.28515625" style="90" customWidth="1"/>
    <col min="6917" max="6917" width="14.7109375" style="90" customWidth="1"/>
    <col min="6918" max="6921" width="7.7109375" style="90" customWidth="1"/>
    <col min="6922" max="6922" width="16.5703125" style="90" customWidth="1"/>
    <col min="6923" max="6923" width="14.7109375" style="90" customWidth="1"/>
    <col min="6924" max="6924" width="3.7109375" style="90" customWidth="1"/>
    <col min="6925" max="6925" width="4.42578125" style="90" customWidth="1"/>
    <col min="6926" max="6926" width="5.5703125" style="90" customWidth="1"/>
    <col min="6927" max="6927" width="6.5703125" style="90" customWidth="1"/>
    <col min="6928" max="6928" width="18.28515625" style="90" customWidth="1"/>
    <col min="6929" max="6937" width="10.7109375" style="90" customWidth="1"/>
    <col min="6938" max="7158" width="14.42578125" style="90" customWidth="1"/>
    <col min="7159" max="7159" width="5.7109375" style="90" customWidth="1"/>
    <col min="7160" max="7160" width="12.7109375" style="90" customWidth="1"/>
    <col min="7161" max="7161" width="0" style="90" hidden="1" customWidth="1"/>
    <col min="7162" max="7162" width="11.42578125" style="90" customWidth="1"/>
    <col min="7163" max="7166" width="14.7109375" style="90" customWidth="1"/>
    <col min="7167" max="7167" width="16.140625" style="90" customWidth="1"/>
    <col min="7168" max="7168" width="5.7109375" style="90"/>
    <col min="7169" max="7169" width="3.7109375" style="90" customWidth="1"/>
    <col min="7170" max="7170" width="12.7109375" style="90" customWidth="1"/>
    <col min="7171" max="7171" width="1.7109375" style="90" customWidth="1"/>
    <col min="7172" max="7172" width="12.28515625" style="90" customWidth="1"/>
    <col min="7173" max="7173" width="14.7109375" style="90" customWidth="1"/>
    <col min="7174" max="7177" width="7.7109375" style="90" customWidth="1"/>
    <col min="7178" max="7178" width="16.5703125" style="90" customWidth="1"/>
    <col min="7179" max="7179" width="14.7109375" style="90" customWidth="1"/>
    <col min="7180" max="7180" width="3.7109375" style="90" customWidth="1"/>
    <col min="7181" max="7181" width="4.42578125" style="90" customWidth="1"/>
    <col min="7182" max="7182" width="5.5703125" style="90" customWidth="1"/>
    <col min="7183" max="7183" width="6.5703125" style="90" customWidth="1"/>
    <col min="7184" max="7184" width="18.28515625" style="90" customWidth="1"/>
    <col min="7185" max="7193" width="10.7109375" style="90" customWidth="1"/>
    <col min="7194" max="7414" width="14.42578125" style="90" customWidth="1"/>
    <col min="7415" max="7415" width="5.7109375" style="90" customWidth="1"/>
    <col min="7416" max="7416" width="12.7109375" style="90" customWidth="1"/>
    <col min="7417" max="7417" width="0" style="90" hidden="1" customWidth="1"/>
    <col min="7418" max="7418" width="11.42578125" style="90" customWidth="1"/>
    <col min="7419" max="7422" width="14.7109375" style="90" customWidth="1"/>
    <col min="7423" max="7423" width="16.140625" style="90" customWidth="1"/>
    <col min="7424" max="7424" width="5.7109375" style="90"/>
    <col min="7425" max="7425" width="3.7109375" style="90" customWidth="1"/>
    <col min="7426" max="7426" width="12.7109375" style="90" customWidth="1"/>
    <col min="7427" max="7427" width="1.7109375" style="90" customWidth="1"/>
    <col min="7428" max="7428" width="12.28515625" style="90" customWidth="1"/>
    <col min="7429" max="7429" width="14.7109375" style="90" customWidth="1"/>
    <col min="7430" max="7433" width="7.7109375" style="90" customWidth="1"/>
    <col min="7434" max="7434" width="16.5703125" style="90" customWidth="1"/>
    <col min="7435" max="7435" width="14.7109375" style="90" customWidth="1"/>
    <col min="7436" max="7436" width="3.7109375" style="90" customWidth="1"/>
    <col min="7437" max="7437" width="4.42578125" style="90" customWidth="1"/>
    <col min="7438" max="7438" width="5.5703125" style="90" customWidth="1"/>
    <col min="7439" max="7439" width="6.5703125" style="90" customWidth="1"/>
    <col min="7440" max="7440" width="18.28515625" style="90" customWidth="1"/>
    <col min="7441" max="7449" width="10.7109375" style="90" customWidth="1"/>
    <col min="7450" max="7670" width="14.42578125" style="90" customWidth="1"/>
    <col min="7671" max="7671" width="5.7109375" style="90" customWidth="1"/>
    <col min="7672" max="7672" width="12.7109375" style="90" customWidth="1"/>
    <col min="7673" max="7673" width="0" style="90" hidden="1" customWidth="1"/>
    <col min="7674" max="7674" width="11.42578125" style="90" customWidth="1"/>
    <col min="7675" max="7678" width="14.7109375" style="90" customWidth="1"/>
    <col min="7679" max="7679" width="16.140625" style="90" customWidth="1"/>
    <col min="7680" max="7680" width="5.7109375" style="90"/>
    <col min="7681" max="7681" width="3.7109375" style="90" customWidth="1"/>
    <col min="7682" max="7682" width="12.7109375" style="90" customWidth="1"/>
    <col min="7683" max="7683" width="1.7109375" style="90" customWidth="1"/>
    <col min="7684" max="7684" width="12.28515625" style="90" customWidth="1"/>
    <col min="7685" max="7685" width="14.7109375" style="90" customWidth="1"/>
    <col min="7686" max="7689" width="7.7109375" style="90" customWidth="1"/>
    <col min="7690" max="7690" width="16.5703125" style="90" customWidth="1"/>
    <col min="7691" max="7691" width="14.7109375" style="90" customWidth="1"/>
    <col min="7692" max="7692" width="3.7109375" style="90" customWidth="1"/>
    <col min="7693" max="7693" width="4.42578125" style="90" customWidth="1"/>
    <col min="7694" max="7694" width="5.5703125" style="90" customWidth="1"/>
    <col min="7695" max="7695" width="6.5703125" style="90" customWidth="1"/>
    <col min="7696" max="7696" width="18.28515625" style="90" customWidth="1"/>
    <col min="7697" max="7705" width="10.7109375" style="90" customWidth="1"/>
    <col min="7706" max="7926" width="14.42578125" style="90" customWidth="1"/>
    <col min="7927" max="7927" width="5.7109375" style="90" customWidth="1"/>
    <col min="7928" max="7928" width="12.7109375" style="90" customWidth="1"/>
    <col min="7929" max="7929" width="0" style="90" hidden="1" customWidth="1"/>
    <col min="7930" max="7930" width="11.42578125" style="90" customWidth="1"/>
    <col min="7931" max="7934" width="14.7109375" style="90" customWidth="1"/>
    <col min="7935" max="7935" width="16.140625" style="90" customWidth="1"/>
    <col min="7936" max="7936" width="5.7109375" style="90"/>
    <col min="7937" max="7937" width="3.7109375" style="90" customWidth="1"/>
    <col min="7938" max="7938" width="12.7109375" style="90" customWidth="1"/>
    <col min="7939" max="7939" width="1.7109375" style="90" customWidth="1"/>
    <col min="7940" max="7940" width="12.28515625" style="90" customWidth="1"/>
    <col min="7941" max="7941" width="14.7109375" style="90" customWidth="1"/>
    <col min="7942" max="7945" width="7.7109375" style="90" customWidth="1"/>
    <col min="7946" max="7946" width="16.5703125" style="90" customWidth="1"/>
    <col min="7947" max="7947" width="14.7109375" style="90" customWidth="1"/>
    <col min="7948" max="7948" width="3.7109375" style="90" customWidth="1"/>
    <col min="7949" max="7949" width="4.42578125" style="90" customWidth="1"/>
    <col min="7950" max="7950" width="5.5703125" style="90" customWidth="1"/>
    <col min="7951" max="7951" width="6.5703125" style="90" customWidth="1"/>
    <col min="7952" max="7952" width="18.28515625" style="90" customWidth="1"/>
    <col min="7953" max="7961" width="10.7109375" style="90" customWidth="1"/>
    <col min="7962" max="8182" width="14.42578125" style="90" customWidth="1"/>
    <col min="8183" max="8183" width="5.7109375" style="90" customWidth="1"/>
    <col min="8184" max="8184" width="12.7109375" style="90" customWidth="1"/>
    <col min="8185" max="8185" width="0" style="90" hidden="1" customWidth="1"/>
    <col min="8186" max="8186" width="11.42578125" style="90" customWidth="1"/>
    <col min="8187" max="8190" width="14.7109375" style="90" customWidth="1"/>
    <col min="8191" max="8191" width="16.140625" style="90" customWidth="1"/>
    <col min="8192" max="8192" width="5.7109375" style="90"/>
    <col min="8193" max="8193" width="3.7109375" style="90" customWidth="1"/>
    <col min="8194" max="8194" width="12.7109375" style="90" customWidth="1"/>
    <col min="8195" max="8195" width="1.7109375" style="90" customWidth="1"/>
    <col min="8196" max="8196" width="12.28515625" style="90" customWidth="1"/>
    <col min="8197" max="8197" width="14.7109375" style="90" customWidth="1"/>
    <col min="8198" max="8201" width="7.7109375" style="90" customWidth="1"/>
    <col min="8202" max="8202" width="16.5703125" style="90" customWidth="1"/>
    <col min="8203" max="8203" width="14.7109375" style="90" customWidth="1"/>
    <col min="8204" max="8204" width="3.7109375" style="90" customWidth="1"/>
    <col min="8205" max="8205" width="4.42578125" style="90" customWidth="1"/>
    <col min="8206" max="8206" width="5.5703125" style="90" customWidth="1"/>
    <col min="8207" max="8207" width="6.5703125" style="90" customWidth="1"/>
    <col min="8208" max="8208" width="18.28515625" style="90" customWidth="1"/>
    <col min="8209" max="8217" width="10.7109375" style="90" customWidth="1"/>
    <col min="8218" max="8438" width="14.42578125" style="90" customWidth="1"/>
    <col min="8439" max="8439" width="5.7109375" style="90" customWidth="1"/>
    <col min="8440" max="8440" width="12.7109375" style="90" customWidth="1"/>
    <col min="8441" max="8441" width="0" style="90" hidden="1" customWidth="1"/>
    <col min="8442" max="8442" width="11.42578125" style="90" customWidth="1"/>
    <col min="8443" max="8446" width="14.7109375" style="90" customWidth="1"/>
    <col min="8447" max="8447" width="16.140625" style="90" customWidth="1"/>
    <col min="8448" max="8448" width="5.7109375" style="90"/>
    <col min="8449" max="8449" width="3.7109375" style="90" customWidth="1"/>
    <col min="8450" max="8450" width="12.7109375" style="90" customWidth="1"/>
    <col min="8451" max="8451" width="1.7109375" style="90" customWidth="1"/>
    <col min="8452" max="8452" width="12.28515625" style="90" customWidth="1"/>
    <col min="8453" max="8453" width="14.7109375" style="90" customWidth="1"/>
    <col min="8454" max="8457" width="7.7109375" style="90" customWidth="1"/>
    <col min="8458" max="8458" width="16.5703125" style="90" customWidth="1"/>
    <col min="8459" max="8459" width="14.7109375" style="90" customWidth="1"/>
    <col min="8460" max="8460" width="3.7109375" style="90" customWidth="1"/>
    <col min="8461" max="8461" width="4.42578125" style="90" customWidth="1"/>
    <col min="8462" max="8462" width="5.5703125" style="90" customWidth="1"/>
    <col min="8463" max="8463" width="6.5703125" style="90" customWidth="1"/>
    <col min="8464" max="8464" width="18.28515625" style="90" customWidth="1"/>
    <col min="8465" max="8473" width="10.7109375" style="90" customWidth="1"/>
    <col min="8474" max="8694" width="14.42578125" style="90" customWidth="1"/>
    <col min="8695" max="8695" width="5.7109375" style="90" customWidth="1"/>
    <col min="8696" max="8696" width="12.7109375" style="90" customWidth="1"/>
    <col min="8697" max="8697" width="0" style="90" hidden="1" customWidth="1"/>
    <col min="8698" max="8698" width="11.42578125" style="90" customWidth="1"/>
    <col min="8699" max="8702" width="14.7109375" style="90" customWidth="1"/>
    <col min="8703" max="8703" width="16.140625" style="90" customWidth="1"/>
    <col min="8704" max="8704" width="5.7109375" style="90"/>
    <col min="8705" max="8705" width="3.7109375" style="90" customWidth="1"/>
    <col min="8706" max="8706" width="12.7109375" style="90" customWidth="1"/>
    <col min="8707" max="8707" width="1.7109375" style="90" customWidth="1"/>
    <col min="8708" max="8708" width="12.28515625" style="90" customWidth="1"/>
    <col min="8709" max="8709" width="14.7109375" style="90" customWidth="1"/>
    <col min="8710" max="8713" width="7.7109375" style="90" customWidth="1"/>
    <col min="8714" max="8714" width="16.5703125" style="90" customWidth="1"/>
    <col min="8715" max="8715" width="14.7109375" style="90" customWidth="1"/>
    <col min="8716" max="8716" width="3.7109375" style="90" customWidth="1"/>
    <col min="8717" max="8717" width="4.42578125" style="90" customWidth="1"/>
    <col min="8718" max="8718" width="5.5703125" style="90" customWidth="1"/>
    <col min="8719" max="8719" width="6.5703125" style="90" customWidth="1"/>
    <col min="8720" max="8720" width="18.28515625" style="90" customWidth="1"/>
    <col min="8721" max="8729" width="10.7109375" style="90" customWidth="1"/>
    <col min="8730" max="8950" width="14.42578125" style="90" customWidth="1"/>
    <col min="8951" max="8951" width="5.7109375" style="90" customWidth="1"/>
    <col min="8952" max="8952" width="12.7109375" style="90" customWidth="1"/>
    <col min="8953" max="8953" width="0" style="90" hidden="1" customWidth="1"/>
    <col min="8954" max="8954" width="11.42578125" style="90" customWidth="1"/>
    <col min="8955" max="8958" width="14.7109375" style="90" customWidth="1"/>
    <col min="8959" max="8959" width="16.140625" style="90" customWidth="1"/>
    <col min="8960" max="8960" width="5.7109375" style="90"/>
    <col min="8961" max="8961" width="3.7109375" style="90" customWidth="1"/>
    <col min="8962" max="8962" width="12.7109375" style="90" customWidth="1"/>
    <col min="8963" max="8963" width="1.7109375" style="90" customWidth="1"/>
    <col min="8964" max="8964" width="12.28515625" style="90" customWidth="1"/>
    <col min="8965" max="8965" width="14.7109375" style="90" customWidth="1"/>
    <col min="8966" max="8969" width="7.7109375" style="90" customWidth="1"/>
    <col min="8970" max="8970" width="16.5703125" style="90" customWidth="1"/>
    <col min="8971" max="8971" width="14.7109375" style="90" customWidth="1"/>
    <col min="8972" max="8972" width="3.7109375" style="90" customWidth="1"/>
    <col min="8973" max="8973" width="4.42578125" style="90" customWidth="1"/>
    <col min="8974" max="8974" width="5.5703125" style="90" customWidth="1"/>
    <col min="8975" max="8975" width="6.5703125" style="90" customWidth="1"/>
    <col min="8976" max="8976" width="18.28515625" style="90" customWidth="1"/>
    <col min="8977" max="8985" width="10.7109375" style="90" customWidth="1"/>
    <col min="8986" max="9206" width="14.42578125" style="90" customWidth="1"/>
    <col min="9207" max="9207" width="5.7109375" style="90" customWidth="1"/>
    <col min="9208" max="9208" width="12.7109375" style="90" customWidth="1"/>
    <col min="9209" max="9209" width="0" style="90" hidden="1" customWidth="1"/>
    <col min="9210" max="9210" width="11.42578125" style="90" customWidth="1"/>
    <col min="9211" max="9214" width="14.7109375" style="90" customWidth="1"/>
    <col min="9215" max="9215" width="16.140625" style="90" customWidth="1"/>
    <col min="9216" max="9216" width="5.7109375" style="90"/>
    <col min="9217" max="9217" width="3.7109375" style="90" customWidth="1"/>
    <col min="9218" max="9218" width="12.7109375" style="90" customWidth="1"/>
    <col min="9219" max="9219" width="1.7109375" style="90" customWidth="1"/>
    <col min="9220" max="9220" width="12.28515625" style="90" customWidth="1"/>
    <col min="9221" max="9221" width="14.7109375" style="90" customWidth="1"/>
    <col min="9222" max="9225" width="7.7109375" style="90" customWidth="1"/>
    <col min="9226" max="9226" width="16.5703125" style="90" customWidth="1"/>
    <col min="9227" max="9227" width="14.7109375" style="90" customWidth="1"/>
    <col min="9228" max="9228" width="3.7109375" style="90" customWidth="1"/>
    <col min="9229" max="9229" width="4.42578125" style="90" customWidth="1"/>
    <col min="9230" max="9230" width="5.5703125" style="90" customWidth="1"/>
    <col min="9231" max="9231" width="6.5703125" style="90" customWidth="1"/>
    <col min="9232" max="9232" width="18.28515625" style="90" customWidth="1"/>
    <col min="9233" max="9241" width="10.7109375" style="90" customWidth="1"/>
    <col min="9242" max="9462" width="14.42578125" style="90" customWidth="1"/>
    <col min="9463" max="9463" width="5.7109375" style="90" customWidth="1"/>
    <col min="9464" max="9464" width="12.7109375" style="90" customWidth="1"/>
    <col min="9465" max="9465" width="0" style="90" hidden="1" customWidth="1"/>
    <col min="9466" max="9466" width="11.42578125" style="90" customWidth="1"/>
    <col min="9467" max="9470" width="14.7109375" style="90" customWidth="1"/>
    <col min="9471" max="9471" width="16.140625" style="90" customWidth="1"/>
    <col min="9472" max="9472" width="5.7109375" style="90"/>
    <col min="9473" max="9473" width="3.7109375" style="90" customWidth="1"/>
    <col min="9474" max="9474" width="12.7109375" style="90" customWidth="1"/>
    <col min="9475" max="9475" width="1.7109375" style="90" customWidth="1"/>
    <col min="9476" max="9476" width="12.28515625" style="90" customWidth="1"/>
    <col min="9477" max="9477" width="14.7109375" style="90" customWidth="1"/>
    <col min="9478" max="9481" width="7.7109375" style="90" customWidth="1"/>
    <col min="9482" max="9482" width="16.5703125" style="90" customWidth="1"/>
    <col min="9483" max="9483" width="14.7109375" style="90" customWidth="1"/>
    <col min="9484" max="9484" width="3.7109375" style="90" customWidth="1"/>
    <col min="9485" max="9485" width="4.42578125" style="90" customWidth="1"/>
    <col min="9486" max="9486" width="5.5703125" style="90" customWidth="1"/>
    <col min="9487" max="9487" width="6.5703125" style="90" customWidth="1"/>
    <col min="9488" max="9488" width="18.28515625" style="90" customWidth="1"/>
    <col min="9489" max="9497" width="10.7109375" style="90" customWidth="1"/>
    <col min="9498" max="9718" width="14.42578125" style="90" customWidth="1"/>
    <col min="9719" max="9719" width="5.7109375" style="90" customWidth="1"/>
    <col min="9720" max="9720" width="12.7109375" style="90" customWidth="1"/>
    <col min="9721" max="9721" width="0" style="90" hidden="1" customWidth="1"/>
    <col min="9722" max="9722" width="11.42578125" style="90" customWidth="1"/>
    <col min="9723" max="9726" width="14.7109375" style="90" customWidth="1"/>
    <col min="9727" max="9727" width="16.140625" style="90" customWidth="1"/>
    <col min="9728" max="9728" width="5.7109375" style="90"/>
    <col min="9729" max="9729" width="3.7109375" style="90" customWidth="1"/>
    <col min="9730" max="9730" width="12.7109375" style="90" customWidth="1"/>
    <col min="9731" max="9731" width="1.7109375" style="90" customWidth="1"/>
    <col min="9732" max="9732" width="12.28515625" style="90" customWidth="1"/>
    <col min="9733" max="9733" width="14.7109375" style="90" customWidth="1"/>
    <col min="9734" max="9737" width="7.7109375" style="90" customWidth="1"/>
    <col min="9738" max="9738" width="16.5703125" style="90" customWidth="1"/>
    <col min="9739" max="9739" width="14.7109375" style="90" customWidth="1"/>
    <col min="9740" max="9740" width="3.7109375" style="90" customWidth="1"/>
    <col min="9741" max="9741" width="4.42578125" style="90" customWidth="1"/>
    <col min="9742" max="9742" width="5.5703125" style="90" customWidth="1"/>
    <col min="9743" max="9743" width="6.5703125" style="90" customWidth="1"/>
    <col min="9744" max="9744" width="18.28515625" style="90" customWidth="1"/>
    <col min="9745" max="9753" width="10.7109375" style="90" customWidth="1"/>
    <col min="9754" max="9974" width="14.42578125" style="90" customWidth="1"/>
    <col min="9975" max="9975" width="5.7109375" style="90" customWidth="1"/>
    <col min="9976" max="9976" width="12.7109375" style="90" customWidth="1"/>
    <col min="9977" max="9977" width="0" style="90" hidden="1" customWidth="1"/>
    <col min="9978" max="9978" width="11.42578125" style="90" customWidth="1"/>
    <col min="9979" max="9982" width="14.7109375" style="90" customWidth="1"/>
    <col min="9983" max="9983" width="16.140625" style="90" customWidth="1"/>
    <col min="9984" max="9984" width="5.7109375" style="90"/>
    <col min="9985" max="9985" width="3.7109375" style="90" customWidth="1"/>
    <col min="9986" max="9986" width="12.7109375" style="90" customWidth="1"/>
    <col min="9987" max="9987" width="1.7109375" style="90" customWidth="1"/>
    <col min="9988" max="9988" width="12.28515625" style="90" customWidth="1"/>
    <col min="9989" max="9989" width="14.7109375" style="90" customWidth="1"/>
    <col min="9990" max="9993" width="7.7109375" style="90" customWidth="1"/>
    <col min="9994" max="9994" width="16.5703125" style="90" customWidth="1"/>
    <col min="9995" max="9995" width="14.7109375" style="90" customWidth="1"/>
    <col min="9996" max="9996" width="3.7109375" style="90" customWidth="1"/>
    <col min="9997" max="9997" width="4.42578125" style="90" customWidth="1"/>
    <col min="9998" max="9998" width="5.5703125" style="90" customWidth="1"/>
    <col min="9999" max="9999" width="6.5703125" style="90" customWidth="1"/>
    <col min="10000" max="10000" width="18.28515625" style="90" customWidth="1"/>
    <col min="10001" max="10009" width="10.7109375" style="90" customWidth="1"/>
    <col min="10010" max="10230" width="14.42578125" style="90" customWidth="1"/>
    <col min="10231" max="10231" width="5.7109375" style="90" customWidth="1"/>
    <col min="10232" max="10232" width="12.7109375" style="90" customWidth="1"/>
    <col min="10233" max="10233" width="0" style="90" hidden="1" customWidth="1"/>
    <col min="10234" max="10234" width="11.42578125" style="90" customWidth="1"/>
    <col min="10235" max="10238" width="14.7109375" style="90" customWidth="1"/>
    <col min="10239" max="10239" width="16.140625" style="90" customWidth="1"/>
    <col min="10240" max="10240" width="5.7109375" style="90"/>
    <col min="10241" max="10241" width="3.7109375" style="90" customWidth="1"/>
    <col min="10242" max="10242" width="12.7109375" style="90" customWidth="1"/>
    <col min="10243" max="10243" width="1.7109375" style="90" customWidth="1"/>
    <col min="10244" max="10244" width="12.28515625" style="90" customWidth="1"/>
    <col min="10245" max="10245" width="14.7109375" style="90" customWidth="1"/>
    <col min="10246" max="10249" width="7.7109375" style="90" customWidth="1"/>
    <col min="10250" max="10250" width="16.5703125" style="90" customWidth="1"/>
    <col min="10251" max="10251" width="14.7109375" style="90" customWidth="1"/>
    <col min="10252" max="10252" width="3.7109375" style="90" customWidth="1"/>
    <col min="10253" max="10253" width="4.42578125" style="90" customWidth="1"/>
    <col min="10254" max="10254" width="5.5703125" style="90" customWidth="1"/>
    <col min="10255" max="10255" width="6.5703125" style="90" customWidth="1"/>
    <col min="10256" max="10256" width="18.28515625" style="90" customWidth="1"/>
    <col min="10257" max="10265" width="10.7109375" style="90" customWidth="1"/>
    <col min="10266" max="10486" width="14.42578125" style="90" customWidth="1"/>
    <col min="10487" max="10487" width="5.7109375" style="90" customWidth="1"/>
    <col min="10488" max="10488" width="12.7109375" style="90" customWidth="1"/>
    <col min="10489" max="10489" width="0" style="90" hidden="1" customWidth="1"/>
    <col min="10490" max="10490" width="11.42578125" style="90" customWidth="1"/>
    <col min="10491" max="10494" width="14.7109375" style="90" customWidth="1"/>
    <col min="10495" max="10495" width="16.140625" style="90" customWidth="1"/>
    <col min="10496" max="10496" width="5.7109375" style="90"/>
    <col min="10497" max="10497" width="3.7109375" style="90" customWidth="1"/>
    <col min="10498" max="10498" width="12.7109375" style="90" customWidth="1"/>
    <col min="10499" max="10499" width="1.7109375" style="90" customWidth="1"/>
    <col min="10500" max="10500" width="12.28515625" style="90" customWidth="1"/>
    <col min="10501" max="10501" width="14.7109375" style="90" customWidth="1"/>
    <col min="10502" max="10505" width="7.7109375" style="90" customWidth="1"/>
    <col min="10506" max="10506" width="16.5703125" style="90" customWidth="1"/>
    <col min="10507" max="10507" width="14.7109375" style="90" customWidth="1"/>
    <col min="10508" max="10508" width="3.7109375" style="90" customWidth="1"/>
    <col min="10509" max="10509" width="4.42578125" style="90" customWidth="1"/>
    <col min="10510" max="10510" width="5.5703125" style="90" customWidth="1"/>
    <col min="10511" max="10511" width="6.5703125" style="90" customWidth="1"/>
    <col min="10512" max="10512" width="18.28515625" style="90" customWidth="1"/>
    <col min="10513" max="10521" width="10.7109375" style="90" customWidth="1"/>
    <col min="10522" max="10742" width="14.42578125" style="90" customWidth="1"/>
    <col min="10743" max="10743" width="5.7109375" style="90" customWidth="1"/>
    <col min="10744" max="10744" width="12.7109375" style="90" customWidth="1"/>
    <col min="10745" max="10745" width="0" style="90" hidden="1" customWidth="1"/>
    <col min="10746" max="10746" width="11.42578125" style="90" customWidth="1"/>
    <col min="10747" max="10750" width="14.7109375" style="90" customWidth="1"/>
    <col min="10751" max="10751" width="16.140625" style="90" customWidth="1"/>
    <col min="10752" max="10752" width="5.7109375" style="90"/>
    <col min="10753" max="10753" width="3.7109375" style="90" customWidth="1"/>
    <col min="10754" max="10754" width="12.7109375" style="90" customWidth="1"/>
    <col min="10755" max="10755" width="1.7109375" style="90" customWidth="1"/>
    <col min="10756" max="10756" width="12.28515625" style="90" customWidth="1"/>
    <col min="10757" max="10757" width="14.7109375" style="90" customWidth="1"/>
    <col min="10758" max="10761" width="7.7109375" style="90" customWidth="1"/>
    <col min="10762" max="10762" width="16.5703125" style="90" customWidth="1"/>
    <col min="10763" max="10763" width="14.7109375" style="90" customWidth="1"/>
    <col min="10764" max="10764" width="3.7109375" style="90" customWidth="1"/>
    <col min="10765" max="10765" width="4.42578125" style="90" customWidth="1"/>
    <col min="10766" max="10766" width="5.5703125" style="90" customWidth="1"/>
    <col min="10767" max="10767" width="6.5703125" style="90" customWidth="1"/>
    <col min="10768" max="10768" width="18.28515625" style="90" customWidth="1"/>
    <col min="10769" max="10777" width="10.7109375" style="90" customWidth="1"/>
    <col min="10778" max="10998" width="14.42578125" style="90" customWidth="1"/>
    <col min="10999" max="10999" width="5.7109375" style="90" customWidth="1"/>
    <col min="11000" max="11000" width="12.7109375" style="90" customWidth="1"/>
    <col min="11001" max="11001" width="0" style="90" hidden="1" customWidth="1"/>
    <col min="11002" max="11002" width="11.42578125" style="90" customWidth="1"/>
    <col min="11003" max="11006" width="14.7109375" style="90" customWidth="1"/>
    <col min="11007" max="11007" width="16.140625" style="90" customWidth="1"/>
    <col min="11008" max="11008" width="5.7109375" style="90"/>
    <col min="11009" max="11009" width="3.7109375" style="90" customWidth="1"/>
    <col min="11010" max="11010" width="12.7109375" style="90" customWidth="1"/>
    <col min="11011" max="11011" width="1.7109375" style="90" customWidth="1"/>
    <col min="11012" max="11012" width="12.28515625" style="90" customWidth="1"/>
    <col min="11013" max="11013" width="14.7109375" style="90" customWidth="1"/>
    <col min="11014" max="11017" width="7.7109375" style="90" customWidth="1"/>
    <col min="11018" max="11018" width="16.5703125" style="90" customWidth="1"/>
    <col min="11019" max="11019" width="14.7109375" style="90" customWidth="1"/>
    <col min="11020" max="11020" width="3.7109375" style="90" customWidth="1"/>
    <col min="11021" max="11021" width="4.42578125" style="90" customWidth="1"/>
    <col min="11022" max="11022" width="5.5703125" style="90" customWidth="1"/>
    <col min="11023" max="11023" width="6.5703125" style="90" customWidth="1"/>
    <col min="11024" max="11024" width="18.28515625" style="90" customWidth="1"/>
    <col min="11025" max="11033" width="10.7109375" style="90" customWidth="1"/>
    <col min="11034" max="11254" width="14.42578125" style="90" customWidth="1"/>
    <col min="11255" max="11255" width="5.7109375" style="90" customWidth="1"/>
    <col min="11256" max="11256" width="12.7109375" style="90" customWidth="1"/>
    <col min="11257" max="11257" width="0" style="90" hidden="1" customWidth="1"/>
    <col min="11258" max="11258" width="11.42578125" style="90" customWidth="1"/>
    <col min="11259" max="11262" width="14.7109375" style="90" customWidth="1"/>
    <col min="11263" max="11263" width="16.140625" style="90" customWidth="1"/>
    <col min="11264" max="11264" width="5.7109375" style="90"/>
    <col min="11265" max="11265" width="3.7109375" style="90" customWidth="1"/>
    <col min="11266" max="11266" width="12.7109375" style="90" customWidth="1"/>
    <col min="11267" max="11267" width="1.7109375" style="90" customWidth="1"/>
    <col min="11268" max="11268" width="12.28515625" style="90" customWidth="1"/>
    <col min="11269" max="11269" width="14.7109375" style="90" customWidth="1"/>
    <col min="11270" max="11273" width="7.7109375" style="90" customWidth="1"/>
    <col min="11274" max="11274" width="16.5703125" style="90" customWidth="1"/>
    <col min="11275" max="11275" width="14.7109375" style="90" customWidth="1"/>
    <col min="11276" max="11276" width="3.7109375" style="90" customWidth="1"/>
    <col min="11277" max="11277" width="4.42578125" style="90" customWidth="1"/>
    <col min="11278" max="11278" width="5.5703125" style="90" customWidth="1"/>
    <col min="11279" max="11279" width="6.5703125" style="90" customWidth="1"/>
    <col min="11280" max="11280" width="18.28515625" style="90" customWidth="1"/>
    <col min="11281" max="11289" width="10.7109375" style="90" customWidth="1"/>
    <col min="11290" max="11510" width="14.42578125" style="90" customWidth="1"/>
    <col min="11511" max="11511" width="5.7109375" style="90" customWidth="1"/>
    <col min="11512" max="11512" width="12.7109375" style="90" customWidth="1"/>
    <col min="11513" max="11513" width="0" style="90" hidden="1" customWidth="1"/>
    <col min="11514" max="11514" width="11.42578125" style="90" customWidth="1"/>
    <col min="11515" max="11518" width="14.7109375" style="90" customWidth="1"/>
    <col min="11519" max="11519" width="16.140625" style="90" customWidth="1"/>
    <col min="11520" max="11520" width="5.7109375" style="90"/>
    <col min="11521" max="11521" width="3.7109375" style="90" customWidth="1"/>
    <col min="11522" max="11522" width="12.7109375" style="90" customWidth="1"/>
    <col min="11523" max="11523" width="1.7109375" style="90" customWidth="1"/>
    <col min="11524" max="11524" width="12.28515625" style="90" customWidth="1"/>
    <col min="11525" max="11525" width="14.7109375" style="90" customWidth="1"/>
    <col min="11526" max="11529" width="7.7109375" style="90" customWidth="1"/>
    <col min="11530" max="11530" width="16.5703125" style="90" customWidth="1"/>
    <col min="11531" max="11531" width="14.7109375" style="90" customWidth="1"/>
    <col min="11532" max="11532" width="3.7109375" style="90" customWidth="1"/>
    <col min="11533" max="11533" width="4.42578125" style="90" customWidth="1"/>
    <col min="11534" max="11534" width="5.5703125" style="90" customWidth="1"/>
    <col min="11535" max="11535" width="6.5703125" style="90" customWidth="1"/>
    <col min="11536" max="11536" width="18.28515625" style="90" customWidth="1"/>
    <col min="11537" max="11545" width="10.7109375" style="90" customWidth="1"/>
    <col min="11546" max="11766" width="14.42578125" style="90" customWidth="1"/>
    <col min="11767" max="11767" width="5.7109375" style="90" customWidth="1"/>
    <col min="11768" max="11768" width="12.7109375" style="90" customWidth="1"/>
    <col min="11769" max="11769" width="0" style="90" hidden="1" customWidth="1"/>
    <col min="11770" max="11770" width="11.42578125" style="90" customWidth="1"/>
    <col min="11771" max="11774" width="14.7109375" style="90" customWidth="1"/>
    <col min="11775" max="11775" width="16.140625" style="90" customWidth="1"/>
    <col min="11776" max="11776" width="5.7109375" style="90"/>
    <col min="11777" max="11777" width="3.7109375" style="90" customWidth="1"/>
    <col min="11778" max="11778" width="12.7109375" style="90" customWidth="1"/>
    <col min="11779" max="11779" width="1.7109375" style="90" customWidth="1"/>
    <col min="11780" max="11780" width="12.28515625" style="90" customWidth="1"/>
    <col min="11781" max="11781" width="14.7109375" style="90" customWidth="1"/>
    <col min="11782" max="11785" width="7.7109375" style="90" customWidth="1"/>
    <col min="11786" max="11786" width="16.5703125" style="90" customWidth="1"/>
    <col min="11787" max="11787" width="14.7109375" style="90" customWidth="1"/>
    <col min="11788" max="11788" width="3.7109375" style="90" customWidth="1"/>
    <col min="11789" max="11789" width="4.42578125" style="90" customWidth="1"/>
    <col min="11790" max="11790" width="5.5703125" style="90" customWidth="1"/>
    <col min="11791" max="11791" width="6.5703125" style="90" customWidth="1"/>
    <col min="11792" max="11792" width="18.28515625" style="90" customWidth="1"/>
    <col min="11793" max="11801" width="10.7109375" style="90" customWidth="1"/>
    <col min="11802" max="12022" width="14.42578125" style="90" customWidth="1"/>
    <col min="12023" max="12023" width="5.7109375" style="90" customWidth="1"/>
    <col min="12024" max="12024" width="12.7109375" style="90" customWidth="1"/>
    <col min="12025" max="12025" width="0" style="90" hidden="1" customWidth="1"/>
    <col min="12026" max="12026" width="11.42578125" style="90" customWidth="1"/>
    <col min="12027" max="12030" width="14.7109375" style="90" customWidth="1"/>
    <col min="12031" max="12031" width="16.140625" style="90" customWidth="1"/>
    <col min="12032" max="12032" width="5.7109375" style="90"/>
    <col min="12033" max="12033" width="3.7109375" style="90" customWidth="1"/>
    <col min="12034" max="12034" width="12.7109375" style="90" customWidth="1"/>
    <col min="12035" max="12035" width="1.7109375" style="90" customWidth="1"/>
    <col min="12036" max="12036" width="12.28515625" style="90" customWidth="1"/>
    <col min="12037" max="12037" width="14.7109375" style="90" customWidth="1"/>
    <col min="12038" max="12041" width="7.7109375" style="90" customWidth="1"/>
    <col min="12042" max="12042" width="16.5703125" style="90" customWidth="1"/>
    <col min="12043" max="12043" width="14.7109375" style="90" customWidth="1"/>
    <col min="12044" max="12044" width="3.7109375" style="90" customWidth="1"/>
    <col min="12045" max="12045" width="4.42578125" style="90" customWidth="1"/>
    <col min="12046" max="12046" width="5.5703125" style="90" customWidth="1"/>
    <col min="12047" max="12047" width="6.5703125" style="90" customWidth="1"/>
    <col min="12048" max="12048" width="18.28515625" style="90" customWidth="1"/>
    <col min="12049" max="12057" width="10.7109375" style="90" customWidth="1"/>
    <col min="12058" max="12278" width="14.42578125" style="90" customWidth="1"/>
    <col min="12279" max="12279" width="5.7109375" style="90" customWidth="1"/>
    <col min="12280" max="12280" width="12.7109375" style="90" customWidth="1"/>
    <col min="12281" max="12281" width="0" style="90" hidden="1" customWidth="1"/>
    <col min="12282" max="12282" width="11.42578125" style="90" customWidth="1"/>
    <col min="12283" max="12286" width="14.7109375" style="90" customWidth="1"/>
    <col min="12287" max="12287" width="16.140625" style="90" customWidth="1"/>
    <col min="12288" max="12288" width="5.7109375" style="90"/>
    <col min="12289" max="12289" width="3.7109375" style="90" customWidth="1"/>
    <col min="12290" max="12290" width="12.7109375" style="90" customWidth="1"/>
    <col min="12291" max="12291" width="1.7109375" style="90" customWidth="1"/>
    <col min="12292" max="12292" width="12.28515625" style="90" customWidth="1"/>
    <col min="12293" max="12293" width="14.7109375" style="90" customWidth="1"/>
    <col min="12294" max="12297" width="7.7109375" style="90" customWidth="1"/>
    <col min="12298" max="12298" width="16.5703125" style="90" customWidth="1"/>
    <col min="12299" max="12299" width="14.7109375" style="90" customWidth="1"/>
    <col min="12300" max="12300" width="3.7109375" style="90" customWidth="1"/>
    <col min="12301" max="12301" width="4.42578125" style="90" customWidth="1"/>
    <col min="12302" max="12302" width="5.5703125" style="90" customWidth="1"/>
    <col min="12303" max="12303" width="6.5703125" style="90" customWidth="1"/>
    <col min="12304" max="12304" width="18.28515625" style="90" customWidth="1"/>
    <col min="12305" max="12313" width="10.7109375" style="90" customWidth="1"/>
    <col min="12314" max="12534" width="14.42578125" style="90" customWidth="1"/>
    <col min="12535" max="12535" width="5.7109375" style="90" customWidth="1"/>
    <col min="12536" max="12536" width="12.7109375" style="90" customWidth="1"/>
    <col min="12537" max="12537" width="0" style="90" hidden="1" customWidth="1"/>
    <col min="12538" max="12538" width="11.42578125" style="90" customWidth="1"/>
    <col min="12539" max="12542" width="14.7109375" style="90" customWidth="1"/>
    <col min="12543" max="12543" width="16.140625" style="90" customWidth="1"/>
    <col min="12544" max="12544" width="5.7109375" style="90"/>
    <col min="12545" max="12545" width="3.7109375" style="90" customWidth="1"/>
    <col min="12546" max="12546" width="12.7109375" style="90" customWidth="1"/>
    <col min="12547" max="12547" width="1.7109375" style="90" customWidth="1"/>
    <col min="12548" max="12548" width="12.28515625" style="90" customWidth="1"/>
    <col min="12549" max="12549" width="14.7109375" style="90" customWidth="1"/>
    <col min="12550" max="12553" width="7.7109375" style="90" customWidth="1"/>
    <col min="12554" max="12554" width="16.5703125" style="90" customWidth="1"/>
    <col min="12555" max="12555" width="14.7109375" style="90" customWidth="1"/>
    <col min="12556" max="12556" width="3.7109375" style="90" customWidth="1"/>
    <col min="12557" max="12557" width="4.42578125" style="90" customWidth="1"/>
    <col min="12558" max="12558" width="5.5703125" style="90" customWidth="1"/>
    <col min="12559" max="12559" width="6.5703125" style="90" customWidth="1"/>
    <col min="12560" max="12560" width="18.28515625" style="90" customWidth="1"/>
    <col min="12561" max="12569" width="10.7109375" style="90" customWidth="1"/>
    <col min="12570" max="12790" width="14.42578125" style="90" customWidth="1"/>
    <col min="12791" max="12791" width="5.7109375" style="90" customWidth="1"/>
    <col min="12792" max="12792" width="12.7109375" style="90" customWidth="1"/>
    <col min="12793" max="12793" width="0" style="90" hidden="1" customWidth="1"/>
    <col min="12794" max="12794" width="11.42578125" style="90" customWidth="1"/>
    <col min="12795" max="12798" width="14.7109375" style="90" customWidth="1"/>
    <col min="12799" max="12799" width="16.140625" style="90" customWidth="1"/>
    <col min="12800" max="12800" width="5.7109375" style="90"/>
    <col min="12801" max="12801" width="3.7109375" style="90" customWidth="1"/>
    <col min="12802" max="12802" width="12.7109375" style="90" customWidth="1"/>
    <col min="12803" max="12803" width="1.7109375" style="90" customWidth="1"/>
    <col min="12804" max="12804" width="12.28515625" style="90" customWidth="1"/>
    <col min="12805" max="12805" width="14.7109375" style="90" customWidth="1"/>
    <col min="12806" max="12809" width="7.7109375" style="90" customWidth="1"/>
    <col min="12810" max="12810" width="16.5703125" style="90" customWidth="1"/>
    <col min="12811" max="12811" width="14.7109375" style="90" customWidth="1"/>
    <col min="12812" max="12812" width="3.7109375" style="90" customWidth="1"/>
    <col min="12813" max="12813" width="4.42578125" style="90" customWidth="1"/>
    <col min="12814" max="12814" width="5.5703125" style="90" customWidth="1"/>
    <col min="12815" max="12815" width="6.5703125" style="90" customWidth="1"/>
    <col min="12816" max="12816" width="18.28515625" style="90" customWidth="1"/>
    <col min="12817" max="12825" width="10.7109375" style="90" customWidth="1"/>
    <col min="12826" max="13046" width="14.42578125" style="90" customWidth="1"/>
    <col min="13047" max="13047" width="5.7109375" style="90" customWidth="1"/>
    <col min="13048" max="13048" width="12.7109375" style="90" customWidth="1"/>
    <col min="13049" max="13049" width="0" style="90" hidden="1" customWidth="1"/>
    <col min="13050" max="13050" width="11.42578125" style="90" customWidth="1"/>
    <col min="13051" max="13054" width="14.7109375" style="90" customWidth="1"/>
    <col min="13055" max="13055" width="16.140625" style="90" customWidth="1"/>
    <col min="13056" max="13056" width="5.7109375" style="90"/>
    <col min="13057" max="13057" width="3.7109375" style="90" customWidth="1"/>
    <col min="13058" max="13058" width="12.7109375" style="90" customWidth="1"/>
    <col min="13059" max="13059" width="1.7109375" style="90" customWidth="1"/>
    <col min="13060" max="13060" width="12.28515625" style="90" customWidth="1"/>
    <col min="13061" max="13061" width="14.7109375" style="90" customWidth="1"/>
    <col min="13062" max="13065" width="7.7109375" style="90" customWidth="1"/>
    <col min="13066" max="13066" width="16.5703125" style="90" customWidth="1"/>
    <col min="13067" max="13067" width="14.7109375" style="90" customWidth="1"/>
    <col min="13068" max="13068" width="3.7109375" style="90" customWidth="1"/>
    <col min="13069" max="13069" width="4.42578125" style="90" customWidth="1"/>
    <col min="13070" max="13070" width="5.5703125" style="90" customWidth="1"/>
    <col min="13071" max="13071" width="6.5703125" style="90" customWidth="1"/>
    <col min="13072" max="13072" width="18.28515625" style="90" customWidth="1"/>
    <col min="13073" max="13081" width="10.7109375" style="90" customWidth="1"/>
    <col min="13082" max="13302" width="14.42578125" style="90" customWidth="1"/>
    <col min="13303" max="13303" width="5.7109375" style="90" customWidth="1"/>
    <col min="13304" max="13304" width="12.7109375" style="90" customWidth="1"/>
    <col min="13305" max="13305" width="0" style="90" hidden="1" customWidth="1"/>
    <col min="13306" max="13306" width="11.42578125" style="90" customWidth="1"/>
    <col min="13307" max="13310" width="14.7109375" style="90" customWidth="1"/>
    <col min="13311" max="13311" width="16.140625" style="90" customWidth="1"/>
    <col min="13312" max="13312" width="5.7109375" style="90"/>
    <col min="13313" max="13313" width="3.7109375" style="90" customWidth="1"/>
    <col min="13314" max="13314" width="12.7109375" style="90" customWidth="1"/>
    <col min="13315" max="13315" width="1.7109375" style="90" customWidth="1"/>
    <col min="13316" max="13316" width="12.28515625" style="90" customWidth="1"/>
    <col min="13317" max="13317" width="14.7109375" style="90" customWidth="1"/>
    <col min="13318" max="13321" width="7.7109375" style="90" customWidth="1"/>
    <col min="13322" max="13322" width="16.5703125" style="90" customWidth="1"/>
    <col min="13323" max="13323" width="14.7109375" style="90" customWidth="1"/>
    <col min="13324" max="13324" width="3.7109375" style="90" customWidth="1"/>
    <col min="13325" max="13325" width="4.42578125" style="90" customWidth="1"/>
    <col min="13326" max="13326" width="5.5703125" style="90" customWidth="1"/>
    <col min="13327" max="13327" width="6.5703125" style="90" customWidth="1"/>
    <col min="13328" max="13328" width="18.28515625" style="90" customWidth="1"/>
    <col min="13329" max="13337" width="10.7109375" style="90" customWidth="1"/>
    <col min="13338" max="13558" width="14.42578125" style="90" customWidth="1"/>
    <col min="13559" max="13559" width="5.7109375" style="90" customWidth="1"/>
    <col min="13560" max="13560" width="12.7109375" style="90" customWidth="1"/>
    <col min="13561" max="13561" width="0" style="90" hidden="1" customWidth="1"/>
    <col min="13562" max="13562" width="11.42578125" style="90" customWidth="1"/>
    <col min="13563" max="13566" width="14.7109375" style="90" customWidth="1"/>
    <col min="13567" max="13567" width="16.140625" style="90" customWidth="1"/>
    <col min="13568" max="13568" width="5.7109375" style="90"/>
    <col min="13569" max="13569" width="3.7109375" style="90" customWidth="1"/>
    <col min="13570" max="13570" width="12.7109375" style="90" customWidth="1"/>
    <col min="13571" max="13571" width="1.7109375" style="90" customWidth="1"/>
    <col min="13572" max="13572" width="12.28515625" style="90" customWidth="1"/>
    <col min="13573" max="13573" width="14.7109375" style="90" customWidth="1"/>
    <col min="13574" max="13577" width="7.7109375" style="90" customWidth="1"/>
    <col min="13578" max="13578" width="16.5703125" style="90" customWidth="1"/>
    <col min="13579" max="13579" width="14.7109375" style="90" customWidth="1"/>
    <col min="13580" max="13580" width="3.7109375" style="90" customWidth="1"/>
    <col min="13581" max="13581" width="4.42578125" style="90" customWidth="1"/>
    <col min="13582" max="13582" width="5.5703125" style="90" customWidth="1"/>
    <col min="13583" max="13583" width="6.5703125" style="90" customWidth="1"/>
    <col min="13584" max="13584" width="18.28515625" style="90" customWidth="1"/>
    <col min="13585" max="13593" width="10.7109375" style="90" customWidth="1"/>
    <col min="13594" max="13814" width="14.42578125" style="90" customWidth="1"/>
    <col min="13815" max="13815" width="5.7109375" style="90" customWidth="1"/>
    <col min="13816" max="13816" width="12.7109375" style="90" customWidth="1"/>
    <col min="13817" max="13817" width="0" style="90" hidden="1" customWidth="1"/>
    <col min="13818" max="13818" width="11.42578125" style="90" customWidth="1"/>
    <col min="13819" max="13822" width="14.7109375" style="90" customWidth="1"/>
    <col min="13823" max="13823" width="16.140625" style="90" customWidth="1"/>
    <col min="13824" max="13824" width="5.7109375" style="90"/>
    <col min="13825" max="13825" width="3.7109375" style="90" customWidth="1"/>
    <col min="13826" max="13826" width="12.7109375" style="90" customWidth="1"/>
    <col min="13827" max="13827" width="1.7109375" style="90" customWidth="1"/>
    <col min="13828" max="13828" width="12.28515625" style="90" customWidth="1"/>
    <col min="13829" max="13829" width="14.7109375" style="90" customWidth="1"/>
    <col min="13830" max="13833" width="7.7109375" style="90" customWidth="1"/>
    <col min="13834" max="13834" width="16.5703125" style="90" customWidth="1"/>
    <col min="13835" max="13835" width="14.7109375" style="90" customWidth="1"/>
    <col min="13836" max="13836" width="3.7109375" style="90" customWidth="1"/>
    <col min="13837" max="13837" width="4.42578125" style="90" customWidth="1"/>
    <col min="13838" max="13838" width="5.5703125" style="90" customWidth="1"/>
    <col min="13839" max="13839" width="6.5703125" style="90" customWidth="1"/>
    <col min="13840" max="13840" width="18.28515625" style="90" customWidth="1"/>
    <col min="13841" max="13849" width="10.7109375" style="90" customWidth="1"/>
    <col min="13850" max="14070" width="14.42578125" style="90" customWidth="1"/>
    <col min="14071" max="14071" width="5.7109375" style="90" customWidth="1"/>
    <col min="14072" max="14072" width="12.7109375" style="90" customWidth="1"/>
    <col min="14073" max="14073" width="0" style="90" hidden="1" customWidth="1"/>
    <col min="14074" max="14074" width="11.42578125" style="90" customWidth="1"/>
    <col min="14075" max="14078" width="14.7109375" style="90" customWidth="1"/>
    <col min="14079" max="14079" width="16.140625" style="90" customWidth="1"/>
    <col min="14080" max="14080" width="5.7109375" style="90"/>
    <col min="14081" max="14081" width="3.7109375" style="90" customWidth="1"/>
    <col min="14082" max="14082" width="12.7109375" style="90" customWidth="1"/>
    <col min="14083" max="14083" width="1.7109375" style="90" customWidth="1"/>
    <col min="14084" max="14084" width="12.28515625" style="90" customWidth="1"/>
    <col min="14085" max="14085" width="14.7109375" style="90" customWidth="1"/>
    <col min="14086" max="14089" width="7.7109375" style="90" customWidth="1"/>
    <col min="14090" max="14090" width="16.5703125" style="90" customWidth="1"/>
    <col min="14091" max="14091" width="14.7109375" style="90" customWidth="1"/>
    <col min="14092" max="14092" width="3.7109375" style="90" customWidth="1"/>
    <col min="14093" max="14093" width="4.42578125" style="90" customWidth="1"/>
    <col min="14094" max="14094" width="5.5703125" style="90" customWidth="1"/>
    <col min="14095" max="14095" width="6.5703125" style="90" customWidth="1"/>
    <col min="14096" max="14096" width="18.28515625" style="90" customWidth="1"/>
    <col min="14097" max="14105" width="10.7109375" style="90" customWidth="1"/>
    <col min="14106" max="14326" width="14.42578125" style="90" customWidth="1"/>
    <col min="14327" max="14327" width="5.7109375" style="90" customWidth="1"/>
    <col min="14328" max="14328" width="12.7109375" style="90" customWidth="1"/>
    <col min="14329" max="14329" width="0" style="90" hidden="1" customWidth="1"/>
    <col min="14330" max="14330" width="11.42578125" style="90" customWidth="1"/>
    <col min="14331" max="14334" width="14.7109375" style="90" customWidth="1"/>
    <col min="14335" max="14335" width="16.140625" style="90" customWidth="1"/>
    <col min="14336" max="14336" width="5.7109375" style="90"/>
    <col min="14337" max="14337" width="3.7109375" style="90" customWidth="1"/>
    <col min="14338" max="14338" width="12.7109375" style="90" customWidth="1"/>
    <col min="14339" max="14339" width="1.7109375" style="90" customWidth="1"/>
    <col min="14340" max="14340" width="12.28515625" style="90" customWidth="1"/>
    <col min="14341" max="14341" width="14.7109375" style="90" customWidth="1"/>
    <col min="14342" max="14345" width="7.7109375" style="90" customWidth="1"/>
    <col min="14346" max="14346" width="16.5703125" style="90" customWidth="1"/>
    <col min="14347" max="14347" width="14.7109375" style="90" customWidth="1"/>
    <col min="14348" max="14348" width="3.7109375" style="90" customWidth="1"/>
    <col min="14349" max="14349" width="4.42578125" style="90" customWidth="1"/>
    <col min="14350" max="14350" width="5.5703125" style="90" customWidth="1"/>
    <col min="14351" max="14351" width="6.5703125" style="90" customWidth="1"/>
    <col min="14352" max="14352" width="18.28515625" style="90" customWidth="1"/>
    <col min="14353" max="14361" width="10.7109375" style="90" customWidth="1"/>
    <col min="14362" max="14582" width="14.42578125" style="90" customWidth="1"/>
    <col min="14583" max="14583" width="5.7109375" style="90" customWidth="1"/>
    <col min="14584" max="14584" width="12.7109375" style="90" customWidth="1"/>
    <col min="14585" max="14585" width="0" style="90" hidden="1" customWidth="1"/>
    <col min="14586" max="14586" width="11.42578125" style="90" customWidth="1"/>
    <col min="14587" max="14590" width="14.7109375" style="90" customWidth="1"/>
    <col min="14591" max="14591" width="16.140625" style="90" customWidth="1"/>
    <col min="14592" max="14592" width="5.7109375" style="90"/>
    <col min="14593" max="14593" width="3.7109375" style="90" customWidth="1"/>
    <col min="14594" max="14594" width="12.7109375" style="90" customWidth="1"/>
    <col min="14595" max="14595" width="1.7109375" style="90" customWidth="1"/>
    <col min="14596" max="14596" width="12.28515625" style="90" customWidth="1"/>
    <col min="14597" max="14597" width="14.7109375" style="90" customWidth="1"/>
    <col min="14598" max="14601" width="7.7109375" style="90" customWidth="1"/>
    <col min="14602" max="14602" width="16.5703125" style="90" customWidth="1"/>
    <col min="14603" max="14603" width="14.7109375" style="90" customWidth="1"/>
    <col min="14604" max="14604" width="3.7109375" style="90" customWidth="1"/>
    <col min="14605" max="14605" width="4.42578125" style="90" customWidth="1"/>
    <col min="14606" max="14606" width="5.5703125" style="90" customWidth="1"/>
    <col min="14607" max="14607" width="6.5703125" style="90" customWidth="1"/>
    <col min="14608" max="14608" width="18.28515625" style="90" customWidth="1"/>
    <col min="14609" max="14617" width="10.7109375" style="90" customWidth="1"/>
    <col min="14618" max="14838" width="14.42578125" style="90" customWidth="1"/>
    <col min="14839" max="14839" width="5.7109375" style="90" customWidth="1"/>
    <col min="14840" max="14840" width="12.7109375" style="90" customWidth="1"/>
    <col min="14841" max="14841" width="0" style="90" hidden="1" customWidth="1"/>
    <col min="14842" max="14842" width="11.42578125" style="90" customWidth="1"/>
    <col min="14843" max="14846" width="14.7109375" style="90" customWidth="1"/>
    <col min="14847" max="14847" width="16.140625" style="90" customWidth="1"/>
    <col min="14848" max="14848" width="5.7109375" style="90"/>
    <col min="14849" max="14849" width="3.7109375" style="90" customWidth="1"/>
    <col min="14850" max="14850" width="12.7109375" style="90" customWidth="1"/>
    <col min="14851" max="14851" width="1.7109375" style="90" customWidth="1"/>
    <col min="14852" max="14852" width="12.28515625" style="90" customWidth="1"/>
    <col min="14853" max="14853" width="14.7109375" style="90" customWidth="1"/>
    <col min="14854" max="14857" width="7.7109375" style="90" customWidth="1"/>
    <col min="14858" max="14858" width="16.5703125" style="90" customWidth="1"/>
    <col min="14859" max="14859" width="14.7109375" style="90" customWidth="1"/>
    <col min="14860" max="14860" width="3.7109375" style="90" customWidth="1"/>
    <col min="14861" max="14861" width="4.42578125" style="90" customWidth="1"/>
    <col min="14862" max="14862" width="5.5703125" style="90" customWidth="1"/>
    <col min="14863" max="14863" width="6.5703125" style="90" customWidth="1"/>
    <col min="14864" max="14864" width="18.28515625" style="90" customWidth="1"/>
    <col min="14865" max="14873" width="10.7109375" style="90" customWidth="1"/>
    <col min="14874" max="15094" width="14.42578125" style="90" customWidth="1"/>
    <col min="15095" max="15095" width="5.7109375" style="90" customWidth="1"/>
    <col min="15096" max="15096" width="12.7109375" style="90" customWidth="1"/>
    <col min="15097" max="15097" width="0" style="90" hidden="1" customWidth="1"/>
    <col min="15098" max="15098" width="11.42578125" style="90" customWidth="1"/>
    <col min="15099" max="15102" width="14.7109375" style="90" customWidth="1"/>
    <col min="15103" max="15103" width="16.140625" style="90" customWidth="1"/>
    <col min="15104" max="15104" width="5.7109375" style="90"/>
    <col min="15105" max="15105" width="3.7109375" style="90" customWidth="1"/>
    <col min="15106" max="15106" width="12.7109375" style="90" customWidth="1"/>
    <col min="15107" max="15107" width="1.7109375" style="90" customWidth="1"/>
    <col min="15108" max="15108" width="12.28515625" style="90" customWidth="1"/>
    <col min="15109" max="15109" width="14.7109375" style="90" customWidth="1"/>
    <col min="15110" max="15113" width="7.7109375" style="90" customWidth="1"/>
    <col min="15114" max="15114" width="16.5703125" style="90" customWidth="1"/>
    <col min="15115" max="15115" width="14.7109375" style="90" customWidth="1"/>
    <col min="15116" max="15116" width="3.7109375" style="90" customWidth="1"/>
    <col min="15117" max="15117" width="4.42578125" style="90" customWidth="1"/>
    <col min="15118" max="15118" width="5.5703125" style="90" customWidth="1"/>
    <col min="15119" max="15119" width="6.5703125" style="90" customWidth="1"/>
    <col min="15120" max="15120" width="18.28515625" style="90" customWidth="1"/>
    <col min="15121" max="15129" width="10.7109375" style="90" customWidth="1"/>
    <col min="15130" max="15350" width="14.42578125" style="90" customWidth="1"/>
    <col min="15351" max="15351" width="5.7109375" style="90" customWidth="1"/>
    <col min="15352" max="15352" width="12.7109375" style="90" customWidth="1"/>
    <col min="15353" max="15353" width="0" style="90" hidden="1" customWidth="1"/>
    <col min="15354" max="15354" width="11.42578125" style="90" customWidth="1"/>
    <col min="15355" max="15358" width="14.7109375" style="90" customWidth="1"/>
    <col min="15359" max="15359" width="16.140625" style="90" customWidth="1"/>
    <col min="15360" max="15360" width="5.7109375" style="90"/>
    <col min="15361" max="15361" width="3.7109375" style="90" customWidth="1"/>
    <col min="15362" max="15362" width="12.7109375" style="90" customWidth="1"/>
    <col min="15363" max="15363" width="1.7109375" style="90" customWidth="1"/>
    <col min="15364" max="15364" width="12.28515625" style="90" customWidth="1"/>
    <col min="15365" max="15365" width="14.7109375" style="90" customWidth="1"/>
    <col min="15366" max="15369" width="7.7109375" style="90" customWidth="1"/>
    <col min="15370" max="15370" width="16.5703125" style="90" customWidth="1"/>
    <col min="15371" max="15371" width="14.7109375" style="90" customWidth="1"/>
    <col min="15372" max="15372" width="3.7109375" style="90" customWidth="1"/>
    <col min="15373" max="15373" width="4.42578125" style="90" customWidth="1"/>
    <col min="15374" max="15374" width="5.5703125" style="90" customWidth="1"/>
    <col min="15375" max="15375" width="6.5703125" style="90" customWidth="1"/>
    <col min="15376" max="15376" width="18.28515625" style="90" customWidth="1"/>
    <col min="15377" max="15385" width="10.7109375" style="90" customWidth="1"/>
    <col min="15386" max="15606" width="14.42578125" style="90" customWidth="1"/>
    <col min="15607" max="15607" width="5.7109375" style="90" customWidth="1"/>
    <col min="15608" max="15608" width="12.7109375" style="90" customWidth="1"/>
    <col min="15609" max="15609" width="0" style="90" hidden="1" customWidth="1"/>
    <col min="15610" max="15610" width="11.42578125" style="90" customWidth="1"/>
    <col min="15611" max="15614" width="14.7109375" style="90" customWidth="1"/>
    <col min="15615" max="15615" width="16.140625" style="90" customWidth="1"/>
    <col min="15616" max="15616" width="5.7109375" style="90"/>
    <col min="15617" max="15617" width="3.7109375" style="90" customWidth="1"/>
    <col min="15618" max="15618" width="12.7109375" style="90" customWidth="1"/>
    <col min="15619" max="15619" width="1.7109375" style="90" customWidth="1"/>
    <col min="15620" max="15620" width="12.28515625" style="90" customWidth="1"/>
    <col min="15621" max="15621" width="14.7109375" style="90" customWidth="1"/>
    <col min="15622" max="15625" width="7.7109375" style="90" customWidth="1"/>
    <col min="15626" max="15626" width="16.5703125" style="90" customWidth="1"/>
    <col min="15627" max="15627" width="14.7109375" style="90" customWidth="1"/>
    <col min="15628" max="15628" width="3.7109375" style="90" customWidth="1"/>
    <col min="15629" max="15629" width="4.42578125" style="90" customWidth="1"/>
    <col min="15630" max="15630" width="5.5703125" style="90" customWidth="1"/>
    <col min="15631" max="15631" width="6.5703125" style="90" customWidth="1"/>
    <col min="15632" max="15632" width="18.28515625" style="90" customWidth="1"/>
    <col min="15633" max="15641" width="10.7109375" style="90" customWidth="1"/>
    <col min="15642" max="15862" width="14.42578125" style="90" customWidth="1"/>
    <col min="15863" max="15863" width="5.7109375" style="90" customWidth="1"/>
    <col min="15864" max="15864" width="12.7109375" style="90" customWidth="1"/>
    <col min="15865" max="15865" width="0" style="90" hidden="1" customWidth="1"/>
    <col min="15866" max="15866" width="11.42578125" style="90" customWidth="1"/>
    <col min="15867" max="15870" width="14.7109375" style="90" customWidth="1"/>
    <col min="15871" max="15871" width="16.140625" style="90" customWidth="1"/>
    <col min="15872" max="15872" width="5.7109375" style="90"/>
    <col min="15873" max="15873" width="3.7109375" style="90" customWidth="1"/>
    <col min="15874" max="15874" width="12.7109375" style="90" customWidth="1"/>
    <col min="15875" max="15875" width="1.7109375" style="90" customWidth="1"/>
    <col min="15876" max="15876" width="12.28515625" style="90" customWidth="1"/>
    <col min="15877" max="15877" width="14.7109375" style="90" customWidth="1"/>
    <col min="15878" max="15881" width="7.7109375" style="90" customWidth="1"/>
    <col min="15882" max="15882" width="16.5703125" style="90" customWidth="1"/>
    <col min="15883" max="15883" width="14.7109375" style="90" customWidth="1"/>
    <col min="15884" max="15884" width="3.7109375" style="90" customWidth="1"/>
    <col min="15885" max="15885" width="4.42578125" style="90" customWidth="1"/>
    <col min="15886" max="15886" width="5.5703125" style="90" customWidth="1"/>
    <col min="15887" max="15887" width="6.5703125" style="90" customWidth="1"/>
    <col min="15888" max="15888" width="18.28515625" style="90" customWidth="1"/>
    <col min="15889" max="15897" width="10.7109375" style="90" customWidth="1"/>
    <col min="15898" max="16118" width="14.42578125" style="90" customWidth="1"/>
    <col min="16119" max="16119" width="5.7109375" style="90" customWidth="1"/>
    <col min="16120" max="16120" width="12.7109375" style="90" customWidth="1"/>
    <col min="16121" max="16121" width="0" style="90" hidden="1" customWidth="1"/>
    <col min="16122" max="16122" width="11.42578125" style="90" customWidth="1"/>
    <col min="16123" max="16126" width="14.7109375" style="90" customWidth="1"/>
    <col min="16127" max="16127" width="16.140625" style="90" customWidth="1"/>
    <col min="16128" max="16128" width="5.7109375" style="90"/>
    <col min="16129" max="16129" width="3.7109375" style="90" customWidth="1"/>
    <col min="16130" max="16130" width="12.7109375" style="90" customWidth="1"/>
    <col min="16131" max="16131" width="1.7109375" style="90" customWidth="1"/>
    <col min="16132" max="16132" width="12.28515625" style="90" customWidth="1"/>
    <col min="16133" max="16133" width="14.7109375" style="90" customWidth="1"/>
    <col min="16134" max="16137" width="7.7109375" style="90" customWidth="1"/>
    <col min="16138" max="16138" width="16.5703125" style="90" customWidth="1"/>
    <col min="16139" max="16139" width="14.7109375" style="90" customWidth="1"/>
    <col min="16140" max="16140" width="3.7109375" style="90" customWidth="1"/>
    <col min="16141" max="16141" width="4.42578125" style="90" customWidth="1"/>
    <col min="16142" max="16142" width="5.5703125" style="90" customWidth="1"/>
    <col min="16143" max="16143" width="6.5703125" style="90" customWidth="1"/>
    <col min="16144" max="16144" width="18.28515625" style="90" customWidth="1"/>
    <col min="16145" max="16153" width="10.7109375" style="90" customWidth="1"/>
    <col min="16154" max="16374" width="14.42578125" style="90" customWidth="1"/>
    <col min="16375" max="16375" width="5.7109375" style="90" customWidth="1"/>
    <col min="16376" max="16376" width="12.7109375" style="90" customWidth="1"/>
    <col min="16377" max="16377" width="0" style="90" hidden="1" customWidth="1"/>
    <col min="16378" max="16378" width="11.42578125" style="90" customWidth="1"/>
    <col min="16379" max="16382" width="14.7109375" style="90" customWidth="1"/>
    <col min="16383" max="16383" width="16.140625" style="90" customWidth="1"/>
    <col min="16384" max="16384" width="5.7109375" style="90"/>
  </cols>
  <sheetData>
    <row r="1" spans="1:23" s="87" customFormat="1" ht="15" customHeight="1">
      <c r="A1" s="3431"/>
      <c r="B1" s="3432"/>
      <c r="C1" s="3433" t="s">
        <v>68</v>
      </c>
      <c r="D1" s="3434"/>
      <c r="E1" s="3434"/>
      <c r="F1" s="3434"/>
      <c r="G1" s="3434"/>
      <c r="H1" s="3434"/>
      <c r="I1" s="3434"/>
      <c r="J1" s="3434"/>
      <c r="K1" s="3435"/>
      <c r="L1" s="453"/>
      <c r="M1" s="191"/>
      <c r="N1" s="192"/>
      <c r="O1" s="192"/>
      <c r="P1" s="192"/>
      <c r="Q1" s="192"/>
      <c r="R1" s="192"/>
      <c r="S1" s="192"/>
      <c r="T1" s="192"/>
      <c r="U1" s="192"/>
      <c r="V1" s="191"/>
      <c r="W1" s="194"/>
    </row>
    <row r="2" spans="1:23" s="87" customFormat="1" ht="15" customHeight="1">
      <c r="A2" s="2235"/>
      <c r="B2" s="2237"/>
      <c r="C2" s="2244" t="s">
        <v>140</v>
      </c>
      <c r="D2" s="2245"/>
      <c r="E2" s="2245"/>
      <c r="F2" s="2245"/>
      <c r="G2" s="2245"/>
      <c r="H2" s="2245"/>
      <c r="I2" s="2245"/>
      <c r="J2" s="2245"/>
      <c r="K2" s="2246"/>
      <c r="L2" s="453"/>
      <c r="M2" s="191"/>
      <c r="N2" s="192"/>
      <c r="O2" s="192"/>
      <c r="P2" s="192"/>
      <c r="Q2" s="192"/>
      <c r="R2" s="192"/>
      <c r="S2" s="192"/>
      <c r="T2" s="192"/>
      <c r="U2" s="192"/>
      <c r="V2" s="191"/>
      <c r="W2" s="194"/>
    </row>
    <row r="3" spans="1:23" s="88" customFormat="1" ht="15" customHeight="1">
      <c r="A3" s="2235"/>
      <c r="B3" s="2237"/>
      <c r="C3" s="2244" t="s">
        <v>664</v>
      </c>
      <c r="D3" s="2245"/>
      <c r="E3" s="2245"/>
      <c r="F3" s="2245"/>
      <c r="G3" s="2245"/>
      <c r="H3" s="2245"/>
      <c r="I3" s="2245"/>
      <c r="J3" s="2245"/>
      <c r="K3" s="2246"/>
      <c r="L3" s="453"/>
      <c r="M3" s="191"/>
      <c r="N3" s="192"/>
      <c r="O3" s="192"/>
      <c r="P3" s="193" t="s">
        <v>126</v>
      </c>
      <c r="Q3" s="1349">
        <v>1</v>
      </c>
      <c r="R3" s="192"/>
      <c r="S3" s="3427" t="s">
        <v>143</v>
      </c>
      <c r="T3" s="3427"/>
      <c r="U3" s="3427"/>
      <c r="V3" s="3419" t="s">
        <v>67</v>
      </c>
      <c r="W3" s="195"/>
    </row>
    <row r="4" spans="1:23" s="85" customFormat="1" ht="15" customHeight="1">
      <c r="A4" s="2235"/>
      <c r="B4" s="2237"/>
      <c r="C4" s="2250" t="s">
        <v>665</v>
      </c>
      <c r="D4" s="2251"/>
      <c r="E4" s="2251"/>
      <c r="F4" s="2251"/>
      <c r="G4" s="2252"/>
      <c r="H4" s="2250" t="s">
        <v>666</v>
      </c>
      <c r="I4" s="2251"/>
      <c r="J4" s="2251"/>
      <c r="K4" s="2252"/>
      <c r="L4" s="478"/>
      <c r="M4" s="191"/>
      <c r="N4" s="192"/>
      <c r="O4" s="192"/>
      <c r="P4" s="192"/>
      <c r="Q4" s="192"/>
      <c r="R4" s="192"/>
      <c r="S4" s="3428"/>
      <c r="T4" s="3428"/>
      <c r="U4" s="3428"/>
      <c r="V4" s="3420"/>
      <c r="W4" s="191"/>
    </row>
    <row r="5" spans="1:23" s="85" customFormat="1" ht="15" customHeight="1">
      <c r="A5" s="2238"/>
      <c r="B5" s="2240"/>
      <c r="C5" s="3421" t="s">
        <v>313</v>
      </c>
      <c r="D5" s="3422"/>
      <c r="E5" s="3422"/>
      <c r="F5" s="3422"/>
      <c r="G5" s="3422"/>
      <c r="H5" s="3422"/>
      <c r="I5" s="3422"/>
      <c r="J5" s="3422"/>
      <c r="K5" s="3423"/>
      <c r="L5" s="478"/>
      <c r="M5" s="191"/>
      <c r="N5" s="3424" t="s">
        <v>127</v>
      </c>
      <c r="O5" s="3424"/>
      <c r="P5" s="3424"/>
      <c r="Q5" s="89" t="s">
        <v>128</v>
      </c>
      <c r="S5" s="3425" t="s">
        <v>699</v>
      </c>
      <c r="T5" s="3426"/>
      <c r="U5" s="1351" t="s">
        <v>128</v>
      </c>
    </row>
    <row r="6" spans="1:23" s="85" customFormat="1" ht="15" customHeight="1">
      <c r="A6" s="254"/>
      <c r="B6" s="1242"/>
      <c r="C6" s="1242"/>
      <c r="D6" s="1242"/>
      <c r="E6" s="1242"/>
      <c r="F6" s="1242"/>
      <c r="G6" s="1242"/>
      <c r="H6" s="446"/>
      <c r="I6" s="446"/>
      <c r="J6" s="1243"/>
      <c r="K6" s="1244"/>
      <c r="L6" s="1189" t="s">
        <v>314</v>
      </c>
      <c r="M6" s="191"/>
      <c r="N6" s="3408" t="s">
        <v>698</v>
      </c>
      <c r="O6" s="3408"/>
      <c r="P6" s="3408"/>
      <c r="Q6" s="89"/>
      <c r="S6" s="3429" t="s">
        <v>700</v>
      </c>
      <c r="T6" s="3430"/>
      <c r="U6" s="89">
        <v>1217.5</v>
      </c>
    </row>
    <row r="7" spans="1:23" ht="15" customHeight="1">
      <c r="A7" s="253"/>
      <c r="B7" s="1010"/>
      <c r="C7" s="1010"/>
      <c r="D7" s="1010"/>
      <c r="F7" s="1245"/>
      <c r="G7" s="834" t="s">
        <v>9</v>
      </c>
      <c r="H7" s="2195" t="str">
        <f>+IF('1. Encabezado'!T7="","",'1. Encabezado'!T7)</f>
        <v/>
      </c>
      <c r="I7" s="2195"/>
      <c r="J7" s="2195"/>
      <c r="K7" s="1246"/>
      <c r="L7" s="393" t="s">
        <v>315</v>
      </c>
      <c r="M7" s="191"/>
      <c r="N7" s="3408" t="s">
        <v>702</v>
      </c>
      <c r="O7" s="3408"/>
      <c r="P7" s="3408"/>
      <c r="Q7" s="89"/>
      <c r="S7" s="3429" t="s">
        <v>701</v>
      </c>
      <c r="T7" s="3430"/>
      <c r="U7" s="89">
        <v>1201.0999999999999</v>
      </c>
    </row>
    <row r="8" spans="1:23" ht="15" customHeight="1">
      <c r="A8" s="253"/>
      <c r="B8" s="1010"/>
      <c r="C8" s="1010"/>
      <c r="D8" s="1010"/>
      <c r="E8" s="450"/>
      <c r="F8" s="448"/>
      <c r="G8" s="448"/>
      <c r="I8" s="2478" t="str">
        <f>IF(H7="",L11,CONCATENATE(L7," ",L8," ",L9," ", L10))</f>
        <v>Pagina xx de xx</v>
      </c>
      <c r="J8" s="2478"/>
      <c r="K8" s="1247"/>
      <c r="L8" s="653">
        <v>15</v>
      </c>
      <c r="M8" s="191"/>
      <c r="N8" s="3408" t="s">
        <v>705</v>
      </c>
      <c r="O8" s="3408"/>
      <c r="P8" s="3408"/>
      <c r="Q8" s="1484" t="str">
        <f>IF(Q6="","",(Q7/Q6)*100)</f>
        <v/>
      </c>
      <c r="S8" s="3429" t="s">
        <v>696</v>
      </c>
      <c r="T8" s="3430"/>
      <c r="U8" s="89">
        <v>130.5</v>
      </c>
    </row>
    <row r="9" spans="1:23" ht="15" customHeight="1">
      <c r="A9" s="253"/>
      <c r="B9" s="1248"/>
      <c r="C9" s="1248"/>
      <c r="D9" s="1248"/>
      <c r="E9" s="1248"/>
      <c r="F9" s="1248"/>
      <c r="G9" s="1248"/>
      <c r="H9" s="1249"/>
      <c r="I9" s="1250"/>
      <c r="J9" s="1251"/>
      <c r="K9" s="1252"/>
      <c r="L9" s="1191" t="s">
        <v>316</v>
      </c>
      <c r="M9" s="191"/>
      <c r="N9" s="1344" t="s">
        <v>209</v>
      </c>
      <c r="O9" s="1344"/>
      <c r="P9" s="1344"/>
      <c r="Q9" s="1485" t="str">
        <f>IF(Q6="","",Q7)</f>
        <v/>
      </c>
      <c r="S9" s="3406" t="s">
        <v>129</v>
      </c>
      <c r="T9" s="3407"/>
      <c r="U9" s="123">
        <f>+IF(U6="","",((U6-U7)/(U7-U8)*100))</f>
        <v>1.5318512983373895</v>
      </c>
    </row>
    <row r="10" spans="1:23" ht="15" customHeight="1">
      <c r="A10" s="241"/>
      <c r="B10" s="1253"/>
      <c r="C10" s="243"/>
      <c r="D10" s="1254"/>
      <c r="E10" s="1254"/>
      <c r="F10" s="1254"/>
      <c r="G10" s="1254"/>
      <c r="H10" s="1255"/>
      <c r="I10" s="1255"/>
      <c r="J10" s="1255"/>
      <c r="K10" s="1256"/>
      <c r="L10" s="1257">
        <f>IF('1. Encabezado'!AB10="","",'1. Encabezado'!AB10)</f>
        <v>17</v>
      </c>
      <c r="M10" s="191"/>
      <c r="N10" s="1344" t="s">
        <v>210</v>
      </c>
      <c r="O10" s="1344"/>
      <c r="P10" s="1344"/>
      <c r="Q10" s="144" t="str">
        <f>+IF(Q9="","",Q6-Q7)</f>
        <v/>
      </c>
      <c r="S10" s="3425" t="s">
        <v>703</v>
      </c>
      <c r="T10" s="3426"/>
      <c r="U10" s="1351" t="s">
        <v>128</v>
      </c>
    </row>
    <row r="11" spans="1:23" ht="15" customHeight="1">
      <c r="A11" s="241"/>
      <c r="B11" s="3436"/>
      <c r="C11" s="3436"/>
      <c r="D11" s="3436"/>
      <c r="E11" s="3436"/>
      <c r="F11" s="3436"/>
      <c r="G11" s="3436"/>
      <c r="H11" s="242"/>
      <c r="I11" s="3437"/>
      <c r="J11" s="3437"/>
      <c r="K11" s="167"/>
      <c r="L11" s="1258" t="s">
        <v>317</v>
      </c>
      <c r="M11" s="191"/>
      <c r="N11" s="1344" t="s">
        <v>211</v>
      </c>
      <c r="O11" s="1344"/>
      <c r="P11" s="1344"/>
      <c r="Q11" s="144" t="str">
        <f>+IF(Q9="","",Q9/(1+(U9/100)))</f>
        <v/>
      </c>
      <c r="S11" s="3429" t="s">
        <v>700</v>
      </c>
      <c r="T11" s="3430"/>
      <c r="U11" s="22">
        <v>1135.0999999999999</v>
      </c>
    </row>
    <row r="12" spans="1:23" ht="15" customHeight="1">
      <c r="A12" s="241"/>
      <c r="B12" s="475"/>
      <c r="C12" s="475"/>
      <c r="D12" s="475"/>
      <c r="E12" s="475"/>
      <c r="F12" s="475"/>
      <c r="G12" s="475"/>
      <c r="H12" s="475"/>
      <c r="I12" s="476"/>
      <c r="J12" s="476"/>
      <c r="K12" s="167"/>
      <c r="L12" s="1259"/>
      <c r="M12" s="191"/>
      <c r="N12" s="3408" t="s">
        <v>212</v>
      </c>
      <c r="O12" s="3408"/>
      <c r="P12" s="3408"/>
      <c r="Q12" s="144" t="str">
        <f>+IF(Q10="","",Q10/(1+(Q16/100)))</f>
        <v/>
      </c>
      <c r="R12" s="1350"/>
      <c r="S12" s="3429" t="s">
        <v>701</v>
      </c>
      <c r="T12" s="3430"/>
      <c r="U12" s="22">
        <v>1117.4000000000001</v>
      </c>
      <c r="V12" s="85"/>
    </row>
    <row r="13" spans="1:23" ht="15" customHeight="1">
      <c r="A13" s="241"/>
      <c r="B13" s="243"/>
      <c r="C13" s="243"/>
      <c r="D13" s="243"/>
      <c r="E13" s="243"/>
      <c r="F13" s="243"/>
      <c r="G13" s="243"/>
      <c r="H13" s="243"/>
      <c r="I13" s="243"/>
      <c r="J13" s="243"/>
      <c r="K13" s="168"/>
      <c r="L13" s="1260"/>
      <c r="M13" s="191"/>
      <c r="N13" s="3408" t="s">
        <v>705</v>
      </c>
      <c r="O13" s="3408"/>
      <c r="P13" s="3408"/>
      <c r="Q13" s="1353" t="str">
        <f>+IF(Q11="","",Q11/(Q11+Q12)*100)</f>
        <v/>
      </c>
      <c r="R13" s="196"/>
      <c r="S13" s="3438" t="s">
        <v>696</v>
      </c>
      <c r="T13" s="3438"/>
      <c r="U13" s="1352">
        <v>125.7</v>
      </c>
      <c r="V13" s="85"/>
    </row>
    <row r="14" spans="1:23" ht="15" customHeight="1">
      <c r="A14" s="241"/>
      <c r="B14" s="243"/>
      <c r="C14" s="243"/>
      <c r="D14" s="243"/>
      <c r="E14" s="243"/>
      <c r="F14" s="243"/>
      <c r="G14" s="243"/>
      <c r="H14" s="243"/>
      <c r="I14" s="243"/>
      <c r="J14" s="243"/>
      <c r="K14" s="168"/>
      <c r="L14" s="1260"/>
      <c r="M14" s="191"/>
      <c r="N14" s="3408" t="s">
        <v>742</v>
      </c>
      <c r="O14" s="3408"/>
      <c r="P14" s="3408"/>
      <c r="Q14" s="1353" t="str">
        <f>+IF(Q12="","",100-Q13)</f>
        <v/>
      </c>
      <c r="R14" s="125"/>
      <c r="S14" s="3406" t="s">
        <v>704</v>
      </c>
      <c r="T14" s="3407"/>
      <c r="U14" s="123">
        <f>+IF(U11="","",((U11-U12)/(U12-U13)*100))</f>
        <v>1.7848139558333989</v>
      </c>
      <c r="V14" s="85"/>
    </row>
    <row r="15" spans="1:23" ht="15" customHeight="1">
      <c r="A15" s="244"/>
      <c r="F15" s="245"/>
      <c r="G15" s="245"/>
      <c r="H15" s="245"/>
      <c r="I15" s="245"/>
      <c r="J15" s="245"/>
      <c r="K15" s="170"/>
      <c r="L15" s="1261"/>
      <c r="M15" s="191"/>
      <c r="R15" s="124"/>
      <c r="V15" s="85"/>
    </row>
    <row r="16" spans="1:23" ht="15" customHeight="1">
      <c r="A16" s="241"/>
      <c r="F16" s="243"/>
      <c r="G16" s="243"/>
      <c r="H16" s="243"/>
      <c r="I16" s="243"/>
      <c r="J16" s="243"/>
      <c r="K16" s="168"/>
      <c r="L16" s="1260"/>
      <c r="M16" s="191"/>
      <c r="N16" s="3409" t="s">
        <v>130</v>
      </c>
      <c r="O16" s="3410"/>
      <c r="P16" s="3411"/>
      <c r="Q16" s="123" t="str">
        <f>+IF(Q6="","",U14)</f>
        <v/>
      </c>
      <c r="R16" s="125"/>
      <c r="S16" s="125"/>
      <c r="T16" s="125"/>
      <c r="U16" s="125"/>
      <c r="V16" s="85"/>
    </row>
    <row r="17" spans="1:25" ht="15" customHeight="1">
      <c r="A17" s="244"/>
      <c r="F17" s="245"/>
      <c r="G17" s="245"/>
      <c r="H17" s="245"/>
      <c r="I17" s="245"/>
      <c r="J17" s="245"/>
      <c r="K17" s="170"/>
      <c r="L17" s="1261"/>
      <c r="M17" s="191"/>
      <c r="N17" s="3409" t="s">
        <v>213</v>
      </c>
      <c r="O17" s="3410"/>
      <c r="P17" s="3411"/>
      <c r="Q17" s="148" t="str">
        <f>Q30</f>
        <v/>
      </c>
      <c r="R17" s="148" t="str">
        <f t="shared" ref="R17:U17" si="0">R30</f>
        <v/>
      </c>
      <c r="S17" s="148" t="str">
        <f t="shared" si="0"/>
        <v/>
      </c>
      <c r="T17" s="148" t="str">
        <f t="shared" si="0"/>
        <v/>
      </c>
      <c r="U17" s="148" t="str">
        <f t="shared" si="0"/>
        <v/>
      </c>
      <c r="V17" s="85"/>
    </row>
    <row r="18" spans="1:25" ht="15" customHeight="1">
      <c r="A18" s="241"/>
      <c r="F18" s="243"/>
      <c r="G18" s="243"/>
      <c r="H18" s="243"/>
      <c r="I18" s="243"/>
      <c r="J18" s="243"/>
      <c r="K18" s="168"/>
      <c r="L18" s="1260"/>
      <c r="M18" s="191"/>
      <c r="N18" s="3415" t="s">
        <v>131</v>
      </c>
      <c r="O18" s="3415"/>
      <c r="P18" s="3415"/>
      <c r="Q18" s="134">
        <v>1</v>
      </c>
      <c r="R18" s="134">
        <v>2</v>
      </c>
      <c r="S18" s="134">
        <v>3</v>
      </c>
      <c r="T18" s="134">
        <v>4</v>
      </c>
      <c r="U18" s="134">
        <v>5</v>
      </c>
      <c r="V18" s="85"/>
    </row>
    <row r="19" spans="1:25" ht="15" customHeight="1">
      <c r="A19" s="244"/>
      <c r="F19" s="245"/>
      <c r="G19" s="245"/>
      <c r="H19" s="245"/>
      <c r="I19" s="245"/>
      <c r="J19" s="245"/>
      <c r="K19" s="170"/>
      <c r="L19" s="1261"/>
      <c r="M19" s="191"/>
      <c r="N19" s="3408" t="s">
        <v>214</v>
      </c>
      <c r="O19" s="3408"/>
      <c r="P19" s="3408"/>
      <c r="Q19" s="147"/>
      <c r="R19" s="147"/>
      <c r="S19" s="147"/>
      <c r="T19" s="147"/>
      <c r="U19" s="147"/>
      <c r="V19" s="85"/>
    </row>
    <row r="20" spans="1:25" ht="15" customHeight="1">
      <c r="A20" s="241"/>
      <c r="F20" s="243"/>
      <c r="G20" s="243"/>
      <c r="H20" s="243"/>
      <c r="I20" s="243"/>
      <c r="J20" s="243"/>
      <c r="K20" s="168"/>
      <c r="L20" s="1260"/>
      <c r="M20" s="191"/>
      <c r="N20" s="469" t="s">
        <v>215</v>
      </c>
      <c r="O20" s="469"/>
      <c r="P20" s="469"/>
      <c r="Q20" s="147"/>
      <c r="R20" s="146" t="str">
        <f>+IF(Q20="","",Q20)</f>
        <v/>
      </c>
      <c r="S20" s="146" t="str">
        <f>+IF(Q20="","",Q20)</f>
        <v/>
      </c>
      <c r="T20" s="146" t="str">
        <f>+IF(Q20="","",Q20)</f>
        <v/>
      </c>
      <c r="U20" s="146" t="str">
        <f>+IF(Q20="","",Q20)</f>
        <v/>
      </c>
      <c r="V20" s="85"/>
    </row>
    <row r="21" spans="1:25" ht="15" customHeight="1">
      <c r="A21" s="244"/>
      <c r="F21" s="245"/>
      <c r="G21" s="245"/>
      <c r="H21" s="245"/>
      <c r="I21" s="245"/>
      <c r="J21" s="245"/>
      <c r="K21" s="170"/>
      <c r="L21" s="1261"/>
      <c r="M21" s="191"/>
      <c r="N21" s="3408" t="s">
        <v>216</v>
      </c>
      <c r="O21" s="3408"/>
      <c r="P21" s="3408"/>
      <c r="Q21" s="147"/>
      <c r="R21" s="146" t="str">
        <f>+IF(Q21="","",Q21)</f>
        <v/>
      </c>
      <c r="S21" s="146" t="str">
        <f>+IF(Q21="","",Q21)</f>
        <v/>
      </c>
      <c r="T21" s="146" t="str">
        <f>+IF(Q21="","",Q21)</f>
        <v/>
      </c>
      <c r="U21" s="146" t="str">
        <f>+IF(Q21="","",Q21)</f>
        <v/>
      </c>
      <c r="V21" s="85"/>
    </row>
    <row r="22" spans="1:25" ht="15" customHeight="1">
      <c r="A22" s="241"/>
      <c r="F22" s="243"/>
      <c r="G22" s="243"/>
      <c r="H22" s="243"/>
      <c r="I22" s="243"/>
      <c r="J22" s="243"/>
      <c r="K22" s="168"/>
      <c r="L22" s="1260"/>
      <c r="M22" s="85"/>
      <c r="N22" s="3416" t="s">
        <v>133</v>
      </c>
      <c r="O22" s="3417"/>
      <c r="P22" s="3418"/>
      <c r="Q22" s="147"/>
      <c r="R22" s="147"/>
      <c r="S22" s="147"/>
      <c r="T22" s="147"/>
      <c r="U22" s="147"/>
      <c r="V22" s="85"/>
    </row>
    <row r="23" spans="1:25" ht="15" customHeight="1">
      <c r="A23" s="244"/>
      <c r="F23" s="245"/>
      <c r="G23" s="245"/>
      <c r="H23" s="245"/>
      <c r="I23" s="245"/>
      <c r="J23" s="245"/>
      <c r="K23" s="170"/>
      <c r="L23" s="1261"/>
      <c r="M23" s="85"/>
      <c r="N23" s="3409" t="s">
        <v>134</v>
      </c>
      <c r="O23" s="3410"/>
      <c r="P23" s="3411"/>
      <c r="Q23" s="147"/>
      <c r="R23" s="147"/>
      <c r="S23" s="147"/>
      <c r="T23" s="147"/>
      <c r="U23" s="147"/>
      <c r="V23" s="85"/>
    </row>
    <row r="24" spans="1:25" ht="15" customHeight="1">
      <c r="A24" s="241"/>
      <c r="F24" s="243"/>
      <c r="G24" s="243"/>
      <c r="H24" s="243"/>
      <c r="I24" s="243"/>
      <c r="J24" s="243"/>
      <c r="K24" s="168"/>
      <c r="L24" s="1260"/>
      <c r="M24" s="85"/>
      <c r="N24" s="3416" t="s">
        <v>132</v>
      </c>
      <c r="O24" s="3417"/>
      <c r="P24" s="3418"/>
      <c r="Q24" s="147"/>
      <c r="R24" s="147"/>
      <c r="S24" s="147"/>
      <c r="T24" s="147"/>
      <c r="U24" s="147"/>
      <c r="V24" s="85"/>
    </row>
    <row r="25" spans="1:25" s="91" customFormat="1" ht="15" customHeight="1">
      <c r="A25" s="244"/>
      <c r="F25" s="245"/>
      <c r="G25" s="245"/>
      <c r="H25" s="245"/>
      <c r="I25" s="245"/>
      <c r="J25" s="245"/>
      <c r="K25" s="170"/>
      <c r="L25" s="1261"/>
      <c r="M25" s="85"/>
      <c r="N25" s="3409" t="s">
        <v>135</v>
      </c>
      <c r="O25" s="3410"/>
      <c r="P25" s="3411"/>
      <c r="Q25" s="146" t="str">
        <f>IF(AND(Q24="",Q22="",Q23=""),"",((Q22-Q23)/(Q23-Q24))*100)</f>
        <v/>
      </c>
      <c r="R25" s="146" t="str">
        <f t="shared" ref="R25:U25" si="1">IF(AND(R24="",R22="",R23=""),"",((R22-R23)/(R23-R24))*100)</f>
        <v/>
      </c>
      <c r="S25" s="146" t="str">
        <f t="shared" si="1"/>
        <v/>
      </c>
      <c r="T25" s="146" t="str">
        <f t="shared" si="1"/>
        <v/>
      </c>
      <c r="U25" s="146" t="str">
        <f t="shared" si="1"/>
        <v/>
      </c>
      <c r="V25" s="85"/>
    </row>
    <row r="26" spans="1:25" ht="15" customHeight="1">
      <c r="A26" s="241"/>
      <c r="B26" s="246"/>
      <c r="C26" s="246"/>
      <c r="D26" s="246"/>
      <c r="E26" s="247"/>
      <c r="F26" s="243"/>
      <c r="G26" s="243"/>
      <c r="H26" s="243"/>
      <c r="I26" s="243"/>
      <c r="J26" s="243"/>
      <c r="K26" s="168"/>
      <c r="L26" s="1260" t="s">
        <v>743</v>
      </c>
      <c r="M26" s="85"/>
      <c r="N26" s="3439" t="s">
        <v>136</v>
      </c>
      <c r="O26" s="3440"/>
      <c r="P26" s="3440"/>
      <c r="Q26" s="3440"/>
      <c r="R26" s="3440"/>
      <c r="S26" s="3440"/>
      <c r="T26" s="3440"/>
      <c r="U26" s="3441"/>
      <c r="V26" s="85"/>
    </row>
    <row r="27" spans="1:25" s="91" customFormat="1" ht="24.95" customHeight="1">
      <c r="A27" s="169"/>
      <c r="B27" s="3442" t="s">
        <v>667</v>
      </c>
      <c r="C27" s="3443"/>
      <c r="D27" s="3443"/>
      <c r="E27" s="4"/>
      <c r="F27" s="172"/>
      <c r="G27" s="3444" t="s">
        <v>668</v>
      </c>
      <c r="H27" s="3445"/>
      <c r="I27" s="3445"/>
      <c r="J27" s="4"/>
      <c r="K27" s="173"/>
      <c r="L27" s="1262" t="s">
        <v>26</v>
      </c>
      <c r="M27" s="85"/>
      <c r="N27" s="3408" t="s">
        <v>217</v>
      </c>
      <c r="O27" s="3408"/>
      <c r="P27" s="3408"/>
      <c r="Q27" s="145" t="str">
        <f>+IF(Q19="","",(Q19-Q21)/Q20*1)</f>
        <v/>
      </c>
      <c r="R27" s="145" t="str">
        <f t="shared" ref="R27:U27" si="2">+IF(R19="","",(R19-R21)/R20*1)</f>
        <v/>
      </c>
      <c r="S27" s="145" t="str">
        <f t="shared" si="2"/>
        <v/>
      </c>
      <c r="T27" s="145" t="str">
        <f t="shared" si="2"/>
        <v/>
      </c>
      <c r="U27" s="145" t="str">
        <f t="shared" si="2"/>
        <v/>
      </c>
      <c r="V27" s="85"/>
    </row>
    <row r="28" spans="1:25" ht="9.9499999999999993" customHeight="1">
      <c r="A28" s="166"/>
      <c r="B28" s="171"/>
      <c r="C28" s="171"/>
      <c r="D28" s="171"/>
      <c r="E28" s="171"/>
      <c r="F28" s="172"/>
      <c r="G28" s="172"/>
      <c r="H28" s="172"/>
      <c r="I28" s="174"/>
      <c r="J28" s="174"/>
      <c r="K28" s="175"/>
      <c r="L28" s="174" t="s">
        <v>27</v>
      </c>
      <c r="M28" s="85"/>
      <c r="N28" s="3409" t="s">
        <v>218</v>
      </c>
      <c r="O28" s="3410"/>
      <c r="P28" s="3411"/>
      <c r="Q28" s="145" t="str">
        <f>IF(Q25="","",(Q27/(1+(Q25/100))))</f>
        <v/>
      </c>
      <c r="R28" s="145" t="str">
        <f t="shared" ref="R28:U28" si="3">IF(R25="","",(R27/(1+(R25/100))))</f>
        <v/>
      </c>
      <c r="S28" s="145" t="str">
        <f t="shared" si="3"/>
        <v/>
      </c>
      <c r="T28" s="145" t="str">
        <f t="shared" si="3"/>
        <v/>
      </c>
      <c r="U28" s="145" t="str">
        <f t="shared" si="3"/>
        <v/>
      </c>
      <c r="V28" s="85"/>
    </row>
    <row r="29" spans="1:25" s="91" customFormat="1" ht="24.95" customHeight="1">
      <c r="A29" s="169"/>
      <c r="B29" s="3442" t="s">
        <v>137</v>
      </c>
      <c r="C29" s="3443"/>
      <c r="D29" s="3443"/>
      <c r="E29" s="230"/>
      <c r="F29" s="172"/>
      <c r="G29" s="176"/>
      <c r="H29" s="176"/>
      <c r="I29" s="176"/>
      <c r="J29" s="176"/>
      <c r="K29" s="173"/>
      <c r="L29" s="1262" t="s">
        <v>28</v>
      </c>
      <c r="M29" s="85"/>
      <c r="N29" s="3409" t="s">
        <v>219</v>
      </c>
      <c r="O29" s="3410"/>
      <c r="P29" s="3411"/>
      <c r="Q29" s="148" t="str">
        <f t="shared" ref="Q29:U30" si="4">IF(Q27="","",Q27*9.8066)</f>
        <v/>
      </c>
      <c r="R29" s="148" t="str">
        <f t="shared" si="4"/>
        <v/>
      </c>
      <c r="S29" s="148" t="str">
        <f t="shared" si="4"/>
        <v/>
      </c>
      <c r="T29" s="148" t="str">
        <f t="shared" si="4"/>
        <v/>
      </c>
      <c r="U29" s="148" t="str">
        <f t="shared" si="4"/>
        <v/>
      </c>
      <c r="V29" s="85"/>
    </row>
    <row r="30" spans="1:25" ht="15" customHeight="1">
      <c r="A30" s="166"/>
      <c r="B30" s="177"/>
      <c r="C30" s="177"/>
      <c r="D30" s="177"/>
      <c r="E30" s="177"/>
      <c r="F30" s="172"/>
      <c r="G30" s="172"/>
      <c r="H30" s="172"/>
      <c r="I30" s="3448"/>
      <c r="J30" s="3448"/>
      <c r="K30" s="3449"/>
      <c r="L30" s="473" t="s">
        <v>744</v>
      </c>
      <c r="M30" s="85"/>
      <c r="N30" s="3409" t="s">
        <v>213</v>
      </c>
      <c r="O30" s="3410"/>
      <c r="P30" s="3411"/>
      <c r="Q30" s="148" t="str">
        <f t="shared" si="4"/>
        <v/>
      </c>
      <c r="R30" s="148" t="str">
        <f t="shared" si="4"/>
        <v/>
      </c>
      <c r="S30" s="148" t="str">
        <f t="shared" si="4"/>
        <v/>
      </c>
      <c r="T30" s="148" t="str">
        <f t="shared" si="4"/>
        <v/>
      </c>
      <c r="U30" s="148" t="str">
        <f t="shared" si="4"/>
        <v/>
      </c>
      <c r="V30" s="85"/>
    </row>
    <row r="31" spans="1:25" s="91" customFormat="1" ht="24.95" customHeight="1">
      <c r="A31" s="166"/>
      <c r="B31" s="3442" t="s">
        <v>669</v>
      </c>
      <c r="C31" s="3443"/>
      <c r="D31" s="3443"/>
      <c r="E31" s="7" t="str">
        <f>IF(R42="","",R42)</f>
        <v/>
      </c>
      <c r="F31" s="178"/>
      <c r="G31" s="3446" t="str">
        <f>IF(V3="si","Humedad óptima Corregida:",IF(V3="no","Humedad óptima:","---"))</f>
        <v>Humedad óptima:</v>
      </c>
      <c r="H31" s="3447"/>
      <c r="I31" s="19" t="s">
        <v>62</v>
      </c>
      <c r="J31" s="5" t="str">
        <f>IF(J33="","",HLOOKUP($J$33,$Q$17:$U$25,9,0))</f>
        <v/>
      </c>
      <c r="K31" s="179"/>
      <c r="L31" s="1263" t="s">
        <v>523</v>
      </c>
      <c r="M31" s="92"/>
      <c r="N31" s="197"/>
      <c r="O31" s="197"/>
      <c r="P31" s="197"/>
      <c r="Q31" s="197"/>
      <c r="R31" s="197"/>
      <c r="S31" s="197"/>
      <c r="T31" s="197"/>
      <c r="U31" s="197"/>
      <c r="V31" s="150"/>
    </row>
    <row r="32" spans="1:25" ht="15" customHeight="1">
      <c r="A32" s="166"/>
      <c r="B32" s="171"/>
      <c r="C32" s="171"/>
      <c r="D32" s="171"/>
      <c r="E32" s="171"/>
      <c r="F32" s="178"/>
      <c r="G32" s="180"/>
      <c r="H32" s="180"/>
      <c r="I32" s="180"/>
      <c r="J32" s="172"/>
      <c r="K32" s="179"/>
      <c r="L32" s="1263" t="s">
        <v>745</v>
      </c>
      <c r="M32" s="85"/>
      <c r="N32" s="197"/>
      <c r="O32" s="197"/>
      <c r="P32" s="197"/>
      <c r="Q32" s="197"/>
      <c r="R32" s="197"/>
      <c r="S32" s="197"/>
      <c r="T32" s="197"/>
      <c r="U32" s="197"/>
      <c r="V32" s="85"/>
      <c r="W32" s="91"/>
      <c r="X32" s="91"/>
      <c r="Y32" s="91"/>
    </row>
    <row r="33" spans="1:22" s="91" customFormat="1" ht="24.95" customHeight="1">
      <c r="A33" s="166"/>
      <c r="B33" s="3450" t="s">
        <v>670</v>
      </c>
      <c r="C33" s="3451"/>
      <c r="D33" s="3451"/>
      <c r="E33" s="17" t="str">
        <f>IF(Q9="","",Q13)</f>
        <v/>
      </c>
      <c r="F33" s="178"/>
      <c r="G33" s="3452" t="s">
        <v>671</v>
      </c>
      <c r="H33" s="3453"/>
      <c r="I33" s="3453"/>
      <c r="J33" s="6" t="str">
        <f>(IF(AND(Q30="",R30="",S30="",T30="",U30=""),"",MAX(Q30:U30)))</f>
        <v/>
      </c>
      <c r="K33" s="181"/>
      <c r="L33" s="1264" t="s">
        <v>746</v>
      </c>
      <c r="M33" s="85"/>
      <c r="N33" s="3439" t="s">
        <v>138</v>
      </c>
      <c r="O33" s="3440"/>
      <c r="P33" s="3440"/>
      <c r="Q33" s="3440"/>
      <c r="R33" s="3440"/>
      <c r="S33" s="3440"/>
      <c r="T33" s="3440"/>
      <c r="U33" s="3441"/>
      <c r="V33" s="85"/>
    </row>
    <row r="34" spans="1:22" ht="15" customHeight="1">
      <c r="A34" s="166"/>
      <c r="B34" s="171"/>
      <c r="C34" s="171"/>
      <c r="D34" s="171"/>
      <c r="E34" s="171"/>
      <c r="F34" s="182"/>
      <c r="G34" s="180"/>
      <c r="H34" s="180"/>
      <c r="I34" s="180"/>
      <c r="J34" s="182"/>
      <c r="K34" s="183"/>
      <c r="L34" s="1265" t="s">
        <v>747</v>
      </c>
      <c r="M34" s="85"/>
      <c r="N34" s="135"/>
      <c r="O34" s="135"/>
      <c r="P34" s="135"/>
      <c r="Q34" s="135"/>
      <c r="R34" s="135"/>
      <c r="S34" s="135"/>
      <c r="T34" s="135"/>
      <c r="U34" s="135"/>
      <c r="V34" s="85"/>
    </row>
    <row r="35" spans="1:22" s="91" customFormat="1" ht="24.95" customHeight="1">
      <c r="A35" s="166"/>
      <c r="B35" s="3442" t="s">
        <v>673</v>
      </c>
      <c r="C35" s="3443"/>
      <c r="D35" s="3443"/>
      <c r="E35" s="17" t="str">
        <f>IF(E33="","",Q14)</f>
        <v/>
      </c>
      <c r="F35" s="184"/>
      <c r="G35" s="3454" t="s">
        <v>674</v>
      </c>
      <c r="H35" s="3455"/>
      <c r="I35" s="3455"/>
      <c r="J35" s="20" t="str">
        <f>IF(J33="","",IF(J33="","",($J$33/9.8066)*1000))</f>
        <v/>
      </c>
      <c r="K35" s="183"/>
      <c r="L35" s="1265" t="s">
        <v>748</v>
      </c>
      <c r="M35" s="85"/>
      <c r="N35" s="470" t="s">
        <v>220</v>
      </c>
      <c r="O35" s="471"/>
      <c r="P35" s="472"/>
      <c r="Q35" s="149" t="str">
        <f>IF(Q30="","",(((9.789*$R$42)-Q30)/(Q30*$R$42))*100)</f>
        <v/>
      </c>
      <c r="R35" s="149" t="str">
        <f t="shared" ref="R35:U35" si="5">IF(R30="","",(((9.789*$R$42)-R30)/(R30*$R$42))*100)</f>
        <v/>
      </c>
      <c r="S35" s="149" t="str">
        <f t="shared" si="5"/>
        <v/>
      </c>
      <c r="T35" s="149" t="str">
        <f t="shared" si="5"/>
        <v/>
      </c>
      <c r="U35" s="149" t="str">
        <f t="shared" si="5"/>
        <v/>
      </c>
      <c r="V35" s="85"/>
    </row>
    <row r="36" spans="1:22" ht="15" customHeight="1">
      <c r="A36" s="166"/>
      <c r="B36" s="1266"/>
      <c r="C36" s="1266"/>
      <c r="D36" s="1266"/>
      <c r="E36" s="1267"/>
      <c r="F36" s="1268"/>
      <c r="G36" s="1269"/>
      <c r="H36" s="1269"/>
      <c r="I36" s="1269"/>
      <c r="J36" s="1270"/>
      <c r="K36" s="1271"/>
      <c r="L36" s="1272"/>
      <c r="U36" s="18"/>
    </row>
    <row r="37" spans="1:22" s="91" customFormat="1" ht="15" customHeight="1">
      <c r="A37" s="166"/>
      <c r="B37" s="1273" t="s">
        <v>633</v>
      </c>
      <c r="C37" s="1266"/>
      <c r="D37" s="3458"/>
      <c r="E37" s="3458"/>
      <c r="F37" s="1268"/>
      <c r="G37" s="1269"/>
      <c r="H37" s="1269"/>
      <c r="I37" s="1269"/>
      <c r="J37" s="1270"/>
      <c r="K37" s="1271"/>
      <c r="L37" s="1274"/>
    </row>
    <row r="38" spans="1:22" ht="15" customHeight="1">
      <c r="A38" s="185"/>
      <c r="B38" s="186"/>
      <c r="C38" s="187"/>
      <c r="D38" s="187"/>
      <c r="E38" s="188"/>
      <c r="F38" s="188"/>
      <c r="G38" s="188"/>
      <c r="H38" s="188"/>
      <c r="I38" s="189"/>
      <c r="J38" s="189"/>
      <c r="K38" s="190"/>
      <c r="L38" s="474"/>
      <c r="N38" s="86"/>
      <c r="O38" s="86" t="s">
        <v>672</v>
      </c>
      <c r="P38" s="86"/>
      <c r="Q38" s="86"/>
      <c r="R38" s="86"/>
      <c r="S38" s="86"/>
      <c r="T38" s="86"/>
      <c r="U38" s="86"/>
    </row>
    <row r="39" spans="1:22" s="91" customFormat="1" ht="15" customHeight="1">
      <c r="A39" s="820"/>
      <c r="B39" s="2047" t="s">
        <v>10</v>
      </c>
      <c r="C39" s="2047"/>
      <c r="D39" s="3459"/>
      <c r="E39" s="3459"/>
      <c r="F39" s="3459"/>
      <c r="G39" s="3459"/>
      <c r="H39" s="3459"/>
      <c r="I39" s="3459"/>
      <c r="J39" s="3459"/>
      <c r="K39" s="1275"/>
      <c r="L39" s="1276"/>
      <c r="N39" s="86"/>
      <c r="O39" s="86" t="s">
        <v>675</v>
      </c>
      <c r="P39" s="86"/>
      <c r="Q39" s="86"/>
      <c r="R39" s="86"/>
      <c r="S39" s="86"/>
      <c r="T39" s="86"/>
      <c r="U39" s="86"/>
    </row>
    <row r="40" spans="1:22" ht="15" customHeight="1">
      <c r="A40" s="3307"/>
      <c r="B40" s="3308"/>
      <c r="C40" s="3308"/>
      <c r="D40" s="3308"/>
      <c r="E40" s="3308"/>
      <c r="F40" s="3308"/>
      <c r="G40" s="3308"/>
      <c r="H40" s="3308"/>
      <c r="I40" s="3308"/>
      <c r="J40" s="3308"/>
      <c r="K40" s="3309"/>
      <c r="L40" s="1277"/>
      <c r="O40" s="86" t="s">
        <v>676</v>
      </c>
    </row>
    <row r="41" spans="1:22" ht="15" customHeight="1" thickBot="1">
      <c r="A41" s="3460"/>
      <c r="B41" s="3461"/>
      <c r="C41" s="3461"/>
      <c r="D41" s="3461"/>
      <c r="E41" s="3461"/>
      <c r="F41" s="3461"/>
      <c r="G41" s="3461"/>
      <c r="H41" s="3461"/>
      <c r="I41" s="3461"/>
      <c r="J41" s="3461"/>
      <c r="K41" s="3462"/>
      <c r="L41" s="477"/>
    </row>
    <row r="42" spans="1:22" ht="15" customHeight="1" thickTop="1" thickBot="1">
      <c r="A42" s="3456" t="s">
        <v>6</v>
      </c>
      <c r="B42" s="3456"/>
      <c r="C42" s="3456"/>
      <c r="D42" s="3456"/>
      <c r="E42" s="3456"/>
      <c r="F42" s="3456"/>
      <c r="G42" s="3456"/>
      <c r="H42" s="3456"/>
      <c r="I42" s="3456"/>
      <c r="J42" s="3456"/>
      <c r="K42" s="3456"/>
      <c r="L42" s="477"/>
      <c r="N42" s="3412" t="s">
        <v>741</v>
      </c>
      <c r="O42" s="3413"/>
      <c r="P42" s="3413"/>
      <c r="Q42" s="3414"/>
      <c r="R42" s="1422"/>
    </row>
    <row r="43" spans="1:22" ht="15" customHeight="1" thickTop="1">
      <c r="A43" s="3457"/>
      <c r="B43" s="3457"/>
      <c r="C43" s="3457"/>
      <c r="D43" s="3457"/>
      <c r="E43" s="3457"/>
      <c r="F43" s="3457"/>
      <c r="G43" s="3457"/>
      <c r="H43" s="3457"/>
      <c r="I43" s="3457"/>
      <c r="J43" s="3457"/>
      <c r="K43" s="3457"/>
      <c r="L43" s="477"/>
      <c r="N43" s="3412" t="s">
        <v>139</v>
      </c>
      <c r="O43" s="3413"/>
      <c r="P43" s="3413"/>
      <c r="Q43" s="3414"/>
      <c r="R43" s="126" t="str">
        <f>'INV 223-13 '!N19</f>
        <v/>
      </c>
      <c r="S43" s="94" t="str">
        <f>IF(R43="","",('Gradacion '!Y18+'Gradacion '!Y19)/100)</f>
        <v/>
      </c>
    </row>
    <row r="44" spans="1:22" ht="14.1" customHeight="1">
      <c r="A44" s="3457" t="s">
        <v>306</v>
      </c>
      <c r="B44" s="3457"/>
      <c r="C44" s="3457"/>
      <c r="D44" s="3457"/>
      <c r="E44" s="3457"/>
      <c r="F44" s="3457"/>
      <c r="G44" s="3457"/>
      <c r="H44" s="3457"/>
      <c r="I44" s="3457"/>
      <c r="J44" s="3457"/>
      <c r="K44" s="3457"/>
      <c r="N44" s="3412" t="s">
        <v>740</v>
      </c>
      <c r="O44" s="3413"/>
      <c r="P44" s="3413"/>
      <c r="Q44" s="3414"/>
      <c r="R44" s="1422" t="str">
        <f>'INV 222-13 '!N21</f>
        <v/>
      </c>
      <c r="S44" s="94" t="str">
        <f>IF(R44="","",('Gradacion '!Y20+'Gradacion '!Y21+'Gradacion '!Y22)/100)</f>
        <v/>
      </c>
    </row>
    <row r="45" spans="1:22" ht="14.1" customHeight="1">
      <c r="A45" s="3457"/>
      <c r="B45" s="3457"/>
      <c r="C45" s="3457"/>
      <c r="D45" s="3457"/>
      <c r="E45" s="3457"/>
      <c r="F45" s="3457"/>
      <c r="G45" s="3457"/>
      <c r="H45" s="3457"/>
      <c r="I45" s="3457"/>
      <c r="J45" s="3457"/>
      <c r="K45" s="3457"/>
      <c r="N45" s="1278"/>
      <c r="O45" s="1278"/>
      <c r="P45" s="1278"/>
      <c r="Q45" s="1278"/>
      <c r="R45" s="1279"/>
      <c r="S45" s="94">
        <f>SUM(S43:S44)</f>
        <v>0</v>
      </c>
    </row>
    <row r="46" spans="1:22" ht="18" customHeight="1">
      <c r="N46" s="136"/>
      <c r="O46" s="136"/>
      <c r="P46" s="136"/>
      <c r="Q46" s="136"/>
      <c r="R46" s="136"/>
    </row>
    <row r="47" spans="1:22" ht="27.95" customHeight="1">
      <c r="Q47" s="90"/>
      <c r="R47" s="90"/>
      <c r="S47" s="90"/>
      <c r="T47" s="90"/>
      <c r="U47" s="90"/>
    </row>
    <row r="48" spans="1:22" ht="30" customHeight="1"/>
    <row r="49" spans="1:22" ht="13.5" customHeight="1"/>
    <row r="51" spans="1:22">
      <c r="A51" s="91"/>
    </row>
    <row r="52" spans="1:22">
      <c r="A52" s="91"/>
    </row>
    <row r="53" spans="1:22">
      <c r="A53" s="91"/>
    </row>
    <row r="54" spans="1:22" ht="13.5" customHeight="1">
      <c r="A54" s="91"/>
    </row>
    <row r="55" spans="1:22" ht="12.75" customHeight="1">
      <c r="A55" s="91"/>
    </row>
    <row r="57" spans="1:22" ht="24.75" customHeight="1">
      <c r="A57" s="91"/>
    </row>
    <row r="58" spans="1:22" ht="34.5" customHeight="1">
      <c r="A58" s="91"/>
    </row>
    <row r="59" spans="1:22">
      <c r="A59" s="91"/>
    </row>
    <row r="60" spans="1:22">
      <c r="A60" s="91"/>
    </row>
    <row r="64" spans="1:22" s="91" customFormat="1">
      <c r="A64" s="90"/>
      <c r="B64" s="90"/>
      <c r="C64" s="90"/>
      <c r="D64" s="90"/>
      <c r="E64" s="90"/>
      <c r="F64" s="90"/>
      <c r="G64" s="90"/>
      <c r="H64" s="90"/>
      <c r="I64" s="90"/>
      <c r="J64" s="90"/>
      <c r="K64" s="90"/>
      <c r="L64" s="90"/>
      <c r="M64" s="90"/>
      <c r="V64" s="90"/>
    </row>
    <row r="65" spans="1:22" s="91" customFormat="1">
      <c r="A65" s="90"/>
      <c r="B65" s="90"/>
      <c r="C65" s="90"/>
      <c r="D65" s="90"/>
      <c r="E65" s="90"/>
      <c r="F65" s="90"/>
      <c r="G65" s="90"/>
      <c r="H65" s="90"/>
      <c r="I65" s="90"/>
      <c r="J65" s="90"/>
      <c r="K65" s="90"/>
      <c r="L65" s="90"/>
      <c r="M65" s="90"/>
      <c r="V65" s="90"/>
    </row>
    <row r="66" spans="1:22" s="91" customFormat="1">
      <c r="A66" s="90"/>
      <c r="B66" s="90"/>
      <c r="C66" s="90"/>
      <c r="D66" s="90"/>
      <c r="E66" s="90"/>
      <c r="F66" s="90"/>
      <c r="G66" s="90"/>
      <c r="H66" s="90"/>
      <c r="I66" s="90"/>
      <c r="J66" s="90"/>
      <c r="K66" s="90"/>
      <c r="L66" s="90"/>
      <c r="M66" s="90"/>
      <c r="V66" s="90"/>
    </row>
    <row r="67" spans="1:22" s="91" customFormat="1">
      <c r="A67" s="90"/>
      <c r="B67" s="90"/>
      <c r="C67" s="90"/>
      <c r="D67" s="90"/>
      <c r="E67" s="90"/>
      <c r="F67" s="90"/>
      <c r="G67" s="90"/>
      <c r="H67" s="90"/>
      <c r="I67" s="90"/>
      <c r="J67" s="90"/>
      <c r="K67" s="90"/>
      <c r="L67" s="90"/>
      <c r="M67" s="90"/>
      <c r="R67" s="93"/>
      <c r="S67" s="93"/>
      <c r="V67" s="90"/>
    </row>
    <row r="68" spans="1:22" s="91" customFormat="1">
      <c r="A68" s="90"/>
      <c r="B68" s="90"/>
      <c r="C68" s="90"/>
      <c r="D68" s="90"/>
      <c r="E68" s="90"/>
      <c r="F68" s="90"/>
      <c r="G68" s="90"/>
      <c r="H68" s="90"/>
      <c r="I68" s="90"/>
      <c r="J68" s="90"/>
      <c r="K68" s="90"/>
      <c r="L68" s="90"/>
      <c r="M68" s="90"/>
      <c r="Q68" s="94"/>
      <c r="R68" s="95"/>
      <c r="S68" s="95"/>
      <c r="V68" s="90"/>
    </row>
    <row r="69" spans="1:22">
      <c r="Q69" s="94"/>
      <c r="R69" s="95"/>
      <c r="S69" s="95"/>
    </row>
    <row r="70" spans="1:22" s="91" customFormat="1">
      <c r="A70" s="90"/>
      <c r="B70" s="90"/>
      <c r="C70" s="90"/>
      <c r="D70" s="90"/>
      <c r="E70" s="90"/>
      <c r="F70" s="90"/>
      <c r="G70" s="90"/>
      <c r="H70" s="90"/>
      <c r="I70" s="90"/>
      <c r="J70" s="90"/>
      <c r="K70" s="90"/>
      <c r="L70" s="90"/>
      <c r="M70" s="90"/>
      <c r="Q70" s="94"/>
      <c r="R70" s="95"/>
      <c r="S70" s="95"/>
      <c r="V70" s="90"/>
    </row>
    <row r="71" spans="1:22" s="91" customFormat="1">
      <c r="A71" s="90"/>
      <c r="B71" s="90"/>
      <c r="C71" s="90"/>
      <c r="D71" s="90"/>
      <c r="E71" s="90"/>
      <c r="F71" s="90"/>
      <c r="G71" s="90"/>
      <c r="H71" s="90"/>
      <c r="I71" s="90"/>
      <c r="J71" s="90"/>
      <c r="K71" s="90"/>
      <c r="L71" s="90"/>
      <c r="M71" s="90"/>
      <c r="Q71" s="94"/>
      <c r="R71" s="95"/>
      <c r="S71" s="95"/>
      <c r="V71" s="90"/>
    </row>
    <row r="72" spans="1:22" s="91" customFormat="1">
      <c r="A72" s="90"/>
      <c r="B72" s="90"/>
      <c r="C72" s="90"/>
      <c r="D72" s="90"/>
      <c r="E72" s="90"/>
      <c r="F72" s="90"/>
      <c r="G72" s="90"/>
      <c r="H72" s="90"/>
      <c r="I72" s="90"/>
      <c r="J72" s="90"/>
      <c r="K72" s="90"/>
      <c r="L72" s="90"/>
      <c r="M72" s="90"/>
      <c r="V72" s="90"/>
    </row>
    <row r="73" spans="1:22" s="91" customFormat="1">
      <c r="A73" s="90"/>
      <c r="B73" s="90"/>
      <c r="C73" s="90"/>
      <c r="D73" s="90"/>
      <c r="E73" s="90"/>
      <c r="F73" s="90"/>
      <c r="G73" s="90"/>
      <c r="H73" s="90"/>
      <c r="I73" s="90"/>
      <c r="J73" s="90"/>
      <c r="K73" s="90"/>
      <c r="L73" s="90"/>
      <c r="M73" s="90"/>
      <c r="R73" s="96"/>
      <c r="V73" s="90"/>
    </row>
    <row r="74" spans="1:22">
      <c r="R74" s="96"/>
    </row>
    <row r="75" spans="1:22">
      <c r="R75" s="96"/>
    </row>
    <row r="76" spans="1:22">
      <c r="R76" s="96"/>
    </row>
  </sheetData>
  <sheetProtection algorithmName="SHA-512" hashValue="evhWs5RSXXy2iT/7A5k36WUFBSW+bWyGYyLcFN2Jj4WWCK85fMDBwkX/gQTkbaQELNxOym5HLSIEWknjV7xt9g==" saltValue="NjtoIuoU1pVQkvFVyGaoJA==" spinCount="100000" sheet="1" formatCells="0"/>
  <mergeCells count="67">
    <mergeCell ref="N42:Q42"/>
    <mergeCell ref="B39:C39"/>
    <mergeCell ref="D39:J39"/>
    <mergeCell ref="N43:Q43"/>
    <mergeCell ref="A40:K40"/>
    <mergeCell ref="A41:K41"/>
    <mergeCell ref="B35:D35"/>
    <mergeCell ref="G35:I35"/>
    <mergeCell ref="A42:K42"/>
    <mergeCell ref="A43:K43"/>
    <mergeCell ref="A44:K45"/>
    <mergeCell ref="D37:E37"/>
    <mergeCell ref="N33:U33"/>
    <mergeCell ref="B31:D31"/>
    <mergeCell ref="G31:H31"/>
    <mergeCell ref="I30:K30"/>
    <mergeCell ref="B33:D33"/>
    <mergeCell ref="G33:I33"/>
    <mergeCell ref="N26:U26"/>
    <mergeCell ref="N27:P27"/>
    <mergeCell ref="B27:D27"/>
    <mergeCell ref="G27:I27"/>
    <mergeCell ref="B29:D29"/>
    <mergeCell ref="S12:T12"/>
    <mergeCell ref="S13:T13"/>
    <mergeCell ref="S11:T11"/>
    <mergeCell ref="S9:T9"/>
    <mergeCell ref="S10:T10"/>
    <mergeCell ref="B11:E11"/>
    <mergeCell ref="F11:G11"/>
    <mergeCell ref="I11:J11"/>
    <mergeCell ref="N12:P12"/>
    <mergeCell ref="N6:P6"/>
    <mergeCell ref="N7:P7"/>
    <mergeCell ref="N8:P8"/>
    <mergeCell ref="I8:J8"/>
    <mergeCell ref="S6:T6"/>
    <mergeCell ref="S7:T7"/>
    <mergeCell ref="S8:T8"/>
    <mergeCell ref="H7:J7"/>
    <mergeCell ref="A1:B5"/>
    <mergeCell ref="C1:K1"/>
    <mergeCell ref="C2:K2"/>
    <mergeCell ref="C3:K3"/>
    <mergeCell ref="V3:V4"/>
    <mergeCell ref="C4:G4"/>
    <mergeCell ref="H4:K4"/>
    <mergeCell ref="C5:K5"/>
    <mergeCell ref="N5:P5"/>
    <mergeCell ref="S5:T5"/>
    <mergeCell ref="S3:U4"/>
    <mergeCell ref="S14:T14"/>
    <mergeCell ref="N13:P13"/>
    <mergeCell ref="N14:P14"/>
    <mergeCell ref="N17:P17"/>
    <mergeCell ref="N44:Q44"/>
    <mergeCell ref="N16:P16"/>
    <mergeCell ref="N30:P30"/>
    <mergeCell ref="N18:P18"/>
    <mergeCell ref="N28:P28"/>
    <mergeCell ref="N29:P29"/>
    <mergeCell ref="N24:P24"/>
    <mergeCell ref="N19:P19"/>
    <mergeCell ref="N21:P21"/>
    <mergeCell ref="N22:P22"/>
    <mergeCell ref="N23:P23"/>
    <mergeCell ref="N25:P25"/>
  </mergeCells>
  <dataValidations count="3">
    <dataValidation type="list" allowBlank="1" showInputMessage="1" showErrorMessage="1" sqref="E27">
      <formula1>$L$27:$L$29</formula1>
    </dataValidation>
    <dataValidation type="list" allowBlank="1" showInputMessage="1" showErrorMessage="1" sqref="J27">
      <formula1>$L$31:$L$32</formula1>
    </dataValidation>
    <dataValidation type="list" allowBlank="1" showInputMessage="1" showErrorMessage="1" sqref="E29">
      <formula1>$L$34:$L$35</formula1>
    </dataValidation>
  </dataValidations>
  <printOptions horizontalCentered="1"/>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ignoredErrors>
    <ignoredError sqref="R45:S45 S42 R43 R44" unlockedFormula="1"/>
  </ignoredError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CL103"/>
  <sheetViews>
    <sheetView showGridLines="0" view="pageBreakPreview" zoomScaleSheetLayoutView="100" workbookViewId="0">
      <selection activeCell="CN8" sqref="CN8"/>
    </sheetView>
  </sheetViews>
  <sheetFormatPr baseColWidth="10" defaultRowHeight="12.75"/>
  <cols>
    <col min="1" max="1" width="26.140625" style="158" customWidth="1"/>
    <col min="2" max="7" width="11.28515625" style="158" customWidth="1"/>
    <col min="8" max="8" width="13.42578125" style="158" hidden="1" customWidth="1"/>
    <col min="9" max="9" width="2.7109375" style="158" hidden="1" customWidth="1"/>
    <col min="10" max="10" width="7.5703125" style="158" hidden="1" customWidth="1"/>
    <col min="11" max="11" width="3.5703125" style="158" hidden="1" customWidth="1"/>
    <col min="12" max="21" width="1.5703125" style="158" hidden="1" customWidth="1"/>
    <col min="22" max="22" width="2.5703125" style="158" hidden="1" customWidth="1"/>
    <col min="23" max="23" width="2.42578125" style="158" hidden="1" customWidth="1"/>
    <col min="24" max="29" width="2.7109375" style="199" hidden="1" customWidth="1"/>
    <col min="30" max="30" width="4.42578125" style="199" hidden="1" customWidth="1"/>
    <col min="31" max="31" width="2.42578125" style="199" hidden="1" customWidth="1"/>
    <col min="32" max="37" width="2.7109375" style="199" hidden="1" customWidth="1"/>
    <col min="38" max="38" width="3.42578125" style="199" hidden="1" customWidth="1"/>
    <col min="39" max="39" width="12.28515625" style="158" hidden="1" customWidth="1"/>
    <col min="40" max="40" width="14.5703125" style="158" hidden="1" customWidth="1"/>
    <col min="41" max="41" width="9.7109375" style="158" hidden="1" customWidth="1"/>
    <col min="42" max="42" width="8.7109375" style="200" hidden="1" customWidth="1"/>
    <col min="43" max="43" width="10.7109375" style="158" hidden="1" customWidth="1"/>
    <col min="44" max="46" width="12.7109375" style="158" hidden="1" customWidth="1"/>
    <col min="47" max="47" width="3.7109375" style="158" hidden="1" customWidth="1"/>
    <col min="48" max="48" width="5.7109375" style="158" hidden="1" customWidth="1"/>
    <col min="49" max="49" width="7.7109375" style="158" hidden="1" customWidth="1"/>
    <col min="50" max="50" width="10.28515625" style="158" hidden="1" customWidth="1"/>
    <col min="51" max="51" width="9.5703125" style="158" hidden="1" customWidth="1"/>
    <col min="52" max="52" width="10.5703125" style="158" hidden="1" customWidth="1"/>
    <col min="53" max="53" width="2.7109375" style="143" hidden="1" customWidth="1"/>
    <col min="54" max="54" width="9.85546875" style="143" hidden="1" customWidth="1"/>
    <col min="55" max="56" width="11.85546875" style="143" hidden="1" customWidth="1"/>
    <col min="57" max="57" width="10.7109375" style="143" hidden="1" customWidth="1"/>
    <col min="58" max="68" width="10.7109375" style="158" hidden="1" customWidth="1"/>
    <col min="69" max="90" width="11.42578125" style="158" hidden="1" customWidth="1"/>
    <col min="91" max="92" width="11.42578125" style="158" customWidth="1"/>
    <col min="93" max="253" width="11.42578125" style="158"/>
    <col min="254" max="265" width="2.7109375" style="158" customWidth="1"/>
    <col min="266" max="267" width="6.140625" style="158" customWidth="1"/>
    <col min="268" max="276" width="2.7109375" style="158" customWidth="1"/>
    <col min="277" max="277" width="14.7109375" style="158" customWidth="1"/>
    <col min="278" max="278" width="6.28515625" style="158" customWidth="1"/>
    <col min="279" max="289" width="2.7109375" style="158" customWidth="1"/>
    <col min="290" max="290" width="25.42578125" style="158" customWidth="1"/>
    <col min="291" max="291" width="17.85546875" style="158" customWidth="1"/>
    <col min="292" max="292" width="15.85546875" style="158" customWidth="1"/>
    <col min="293" max="293" width="14.7109375" style="158" customWidth="1"/>
    <col min="294" max="294" width="15.85546875" style="158" customWidth="1"/>
    <col min="295" max="295" width="15" style="158" customWidth="1"/>
    <col min="296" max="296" width="18.140625" style="158" customWidth="1"/>
    <col min="297" max="297" width="22.42578125" style="158" customWidth="1"/>
    <col min="298" max="298" width="23.7109375" style="158" customWidth="1"/>
    <col min="299" max="299" width="14" style="158" customWidth="1"/>
    <col min="300" max="300" width="15" style="158" customWidth="1"/>
    <col min="301" max="301" width="21.28515625" style="158" customWidth="1"/>
    <col min="302" max="302" width="15.85546875" style="158" customWidth="1"/>
    <col min="303" max="303" width="18.28515625" style="158" customWidth="1"/>
    <col min="304" max="304" width="16.28515625" style="158" customWidth="1"/>
    <col min="305" max="509" width="11.42578125" style="158"/>
    <col min="510" max="521" width="2.7109375" style="158" customWidth="1"/>
    <col min="522" max="523" width="6.140625" style="158" customWidth="1"/>
    <col min="524" max="532" width="2.7109375" style="158" customWidth="1"/>
    <col min="533" max="533" width="14.7109375" style="158" customWidth="1"/>
    <col min="534" max="534" width="6.28515625" style="158" customWidth="1"/>
    <col min="535" max="545" width="2.7109375" style="158" customWidth="1"/>
    <col min="546" max="546" width="25.42578125" style="158" customWidth="1"/>
    <col min="547" max="547" width="17.85546875" style="158" customWidth="1"/>
    <col min="548" max="548" width="15.85546875" style="158" customWidth="1"/>
    <col min="549" max="549" width="14.7109375" style="158" customWidth="1"/>
    <col min="550" max="550" width="15.85546875" style="158" customWidth="1"/>
    <col min="551" max="551" width="15" style="158" customWidth="1"/>
    <col min="552" max="552" width="18.140625" style="158" customWidth="1"/>
    <col min="553" max="553" width="22.42578125" style="158" customWidth="1"/>
    <col min="554" max="554" width="23.7109375" style="158" customWidth="1"/>
    <col min="555" max="555" width="14" style="158" customWidth="1"/>
    <col min="556" max="556" width="15" style="158" customWidth="1"/>
    <col min="557" max="557" width="21.28515625" style="158" customWidth="1"/>
    <col min="558" max="558" width="15.85546875" style="158" customWidth="1"/>
    <col min="559" max="559" width="18.28515625" style="158" customWidth="1"/>
    <col min="560" max="560" width="16.28515625" style="158" customWidth="1"/>
    <col min="561" max="765" width="11.42578125" style="158"/>
    <col min="766" max="777" width="2.7109375" style="158" customWidth="1"/>
    <col min="778" max="779" width="6.140625" style="158" customWidth="1"/>
    <col min="780" max="788" width="2.7109375" style="158" customWidth="1"/>
    <col min="789" max="789" width="14.7109375" style="158" customWidth="1"/>
    <col min="790" max="790" width="6.28515625" style="158" customWidth="1"/>
    <col min="791" max="801" width="2.7109375" style="158" customWidth="1"/>
    <col min="802" max="802" width="25.42578125" style="158" customWidth="1"/>
    <col min="803" max="803" width="17.85546875" style="158" customWidth="1"/>
    <col min="804" max="804" width="15.85546875" style="158" customWidth="1"/>
    <col min="805" max="805" width="14.7109375" style="158" customWidth="1"/>
    <col min="806" max="806" width="15.85546875" style="158" customWidth="1"/>
    <col min="807" max="807" width="15" style="158" customWidth="1"/>
    <col min="808" max="808" width="18.140625" style="158" customWidth="1"/>
    <col min="809" max="809" width="22.42578125" style="158" customWidth="1"/>
    <col min="810" max="810" width="23.7109375" style="158" customWidth="1"/>
    <col min="811" max="811" width="14" style="158" customWidth="1"/>
    <col min="812" max="812" width="15" style="158" customWidth="1"/>
    <col min="813" max="813" width="21.28515625" style="158" customWidth="1"/>
    <col min="814" max="814" width="15.85546875" style="158" customWidth="1"/>
    <col min="815" max="815" width="18.28515625" style="158" customWidth="1"/>
    <col min="816" max="816" width="16.28515625" style="158" customWidth="1"/>
    <col min="817" max="1021" width="11.42578125" style="158"/>
    <col min="1022" max="1033" width="2.7109375" style="158" customWidth="1"/>
    <col min="1034" max="1035" width="6.140625" style="158" customWidth="1"/>
    <col min="1036" max="1044" width="2.7109375" style="158" customWidth="1"/>
    <col min="1045" max="1045" width="14.7109375" style="158" customWidth="1"/>
    <col min="1046" max="1046" width="6.28515625" style="158" customWidth="1"/>
    <col min="1047" max="1057" width="2.7109375" style="158" customWidth="1"/>
    <col min="1058" max="1058" width="25.42578125" style="158" customWidth="1"/>
    <col min="1059" max="1059" width="17.85546875" style="158" customWidth="1"/>
    <col min="1060" max="1060" width="15.85546875" style="158" customWidth="1"/>
    <col min="1061" max="1061" width="14.7109375" style="158" customWidth="1"/>
    <col min="1062" max="1062" width="15.85546875" style="158" customWidth="1"/>
    <col min="1063" max="1063" width="15" style="158" customWidth="1"/>
    <col min="1064" max="1064" width="18.140625" style="158" customWidth="1"/>
    <col min="1065" max="1065" width="22.42578125" style="158" customWidth="1"/>
    <col min="1066" max="1066" width="23.7109375" style="158" customWidth="1"/>
    <col min="1067" max="1067" width="14" style="158" customWidth="1"/>
    <col min="1068" max="1068" width="15" style="158" customWidth="1"/>
    <col min="1069" max="1069" width="21.28515625" style="158" customWidth="1"/>
    <col min="1070" max="1070" width="15.85546875" style="158" customWidth="1"/>
    <col min="1071" max="1071" width="18.28515625" style="158" customWidth="1"/>
    <col min="1072" max="1072" width="16.28515625" style="158" customWidth="1"/>
    <col min="1073" max="1277" width="11.42578125" style="158"/>
    <col min="1278" max="1289" width="2.7109375" style="158" customWidth="1"/>
    <col min="1290" max="1291" width="6.140625" style="158" customWidth="1"/>
    <col min="1292" max="1300" width="2.7109375" style="158" customWidth="1"/>
    <col min="1301" max="1301" width="14.7109375" style="158" customWidth="1"/>
    <col min="1302" max="1302" width="6.28515625" style="158" customWidth="1"/>
    <col min="1303" max="1313" width="2.7109375" style="158" customWidth="1"/>
    <col min="1314" max="1314" width="25.42578125" style="158" customWidth="1"/>
    <col min="1315" max="1315" width="17.85546875" style="158" customWidth="1"/>
    <col min="1316" max="1316" width="15.85546875" style="158" customWidth="1"/>
    <col min="1317" max="1317" width="14.7109375" style="158" customWidth="1"/>
    <col min="1318" max="1318" width="15.85546875" style="158" customWidth="1"/>
    <col min="1319" max="1319" width="15" style="158" customWidth="1"/>
    <col min="1320" max="1320" width="18.140625" style="158" customWidth="1"/>
    <col min="1321" max="1321" width="22.42578125" style="158" customWidth="1"/>
    <col min="1322" max="1322" width="23.7109375" style="158" customWidth="1"/>
    <col min="1323" max="1323" width="14" style="158" customWidth="1"/>
    <col min="1324" max="1324" width="15" style="158" customWidth="1"/>
    <col min="1325" max="1325" width="21.28515625" style="158" customWidth="1"/>
    <col min="1326" max="1326" width="15.85546875" style="158" customWidth="1"/>
    <col min="1327" max="1327" width="18.28515625" style="158" customWidth="1"/>
    <col min="1328" max="1328" width="16.28515625" style="158" customWidth="1"/>
    <col min="1329" max="1533" width="11.42578125" style="158"/>
    <col min="1534" max="1545" width="2.7109375" style="158" customWidth="1"/>
    <col min="1546" max="1547" width="6.140625" style="158" customWidth="1"/>
    <col min="1548" max="1556" width="2.7109375" style="158" customWidth="1"/>
    <col min="1557" max="1557" width="14.7109375" style="158" customWidth="1"/>
    <col min="1558" max="1558" width="6.28515625" style="158" customWidth="1"/>
    <col min="1559" max="1569" width="2.7109375" style="158" customWidth="1"/>
    <col min="1570" max="1570" width="25.42578125" style="158" customWidth="1"/>
    <col min="1571" max="1571" width="17.85546875" style="158" customWidth="1"/>
    <col min="1572" max="1572" width="15.85546875" style="158" customWidth="1"/>
    <col min="1573" max="1573" width="14.7109375" style="158" customWidth="1"/>
    <col min="1574" max="1574" width="15.85546875" style="158" customWidth="1"/>
    <col min="1575" max="1575" width="15" style="158" customWidth="1"/>
    <col min="1576" max="1576" width="18.140625" style="158" customWidth="1"/>
    <col min="1577" max="1577" width="22.42578125" style="158" customWidth="1"/>
    <col min="1578" max="1578" width="23.7109375" style="158" customWidth="1"/>
    <col min="1579" max="1579" width="14" style="158" customWidth="1"/>
    <col min="1580" max="1580" width="15" style="158" customWidth="1"/>
    <col min="1581" max="1581" width="21.28515625" style="158" customWidth="1"/>
    <col min="1582" max="1582" width="15.85546875" style="158" customWidth="1"/>
    <col min="1583" max="1583" width="18.28515625" style="158" customWidth="1"/>
    <col min="1584" max="1584" width="16.28515625" style="158" customWidth="1"/>
    <col min="1585" max="1789" width="11.42578125" style="158"/>
    <col min="1790" max="1801" width="2.7109375" style="158" customWidth="1"/>
    <col min="1802" max="1803" width="6.140625" style="158" customWidth="1"/>
    <col min="1804" max="1812" width="2.7109375" style="158" customWidth="1"/>
    <col min="1813" max="1813" width="14.7109375" style="158" customWidth="1"/>
    <col min="1814" max="1814" width="6.28515625" style="158" customWidth="1"/>
    <col min="1815" max="1825" width="2.7109375" style="158" customWidth="1"/>
    <col min="1826" max="1826" width="25.42578125" style="158" customWidth="1"/>
    <col min="1827" max="1827" width="17.85546875" style="158" customWidth="1"/>
    <col min="1828" max="1828" width="15.85546875" style="158" customWidth="1"/>
    <col min="1829" max="1829" width="14.7109375" style="158" customWidth="1"/>
    <col min="1830" max="1830" width="15.85546875" style="158" customWidth="1"/>
    <col min="1831" max="1831" width="15" style="158" customWidth="1"/>
    <col min="1832" max="1832" width="18.140625" style="158" customWidth="1"/>
    <col min="1833" max="1833" width="22.42578125" style="158" customWidth="1"/>
    <col min="1834" max="1834" width="23.7109375" style="158" customWidth="1"/>
    <col min="1835" max="1835" width="14" style="158" customWidth="1"/>
    <col min="1836" max="1836" width="15" style="158" customWidth="1"/>
    <col min="1837" max="1837" width="21.28515625" style="158" customWidth="1"/>
    <col min="1838" max="1838" width="15.85546875" style="158" customWidth="1"/>
    <col min="1839" max="1839" width="18.28515625" style="158" customWidth="1"/>
    <col min="1840" max="1840" width="16.28515625" style="158" customWidth="1"/>
    <col min="1841" max="2045" width="11.42578125" style="158"/>
    <col min="2046" max="2057" width="2.7109375" style="158" customWidth="1"/>
    <col min="2058" max="2059" width="6.140625" style="158" customWidth="1"/>
    <col min="2060" max="2068" width="2.7109375" style="158" customWidth="1"/>
    <col min="2069" max="2069" width="14.7109375" style="158" customWidth="1"/>
    <col min="2070" max="2070" width="6.28515625" style="158" customWidth="1"/>
    <col min="2071" max="2081" width="2.7109375" style="158" customWidth="1"/>
    <col min="2082" max="2082" width="25.42578125" style="158" customWidth="1"/>
    <col min="2083" max="2083" width="17.85546875" style="158" customWidth="1"/>
    <col min="2084" max="2084" width="15.85546875" style="158" customWidth="1"/>
    <col min="2085" max="2085" width="14.7109375" style="158" customWidth="1"/>
    <col min="2086" max="2086" width="15.85546875" style="158" customWidth="1"/>
    <col min="2087" max="2087" width="15" style="158" customWidth="1"/>
    <col min="2088" max="2088" width="18.140625" style="158" customWidth="1"/>
    <col min="2089" max="2089" width="22.42578125" style="158" customWidth="1"/>
    <col min="2090" max="2090" width="23.7109375" style="158" customWidth="1"/>
    <col min="2091" max="2091" width="14" style="158" customWidth="1"/>
    <col min="2092" max="2092" width="15" style="158" customWidth="1"/>
    <col min="2093" max="2093" width="21.28515625" style="158" customWidth="1"/>
    <col min="2094" max="2094" width="15.85546875" style="158" customWidth="1"/>
    <col min="2095" max="2095" width="18.28515625" style="158" customWidth="1"/>
    <col min="2096" max="2096" width="16.28515625" style="158" customWidth="1"/>
    <col min="2097" max="2301" width="11.42578125" style="158"/>
    <col min="2302" max="2313" width="2.7109375" style="158" customWidth="1"/>
    <col min="2314" max="2315" width="6.140625" style="158" customWidth="1"/>
    <col min="2316" max="2324" width="2.7109375" style="158" customWidth="1"/>
    <col min="2325" max="2325" width="14.7109375" style="158" customWidth="1"/>
    <col min="2326" max="2326" width="6.28515625" style="158" customWidth="1"/>
    <col min="2327" max="2337" width="2.7109375" style="158" customWidth="1"/>
    <col min="2338" max="2338" width="25.42578125" style="158" customWidth="1"/>
    <col min="2339" max="2339" width="17.85546875" style="158" customWidth="1"/>
    <col min="2340" max="2340" width="15.85546875" style="158" customWidth="1"/>
    <col min="2341" max="2341" width="14.7109375" style="158" customWidth="1"/>
    <col min="2342" max="2342" width="15.85546875" style="158" customWidth="1"/>
    <col min="2343" max="2343" width="15" style="158" customWidth="1"/>
    <col min="2344" max="2344" width="18.140625" style="158" customWidth="1"/>
    <col min="2345" max="2345" width="22.42578125" style="158" customWidth="1"/>
    <col min="2346" max="2346" width="23.7109375" style="158" customWidth="1"/>
    <col min="2347" max="2347" width="14" style="158" customWidth="1"/>
    <col min="2348" max="2348" width="15" style="158" customWidth="1"/>
    <col min="2349" max="2349" width="21.28515625" style="158" customWidth="1"/>
    <col min="2350" max="2350" width="15.85546875" style="158" customWidth="1"/>
    <col min="2351" max="2351" width="18.28515625" style="158" customWidth="1"/>
    <col min="2352" max="2352" width="16.28515625" style="158" customWidth="1"/>
    <col min="2353" max="2557" width="11.42578125" style="158"/>
    <col min="2558" max="2569" width="2.7109375" style="158" customWidth="1"/>
    <col min="2570" max="2571" width="6.140625" style="158" customWidth="1"/>
    <col min="2572" max="2580" width="2.7109375" style="158" customWidth="1"/>
    <col min="2581" max="2581" width="14.7109375" style="158" customWidth="1"/>
    <col min="2582" max="2582" width="6.28515625" style="158" customWidth="1"/>
    <col min="2583" max="2593" width="2.7109375" style="158" customWidth="1"/>
    <col min="2594" max="2594" width="25.42578125" style="158" customWidth="1"/>
    <col min="2595" max="2595" width="17.85546875" style="158" customWidth="1"/>
    <col min="2596" max="2596" width="15.85546875" style="158" customWidth="1"/>
    <col min="2597" max="2597" width="14.7109375" style="158" customWidth="1"/>
    <col min="2598" max="2598" width="15.85546875" style="158" customWidth="1"/>
    <col min="2599" max="2599" width="15" style="158" customWidth="1"/>
    <col min="2600" max="2600" width="18.140625" style="158" customWidth="1"/>
    <col min="2601" max="2601" width="22.42578125" style="158" customWidth="1"/>
    <col min="2602" max="2602" width="23.7109375" style="158" customWidth="1"/>
    <col min="2603" max="2603" width="14" style="158" customWidth="1"/>
    <col min="2604" max="2604" width="15" style="158" customWidth="1"/>
    <col min="2605" max="2605" width="21.28515625" style="158" customWidth="1"/>
    <col min="2606" max="2606" width="15.85546875" style="158" customWidth="1"/>
    <col min="2607" max="2607" width="18.28515625" style="158" customWidth="1"/>
    <col min="2608" max="2608" width="16.28515625" style="158" customWidth="1"/>
    <col min="2609" max="2813" width="11.42578125" style="158"/>
    <col min="2814" max="2825" width="2.7109375" style="158" customWidth="1"/>
    <col min="2826" max="2827" width="6.140625" style="158" customWidth="1"/>
    <col min="2828" max="2836" width="2.7109375" style="158" customWidth="1"/>
    <col min="2837" max="2837" width="14.7109375" style="158" customWidth="1"/>
    <col min="2838" max="2838" width="6.28515625" style="158" customWidth="1"/>
    <col min="2839" max="2849" width="2.7109375" style="158" customWidth="1"/>
    <col min="2850" max="2850" width="25.42578125" style="158" customWidth="1"/>
    <col min="2851" max="2851" width="17.85546875" style="158" customWidth="1"/>
    <col min="2852" max="2852" width="15.85546875" style="158" customWidth="1"/>
    <col min="2853" max="2853" width="14.7109375" style="158" customWidth="1"/>
    <col min="2854" max="2854" width="15.85546875" style="158" customWidth="1"/>
    <col min="2855" max="2855" width="15" style="158" customWidth="1"/>
    <col min="2856" max="2856" width="18.140625" style="158" customWidth="1"/>
    <col min="2857" max="2857" width="22.42578125" style="158" customWidth="1"/>
    <col min="2858" max="2858" width="23.7109375" style="158" customWidth="1"/>
    <col min="2859" max="2859" width="14" style="158" customWidth="1"/>
    <col min="2860" max="2860" width="15" style="158" customWidth="1"/>
    <col min="2861" max="2861" width="21.28515625" style="158" customWidth="1"/>
    <col min="2862" max="2862" width="15.85546875" style="158" customWidth="1"/>
    <col min="2863" max="2863" width="18.28515625" style="158" customWidth="1"/>
    <col min="2864" max="2864" width="16.28515625" style="158" customWidth="1"/>
    <col min="2865" max="3069" width="11.42578125" style="158"/>
    <col min="3070" max="3081" width="2.7109375" style="158" customWidth="1"/>
    <col min="3082" max="3083" width="6.140625" style="158" customWidth="1"/>
    <col min="3084" max="3092" width="2.7109375" style="158" customWidth="1"/>
    <col min="3093" max="3093" width="14.7109375" style="158" customWidth="1"/>
    <col min="3094" max="3094" width="6.28515625" style="158" customWidth="1"/>
    <col min="3095" max="3105" width="2.7109375" style="158" customWidth="1"/>
    <col min="3106" max="3106" width="25.42578125" style="158" customWidth="1"/>
    <col min="3107" max="3107" width="17.85546875" style="158" customWidth="1"/>
    <col min="3108" max="3108" width="15.85546875" style="158" customWidth="1"/>
    <col min="3109" max="3109" width="14.7109375" style="158" customWidth="1"/>
    <col min="3110" max="3110" width="15.85546875" style="158" customWidth="1"/>
    <col min="3111" max="3111" width="15" style="158" customWidth="1"/>
    <col min="3112" max="3112" width="18.140625" style="158" customWidth="1"/>
    <col min="3113" max="3113" width="22.42578125" style="158" customWidth="1"/>
    <col min="3114" max="3114" width="23.7109375" style="158" customWidth="1"/>
    <col min="3115" max="3115" width="14" style="158" customWidth="1"/>
    <col min="3116" max="3116" width="15" style="158" customWidth="1"/>
    <col min="3117" max="3117" width="21.28515625" style="158" customWidth="1"/>
    <col min="3118" max="3118" width="15.85546875" style="158" customWidth="1"/>
    <col min="3119" max="3119" width="18.28515625" style="158" customWidth="1"/>
    <col min="3120" max="3120" width="16.28515625" style="158" customWidth="1"/>
    <col min="3121" max="3325" width="11.42578125" style="158"/>
    <col min="3326" max="3337" width="2.7109375" style="158" customWidth="1"/>
    <col min="3338" max="3339" width="6.140625" style="158" customWidth="1"/>
    <col min="3340" max="3348" width="2.7109375" style="158" customWidth="1"/>
    <col min="3349" max="3349" width="14.7109375" style="158" customWidth="1"/>
    <col min="3350" max="3350" width="6.28515625" style="158" customWidth="1"/>
    <col min="3351" max="3361" width="2.7109375" style="158" customWidth="1"/>
    <col min="3362" max="3362" width="25.42578125" style="158" customWidth="1"/>
    <col min="3363" max="3363" width="17.85546875" style="158" customWidth="1"/>
    <col min="3364" max="3364" width="15.85546875" style="158" customWidth="1"/>
    <col min="3365" max="3365" width="14.7109375" style="158" customWidth="1"/>
    <col min="3366" max="3366" width="15.85546875" style="158" customWidth="1"/>
    <col min="3367" max="3367" width="15" style="158" customWidth="1"/>
    <col min="3368" max="3368" width="18.140625" style="158" customWidth="1"/>
    <col min="3369" max="3369" width="22.42578125" style="158" customWidth="1"/>
    <col min="3370" max="3370" width="23.7109375" style="158" customWidth="1"/>
    <col min="3371" max="3371" width="14" style="158" customWidth="1"/>
    <col min="3372" max="3372" width="15" style="158" customWidth="1"/>
    <col min="3373" max="3373" width="21.28515625" style="158" customWidth="1"/>
    <col min="3374" max="3374" width="15.85546875" style="158" customWidth="1"/>
    <col min="3375" max="3375" width="18.28515625" style="158" customWidth="1"/>
    <col min="3376" max="3376" width="16.28515625" style="158" customWidth="1"/>
    <col min="3377" max="3581" width="11.42578125" style="158"/>
    <col min="3582" max="3593" width="2.7109375" style="158" customWidth="1"/>
    <col min="3594" max="3595" width="6.140625" style="158" customWidth="1"/>
    <col min="3596" max="3604" width="2.7109375" style="158" customWidth="1"/>
    <col min="3605" max="3605" width="14.7109375" style="158" customWidth="1"/>
    <col min="3606" max="3606" width="6.28515625" style="158" customWidth="1"/>
    <col min="3607" max="3617" width="2.7109375" style="158" customWidth="1"/>
    <col min="3618" max="3618" width="25.42578125" style="158" customWidth="1"/>
    <col min="3619" max="3619" width="17.85546875" style="158" customWidth="1"/>
    <col min="3620" max="3620" width="15.85546875" style="158" customWidth="1"/>
    <col min="3621" max="3621" width="14.7109375" style="158" customWidth="1"/>
    <col min="3622" max="3622" width="15.85546875" style="158" customWidth="1"/>
    <col min="3623" max="3623" width="15" style="158" customWidth="1"/>
    <col min="3624" max="3624" width="18.140625" style="158" customWidth="1"/>
    <col min="3625" max="3625" width="22.42578125" style="158" customWidth="1"/>
    <col min="3626" max="3626" width="23.7109375" style="158" customWidth="1"/>
    <col min="3627" max="3627" width="14" style="158" customWidth="1"/>
    <col min="3628" max="3628" width="15" style="158" customWidth="1"/>
    <col min="3629" max="3629" width="21.28515625" style="158" customWidth="1"/>
    <col min="3630" max="3630" width="15.85546875" style="158" customWidth="1"/>
    <col min="3631" max="3631" width="18.28515625" style="158" customWidth="1"/>
    <col min="3632" max="3632" width="16.28515625" style="158" customWidth="1"/>
    <col min="3633" max="3837" width="11.42578125" style="158"/>
    <col min="3838" max="3849" width="2.7109375" style="158" customWidth="1"/>
    <col min="3850" max="3851" width="6.140625" style="158" customWidth="1"/>
    <col min="3852" max="3860" width="2.7109375" style="158" customWidth="1"/>
    <col min="3861" max="3861" width="14.7109375" style="158" customWidth="1"/>
    <col min="3862" max="3862" width="6.28515625" style="158" customWidth="1"/>
    <col min="3863" max="3873" width="2.7109375" style="158" customWidth="1"/>
    <col min="3874" max="3874" width="25.42578125" style="158" customWidth="1"/>
    <col min="3875" max="3875" width="17.85546875" style="158" customWidth="1"/>
    <col min="3876" max="3876" width="15.85546875" style="158" customWidth="1"/>
    <col min="3877" max="3877" width="14.7109375" style="158" customWidth="1"/>
    <col min="3878" max="3878" width="15.85546875" style="158" customWidth="1"/>
    <col min="3879" max="3879" width="15" style="158" customWidth="1"/>
    <col min="3880" max="3880" width="18.140625" style="158" customWidth="1"/>
    <col min="3881" max="3881" width="22.42578125" style="158" customWidth="1"/>
    <col min="3882" max="3882" width="23.7109375" style="158" customWidth="1"/>
    <col min="3883" max="3883" width="14" style="158" customWidth="1"/>
    <col min="3884" max="3884" width="15" style="158" customWidth="1"/>
    <col min="3885" max="3885" width="21.28515625" style="158" customWidth="1"/>
    <col min="3886" max="3886" width="15.85546875" style="158" customWidth="1"/>
    <col min="3887" max="3887" width="18.28515625" style="158" customWidth="1"/>
    <col min="3888" max="3888" width="16.28515625" style="158" customWidth="1"/>
    <col min="3889" max="4093" width="11.42578125" style="158"/>
    <col min="4094" max="4105" width="2.7109375" style="158" customWidth="1"/>
    <col min="4106" max="4107" width="6.140625" style="158" customWidth="1"/>
    <col min="4108" max="4116" width="2.7109375" style="158" customWidth="1"/>
    <col min="4117" max="4117" width="14.7109375" style="158" customWidth="1"/>
    <col min="4118" max="4118" width="6.28515625" style="158" customWidth="1"/>
    <col min="4119" max="4129" width="2.7109375" style="158" customWidth="1"/>
    <col min="4130" max="4130" width="25.42578125" style="158" customWidth="1"/>
    <col min="4131" max="4131" width="17.85546875" style="158" customWidth="1"/>
    <col min="4132" max="4132" width="15.85546875" style="158" customWidth="1"/>
    <col min="4133" max="4133" width="14.7109375" style="158" customWidth="1"/>
    <col min="4134" max="4134" width="15.85546875" style="158" customWidth="1"/>
    <col min="4135" max="4135" width="15" style="158" customWidth="1"/>
    <col min="4136" max="4136" width="18.140625" style="158" customWidth="1"/>
    <col min="4137" max="4137" width="22.42578125" style="158" customWidth="1"/>
    <col min="4138" max="4138" width="23.7109375" style="158" customWidth="1"/>
    <col min="4139" max="4139" width="14" style="158" customWidth="1"/>
    <col min="4140" max="4140" width="15" style="158" customWidth="1"/>
    <col min="4141" max="4141" width="21.28515625" style="158" customWidth="1"/>
    <col min="4142" max="4142" width="15.85546875" style="158" customWidth="1"/>
    <col min="4143" max="4143" width="18.28515625" style="158" customWidth="1"/>
    <col min="4144" max="4144" width="16.28515625" style="158" customWidth="1"/>
    <col min="4145" max="4349" width="11.42578125" style="158"/>
    <col min="4350" max="4361" width="2.7109375" style="158" customWidth="1"/>
    <col min="4362" max="4363" width="6.140625" style="158" customWidth="1"/>
    <col min="4364" max="4372" width="2.7109375" style="158" customWidth="1"/>
    <col min="4373" max="4373" width="14.7109375" style="158" customWidth="1"/>
    <col min="4374" max="4374" width="6.28515625" style="158" customWidth="1"/>
    <col min="4375" max="4385" width="2.7109375" style="158" customWidth="1"/>
    <col min="4386" max="4386" width="25.42578125" style="158" customWidth="1"/>
    <col min="4387" max="4387" width="17.85546875" style="158" customWidth="1"/>
    <col min="4388" max="4388" width="15.85546875" style="158" customWidth="1"/>
    <col min="4389" max="4389" width="14.7109375" style="158" customWidth="1"/>
    <col min="4390" max="4390" width="15.85546875" style="158" customWidth="1"/>
    <col min="4391" max="4391" width="15" style="158" customWidth="1"/>
    <col min="4392" max="4392" width="18.140625" style="158" customWidth="1"/>
    <col min="4393" max="4393" width="22.42578125" style="158" customWidth="1"/>
    <col min="4394" max="4394" width="23.7109375" style="158" customWidth="1"/>
    <col min="4395" max="4395" width="14" style="158" customWidth="1"/>
    <col min="4396" max="4396" width="15" style="158" customWidth="1"/>
    <col min="4397" max="4397" width="21.28515625" style="158" customWidth="1"/>
    <col min="4398" max="4398" width="15.85546875" style="158" customWidth="1"/>
    <col min="4399" max="4399" width="18.28515625" style="158" customWidth="1"/>
    <col min="4400" max="4400" width="16.28515625" style="158" customWidth="1"/>
    <col min="4401" max="4605" width="11.42578125" style="158"/>
    <col min="4606" max="4617" width="2.7109375" style="158" customWidth="1"/>
    <col min="4618" max="4619" width="6.140625" style="158" customWidth="1"/>
    <col min="4620" max="4628" width="2.7109375" style="158" customWidth="1"/>
    <col min="4629" max="4629" width="14.7109375" style="158" customWidth="1"/>
    <col min="4630" max="4630" width="6.28515625" style="158" customWidth="1"/>
    <col min="4631" max="4641" width="2.7109375" style="158" customWidth="1"/>
    <col min="4642" max="4642" width="25.42578125" style="158" customWidth="1"/>
    <col min="4643" max="4643" width="17.85546875" style="158" customWidth="1"/>
    <col min="4644" max="4644" width="15.85546875" style="158" customWidth="1"/>
    <col min="4645" max="4645" width="14.7109375" style="158" customWidth="1"/>
    <col min="4646" max="4646" width="15.85546875" style="158" customWidth="1"/>
    <col min="4647" max="4647" width="15" style="158" customWidth="1"/>
    <col min="4648" max="4648" width="18.140625" style="158" customWidth="1"/>
    <col min="4649" max="4649" width="22.42578125" style="158" customWidth="1"/>
    <col min="4650" max="4650" width="23.7109375" style="158" customWidth="1"/>
    <col min="4651" max="4651" width="14" style="158" customWidth="1"/>
    <col min="4652" max="4652" width="15" style="158" customWidth="1"/>
    <col min="4653" max="4653" width="21.28515625" style="158" customWidth="1"/>
    <col min="4654" max="4654" width="15.85546875" style="158" customWidth="1"/>
    <col min="4655" max="4655" width="18.28515625" style="158" customWidth="1"/>
    <col min="4656" max="4656" width="16.28515625" style="158" customWidth="1"/>
    <col min="4657" max="4861" width="11.42578125" style="158"/>
    <col min="4862" max="4873" width="2.7109375" style="158" customWidth="1"/>
    <col min="4874" max="4875" width="6.140625" style="158" customWidth="1"/>
    <col min="4876" max="4884" width="2.7109375" style="158" customWidth="1"/>
    <col min="4885" max="4885" width="14.7109375" style="158" customWidth="1"/>
    <col min="4886" max="4886" width="6.28515625" style="158" customWidth="1"/>
    <col min="4887" max="4897" width="2.7109375" style="158" customWidth="1"/>
    <col min="4898" max="4898" width="25.42578125" style="158" customWidth="1"/>
    <col min="4899" max="4899" width="17.85546875" style="158" customWidth="1"/>
    <col min="4900" max="4900" width="15.85546875" style="158" customWidth="1"/>
    <col min="4901" max="4901" width="14.7109375" style="158" customWidth="1"/>
    <col min="4902" max="4902" width="15.85546875" style="158" customWidth="1"/>
    <col min="4903" max="4903" width="15" style="158" customWidth="1"/>
    <col min="4904" max="4904" width="18.140625" style="158" customWidth="1"/>
    <col min="4905" max="4905" width="22.42578125" style="158" customWidth="1"/>
    <col min="4906" max="4906" width="23.7109375" style="158" customWidth="1"/>
    <col min="4907" max="4907" width="14" style="158" customWidth="1"/>
    <col min="4908" max="4908" width="15" style="158" customWidth="1"/>
    <col min="4909" max="4909" width="21.28515625" style="158" customWidth="1"/>
    <col min="4910" max="4910" width="15.85546875" style="158" customWidth="1"/>
    <col min="4911" max="4911" width="18.28515625" style="158" customWidth="1"/>
    <col min="4912" max="4912" width="16.28515625" style="158" customWidth="1"/>
    <col min="4913" max="5117" width="11.42578125" style="158"/>
    <col min="5118" max="5129" width="2.7109375" style="158" customWidth="1"/>
    <col min="5130" max="5131" width="6.140625" style="158" customWidth="1"/>
    <col min="5132" max="5140" width="2.7109375" style="158" customWidth="1"/>
    <col min="5141" max="5141" width="14.7109375" style="158" customWidth="1"/>
    <col min="5142" max="5142" width="6.28515625" style="158" customWidth="1"/>
    <col min="5143" max="5153" width="2.7109375" style="158" customWidth="1"/>
    <col min="5154" max="5154" width="25.42578125" style="158" customWidth="1"/>
    <col min="5155" max="5155" width="17.85546875" style="158" customWidth="1"/>
    <col min="5156" max="5156" width="15.85546875" style="158" customWidth="1"/>
    <col min="5157" max="5157" width="14.7109375" style="158" customWidth="1"/>
    <col min="5158" max="5158" width="15.85546875" style="158" customWidth="1"/>
    <col min="5159" max="5159" width="15" style="158" customWidth="1"/>
    <col min="5160" max="5160" width="18.140625" style="158" customWidth="1"/>
    <col min="5161" max="5161" width="22.42578125" style="158" customWidth="1"/>
    <col min="5162" max="5162" width="23.7109375" style="158" customWidth="1"/>
    <col min="5163" max="5163" width="14" style="158" customWidth="1"/>
    <col min="5164" max="5164" width="15" style="158" customWidth="1"/>
    <col min="5165" max="5165" width="21.28515625" style="158" customWidth="1"/>
    <col min="5166" max="5166" width="15.85546875" style="158" customWidth="1"/>
    <col min="5167" max="5167" width="18.28515625" style="158" customWidth="1"/>
    <col min="5168" max="5168" width="16.28515625" style="158" customWidth="1"/>
    <col min="5169" max="5373" width="11.42578125" style="158"/>
    <col min="5374" max="5385" width="2.7109375" style="158" customWidth="1"/>
    <col min="5386" max="5387" width="6.140625" style="158" customWidth="1"/>
    <col min="5388" max="5396" width="2.7109375" style="158" customWidth="1"/>
    <col min="5397" max="5397" width="14.7109375" style="158" customWidth="1"/>
    <col min="5398" max="5398" width="6.28515625" style="158" customWidth="1"/>
    <col min="5399" max="5409" width="2.7109375" style="158" customWidth="1"/>
    <col min="5410" max="5410" width="25.42578125" style="158" customWidth="1"/>
    <col min="5411" max="5411" width="17.85546875" style="158" customWidth="1"/>
    <col min="5412" max="5412" width="15.85546875" style="158" customWidth="1"/>
    <col min="5413" max="5413" width="14.7109375" style="158" customWidth="1"/>
    <col min="5414" max="5414" width="15.85546875" style="158" customWidth="1"/>
    <col min="5415" max="5415" width="15" style="158" customWidth="1"/>
    <col min="5416" max="5416" width="18.140625" style="158" customWidth="1"/>
    <col min="5417" max="5417" width="22.42578125" style="158" customWidth="1"/>
    <col min="5418" max="5418" width="23.7109375" style="158" customWidth="1"/>
    <col min="5419" max="5419" width="14" style="158" customWidth="1"/>
    <col min="5420" max="5420" width="15" style="158" customWidth="1"/>
    <col min="5421" max="5421" width="21.28515625" style="158" customWidth="1"/>
    <col min="5422" max="5422" width="15.85546875" style="158" customWidth="1"/>
    <col min="5423" max="5423" width="18.28515625" style="158" customWidth="1"/>
    <col min="5424" max="5424" width="16.28515625" style="158" customWidth="1"/>
    <col min="5425" max="5629" width="11.42578125" style="158"/>
    <col min="5630" max="5641" width="2.7109375" style="158" customWidth="1"/>
    <col min="5642" max="5643" width="6.140625" style="158" customWidth="1"/>
    <col min="5644" max="5652" width="2.7109375" style="158" customWidth="1"/>
    <col min="5653" max="5653" width="14.7109375" style="158" customWidth="1"/>
    <col min="5654" max="5654" width="6.28515625" style="158" customWidth="1"/>
    <col min="5655" max="5665" width="2.7109375" style="158" customWidth="1"/>
    <col min="5666" max="5666" width="25.42578125" style="158" customWidth="1"/>
    <col min="5667" max="5667" width="17.85546875" style="158" customWidth="1"/>
    <col min="5668" max="5668" width="15.85546875" style="158" customWidth="1"/>
    <col min="5669" max="5669" width="14.7109375" style="158" customWidth="1"/>
    <col min="5670" max="5670" width="15.85546875" style="158" customWidth="1"/>
    <col min="5671" max="5671" width="15" style="158" customWidth="1"/>
    <col min="5672" max="5672" width="18.140625" style="158" customWidth="1"/>
    <col min="5673" max="5673" width="22.42578125" style="158" customWidth="1"/>
    <col min="5674" max="5674" width="23.7109375" style="158" customWidth="1"/>
    <col min="5675" max="5675" width="14" style="158" customWidth="1"/>
    <col min="5676" max="5676" width="15" style="158" customWidth="1"/>
    <col min="5677" max="5677" width="21.28515625" style="158" customWidth="1"/>
    <col min="5678" max="5678" width="15.85546875" style="158" customWidth="1"/>
    <col min="5679" max="5679" width="18.28515625" style="158" customWidth="1"/>
    <col min="5680" max="5680" width="16.28515625" style="158" customWidth="1"/>
    <col min="5681" max="5885" width="11.42578125" style="158"/>
    <col min="5886" max="5897" width="2.7109375" style="158" customWidth="1"/>
    <col min="5898" max="5899" width="6.140625" style="158" customWidth="1"/>
    <col min="5900" max="5908" width="2.7109375" style="158" customWidth="1"/>
    <col min="5909" max="5909" width="14.7109375" style="158" customWidth="1"/>
    <col min="5910" max="5910" width="6.28515625" style="158" customWidth="1"/>
    <col min="5911" max="5921" width="2.7109375" style="158" customWidth="1"/>
    <col min="5922" max="5922" width="25.42578125" style="158" customWidth="1"/>
    <col min="5923" max="5923" width="17.85546875" style="158" customWidth="1"/>
    <col min="5924" max="5924" width="15.85546875" style="158" customWidth="1"/>
    <col min="5925" max="5925" width="14.7109375" style="158" customWidth="1"/>
    <col min="5926" max="5926" width="15.85546875" style="158" customWidth="1"/>
    <col min="5927" max="5927" width="15" style="158" customWidth="1"/>
    <col min="5928" max="5928" width="18.140625" style="158" customWidth="1"/>
    <col min="5929" max="5929" width="22.42578125" style="158" customWidth="1"/>
    <col min="5930" max="5930" width="23.7109375" style="158" customWidth="1"/>
    <col min="5931" max="5931" width="14" style="158" customWidth="1"/>
    <col min="5932" max="5932" width="15" style="158" customWidth="1"/>
    <col min="5933" max="5933" width="21.28515625" style="158" customWidth="1"/>
    <col min="5934" max="5934" width="15.85546875" style="158" customWidth="1"/>
    <col min="5935" max="5935" width="18.28515625" style="158" customWidth="1"/>
    <col min="5936" max="5936" width="16.28515625" style="158" customWidth="1"/>
    <col min="5937" max="6141" width="11.42578125" style="158"/>
    <col min="6142" max="6153" width="2.7109375" style="158" customWidth="1"/>
    <col min="6154" max="6155" width="6.140625" style="158" customWidth="1"/>
    <col min="6156" max="6164" width="2.7109375" style="158" customWidth="1"/>
    <col min="6165" max="6165" width="14.7109375" style="158" customWidth="1"/>
    <col min="6166" max="6166" width="6.28515625" style="158" customWidth="1"/>
    <col min="6167" max="6177" width="2.7109375" style="158" customWidth="1"/>
    <col min="6178" max="6178" width="25.42578125" style="158" customWidth="1"/>
    <col min="6179" max="6179" width="17.85546875" style="158" customWidth="1"/>
    <col min="6180" max="6180" width="15.85546875" style="158" customWidth="1"/>
    <col min="6181" max="6181" width="14.7109375" style="158" customWidth="1"/>
    <col min="6182" max="6182" width="15.85546875" style="158" customWidth="1"/>
    <col min="6183" max="6183" width="15" style="158" customWidth="1"/>
    <col min="6184" max="6184" width="18.140625" style="158" customWidth="1"/>
    <col min="6185" max="6185" width="22.42578125" style="158" customWidth="1"/>
    <col min="6186" max="6186" width="23.7109375" style="158" customWidth="1"/>
    <col min="6187" max="6187" width="14" style="158" customWidth="1"/>
    <col min="6188" max="6188" width="15" style="158" customWidth="1"/>
    <col min="6189" max="6189" width="21.28515625" style="158" customWidth="1"/>
    <col min="6190" max="6190" width="15.85546875" style="158" customWidth="1"/>
    <col min="6191" max="6191" width="18.28515625" style="158" customWidth="1"/>
    <col min="6192" max="6192" width="16.28515625" style="158" customWidth="1"/>
    <col min="6193" max="6397" width="11.42578125" style="158"/>
    <col min="6398" max="6409" width="2.7109375" style="158" customWidth="1"/>
    <col min="6410" max="6411" width="6.140625" style="158" customWidth="1"/>
    <col min="6412" max="6420" width="2.7109375" style="158" customWidth="1"/>
    <col min="6421" max="6421" width="14.7109375" style="158" customWidth="1"/>
    <col min="6422" max="6422" width="6.28515625" style="158" customWidth="1"/>
    <col min="6423" max="6433" width="2.7109375" style="158" customWidth="1"/>
    <col min="6434" max="6434" width="25.42578125" style="158" customWidth="1"/>
    <col min="6435" max="6435" width="17.85546875" style="158" customWidth="1"/>
    <col min="6436" max="6436" width="15.85546875" style="158" customWidth="1"/>
    <col min="6437" max="6437" width="14.7109375" style="158" customWidth="1"/>
    <col min="6438" max="6438" width="15.85546875" style="158" customWidth="1"/>
    <col min="6439" max="6439" width="15" style="158" customWidth="1"/>
    <col min="6440" max="6440" width="18.140625" style="158" customWidth="1"/>
    <col min="6441" max="6441" width="22.42578125" style="158" customWidth="1"/>
    <col min="6442" max="6442" width="23.7109375" style="158" customWidth="1"/>
    <col min="6443" max="6443" width="14" style="158" customWidth="1"/>
    <col min="6444" max="6444" width="15" style="158" customWidth="1"/>
    <col min="6445" max="6445" width="21.28515625" style="158" customWidth="1"/>
    <col min="6446" max="6446" width="15.85546875" style="158" customWidth="1"/>
    <col min="6447" max="6447" width="18.28515625" style="158" customWidth="1"/>
    <col min="6448" max="6448" width="16.28515625" style="158" customWidth="1"/>
    <col min="6449" max="6653" width="11.42578125" style="158"/>
    <col min="6654" max="6665" width="2.7109375" style="158" customWidth="1"/>
    <col min="6666" max="6667" width="6.140625" style="158" customWidth="1"/>
    <col min="6668" max="6676" width="2.7109375" style="158" customWidth="1"/>
    <col min="6677" max="6677" width="14.7109375" style="158" customWidth="1"/>
    <col min="6678" max="6678" width="6.28515625" style="158" customWidth="1"/>
    <col min="6679" max="6689" width="2.7109375" style="158" customWidth="1"/>
    <col min="6690" max="6690" width="25.42578125" style="158" customWidth="1"/>
    <col min="6691" max="6691" width="17.85546875" style="158" customWidth="1"/>
    <col min="6692" max="6692" width="15.85546875" style="158" customWidth="1"/>
    <col min="6693" max="6693" width="14.7109375" style="158" customWidth="1"/>
    <col min="6694" max="6694" width="15.85546875" style="158" customWidth="1"/>
    <col min="6695" max="6695" width="15" style="158" customWidth="1"/>
    <col min="6696" max="6696" width="18.140625" style="158" customWidth="1"/>
    <col min="6697" max="6697" width="22.42578125" style="158" customWidth="1"/>
    <col min="6698" max="6698" width="23.7109375" style="158" customWidth="1"/>
    <col min="6699" max="6699" width="14" style="158" customWidth="1"/>
    <col min="6700" max="6700" width="15" style="158" customWidth="1"/>
    <col min="6701" max="6701" width="21.28515625" style="158" customWidth="1"/>
    <col min="6702" max="6702" width="15.85546875" style="158" customWidth="1"/>
    <col min="6703" max="6703" width="18.28515625" style="158" customWidth="1"/>
    <col min="6704" max="6704" width="16.28515625" style="158" customWidth="1"/>
    <col min="6705" max="6909" width="11.42578125" style="158"/>
    <col min="6910" max="6921" width="2.7109375" style="158" customWidth="1"/>
    <col min="6922" max="6923" width="6.140625" style="158" customWidth="1"/>
    <col min="6924" max="6932" width="2.7109375" style="158" customWidth="1"/>
    <col min="6933" max="6933" width="14.7109375" style="158" customWidth="1"/>
    <col min="6934" max="6934" width="6.28515625" style="158" customWidth="1"/>
    <col min="6935" max="6945" width="2.7109375" style="158" customWidth="1"/>
    <col min="6946" max="6946" width="25.42578125" style="158" customWidth="1"/>
    <col min="6947" max="6947" width="17.85546875" style="158" customWidth="1"/>
    <col min="6948" max="6948" width="15.85546875" style="158" customWidth="1"/>
    <col min="6949" max="6949" width="14.7109375" style="158" customWidth="1"/>
    <col min="6950" max="6950" width="15.85546875" style="158" customWidth="1"/>
    <col min="6951" max="6951" width="15" style="158" customWidth="1"/>
    <col min="6952" max="6952" width="18.140625" style="158" customWidth="1"/>
    <col min="6953" max="6953" width="22.42578125" style="158" customWidth="1"/>
    <col min="6954" max="6954" width="23.7109375" style="158" customWidth="1"/>
    <col min="6955" max="6955" width="14" style="158" customWidth="1"/>
    <col min="6956" max="6956" width="15" style="158" customWidth="1"/>
    <col min="6957" max="6957" width="21.28515625" style="158" customWidth="1"/>
    <col min="6958" max="6958" width="15.85546875" style="158" customWidth="1"/>
    <col min="6959" max="6959" width="18.28515625" style="158" customWidth="1"/>
    <col min="6960" max="6960" width="16.28515625" style="158" customWidth="1"/>
    <col min="6961" max="7165" width="11.42578125" style="158"/>
    <col min="7166" max="7177" width="2.7109375" style="158" customWidth="1"/>
    <col min="7178" max="7179" width="6.140625" style="158" customWidth="1"/>
    <col min="7180" max="7188" width="2.7109375" style="158" customWidth="1"/>
    <col min="7189" max="7189" width="14.7109375" style="158" customWidth="1"/>
    <col min="7190" max="7190" width="6.28515625" style="158" customWidth="1"/>
    <col min="7191" max="7201" width="2.7109375" style="158" customWidth="1"/>
    <col min="7202" max="7202" width="25.42578125" style="158" customWidth="1"/>
    <col min="7203" max="7203" width="17.85546875" style="158" customWidth="1"/>
    <col min="7204" max="7204" width="15.85546875" style="158" customWidth="1"/>
    <col min="7205" max="7205" width="14.7109375" style="158" customWidth="1"/>
    <col min="7206" max="7206" width="15.85546875" style="158" customWidth="1"/>
    <col min="7207" max="7207" width="15" style="158" customWidth="1"/>
    <col min="7208" max="7208" width="18.140625" style="158" customWidth="1"/>
    <col min="7209" max="7209" width="22.42578125" style="158" customWidth="1"/>
    <col min="7210" max="7210" width="23.7109375" style="158" customWidth="1"/>
    <col min="7211" max="7211" width="14" style="158" customWidth="1"/>
    <col min="7212" max="7212" width="15" style="158" customWidth="1"/>
    <col min="7213" max="7213" width="21.28515625" style="158" customWidth="1"/>
    <col min="7214" max="7214" width="15.85546875" style="158" customWidth="1"/>
    <col min="7215" max="7215" width="18.28515625" style="158" customWidth="1"/>
    <col min="7216" max="7216" width="16.28515625" style="158" customWidth="1"/>
    <col min="7217" max="7421" width="11.42578125" style="158"/>
    <col min="7422" max="7433" width="2.7109375" style="158" customWidth="1"/>
    <col min="7434" max="7435" width="6.140625" style="158" customWidth="1"/>
    <col min="7436" max="7444" width="2.7109375" style="158" customWidth="1"/>
    <col min="7445" max="7445" width="14.7109375" style="158" customWidth="1"/>
    <col min="7446" max="7446" width="6.28515625" style="158" customWidth="1"/>
    <col min="7447" max="7457" width="2.7109375" style="158" customWidth="1"/>
    <col min="7458" max="7458" width="25.42578125" style="158" customWidth="1"/>
    <col min="7459" max="7459" width="17.85546875" style="158" customWidth="1"/>
    <col min="7460" max="7460" width="15.85546875" style="158" customWidth="1"/>
    <col min="7461" max="7461" width="14.7109375" style="158" customWidth="1"/>
    <col min="7462" max="7462" width="15.85546875" style="158" customWidth="1"/>
    <col min="7463" max="7463" width="15" style="158" customWidth="1"/>
    <col min="7464" max="7464" width="18.140625" style="158" customWidth="1"/>
    <col min="7465" max="7465" width="22.42578125" style="158" customWidth="1"/>
    <col min="7466" max="7466" width="23.7109375" style="158" customWidth="1"/>
    <col min="7467" max="7467" width="14" style="158" customWidth="1"/>
    <col min="7468" max="7468" width="15" style="158" customWidth="1"/>
    <col min="7469" max="7469" width="21.28515625" style="158" customWidth="1"/>
    <col min="7470" max="7470" width="15.85546875" style="158" customWidth="1"/>
    <col min="7471" max="7471" width="18.28515625" style="158" customWidth="1"/>
    <col min="7472" max="7472" width="16.28515625" style="158" customWidth="1"/>
    <col min="7473" max="7677" width="11.42578125" style="158"/>
    <col min="7678" max="7689" width="2.7109375" style="158" customWidth="1"/>
    <col min="7690" max="7691" width="6.140625" style="158" customWidth="1"/>
    <col min="7692" max="7700" width="2.7109375" style="158" customWidth="1"/>
    <col min="7701" max="7701" width="14.7109375" style="158" customWidth="1"/>
    <col min="7702" max="7702" width="6.28515625" style="158" customWidth="1"/>
    <col min="7703" max="7713" width="2.7109375" style="158" customWidth="1"/>
    <col min="7714" max="7714" width="25.42578125" style="158" customWidth="1"/>
    <col min="7715" max="7715" width="17.85546875" style="158" customWidth="1"/>
    <col min="7716" max="7716" width="15.85546875" style="158" customWidth="1"/>
    <col min="7717" max="7717" width="14.7109375" style="158" customWidth="1"/>
    <col min="7718" max="7718" width="15.85546875" style="158" customWidth="1"/>
    <col min="7719" max="7719" width="15" style="158" customWidth="1"/>
    <col min="7720" max="7720" width="18.140625" style="158" customWidth="1"/>
    <col min="7721" max="7721" width="22.42578125" style="158" customWidth="1"/>
    <col min="7722" max="7722" width="23.7109375" style="158" customWidth="1"/>
    <col min="7723" max="7723" width="14" style="158" customWidth="1"/>
    <col min="7724" max="7724" width="15" style="158" customWidth="1"/>
    <col min="7725" max="7725" width="21.28515625" style="158" customWidth="1"/>
    <col min="7726" max="7726" width="15.85546875" style="158" customWidth="1"/>
    <col min="7727" max="7727" width="18.28515625" style="158" customWidth="1"/>
    <col min="7728" max="7728" width="16.28515625" style="158" customWidth="1"/>
    <col min="7729" max="7933" width="11.42578125" style="158"/>
    <col min="7934" max="7945" width="2.7109375" style="158" customWidth="1"/>
    <col min="7946" max="7947" width="6.140625" style="158" customWidth="1"/>
    <col min="7948" max="7956" width="2.7109375" style="158" customWidth="1"/>
    <col min="7957" max="7957" width="14.7109375" style="158" customWidth="1"/>
    <col min="7958" max="7958" width="6.28515625" style="158" customWidth="1"/>
    <col min="7959" max="7969" width="2.7109375" style="158" customWidth="1"/>
    <col min="7970" max="7970" width="25.42578125" style="158" customWidth="1"/>
    <col min="7971" max="7971" width="17.85546875" style="158" customWidth="1"/>
    <col min="7972" max="7972" width="15.85546875" style="158" customWidth="1"/>
    <col min="7973" max="7973" width="14.7109375" style="158" customWidth="1"/>
    <col min="7974" max="7974" width="15.85546875" style="158" customWidth="1"/>
    <col min="7975" max="7975" width="15" style="158" customWidth="1"/>
    <col min="7976" max="7976" width="18.140625" style="158" customWidth="1"/>
    <col min="7977" max="7977" width="22.42578125" style="158" customWidth="1"/>
    <col min="7978" max="7978" width="23.7109375" style="158" customWidth="1"/>
    <col min="7979" max="7979" width="14" style="158" customWidth="1"/>
    <col min="7980" max="7980" width="15" style="158" customWidth="1"/>
    <col min="7981" max="7981" width="21.28515625" style="158" customWidth="1"/>
    <col min="7982" max="7982" width="15.85546875" style="158" customWidth="1"/>
    <col min="7983" max="7983" width="18.28515625" style="158" customWidth="1"/>
    <col min="7984" max="7984" width="16.28515625" style="158" customWidth="1"/>
    <col min="7985" max="8189" width="11.42578125" style="158"/>
    <col min="8190" max="8201" width="2.7109375" style="158" customWidth="1"/>
    <col min="8202" max="8203" width="6.140625" style="158" customWidth="1"/>
    <col min="8204" max="8212" width="2.7109375" style="158" customWidth="1"/>
    <col min="8213" max="8213" width="14.7109375" style="158" customWidth="1"/>
    <col min="8214" max="8214" width="6.28515625" style="158" customWidth="1"/>
    <col min="8215" max="8225" width="2.7109375" style="158" customWidth="1"/>
    <col min="8226" max="8226" width="25.42578125" style="158" customWidth="1"/>
    <col min="8227" max="8227" width="17.85546875" style="158" customWidth="1"/>
    <col min="8228" max="8228" width="15.85546875" style="158" customWidth="1"/>
    <col min="8229" max="8229" width="14.7109375" style="158" customWidth="1"/>
    <col min="8230" max="8230" width="15.85546875" style="158" customWidth="1"/>
    <col min="8231" max="8231" width="15" style="158" customWidth="1"/>
    <col min="8232" max="8232" width="18.140625" style="158" customWidth="1"/>
    <col min="8233" max="8233" width="22.42578125" style="158" customWidth="1"/>
    <col min="8234" max="8234" width="23.7109375" style="158" customWidth="1"/>
    <col min="8235" max="8235" width="14" style="158" customWidth="1"/>
    <col min="8236" max="8236" width="15" style="158" customWidth="1"/>
    <col min="8237" max="8237" width="21.28515625" style="158" customWidth="1"/>
    <col min="8238" max="8238" width="15.85546875" style="158" customWidth="1"/>
    <col min="8239" max="8239" width="18.28515625" style="158" customWidth="1"/>
    <col min="8240" max="8240" width="16.28515625" style="158" customWidth="1"/>
    <col min="8241" max="8445" width="11.42578125" style="158"/>
    <col min="8446" max="8457" width="2.7109375" style="158" customWidth="1"/>
    <col min="8458" max="8459" width="6.140625" style="158" customWidth="1"/>
    <col min="8460" max="8468" width="2.7109375" style="158" customWidth="1"/>
    <col min="8469" max="8469" width="14.7109375" style="158" customWidth="1"/>
    <col min="8470" max="8470" width="6.28515625" style="158" customWidth="1"/>
    <col min="8471" max="8481" width="2.7109375" style="158" customWidth="1"/>
    <col min="8482" max="8482" width="25.42578125" style="158" customWidth="1"/>
    <col min="8483" max="8483" width="17.85546875" style="158" customWidth="1"/>
    <col min="8484" max="8484" width="15.85546875" style="158" customWidth="1"/>
    <col min="8485" max="8485" width="14.7109375" style="158" customWidth="1"/>
    <col min="8486" max="8486" width="15.85546875" style="158" customWidth="1"/>
    <col min="8487" max="8487" width="15" style="158" customWidth="1"/>
    <col min="8488" max="8488" width="18.140625" style="158" customWidth="1"/>
    <col min="8489" max="8489" width="22.42578125" style="158" customWidth="1"/>
    <col min="8490" max="8490" width="23.7109375" style="158" customWidth="1"/>
    <col min="8491" max="8491" width="14" style="158" customWidth="1"/>
    <col min="8492" max="8492" width="15" style="158" customWidth="1"/>
    <col min="8493" max="8493" width="21.28515625" style="158" customWidth="1"/>
    <col min="8494" max="8494" width="15.85546875" style="158" customWidth="1"/>
    <col min="8495" max="8495" width="18.28515625" style="158" customWidth="1"/>
    <col min="8496" max="8496" width="16.28515625" style="158" customWidth="1"/>
    <col min="8497" max="8701" width="11.42578125" style="158"/>
    <col min="8702" max="8713" width="2.7109375" style="158" customWidth="1"/>
    <col min="8714" max="8715" width="6.140625" style="158" customWidth="1"/>
    <col min="8716" max="8724" width="2.7109375" style="158" customWidth="1"/>
    <col min="8725" max="8725" width="14.7109375" style="158" customWidth="1"/>
    <col min="8726" max="8726" width="6.28515625" style="158" customWidth="1"/>
    <col min="8727" max="8737" width="2.7109375" style="158" customWidth="1"/>
    <col min="8738" max="8738" width="25.42578125" style="158" customWidth="1"/>
    <col min="8739" max="8739" width="17.85546875" style="158" customWidth="1"/>
    <col min="8740" max="8740" width="15.85546875" style="158" customWidth="1"/>
    <col min="8741" max="8741" width="14.7109375" style="158" customWidth="1"/>
    <col min="8742" max="8742" width="15.85546875" style="158" customWidth="1"/>
    <col min="8743" max="8743" width="15" style="158" customWidth="1"/>
    <col min="8744" max="8744" width="18.140625" style="158" customWidth="1"/>
    <col min="8745" max="8745" width="22.42578125" style="158" customWidth="1"/>
    <col min="8746" max="8746" width="23.7109375" style="158" customWidth="1"/>
    <col min="8747" max="8747" width="14" style="158" customWidth="1"/>
    <col min="8748" max="8748" width="15" style="158" customWidth="1"/>
    <col min="8749" max="8749" width="21.28515625" style="158" customWidth="1"/>
    <col min="8750" max="8750" width="15.85546875" style="158" customWidth="1"/>
    <col min="8751" max="8751" width="18.28515625" style="158" customWidth="1"/>
    <col min="8752" max="8752" width="16.28515625" style="158" customWidth="1"/>
    <col min="8753" max="8957" width="11.42578125" style="158"/>
    <col min="8958" max="8969" width="2.7109375" style="158" customWidth="1"/>
    <col min="8970" max="8971" width="6.140625" style="158" customWidth="1"/>
    <col min="8972" max="8980" width="2.7109375" style="158" customWidth="1"/>
    <col min="8981" max="8981" width="14.7109375" style="158" customWidth="1"/>
    <col min="8982" max="8982" width="6.28515625" style="158" customWidth="1"/>
    <col min="8983" max="8993" width="2.7109375" style="158" customWidth="1"/>
    <col min="8994" max="8994" width="25.42578125" style="158" customWidth="1"/>
    <col min="8995" max="8995" width="17.85546875" style="158" customWidth="1"/>
    <col min="8996" max="8996" width="15.85546875" style="158" customWidth="1"/>
    <col min="8997" max="8997" width="14.7109375" style="158" customWidth="1"/>
    <col min="8998" max="8998" width="15.85546875" style="158" customWidth="1"/>
    <col min="8999" max="8999" width="15" style="158" customWidth="1"/>
    <col min="9000" max="9000" width="18.140625" style="158" customWidth="1"/>
    <col min="9001" max="9001" width="22.42578125" style="158" customWidth="1"/>
    <col min="9002" max="9002" width="23.7109375" style="158" customWidth="1"/>
    <col min="9003" max="9003" width="14" style="158" customWidth="1"/>
    <col min="9004" max="9004" width="15" style="158" customWidth="1"/>
    <col min="9005" max="9005" width="21.28515625" style="158" customWidth="1"/>
    <col min="9006" max="9006" width="15.85546875" style="158" customWidth="1"/>
    <col min="9007" max="9007" width="18.28515625" style="158" customWidth="1"/>
    <col min="9008" max="9008" width="16.28515625" style="158" customWidth="1"/>
    <col min="9009" max="9213" width="11.42578125" style="158"/>
    <col min="9214" max="9225" width="2.7109375" style="158" customWidth="1"/>
    <col min="9226" max="9227" width="6.140625" style="158" customWidth="1"/>
    <col min="9228" max="9236" width="2.7109375" style="158" customWidth="1"/>
    <col min="9237" max="9237" width="14.7109375" style="158" customWidth="1"/>
    <col min="9238" max="9238" width="6.28515625" style="158" customWidth="1"/>
    <col min="9239" max="9249" width="2.7109375" style="158" customWidth="1"/>
    <col min="9250" max="9250" width="25.42578125" style="158" customWidth="1"/>
    <col min="9251" max="9251" width="17.85546875" style="158" customWidth="1"/>
    <col min="9252" max="9252" width="15.85546875" style="158" customWidth="1"/>
    <col min="9253" max="9253" width="14.7109375" style="158" customWidth="1"/>
    <col min="9254" max="9254" width="15.85546875" style="158" customWidth="1"/>
    <col min="9255" max="9255" width="15" style="158" customWidth="1"/>
    <col min="9256" max="9256" width="18.140625" style="158" customWidth="1"/>
    <col min="9257" max="9257" width="22.42578125" style="158" customWidth="1"/>
    <col min="9258" max="9258" width="23.7109375" style="158" customWidth="1"/>
    <col min="9259" max="9259" width="14" style="158" customWidth="1"/>
    <col min="9260" max="9260" width="15" style="158" customWidth="1"/>
    <col min="9261" max="9261" width="21.28515625" style="158" customWidth="1"/>
    <col min="9262" max="9262" width="15.85546875" style="158" customWidth="1"/>
    <col min="9263" max="9263" width="18.28515625" style="158" customWidth="1"/>
    <col min="9264" max="9264" width="16.28515625" style="158" customWidth="1"/>
    <col min="9265" max="9469" width="11.42578125" style="158"/>
    <col min="9470" max="9481" width="2.7109375" style="158" customWidth="1"/>
    <col min="9482" max="9483" width="6.140625" style="158" customWidth="1"/>
    <col min="9484" max="9492" width="2.7109375" style="158" customWidth="1"/>
    <col min="9493" max="9493" width="14.7109375" style="158" customWidth="1"/>
    <col min="9494" max="9494" width="6.28515625" style="158" customWidth="1"/>
    <col min="9495" max="9505" width="2.7109375" style="158" customWidth="1"/>
    <col min="9506" max="9506" width="25.42578125" style="158" customWidth="1"/>
    <col min="9507" max="9507" width="17.85546875" style="158" customWidth="1"/>
    <col min="9508" max="9508" width="15.85546875" style="158" customWidth="1"/>
    <col min="9509" max="9509" width="14.7109375" style="158" customWidth="1"/>
    <col min="9510" max="9510" width="15.85546875" style="158" customWidth="1"/>
    <col min="9511" max="9511" width="15" style="158" customWidth="1"/>
    <col min="9512" max="9512" width="18.140625" style="158" customWidth="1"/>
    <col min="9513" max="9513" width="22.42578125" style="158" customWidth="1"/>
    <col min="9514" max="9514" width="23.7109375" style="158" customWidth="1"/>
    <col min="9515" max="9515" width="14" style="158" customWidth="1"/>
    <col min="9516" max="9516" width="15" style="158" customWidth="1"/>
    <col min="9517" max="9517" width="21.28515625" style="158" customWidth="1"/>
    <col min="9518" max="9518" width="15.85546875" style="158" customWidth="1"/>
    <col min="9519" max="9519" width="18.28515625" style="158" customWidth="1"/>
    <col min="9520" max="9520" width="16.28515625" style="158" customWidth="1"/>
    <col min="9521" max="9725" width="11.42578125" style="158"/>
    <col min="9726" max="9737" width="2.7109375" style="158" customWidth="1"/>
    <col min="9738" max="9739" width="6.140625" style="158" customWidth="1"/>
    <col min="9740" max="9748" width="2.7109375" style="158" customWidth="1"/>
    <col min="9749" max="9749" width="14.7109375" style="158" customWidth="1"/>
    <col min="9750" max="9750" width="6.28515625" style="158" customWidth="1"/>
    <col min="9751" max="9761" width="2.7109375" style="158" customWidth="1"/>
    <col min="9762" max="9762" width="25.42578125" style="158" customWidth="1"/>
    <col min="9763" max="9763" width="17.85546875" style="158" customWidth="1"/>
    <col min="9764" max="9764" width="15.85546875" style="158" customWidth="1"/>
    <col min="9765" max="9765" width="14.7109375" style="158" customWidth="1"/>
    <col min="9766" max="9766" width="15.85546875" style="158" customWidth="1"/>
    <col min="9767" max="9767" width="15" style="158" customWidth="1"/>
    <col min="9768" max="9768" width="18.140625" style="158" customWidth="1"/>
    <col min="9769" max="9769" width="22.42578125" style="158" customWidth="1"/>
    <col min="9770" max="9770" width="23.7109375" style="158" customWidth="1"/>
    <col min="9771" max="9771" width="14" style="158" customWidth="1"/>
    <col min="9772" max="9772" width="15" style="158" customWidth="1"/>
    <col min="9773" max="9773" width="21.28515625" style="158" customWidth="1"/>
    <col min="9774" max="9774" width="15.85546875" style="158" customWidth="1"/>
    <col min="9775" max="9775" width="18.28515625" style="158" customWidth="1"/>
    <col min="9776" max="9776" width="16.28515625" style="158" customWidth="1"/>
    <col min="9777" max="9981" width="11.42578125" style="158"/>
    <col min="9982" max="9993" width="2.7109375" style="158" customWidth="1"/>
    <col min="9994" max="9995" width="6.140625" style="158" customWidth="1"/>
    <col min="9996" max="10004" width="2.7109375" style="158" customWidth="1"/>
    <col min="10005" max="10005" width="14.7109375" style="158" customWidth="1"/>
    <col min="10006" max="10006" width="6.28515625" style="158" customWidth="1"/>
    <col min="10007" max="10017" width="2.7109375" style="158" customWidth="1"/>
    <col min="10018" max="10018" width="25.42578125" style="158" customWidth="1"/>
    <col min="10019" max="10019" width="17.85546875" style="158" customWidth="1"/>
    <col min="10020" max="10020" width="15.85546875" style="158" customWidth="1"/>
    <col min="10021" max="10021" width="14.7109375" style="158" customWidth="1"/>
    <col min="10022" max="10022" width="15.85546875" style="158" customWidth="1"/>
    <col min="10023" max="10023" width="15" style="158" customWidth="1"/>
    <col min="10024" max="10024" width="18.140625" style="158" customWidth="1"/>
    <col min="10025" max="10025" width="22.42578125" style="158" customWidth="1"/>
    <col min="10026" max="10026" width="23.7109375" style="158" customWidth="1"/>
    <col min="10027" max="10027" width="14" style="158" customWidth="1"/>
    <col min="10028" max="10028" width="15" style="158" customWidth="1"/>
    <col min="10029" max="10029" width="21.28515625" style="158" customWidth="1"/>
    <col min="10030" max="10030" width="15.85546875" style="158" customWidth="1"/>
    <col min="10031" max="10031" width="18.28515625" style="158" customWidth="1"/>
    <col min="10032" max="10032" width="16.28515625" style="158" customWidth="1"/>
    <col min="10033" max="10237" width="11.42578125" style="158"/>
    <col min="10238" max="10249" width="2.7109375" style="158" customWidth="1"/>
    <col min="10250" max="10251" width="6.140625" style="158" customWidth="1"/>
    <col min="10252" max="10260" width="2.7109375" style="158" customWidth="1"/>
    <col min="10261" max="10261" width="14.7109375" style="158" customWidth="1"/>
    <col min="10262" max="10262" width="6.28515625" style="158" customWidth="1"/>
    <col min="10263" max="10273" width="2.7109375" style="158" customWidth="1"/>
    <col min="10274" max="10274" width="25.42578125" style="158" customWidth="1"/>
    <col min="10275" max="10275" width="17.85546875" style="158" customWidth="1"/>
    <col min="10276" max="10276" width="15.85546875" style="158" customWidth="1"/>
    <col min="10277" max="10277" width="14.7109375" style="158" customWidth="1"/>
    <col min="10278" max="10278" width="15.85546875" style="158" customWidth="1"/>
    <col min="10279" max="10279" width="15" style="158" customWidth="1"/>
    <col min="10280" max="10280" width="18.140625" style="158" customWidth="1"/>
    <col min="10281" max="10281" width="22.42578125" style="158" customWidth="1"/>
    <col min="10282" max="10282" width="23.7109375" style="158" customWidth="1"/>
    <col min="10283" max="10283" width="14" style="158" customWidth="1"/>
    <col min="10284" max="10284" width="15" style="158" customWidth="1"/>
    <col min="10285" max="10285" width="21.28515625" style="158" customWidth="1"/>
    <col min="10286" max="10286" width="15.85546875" style="158" customWidth="1"/>
    <col min="10287" max="10287" width="18.28515625" style="158" customWidth="1"/>
    <col min="10288" max="10288" width="16.28515625" style="158" customWidth="1"/>
    <col min="10289" max="10493" width="11.42578125" style="158"/>
    <col min="10494" max="10505" width="2.7109375" style="158" customWidth="1"/>
    <col min="10506" max="10507" width="6.140625" style="158" customWidth="1"/>
    <col min="10508" max="10516" width="2.7109375" style="158" customWidth="1"/>
    <col min="10517" max="10517" width="14.7109375" style="158" customWidth="1"/>
    <col min="10518" max="10518" width="6.28515625" style="158" customWidth="1"/>
    <col min="10519" max="10529" width="2.7109375" style="158" customWidth="1"/>
    <col min="10530" max="10530" width="25.42578125" style="158" customWidth="1"/>
    <col min="10531" max="10531" width="17.85546875" style="158" customWidth="1"/>
    <col min="10532" max="10532" width="15.85546875" style="158" customWidth="1"/>
    <col min="10533" max="10533" width="14.7109375" style="158" customWidth="1"/>
    <col min="10534" max="10534" width="15.85546875" style="158" customWidth="1"/>
    <col min="10535" max="10535" width="15" style="158" customWidth="1"/>
    <col min="10536" max="10536" width="18.140625" style="158" customWidth="1"/>
    <col min="10537" max="10537" width="22.42578125" style="158" customWidth="1"/>
    <col min="10538" max="10538" width="23.7109375" style="158" customWidth="1"/>
    <col min="10539" max="10539" width="14" style="158" customWidth="1"/>
    <col min="10540" max="10540" width="15" style="158" customWidth="1"/>
    <col min="10541" max="10541" width="21.28515625" style="158" customWidth="1"/>
    <col min="10542" max="10542" width="15.85546875" style="158" customWidth="1"/>
    <col min="10543" max="10543" width="18.28515625" style="158" customWidth="1"/>
    <col min="10544" max="10544" width="16.28515625" style="158" customWidth="1"/>
    <col min="10545" max="10749" width="11.42578125" style="158"/>
    <col min="10750" max="10761" width="2.7109375" style="158" customWidth="1"/>
    <col min="10762" max="10763" width="6.140625" style="158" customWidth="1"/>
    <col min="10764" max="10772" width="2.7109375" style="158" customWidth="1"/>
    <col min="10773" max="10773" width="14.7109375" style="158" customWidth="1"/>
    <col min="10774" max="10774" width="6.28515625" style="158" customWidth="1"/>
    <col min="10775" max="10785" width="2.7109375" style="158" customWidth="1"/>
    <col min="10786" max="10786" width="25.42578125" style="158" customWidth="1"/>
    <col min="10787" max="10787" width="17.85546875" style="158" customWidth="1"/>
    <col min="10788" max="10788" width="15.85546875" style="158" customWidth="1"/>
    <col min="10789" max="10789" width="14.7109375" style="158" customWidth="1"/>
    <col min="10790" max="10790" width="15.85546875" style="158" customWidth="1"/>
    <col min="10791" max="10791" width="15" style="158" customWidth="1"/>
    <col min="10792" max="10792" width="18.140625" style="158" customWidth="1"/>
    <col min="10793" max="10793" width="22.42578125" style="158" customWidth="1"/>
    <col min="10794" max="10794" width="23.7109375" style="158" customWidth="1"/>
    <col min="10795" max="10795" width="14" style="158" customWidth="1"/>
    <col min="10796" max="10796" width="15" style="158" customWidth="1"/>
    <col min="10797" max="10797" width="21.28515625" style="158" customWidth="1"/>
    <col min="10798" max="10798" width="15.85546875" style="158" customWidth="1"/>
    <col min="10799" max="10799" width="18.28515625" style="158" customWidth="1"/>
    <col min="10800" max="10800" width="16.28515625" style="158" customWidth="1"/>
    <col min="10801" max="11005" width="11.42578125" style="158"/>
    <col min="11006" max="11017" width="2.7109375" style="158" customWidth="1"/>
    <col min="11018" max="11019" width="6.140625" style="158" customWidth="1"/>
    <col min="11020" max="11028" width="2.7109375" style="158" customWidth="1"/>
    <col min="11029" max="11029" width="14.7109375" style="158" customWidth="1"/>
    <col min="11030" max="11030" width="6.28515625" style="158" customWidth="1"/>
    <col min="11031" max="11041" width="2.7109375" style="158" customWidth="1"/>
    <col min="11042" max="11042" width="25.42578125" style="158" customWidth="1"/>
    <col min="11043" max="11043" width="17.85546875" style="158" customWidth="1"/>
    <col min="11044" max="11044" width="15.85546875" style="158" customWidth="1"/>
    <col min="11045" max="11045" width="14.7109375" style="158" customWidth="1"/>
    <col min="11046" max="11046" width="15.85546875" style="158" customWidth="1"/>
    <col min="11047" max="11047" width="15" style="158" customWidth="1"/>
    <col min="11048" max="11048" width="18.140625" style="158" customWidth="1"/>
    <col min="11049" max="11049" width="22.42578125" style="158" customWidth="1"/>
    <col min="11050" max="11050" width="23.7109375" style="158" customWidth="1"/>
    <col min="11051" max="11051" width="14" style="158" customWidth="1"/>
    <col min="11052" max="11052" width="15" style="158" customWidth="1"/>
    <col min="11053" max="11053" width="21.28515625" style="158" customWidth="1"/>
    <col min="11054" max="11054" width="15.85546875" style="158" customWidth="1"/>
    <col min="11055" max="11055" width="18.28515625" style="158" customWidth="1"/>
    <col min="11056" max="11056" width="16.28515625" style="158" customWidth="1"/>
    <col min="11057" max="11261" width="11.42578125" style="158"/>
    <col min="11262" max="11273" width="2.7109375" style="158" customWidth="1"/>
    <col min="11274" max="11275" width="6.140625" style="158" customWidth="1"/>
    <col min="11276" max="11284" width="2.7109375" style="158" customWidth="1"/>
    <col min="11285" max="11285" width="14.7109375" style="158" customWidth="1"/>
    <col min="11286" max="11286" width="6.28515625" style="158" customWidth="1"/>
    <col min="11287" max="11297" width="2.7109375" style="158" customWidth="1"/>
    <col min="11298" max="11298" width="25.42578125" style="158" customWidth="1"/>
    <col min="11299" max="11299" width="17.85546875" style="158" customWidth="1"/>
    <col min="11300" max="11300" width="15.85546875" style="158" customWidth="1"/>
    <col min="11301" max="11301" width="14.7109375" style="158" customWidth="1"/>
    <col min="11302" max="11302" width="15.85546875" style="158" customWidth="1"/>
    <col min="11303" max="11303" width="15" style="158" customWidth="1"/>
    <col min="11304" max="11304" width="18.140625" style="158" customWidth="1"/>
    <col min="11305" max="11305" width="22.42578125" style="158" customWidth="1"/>
    <col min="11306" max="11306" width="23.7109375" style="158" customWidth="1"/>
    <col min="11307" max="11307" width="14" style="158" customWidth="1"/>
    <col min="11308" max="11308" width="15" style="158" customWidth="1"/>
    <col min="11309" max="11309" width="21.28515625" style="158" customWidth="1"/>
    <col min="11310" max="11310" width="15.85546875" style="158" customWidth="1"/>
    <col min="11311" max="11311" width="18.28515625" style="158" customWidth="1"/>
    <col min="11312" max="11312" width="16.28515625" style="158" customWidth="1"/>
    <col min="11313" max="11517" width="11.42578125" style="158"/>
    <col min="11518" max="11529" width="2.7109375" style="158" customWidth="1"/>
    <col min="11530" max="11531" width="6.140625" style="158" customWidth="1"/>
    <col min="11532" max="11540" width="2.7109375" style="158" customWidth="1"/>
    <col min="11541" max="11541" width="14.7109375" style="158" customWidth="1"/>
    <col min="11542" max="11542" width="6.28515625" style="158" customWidth="1"/>
    <col min="11543" max="11553" width="2.7109375" style="158" customWidth="1"/>
    <col min="11554" max="11554" width="25.42578125" style="158" customWidth="1"/>
    <col min="11555" max="11555" width="17.85546875" style="158" customWidth="1"/>
    <col min="11556" max="11556" width="15.85546875" style="158" customWidth="1"/>
    <col min="11557" max="11557" width="14.7109375" style="158" customWidth="1"/>
    <col min="11558" max="11558" width="15.85546875" style="158" customWidth="1"/>
    <col min="11559" max="11559" width="15" style="158" customWidth="1"/>
    <col min="11560" max="11560" width="18.140625" style="158" customWidth="1"/>
    <col min="11561" max="11561" width="22.42578125" style="158" customWidth="1"/>
    <col min="11562" max="11562" width="23.7109375" style="158" customWidth="1"/>
    <col min="11563" max="11563" width="14" style="158" customWidth="1"/>
    <col min="11564" max="11564" width="15" style="158" customWidth="1"/>
    <col min="11565" max="11565" width="21.28515625" style="158" customWidth="1"/>
    <col min="11566" max="11566" width="15.85546875" style="158" customWidth="1"/>
    <col min="11567" max="11567" width="18.28515625" style="158" customWidth="1"/>
    <col min="11568" max="11568" width="16.28515625" style="158" customWidth="1"/>
    <col min="11569" max="11773" width="11.42578125" style="158"/>
    <col min="11774" max="11785" width="2.7109375" style="158" customWidth="1"/>
    <col min="11786" max="11787" width="6.140625" style="158" customWidth="1"/>
    <col min="11788" max="11796" width="2.7109375" style="158" customWidth="1"/>
    <col min="11797" max="11797" width="14.7109375" style="158" customWidth="1"/>
    <col min="11798" max="11798" width="6.28515625" style="158" customWidth="1"/>
    <col min="11799" max="11809" width="2.7109375" style="158" customWidth="1"/>
    <col min="11810" max="11810" width="25.42578125" style="158" customWidth="1"/>
    <col min="11811" max="11811" width="17.85546875" style="158" customWidth="1"/>
    <col min="11812" max="11812" width="15.85546875" style="158" customWidth="1"/>
    <col min="11813" max="11813" width="14.7109375" style="158" customWidth="1"/>
    <col min="11814" max="11814" width="15.85546875" style="158" customWidth="1"/>
    <col min="11815" max="11815" width="15" style="158" customWidth="1"/>
    <col min="11816" max="11816" width="18.140625" style="158" customWidth="1"/>
    <col min="11817" max="11817" width="22.42578125" style="158" customWidth="1"/>
    <col min="11818" max="11818" width="23.7109375" style="158" customWidth="1"/>
    <col min="11819" max="11819" width="14" style="158" customWidth="1"/>
    <col min="11820" max="11820" width="15" style="158" customWidth="1"/>
    <col min="11821" max="11821" width="21.28515625" style="158" customWidth="1"/>
    <col min="11822" max="11822" width="15.85546875" style="158" customWidth="1"/>
    <col min="11823" max="11823" width="18.28515625" style="158" customWidth="1"/>
    <col min="11824" max="11824" width="16.28515625" style="158" customWidth="1"/>
    <col min="11825" max="12029" width="11.42578125" style="158"/>
    <col min="12030" max="12041" width="2.7109375" style="158" customWidth="1"/>
    <col min="12042" max="12043" width="6.140625" style="158" customWidth="1"/>
    <col min="12044" max="12052" width="2.7109375" style="158" customWidth="1"/>
    <col min="12053" max="12053" width="14.7109375" style="158" customWidth="1"/>
    <col min="12054" max="12054" width="6.28515625" style="158" customWidth="1"/>
    <col min="12055" max="12065" width="2.7109375" style="158" customWidth="1"/>
    <col min="12066" max="12066" width="25.42578125" style="158" customWidth="1"/>
    <col min="12067" max="12067" width="17.85546875" style="158" customWidth="1"/>
    <col min="12068" max="12068" width="15.85546875" style="158" customWidth="1"/>
    <col min="12069" max="12069" width="14.7109375" style="158" customWidth="1"/>
    <col min="12070" max="12070" width="15.85546875" style="158" customWidth="1"/>
    <col min="12071" max="12071" width="15" style="158" customWidth="1"/>
    <col min="12072" max="12072" width="18.140625" style="158" customWidth="1"/>
    <col min="12073" max="12073" width="22.42578125" style="158" customWidth="1"/>
    <col min="12074" max="12074" width="23.7109375" style="158" customWidth="1"/>
    <col min="12075" max="12075" width="14" style="158" customWidth="1"/>
    <col min="12076" max="12076" width="15" style="158" customWidth="1"/>
    <col min="12077" max="12077" width="21.28515625" style="158" customWidth="1"/>
    <col min="12078" max="12078" width="15.85546875" style="158" customWidth="1"/>
    <col min="12079" max="12079" width="18.28515625" style="158" customWidth="1"/>
    <col min="12080" max="12080" width="16.28515625" style="158" customWidth="1"/>
    <col min="12081" max="12285" width="11.42578125" style="158"/>
    <col min="12286" max="12297" width="2.7109375" style="158" customWidth="1"/>
    <col min="12298" max="12299" width="6.140625" style="158" customWidth="1"/>
    <col min="12300" max="12308" width="2.7109375" style="158" customWidth="1"/>
    <col min="12309" max="12309" width="14.7109375" style="158" customWidth="1"/>
    <col min="12310" max="12310" width="6.28515625" style="158" customWidth="1"/>
    <col min="12311" max="12321" width="2.7109375" style="158" customWidth="1"/>
    <col min="12322" max="12322" width="25.42578125" style="158" customWidth="1"/>
    <col min="12323" max="12323" width="17.85546875" style="158" customWidth="1"/>
    <col min="12324" max="12324" width="15.85546875" style="158" customWidth="1"/>
    <col min="12325" max="12325" width="14.7109375" style="158" customWidth="1"/>
    <col min="12326" max="12326" width="15.85546875" style="158" customWidth="1"/>
    <col min="12327" max="12327" width="15" style="158" customWidth="1"/>
    <col min="12328" max="12328" width="18.140625" style="158" customWidth="1"/>
    <col min="12329" max="12329" width="22.42578125" style="158" customWidth="1"/>
    <col min="12330" max="12330" width="23.7109375" style="158" customWidth="1"/>
    <col min="12331" max="12331" width="14" style="158" customWidth="1"/>
    <col min="12332" max="12332" width="15" style="158" customWidth="1"/>
    <col min="12333" max="12333" width="21.28515625" style="158" customWidth="1"/>
    <col min="12334" max="12334" width="15.85546875" style="158" customWidth="1"/>
    <col min="12335" max="12335" width="18.28515625" style="158" customWidth="1"/>
    <col min="12336" max="12336" width="16.28515625" style="158" customWidth="1"/>
    <col min="12337" max="12541" width="11.42578125" style="158"/>
    <col min="12542" max="12553" width="2.7109375" style="158" customWidth="1"/>
    <col min="12554" max="12555" width="6.140625" style="158" customWidth="1"/>
    <col min="12556" max="12564" width="2.7109375" style="158" customWidth="1"/>
    <col min="12565" max="12565" width="14.7109375" style="158" customWidth="1"/>
    <col min="12566" max="12566" width="6.28515625" style="158" customWidth="1"/>
    <col min="12567" max="12577" width="2.7109375" style="158" customWidth="1"/>
    <col min="12578" max="12578" width="25.42578125" style="158" customWidth="1"/>
    <col min="12579" max="12579" width="17.85546875" style="158" customWidth="1"/>
    <col min="12580" max="12580" width="15.85546875" style="158" customWidth="1"/>
    <col min="12581" max="12581" width="14.7109375" style="158" customWidth="1"/>
    <col min="12582" max="12582" width="15.85546875" style="158" customWidth="1"/>
    <col min="12583" max="12583" width="15" style="158" customWidth="1"/>
    <col min="12584" max="12584" width="18.140625" style="158" customWidth="1"/>
    <col min="12585" max="12585" width="22.42578125" style="158" customWidth="1"/>
    <col min="12586" max="12586" width="23.7109375" style="158" customWidth="1"/>
    <col min="12587" max="12587" width="14" style="158" customWidth="1"/>
    <col min="12588" max="12588" width="15" style="158" customWidth="1"/>
    <col min="12589" max="12589" width="21.28515625" style="158" customWidth="1"/>
    <col min="12590" max="12590" width="15.85546875" style="158" customWidth="1"/>
    <col min="12591" max="12591" width="18.28515625" style="158" customWidth="1"/>
    <col min="12592" max="12592" width="16.28515625" style="158" customWidth="1"/>
    <col min="12593" max="12797" width="11.42578125" style="158"/>
    <col min="12798" max="12809" width="2.7109375" style="158" customWidth="1"/>
    <col min="12810" max="12811" width="6.140625" style="158" customWidth="1"/>
    <col min="12812" max="12820" width="2.7109375" style="158" customWidth="1"/>
    <col min="12821" max="12821" width="14.7109375" style="158" customWidth="1"/>
    <col min="12822" max="12822" width="6.28515625" style="158" customWidth="1"/>
    <col min="12823" max="12833" width="2.7109375" style="158" customWidth="1"/>
    <col min="12834" max="12834" width="25.42578125" style="158" customWidth="1"/>
    <col min="12835" max="12835" width="17.85546875" style="158" customWidth="1"/>
    <col min="12836" max="12836" width="15.85546875" style="158" customWidth="1"/>
    <col min="12837" max="12837" width="14.7109375" style="158" customWidth="1"/>
    <col min="12838" max="12838" width="15.85546875" style="158" customWidth="1"/>
    <col min="12839" max="12839" width="15" style="158" customWidth="1"/>
    <col min="12840" max="12840" width="18.140625" style="158" customWidth="1"/>
    <col min="12841" max="12841" width="22.42578125" style="158" customWidth="1"/>
    <col min="12842" max="12842" width="23.7109375" style="158" customWidth="1"/>
    <col min="12843" max="12843" width="14" style="158" customWidth="1"/>
    <col min="12844" max="12844" width="15" style="158" customWidth="1"/>
    <col min="12845" max="12845" width="21.28515625" style="158" customWidth="1"/>
    <col min="12846" max="12846" width="15.85546875" style="158" customWidth="1"/>
    <col min="12847" max="12847" width="18.28515625" style="158" customWidth="1"/>
    <col min="12848" max="12848" width="16.28515625" style="158" customWidth="1"/>
    <col min="12849" max="13053" width="11.42578125" style="158"/>
    <col min="13054" max="13065" width="2.7109375" style="158" customWidth="1"/>
    <col min="13066" max="13067" width="6.140625" style="158" customWidth="1"/>
    <col min="13068" max="13076" width="2.7109375" style="158" customWidth="1"/>
    <col min="13077" max="13077" width="14.7109375" style="158" customWidth="1"/>
    <col min="13078" max="13078" width="6.28515625" style="158" customWidth="1"/>
    <col min="13079" max="13089" width="2.7109375" style="158" customWidth="1"/>
    <col min="13090" max="13090" width="25.42578125" style="158" customWidth="1"/>
    <col min="13091" max="13091" width="17.85546875" style="158" customWidth="1"/>
    <col min="13092" max="13092" width="15.85546875" style="158" customWidth="1"/>
    <col min="13093" max="13093" width="14.7109375" style="158" customWidth="1"/>
    <col min="13094" max="13094" width="15.85546875" style="158" customWidth="1"/>
    <col min="13095" max="13095" width="15" style="158" customWidth="1"/>
    <col min="13096" max="13096" width="18.140625" style="158" customWidth="1"/>
    <col min="13097" max="13097" width="22.42578125" style="158" customWidth="1"/>
    <col min="13098" max="13098" width="23.7109375" style="158" customWidth="1"/>
    <col min="13099" max="13099" width="14" style="158" customWidth="1"/>
    <col min="13100" max="13100" width="15" style="158" customWidth="1"/>
    <col min="13101" max="13101" width="21.28515625" style="158" customWidth="1"/>
    <col min="13102" max="13102" width="15.85546875" style="158" customWidth="1"/>
    <col min="13103" max="13103" width="18.28515625" style="158" customWidth="1"/>
    <col min="13104" max="13104" width="16.28515625" style="158" customWidth="1"/>
    <col min="13105" max="13309" width="11.42578125" style="158"/>
    <col min="13310" max="13321" width="2.7109375" style="158" customWidth="1"/>
    <col min="13322" max="13323" width="6.140625" style="158" customWidth="1"/>
    <col min="13324" max="13332" width="2.7109375" style="158" customWidth="1"/>
    <col min="13333" max="13333" width="14.7109375" style="158" customWidth="1"/>
    <col min="13334" max="13334" width="6.28515625" style="158" customWidth="1"/>
    <col min="13335" max="13345" width="2.7109375" style="158" customWidth="1"/>
    <col min="13346" max="13346" width="25.42578125" style="158" customWidth="1"/>
    <col min="13347" max="13347" width="17.85546875" style="158" customWidth="1"/>
    <col min="13348" max="13348" width="15.85546875" style="158" customWidth="1"/>
    <col min="13349" max="13349" width="14.7109375" style="158" customWidth="1"/>
    <col min="13350" max="13350" width="15.85546875" style="158" customWidth="1"/>
    <col min="13351" max="13351" width="15" style="158" customWidth="1"/>
    <col min="13352" max="13352" width="18.140625" style="158" customWidth="1"/>
    <col min="13353" max="13353" width="22.42578125" style="158" customWidth="1"/>
    <col min="13354" max="13354" width="23.7109375" style="158" customWidth="1"/>
    <col min="13355" max="13355" width="14" style="158" customWidth="1"/>
    <col min="13356" max="13356" width="15" style="158" customWidth="1"/>
    <col min="13357" max="13357" width="21.28515625" style="158" customWidth="1"/>
    <col min="13358" max="13358" width="15.85546875" style="158" customWidth="1"/>
    <col min="13359" max="13359" width="18.28515625" style="158" customWidth="1"/>
    <col min="13360" max="13360" width="16.28515625" style="158" customWidth="1"/>
    <col min="13361" max="13565" width="11.42578125" style="158"/>
    <col min="13566" max="13577" width="2.7109375" style="158" customWidth="1"/>
    <col min="13578" max="13579" width="6.140625" style="158" customWidth="1"/>
    <col min="13580" max="13588" width="2.7109375" style="158" customWidth="1"/>
    <col min="13589" max="13589" width="14.7109375" style="158" customWidth="1"/>
    <col min="13590" max="13590" width="6.28515625" style="158" customWidth="1"/>
    <col min="13591" max="13601" width="2.7109375" style="158" customWidth="1"/>
    <col min="13602" max="13602" width="25.42578125" style="158" customWidth="1"/>
    <col min="13603" max="13603" width="17.85546875" style="158" customWidth="1"/>
    <col min="13604" max="13604" width="15.85546875" style="158" customWidth="1"/>
    <col min="13605" max="13605" width="14.7109375" style="158" customWidth="1"/>
    <col min="13606" max="13606" width="15.85546875" style="158" customWidth="1"/>
    <col min="13607" max="13607" width="15" style="158" customWidth="1"/>
    <col min="13608" max="13608" width="18.140625" style="158" customWidth="1"/>
    <col min="13609" max="13609" width="22.42578125" style="158" customWidth="1"/>
    <col min="13610" max="13610" width="23.7109375" style="158" customWidth="1"/>
    <col min="13611" max="13611" width="14" style="158" customWidth="1"/>
    <col min="13612" max="13612" width="15" style="158" customWidth="1"/>
    <col min="13613" max="13613" width="21.28515625" style="158" customWidth="1"/>
    <col min="13614" max="13614" width="15.85546875" style="158" customWidth="1"/>
    <col min="13615" max="13615" width="18.28515625" style="158" customWidth="1"/>
    <col min="13616" max="13616" width="16.28515625" style="158" customWidth="1"/>
    <col min="13617" max="13821" width="11.42578125" style="158"/>
    <col min="13822" max="13833" width="2.7109375" style="158" customWidth="1"/>
    <col min="13834" max="13835" width="6.140625" style="158" customWidth="1"/>
    <col min="13836" max="13844" width="2.7109375" style="158" customWidth="1"/>
    <col min="13845" max="13845" width="14.7109375" style="158" customWidth="1"/>
    <col min="13846" max="13846" width="6.28515625" style="158" customWidth="1"/>
    <col min="13847" max="13857" width="2.7109375" style="158" customWidth="1"/>
    <col min="13858" max="13858" width="25.42578125" style="158" customWidth="1"/>
    <col min="13859" max="13859" width="17.85546875" style="158" customWidth="1"/>
    <col min="13860" max="13860" width="15.85546875" style="158" customWidth="1"/>
    <col min="13861" max="13861" width="14.7109375" style="158" customWidth="1"/>
    <col min="13862" max="13862" width="15.85546875" style="158" customWidth="1"/>
    <col min="13863" max="13863" width="15" style="158" customWidth="1"/>
    <col min="13864" max="13864" width="18.140625" style="158" customWidth="1"/>
    <col min="13865" max="13865" width="22.42578125" style="158" customWidth="1"/>
    <col min="13866" max="13866" width="23.7109375" style="158" customWidth="1"/>
    <col min="13867" max="13867" width="14" style="158" customWidth="1"/>
    <col min="13868" max="13868" width="15" style="158" customWidth="1"/>
    <col min="13869" max="13869" width="21.28515625" style="158" customWidth="1"/>
    <col min="13870" max="13870" width="15.85546875" style="158" customWidth="1"/>
    <col min="13871" max="13871" width="18.28515625" style="158" customWidth="1"/>
    <col min="13872" max="13872" width="16.28515625" style="158" customWidth="1"/>
    <col min="13873" max="14077" width="11.42578125" style="158"/>
    <col min="14078" max="14089" width="2.7109375" style="158" customWidth="1"/>
    <col min="14090" max="14091" width="6.140625" style="158" customWidth="1"/>
    <col min="14092" max="14100" width="2.7109375" style="158" customWidth="1"/>
    <col min="14101" max="14101" width="14.7109375" style="158" customWidth="1"/>
    <col min="14102" max="14102" width="6.28515625" style="158" customWidth="1"/>
    <col min="14103" max="14113" width="2.7109375" style="158" customWidth="1"/>
    <col min="14114" max="14114" width="25.42578125" style="158" customWidth="1"/>
    <col min="14115" max="14115" width="17.85546875" style="158" customWidth="1"/>
    <col min="14116" max="14116" width="15.85546875" style="158" customWidth="1"/>
    <col min="14117" max="14117" width="14.7109375" style="158" customWidth="1"/>
    <col min="14118" max="14118" width="15.85546875" style="158" customWidth="1"/>
    <col min="14119" max="14119" width="15" style="158" customWidth="1"/>
    <col min="14120" max="14120" width="18.140625" style="158" customWidth="1"/>
    <col min="14121" max="14121" width="22.42578125" style="158" customWidth="1"/>
    <col min="14122" max="14122" width="23.7109375" style="158" customWidth="1"/>
    <col min="14123" max="14123" width="14" style="158" customWidth="1"/>
    <col min="14124" max="14124" width="15" style="158" customWidth="1"/>
    <col min="14125" max="14125" width="21.28515625" style="158" customWidth="1"/>
    <col min="14126" max="14126" width="15.85546875" style="158" customWidth="1"/>
    <col min="14127" max="14127" width="18.28515625" style="158" customWidth="1"/>
    <col min="14128" max="14128" width="16.28515625" style="158" customWidth="1"/>
    <col min="14129" max="14333" width="11.42578125" style="158"/>
    <col min="14334" max="14345" width="2.7109375" style="158" customWidth="1"/>
    <col min="14346" max="14347" width="6.140625" style="158" customWidth="1"/>
    <col min="14348" max="14356" width="2.7109375" style="158" customWidth="1"/>
    <col min="14357" max="14357" width="14.7109375" style="158" customWidth="1"/>
    <col min="14358" max="14358" width="6.28515625" style="158" customWidth="1"/>
    <col min="14359" max="14369" width="2.7109375" style="158" customWidth="1"/>
    <col min="14370" max="14370" width="25.42578125" style="158" customWidth="1"/>
    <col min="14371" max="14371" width="17.85546875" style="158" customWidth="1"/>
    <col min="14372" max="14372" width="15.85546875" style="158" customWidth="1"/>
    <col min="14373" max="14373" width="14.7109375" style="158" customWidth="1"/>
    <col min="14374" max="14374" width="15.85546875" style="158" customWidth="1"/>
    <col min="14375" max="14375" width="15" style="158" customWidth="1"/>
    <col min="14376" max="14376" width="18.140625" style="158" customWidth="1"/>
    <col min="14377" max="14377" width="22.42578125" style="158" customWidth="1"/>
    <col min="14378" max="14378" width="23.7109375" style="158" customWidth="1"/>
    <col min="14379" max="14379" width="14" style="158" customWidth="1"/>
    <col min="14380" max="14380" width="15" style="158" customWidth="1"/>
    <col min="14381" max="14381" width="21.28515625" style="158" customWidth="1"/>
    <col min="14382" max="14382" width="15.85546875" style="158" customWidth="1"/>
    <col min="14383" max="14383" width="18.28515625" style="158" customWidth="1"/>
    <col min="14384" max="14384" width="16.28515625" style="158" customWidth="1"/>
    <col min="14385" max="14589" width="11.42578125" style="158"/>
    <col min="14590" max="14601" width="2.7109375" style="158" customWidth="1"/>
    <col min="14602" max="14603" width="6.140625" style="158" customWidth="1"/>
    <col min="14604" max="14612" width="2.7109375" style="158" customWidth="1"/>
    <col min="14613" max="14613" width="14.7109375" style="158" customWidth="1"/>
    <col min="14614" max="14614" width="6.28515625" style="158" customWidth="1"/>
    <col min="14615" max="14625" width="2.7109375" style="158" customWidth="1"/>
    <col min="14626" max="14626" width="25.42578125" style="158" customWidth="1"/>
    <col min="14627" max="14627" width="17.85546875" style="158" customWidth="1"/>
    <col min="14628" max="14628" width="15.85546875" style="158" customWidth="1"/>
    <col min="14629" max="14629" width="14.7109375" style="158" customWidth="1"/>
    <col min="14630" max="14630" width="15.85546875" style="158" customWidth="1"/>
    <col min="14631" max="14631" width="15" style="158" customWidth="1"/>
    <col min="14632" max="14632" width="18.140625" style="158" customWidth="1"/>
    <col min="14633" max="14633" width="22.42578125" style="158" customWidth="1"/>
    <col min="14634" max="14634" width="23.7109375" style="158" customWidth="1"/>
    <col min="14635" max="14635" width="14" style="158" customWidth="1"/>
    <col min="14636" max="14636" width="15" style="158" customWidth="1"/>
    <col min="14637" max="14637" width="21.28515625" style="158" customWidth="1"/>
    <col min="14638" max="14638" width="15.85546875" style="158" customWidth="1"/>
    <col min="14639" max="14639" width="18.28515625" style="158" customWidth="1"/>
    <col min="14640" max="14640" width="16.28515625" style="158" customWidth="1"/>
    <col min="14641" max="14845" width="11.42578125" style="158"/>
    <col min="14846" max="14857" width="2.7109375" style="158" customWidth="1"/>
    <col min="14858" max="14859" width="6.140625" style="158" customWidth="1"/>
    <col min="14860" max="14868" width="2.7109375" style="158" customWidth="1"/>
    <col min="14869" max="14869" width="14.7109375" style="158" customWidth="1"/>
    <col min="14870" max="14870" width="6.28515625" style="158" customWidth="1"/>
    <col min="14871" max="14881" width="2.7109375" style="158" customWidth="1"/>
    <col min="14882" max="14882" width="25.42578125" style="158" customWidth="1"/>
    <col min="14883" max="14883" width="17.85546875" style="158" customWidth="1"/>
    <col min="14884" max="14884" width="15.85546875" style="158" customWidth="1"/>
    <col min="14885" max="14885" width="14.7109375" style="158" customWidth="1"/>
    <col min="14886" max="14886" width="15.85546875" style="158" customWidth="1"/>
    <col min="14887" max="14887" width="15" style="158" customWidth="1"/>
    <col min="14888" max="14888" width="18.140625" style="158" customWidth="1"/>
    <col min="14889" max="14889" width="22.42578125" style="158" customWidth="1"/>
    <col min="14890" max="14890" width="23.7109375" style="158" customWidth="1"/>
    <col min="14891" max="14891" width="14" style="158" customWidth="1"/>
    <col min="14892" max="14892" width="15" style="158" customWidth="1"/>
    <col min="14893" max="14893" width="21.28515625" style="158" customWidth="1"/>
    <col min="14894" max="14894" width="15.85546875" style="158" customWidth="1"/>
    <col min="14895" max="14895" width="18.28515625" style="158" customWidth="1"/>
    <col min="14896" max="14896" width="16.28515625" style="158" customWidth="1"/>
    <col min="14897" max="15101" width="11.42578125" style="158"/>
    <col min="15102" max="15113" width="2.7109375" style="158" customWidth="1"/>
    <col min="15114" max="15115" width="6.140625" style="158" customWidth="1"/>
    <col min="15116" max="15124" width="2.7109375" style="158" customWidth="1"/>
    <col min="15125" max="15125" width="14.7109375" style="158" customWidth="1"/>
    <col min="15126" max="15126" width="6.28515625" style="158" customWidth="1"/>
    <col min="15127" max="15137" width="2.7109375" style="158" customWidth="1"/>
    <col min="15138" max="15138" width="25.42578125" style="158" customWidth="1"/>
    <col min="15139" max="15139" width="17.85546875" style="158" customWidth="1"/>
    <col min="15140" max="15140" width="15.85546875" style="158" customWidth="1"/>
    <col min="15141" max="15141" width="14.7109375" style="158" customWidth="1"/>
    <col min="15142" max="15142" width="15.85546875" style="158" customWidth="1"/>
    <col min="15143" max="15143" width="15" style="158" customWidth="1"/>
    <col min="15144" max="15144" width="18.140625" style="158" customWidth="1"/>
    <col min="15145" max="15145" width="22.42578125" style="158" customWidth="1"/>
    <col min="15146" max="15146" width="23.7109375" style="158" customWidth="1"/>
    <col min="15147" max="15147" width="14" style="158" customWidth="1"/>
    <col min="15148" max="15148" width="15" style="158" customWidth="1"/>
    <col min="15149" max="15149" width="21.28515625" style="158" customWidth="1"/>
    <col min="15150" max="15150" width="15.85546875" style="158" customWidth="1"/>
    <col min="15151" max="15151" width="18.28515625" style="158" customWidth="1"/>
    <col min="15152" max="15152" width="16.28515625" style="158" customWidth="1"/>
    <col min="15153" max="15357" width="11.42578125" style="158"/>
    <col min="15358" max="15369" width="2.7109375" style="158" customWidth="1"/>
    <col min="15370" max="15371" width="6.140625" style="158" customWidth="1"/>
    <col min="15372" max="15380" width="2.7109375" style="158" customWidth="1"/>
    <col min="15381" max="15381" width="14.7109375" style="158" customWidth="1"/>
    <col min="15382" max="15382" width="6.28515625" style="158" customWidth="1"/>
    <col min="15383" max="15393" width="2.7109375" style="158" customWidth="1"/>
    <col min="15394" max="15394" width="25.42578125" style="158" customWidth="1"/>
    <col min="15395" max="15395" width="17.85546875" style="158" customWidth="1"/>
    <col min="15396" max="15396" width="15.85546875" style="158" customWidth="1"/>
    <col min="15397" max="15397" width="14.7109375" style="158" customWidth="1"/>
    <col min="15398" max="15398" width="15.85546875" style="158" customWidth="1"/>
    <col min="15399" max="15399" width="15" style="158" customWidth="1"/>
    <col min="15400" max="15400" width="18.140625" style="158" customWidth="1"/>
    <col min="15401" max="15401" width="22.42578125" style="158" customWidth="1"/>
    <col min="15402" max="15402" width="23.7109375" style="158" customWidth="1"/>
    <col min="15403" max="15403" width="14" style="158" customWidth="1"/>
    <col min="15404" max="15404" width="15" style="158" customWidth="1"/>
    <col min="15405" max="15405" width="21.28515625" style="158" customWidth="1"/>
    <col min="15406" max="15406" width="15.85546875" style="158" customWidth="1"/>
    <col min="15407" max="15407" width="18.28515625" style="158" customWidth="1"/>
    <col min="15408" max="15408" width="16.28515625" style="158" customWidth="1"/>
    <col min="15409" max="15613" width="11.42578125" style="158"/>
    <col min="15614" max="15625" width="2.7109375" style="158" customWidth="1"/>
    <col min="15626" max="15627" width="6.140625" style="158" customWidth="1"/>
    <col min="15628" max="15636" width="2.7109375" style="158" customWidth="1"/>
    <col min="15637" max="15637" width="14.7109375" style="158" customWidth="1"/>
    <col min="15638" max="15638" width="6.28515625" style="158" customWidth="1"/>
    <col min="15639" max="15649" width="2.7109375" style="158" customWidth="1"/>
    <col min="15650" max="15650" width="25.42578125" style="158" customWidth="1"/>
    <col min="15651" max="15651" width="17.85546875" style="158" customWidth="1"/>
    <col min="15652" max="15652" width="15.85546875" style="158" customWidth="1"/>
    <col min="15653" max="15653" width="14.7109375" style="158" customWidth="1"/>
    <col min="15654" max="15654" width="15.85546875" style="158" customWidth="1"/>
    <col min="15655" max="15655" width="15" style="158" customWidth="1"/>
    <col min="15656" max="15656" width="18.140625" style="158" customWidth="1"/>
    <col min="15657" max="15657" width="22.42578125" style="158" customWidth="1"/>
    <col min="15658" max="15658" width="23.7109375" style="158" customWidth="1"/>
    <col min="15659" max="15659" width="14" style="158" customWidth="1"/>
    <col min="15660" max="15660" width="15" style="158" customWidth="1"/>
    <col min="15661" max="15661" width="21.28515625" style="158" customWidth="1"/>
    <col min="15662" max="15662" width="15.85546875" style="158" customWidth="1"/>
    <col min="15663" max="15663" width="18.28515625" style="158" customWidth="1"/>
    <col min="15664" max="15664" width="16.28515625" style="158" customWidth="1"/>
    <col min="15665" max="15869" width="11.42578125" style="158"/>
    <col min="15870" max="15881" width="2.7109375" style="158" customWidth="1"/>
    <col min="15882" max="15883" width="6.140625" style="158" customWidth="1"/>
    <col min="15884" max="15892" width="2.7109375" style="158" customWidth="1"/>
    <col min="15893" max="15893" width="14.7109375" style="158" customWidth="1"/>
    <col min="15894" max="15894" width="6.28515625" style="158" customWidth="1"/>
    <col min="15895" max="15905" width="2.7109375" style="158" customWidth="1"/>
    <col min="15906" max="15906" width="25.42578125" style="158" customWidth="1"/>
    <col min="15907" max="15907" width="17.85546875" style="158" customWidth="1"/>
    <col min="15908" max="15908" width="15.85546875" style="158" customWidth="1"/>
    <col min="15909" max="15909" width="14.7109375" style="158" customWidth="1"/>
    <col min="15910" max="15910" width="15.85546875" style="158" customWidth="1"/>
    <col min="15911" max="15911" width="15" style="158" customWidth="1"/>
    <col min="15912" max="15912" width="18.140625" style="158" customWidth="1"/>
    <col min="15913" max="15913" width="22.42578125" style="158" customWidth="1"/>
    <col min="15914" max="15914" width="23.7109375" style="158" customWidth="1"/>
    <col min="15915" max="15915" width="14" style="158" customWidth="1"/>
    <col min="15916" max="15916" width="15" style="158" customWidth="1"/>
    <col min="15917" max="15917" width="21.28515625" style="158" customWidth="1"/>
    <col min="15918" max="15918" width="15.85546875" style="158" customWidth="1"/>
    <col min="15919" max="15919" width="18.28515625" style="158" customWidth="1"/>
    <col min="15920" max="15920" width="16.28515625" style="158" customWidth="1"/>
    <col min="15921" max="16125" width="11.42578125" style="158"/>
    <col min="16126" max="16137" width="2.7109375" style="158" customWidth="1"/>
    <col min="16138" max="16139" width="6.140625" style="158" customWidth="1"/>
    <col min="16140" max="16148" width="2.7109375" style="158" customWidth="1"/>
    <col min="16149" max="16149" width="14.7109375" style="158" customWidth="1"/>
    <col min="16150" max="16150" width="6.28515625" style="158" customWidth="1"/>
    <col min="16151" max="16161" width="2.7109375" style="158" customWidth="1"/>
    <col min="16162" max="16162" width="25.42578125" style="158" customWidth="1"/>
    <col min="16163" max="16163" width="17.85546875" style="158" customWidth="1"/>
    <col min="16164" max="16164" width="15.85546875" style="158" customWidth="1"/>
    <col min="16165" max="16165" width="14.7109375" style="158" customWidth="1"/>
    <col min="16166" max="16166" width="15.85546875" style="158" customWidth="1"/>
    <col min="16167" max="16167" width="15" style="158" customWidth="1"/>
    <col min="16168" max="16168" width="18.140625" style="158" customWidth="1"/>
    <col min="16169" max="16169" width="22.42578125" style="158" customWidth="1"/>
    <col min="16170" max="16170" width="23.7109375" style="158" customWidth="1"/>
    <col min="16171" max="16171" width="14" style="158" customWidth="1"/>
    <col min="16172" max="16172" width="15" style="158" customWidth="1"/>
    <col min="16173" max="16173" width="21.28515625" style="158" customWidth="1"/>
    <col min="16174" max="16174" width="15.85546875" style="158" customWidth="1"/>
    <col min="16175" max="16175" width="18.28515625" style="158" customWidth="1"/>
    <col min="16176" max="16176" width="16.28515625" style="158" customWidth="1"/>
    <col min="16177" max="16384" width="11.42578125" style="158"/>
  </cols>
  <sheetData>
    <row r="1" spans="1:90" s="1652" customFormat="1" ht="15" customHeight="1">
      <c r="A1" s="3473"/>
      <c r="B1" s="2241" t="s">
        <v>860</v>
      </c>
      <c r="C1" s="2242"/>
      <c r="D1" s="2242"/>
      <c r="E1" s="2242"/>
      <c r="F1" s="2242"/>
      <c r="G1" s="2243"/>
      <c r="J1" s="3515" t="s">
        <v>791</v>
      </c>
      <c r="K1" s="3516"/>
      <c r="L1" s="3516"/>
      <c r="M1" s="3516"/>
      <c r="N1" s="3516"/>
      <c r="O1" s="3516"/>
      <c r="P1" s="3516"/>
      <c r="Q1" s="3516"/>
      <c r="R1" s="3516"/>
      <c r="S1" s="3516"/>
      <c r="T1" s="3516"/>
      <c r="U1" s="3516"/>
      <c r="V1" s="3517"/>
      <c r="W1" s="3616" t="s">
        <v>110</v>
      </c>
      <c r="X1" s="3617"/>
      <c r="Y1" s="3617"/>
      <c r="Z1" s="3617"/>
      <c r="AA1" s="3617"/>
      <c r="AB1" s="3520"/>
      <c r="AC1" s="3520"/>
      <c r="AD1" s="3520"/>
      <c r="AE1" s="3520"/>
      <c r="AF1" s="3520"/>
      <c r="AG1" s="3520"/>
      <c r="AH1" s="3520"/>
      <c r="AI1" s="3520"/>
      <c r="AJ1" s="3520"/>
      <c r="AK1" s="3521"/>
      <c r="AL1" s="1653"/>
      <c r="AM1" s="3628" t="s">
        <v>100</v>
      </c>
      <c r="AN1" s="3629"/>
      <c r="AO1" s="3629"/>
      <c r="AP1" s="3629"/>
      <c r="AQ1" s="1345"/>
      <c r="AR1" s="10">
        <f>+W2</f>
        <v>0</v>
      </c>
      <c r="AS1" s="10">
        <f>+AB2</f>
        <v>0</v>
      </c>
      <c r="AT1" s="10">
        <f>+AG2</f>
        <v>0</v>
      </c>
      <c r="AV1" s="3632" t="s">
        <v>634</v>
      </c>
      <c r="AW1" s="3632"/>
      <c r="AX1" s="3632"/>
      <c r="AY1" s="3632"/>
      <c r="AZ1" s="3632"/>
      <c r="BB1" s="3515" t="s">
        <v>59</v>
      </c>
      <c r="BC1" s="3516"/>
      <c r="BD1" s="3516"/>
      <c r="BE1" s="3516"/>
      <c r="BF1" s="3516"/>
      <c r="BG1" s="3516"/>
      <c r="BH1" s="3517"/>
      <c r="BI1" s="1643">
        <v>56</v>
      </c>
      <c r="BJ1" s="1643">
        <v>25</v>
      </c>
      <c r="BK1" s="1632">
        <v>10</v>
      </c>
      <c r="BL1" s="3632" t="s">
        <v>843</v>
      </c>
      <c r="BM1" s="3632"/>
      <c r="BN1" s="3632"/>
      <c r="BO1" s="3632" t="s">
        <v>845</v>
      </c>
      <c r="BP1" s="3632"/>
      <c r="BQ1" s="3632"/>
      <c r="BR1" s="3632" t="s">
        <v>846</v>
      </c>
      <c r="BS1" s="3632"/>
      <c r="BT1" s="3632"/>
      <c r="BU1" s="3632" t="s">
        <v>844</v>
      </c>
      <c r="BV1" s="3632"/>
      <c r="BW1" s="3632"/>
    </row>
    <row r="2" spans="1:90" s="1652" customFormat="1" ht="15" customHeight="1">
      <c r="A2" s="3473"/>
      <c r="B2" s="2244"/>
      <c r="C2" s="2245"/>
      <c r="D2" s="2245"/>
      <c r="E2" s="2245"/>
      <c r="F2" s="2245"/>
      <c r="G2" s="2246"/>
      <c r="J2" s="3484" t="s">
        <v>792</v>
      </c>
      <c r="K2" s="3485"/>
      <c r="L2" s="3485"/>
      <c r="M2" s="3485"/>
      <c r="N2" s="3485"/>
      <c r="O2" s="3485"/>
      <c r="P2" s="3485"/>
      <c r="Q2" s="3485"/>
      <c r="R2" s="3485"/>
      <c r="S2" s="3485"/>
      <c r="T2" s="3485"/>
      <c r="U2" s="3485"/>
      <c r="V2" s="3485"/>
      <c r="W2" s="3486"/>
      <c r="X2" s="3487"/>
      <c r="Y2" s="3487"/>
      <c r="Z2" s="3487"/>
      <c r="AA2" s="3488"/>
      <c r="AB2" s="3486"/>
      <c r="AC2" s="3487"/>
      <c r="AD2" s="3487"/>
      <c r="AE2" s="3487"/>
      <c r="AF2" s="3488"/>
      <c r="AG2" s="3486"/>
      <c r="AH2" s="3487"/>
      <c r="AI2" s="3487"/>
      <c r="AJ2" s="3487"/>
      <c r="AK2" s="3488"/>
      <c r="AL2" s="1653"/>
      <c r="AM2" s="3529" t="s">
        <v>795</v>
      </c>
      <c r="AN2" s="3530"/>
      <c r="AO2" s="3530"/>
      <c r="AP2" s="3530"/>
      <c r="AQ2" s="137" t="s">
        <v>58</v>
      </c>
      <c r="AR2" s="1556" t="str">
        <f>IF(W12="","",W12)</f>
        <v/>
      </c>
      <c r="AS2" s="1556" t="str">
        <f>IF(AB12="","",AB12)</f>
        <v/>
      </c>
      <c r="AT2" s="1557" t="str">
        <f>IF(AG12="","",AG12)</f>
        <v/>
      </c>
      <c r="AV2" s="1654" t="s">
        <v>635</v>
      </c>
      <c r="AW2" s="1654" t="s">
        <v>636</v>
      </c>
      <c r="AX2" s="1654" t="s">
        <v>637</v>
      </c>
      <c r="AY2" s="1654" t="s">
        <v>638</v>
      </c>
      <c r="AZ2" s="1654" t="s">
        <v>639</v>
      </c>
      <c r="BB2" s="1626" t="s">
        <v>822</v>
      </c>
      <c r="BC2" s="1626" t="s">
        <v>823</v>
      </c>
      <c r="BD2" s="1626" t="s">
        <v>824</v>
      </c>
      <c r="BE2" s="1626" t="s">
        <v>834</v>
      </c>
      <c r="BF2" s="1626" t="s">
        <v>835</v>
      </c>
      <c r="BG2" s="1626" t="s">
        <v>836</v>
      </c>
      <c r="BH2" s="1646" t="s">
        <v>571</v>
      </c>
      <c r="BI2" s="1655" t="s">
        <v>815</v>
      </c>
      <c r="BJ2" s="1655" t="s">
        <v>815</v>
      </c>
      <c r="BK2" s="1656" t="s">
        <v>815</v>
      </c>
      <c r="BL2" s="1632">
        <v>56</v>
      </c>
      <c r="BM2" s="1632">
        <v>25</v>
      </c>
      <c r="BN2" s="1632">
        <v>10</v>
      </c>
      <c r="BO2" s="1632">
        <v>56</v>
      </c>
      <c r="BP2" s="1632">
        <v>25</v>
      </c>
      <c r="BQ2" s="1632">
        <v>10</v>
      </c>
      <c r="BR2" s="1632">
        <v>56</v>
      </c>
      <c r="BS2" s="1632">
        <v>25</v>
      </c>
      <c r="BT2" s="1632">
        <v>10</v>
      </c>
      <c r="BU2" s="1632">
        <f>+BL2</f>
        <v>56</v>
      </c>
      <c r="BV2" s="1632">
        <v>25</v>
      </c>
      <c r="BW2" s="1632">
        <v>10</v>
      </c>
    </row>
    <row r="3" spans="1:90" s="1652" customFormat="1" ht="15" customHeight="1">
      <c r="A3" s="3473"/>
      <c r="B3" s="2247"/>
      <c r="C3" s="2248"/>
      <c r="D3" s="2248"/>
      <c r="E3" s="2248"/>
      <c r="F3" s="2248"/>
      <c r="G3" s="2249"/>
      <c r="J3" s="1509" t="s">
        <v>83</v>
      </c>
      <c r="K3" s="1642"/>
      <c r="L3" s="1642"/>
      <c r="M3" s="1642"/>
      <c r="N3" s="1642"/>
      <c r="O3" s="1642"/>
      <c r="P3" s="1642"/>
      <c r="Q3" s="1642"/>
      <c r="R3" s="1642"/>
      <c r="S3" s="1642"/>
      <c r="T3" s="1642"/>
      <c r="U3" s="3477" t="s">
        <v>58</v>
      </c>
      <c r="V3" s="3477"/>
      <c r="W3" s="3478" t="str">
        <f>IF(W2="","",VLOOKUP(W2,$AV$3:$AW$17,2,0))</f>
        <v/>
      </c>
      <c r="X3" s="3477"/>
      <c r="Y3" s="3477"/>
      <c r="Z3" s="3477"/>
      <c r="AA3" s="3479"/>
      <c r="AB3" s="3478" t="str">
        <f>IF(AB2="","",VLOOKUP(AB2,$AV$3:$AW$17,2,0))</f>
        <v/>
      </c>
      <c r="AC3" s="3477"/>
      <c r="AD3" s="3477"/>
      <c r="AE3" s="3477"/>
      <c r="AF3" s="3479"/>
      <c r="AG3" s="3478" t="str">
        <f>IF(AG2="","",VLOOKUP(AG2,$AV$3:$AW$17,2,0))</f>
        <v/>
      </c>
      <c r="AH3" s="3477"/>
      <c r="AI3" s="3477"/>
      <c r="AJ3" s="3477"/>
      <c r="AK3" s="3479"/>
      <c r="AL3" s="1653"/>
      <c r="AM3" s="3626" t="s">
        <v>101</v>
      </c>
      <c r="AN3" s="3627"/>
      <c r="AO3" s="3627"/>
      <c r="AP3" s="3627"/>
      <c r="AQ3" s="9" t="s">
        <v>58</v>
      </c>
      <c r="AR3" s="1557" t="str">
        <f>IF(W3="","",W3)</f>
        <v/>
      </c>
      <c r="AS3" s="1557" t="str">
        <f>IF(AB3="","",AB3)</f>
        <v/>
      </c>
      <c r="AT3" s="1557" t="str">
        <f>IF(AG3="","",AG3)</f>
        <v/>
      </c>
      <c r="AV3" s="1654">
        <v>1</v>
      </c>
      <c r="AW3" s="1657">
        <v>4841</v>
      </c>
      <c r="AX3" s="1658">
        <v>15.24</v>
      </c>
      <c r="AY3" s="1658">
        <v>17.739999999999998</v>
      </c>
      <c r="AZ3" s="1659">
        <f>+PI()*((AX3/2)^2)*AY3</f>
        <v>3236.0366445082591</v>
      </c>
      <c r="BA3" s="1660"/>
      <c r="BB3" s="1627">
        <f t="shared" ref="BB3:BB14" si="0">25.4*BH3</f>
        <v>0</v>
      </c>
      <c r="BC3" s="1627">
        <f>+BB3*BB3</f>
        <v>0</v>
      </c>
      <c r="BD3" s="1628">
        <f>+BB3*BB3*BB3</f>
        <v>0</v>
      </c>
      <c r="BE3" s="1650">
        <f>+BB3^4</f>
        <v>0</v>
      </c>
      <c r="BF3" s="1650">
        <f>+BB3^5</f>
        <v>0</v>
      </c>
      <c r="BG3" s="1650">
        <f>+BB3^6</f>
        <v>0</v>
      </c>
      <c r="BH3" s="1650">
        <v>0</v>
      </c>
      <c r="BI3" s="1661">
        <f>+W24</f>
        <v>0</v>
      </c>
      <c r="BJ3" s="1661">
        <f>+AB24</f>
        <v>0</v>
      </c>
      <c r="BK3" s="1662">
        <f>+AG24</f>
        <v>0</v>
      </c>
      <c r="BL3" s="1663">
        <f>+(6*$BC$18*BB3)+(2*$BD$18)</f>
        <v>0</v>
      </c>
      <c r="BM3" s="1663">
        <f>+(6*$BC$24*BB3)+(2*$BD$24)</f>
        <v>0</v>
      </c>
      <c r="BN3" s="1663">
        <f>+(6*$BC$30*BB3)+(2*$BD$30)</f>
        <v>0</v>
      </c>
      <c r="BO3" s="1663">
        <f>(12*$BK$18*BB3^2)+(6*$BL$18*BB3)+(2*$BM$18)</f>
        <v>0</v>
      </c>
      <c r="BP3" s="1663">
        <f>(12*$BK$24*BB3^2)+(6*$BL$24*BB3)+(2*$BM$24)</f>
        <v>0</v>
      </c>
      <c r="BQ3" s="1663">
        <f>(12*$BK$30*BB3^2)+(6*$BL$30*BB3)+(2*$BM$30)</f>
        <v>0</v>
      </c>
      <c r="BR3" s="1663">
        <f>(20*$BT$18*BB3^3)+(12*$BU$18*BB3^2)+(6*$BV$18*BB3)+(2*$BW$18)</f>
        <v>0</v>
      </c>
      <c r="BS3" s="1663">
        <f>(20*$BT$24*BB3^3)+(12*$BU$24*BB3^2)+(6*$BV$24*BB3)+(2*$BW$24)</f>
        <v>0</v>
      </c>
      <c r="BT3" s="1663">
        <f>(20*$BT$30*BB3^3)+(12*$BU$30*BB3^2)+(6*$BV$30*BB3)+(2*$BW$30)</f>
        <v>0</v>
      </c>
      <c r="BU3" s="1663">
        <f t="shared" ref="BU3:BU14" si="1">+(30*$CD$18*BB3^4)+(20*$CE$18*BB3^3)+(12*$CF$18*BB3^2)+(6*$CG$18*BB3)+(2*$CH$18)</f>
        <v>0</v>
      </c>
      <c r="BV3" s="1663">
        <f>+(30*$CD$24*BB3^4)+(20*$CE$24*BB3^3)+(12*$CF$24*BB3^2)+(6*$CG$24*BB3)+(2*$CH$24)</f>
        <v>0</v>
      </c>
      <c r="BW3" s="1663">
        <f>+(30*$CD$30*BB3^4)+(20*$CE$30*BB3^3)+(12*$CF$30*BB3^2)+(6*$CG$30*BB3)+(2*$CH$30)</f>
        <v>0</v>
      </c>
    </row>
    <row r="4" spans="1:90" s="1652" customFormat="1" ht="15" customHeight="1">
      <c r="A4" s="3473"/>
      <c r="B4" s="3483" t="s">
        <v>640</v>
      </c>
      <c r="C4" s="3483"/>
      <c r="D4" s="3483"/>
      <c r="E4" s="3483"/>
      <c r="F4" s="2250" t="s">
        <v>509</v>
      </c>
      <c r="G4" s="2252"/>
      <c r="J4" s="1599" t="s">
        <v>808</v>
      </c>
      <c r="K4" s="1600"/>
      <c r="L4" s="1600"/>
      <c r="M4" s="1600"/>
      <c r="N4" s="1600"/>
      <c r="O4" s="1600"/>
      <c r="P4" s="1600"/>
      <c r="Q4" s="1600"/>
      <c r="R4" s="1600"/>
      <c r="S4" s="1600"/>
      <c r="T4" s="1600"/>
      <c r="U4" s="3477" t="s">
        <v>60</v>
      </c>
      <c r="V4" s="3477"/>
      <c r="W4" s="3478" t="str">
        <f>+IF(W2="","",(VLOOKUP(W2,$AV$2:$AZ$17,4,0))*10)</f>
        <v/>
      </c>
      <c r="X4" s="3477"/>
      <c r="Y4" s="3477"/>
      <c r="Z4" s="3477"/>
      <c r="AA4" s="3479"/>
      <c r="AB4" s="3478" t="str">
        <f>+IF(AB2="","",(VLOOKUP(AB2,$AV$2:$AZ$17,4,0))*10)</f>
        <v/>
      </c>
      <c r="AC4" s="3477"/>
      <c r="AD4" s="3477"/>
      <c r="AE4" s="3477"/>
      <c r="AF4" s="3479"/>
      <c r="AG4" s="3478" t="str">
        <f>+IF(AG2="","",(VLOOKUP(AG2,$AV$2:$AZ$17,4,0))*10)</f>
        <v/>
      </c>
      <c r="AH4" s="3477"/>
      <c r="AI4" s="3477"/>
      <c r="AJ4" s="3477"/>
      <c r="AK4" s="3479"/>
      <c r="AL4" s="1664"/>
      <c r="AM4" s="3626" t="s">
        <v>102</v>
      </c>
      <c r="AN4" s="3627"/>
      <c r="AO4" s="3627"/>
      <c r="AP4" s="3627"/>
      <c r="AQ4" s="137" t="s">
        <v>58</v>
      </c>
      <c r="AR4" s="1557" t="str">
        <f>IF(OR(AR2="",AR3=""),"",AR2-AR3)</f>
        <v/>
      </c>
      <c r="AS4" s="1557" t="str">
        <f>IF(OR(AS2="",AS3=""),"",AS2-AS3)</f>
        <v/>
      </c>
      <c r="AT4" s="1557" t="str">
        <f>IF(OR(AT2="",AT3=""),"",AT2-AT3)</f>
        <v/>
      </c>
      <c r="AV4" s="1654">
        <v>2</v>
      </c>
      <c r="AW4" s="1657">
        <v>4538.2</v>
      </c>
      <c r="AX4" s="1658">
        <v>15.26</v>
      </c>
      <c r="AY4" s="1658">
        <v>17.75</v>
      </c>
      <c r="AZ4" s="1659">
        <f t="shared" ref="AZ4:AZ15" si="2">+PI()*((AX4/2)^2)*AY4</f>
        <v>3246.3646900471958</v>
      </c>
      <c r="BB4" s="1645">
        <f t="shared" si="0"/>
        <v>0.63500000000000001</v>
      </c>
      <c r="BC4" s="1650">
        <f t="shared" ref="BC4:BC14" si="3">+BB4*BB4</f>
        <v>0.403225</v>
      </c>
      <c r="BD4" s="1629">
        <f t="shared" ref="BD4:BD14" si="4">+BB4*BB4*BB4</f>
        <v>0.25604787499999998</v>
      </c>
      <c r="BE4" s="1650">
        <f>+BB4^4</f>
        <v>0.16259040062499999</v>
      </c>
      <c r="BF4" s="1650">
        <f>+BB4^5</f>
        <v>0.10324490439687499</v>
      </c>
      <c r="BG4" s="1650">
        <f>+BB4^6</f>
        <v>6.556051429201562E-2</v>
      </c>
      <c r="BH4" s="1645">
        <v>2.5000000000000001E-2</v>
      </c>
      <c r="BI4" s="1661">
        <f t="shared" ref="BI4:BI14" si="5">+W25</f>
        <v>0</v>
      </c>
      <c r="BJ4" s="1661">
        <f t="shared" ref="BJ4:BJ14" si="6">+AB25</f>
        <v>0</v>
      </c>
      <c r="BK4" s="1662">
        <f t="shared" ref="BK4:BK14" si="7">+AG25</f>
        <v>0</v>
      </c>
      <c r="BL4" s="1663">
        <f t="shared" ref="BL4:BL14" si="8">+(6*$BC$18*BB4)+(2*$BD$18)</f>
        <v>0</v>
      </c>
      <c r="BM4" s="1663">
        <f t="shared" ref="BM4:BM14" si="9">+(6*$BC$24*BB4)+(2*$BD$24)</f>
        <v>0</v>
      </c>
      <c r="BN4" s="1663">
        <f t="shared" ref="BN4:BN14" si="10">+(6*$BC$30*BB4)+(2*$BD$30)</f>
        <v>0</v>
      </c>
      <c r="BO4" s="1663">
        <f t="shared" ref="BO4:BO14" si="11">(12*$BK$18*BB4^2)+(6*$BL$18*BB4)+(2*$BM$18)</f>
        <v>0</v>
      </c>
      <c r="BP4" s="1663">
        <f t="shared" ref="BP4:BP14" si="12">(12*$BK$24*BB4^2)+(6*$BL$24*BB4)+(2*$BM$24)</f>
        <v>0</v>
      </c>
      <c r="BQ4" s="1663">
        <f t="shared" ref="BQ4:BQ14" si="13">(12*$BK$30*BB4^2)+(6*$BL$30*BB4)+(2*$BM$30)</f>
        <v>0</v>
      </c>
      <c r="BR4" s="1663">
        <f t="shared" ref="BR4:BR14" si="14">(20*$BT$18*BB4^3)+(12*$BU$18*BB4^2)+(6*$BV$18*BB4)+(2*$BW$18)</f>
        <v>0</v>
      </c>
      <c r="BS4" s="1663">
        <f t="shared" ref="BS4:BS14" si="15">(20*$BT$24*BB4^3)+(12*$BU$24*BB4^2)+(6*$BV$24*BB4)+(2*$BW$24)</f>
        <v>0</v>
      </c>
      <c r="BT4" s="1663">
        <f t="shared" ref="BT4:BT14" si="16">(20*$BT$30*BB4^3)+(12*$BU$30*BB4^2)+(6*$BV$30*BB4)+(2*$BW$30)</f>
        <v>0</v>
      </c>
      <c r="BU4" s="1663">
        <f t="shared" si="1"/>
        <v>0</v>
      </c>
      <c r="BV4" s="1663">
        <f t="shared" ref="BV4:BV14" si="17">+(30*$CD$24*BB4^4)+(20*$CE$24*BB4^3)+(12*$CF$24*BB4^2)+(6*$CG$24*BB4)+(2*$CH$24)</f>
        <v>0</v>
      </c>
      <c r="BW4" s="1663">
        <f t="shared" ref="BW4:BW14" si="18">+(30*$CD$30*BB4^4)+(20*$CE$30*BB4^3)+(12*$CF$30*BB4^2)+(6*$CG$30*BB4)+(2*$CH$30)</f>
        <v>0</v>
      </c>
    </row>
    <row r="5" spans="1:90" s="1652" customFormat="1" ht="15" customHeight="1">
      <c r="A5" s="3474"/>
      <c r="B5" s="3505" t="s">
        <v>862</v>
      </c>
      <c r="C5" s="3506"/>
      <c r="D5" s="3506"/>
      <c r="E5" s="3506"/>
      <c r="F5" s="3506"/>
      <c r="G5" s="3507"/>
      <c r="J5" s="3524" t="s">
        <v>113</v>
      </c>
      <c r="K5" s="3525"/>
      <c r="L5" s="3525"/>
      <c r="M5" s="3525"/>
      <c r="N5" s="3525"/>
      <c r="O5" s="3525"/>
      <c r="P5" s="3525"/>
      <c r="Q5" s="3525"/>
      <c r="R5" s="3525"/>
      <c r="S5" s="3525"/>
      <c r="T5" s="3525"/>
      <c r="U5" s="3508" t="s">
        <v>756</v>
      </c>
      <c r="V5" s="3508"/>
      <c r="W5" s="3509" t="str">
        <f>IF(W2="","",VLOOKUP(W2,$AV$3:$AZ$17,5,0))</f>
        <v/>
      </c>
      <c r="X5" s="3510"/>
      <c r="Y5" s="3510"/>
      <c r="Z5" s="3510"/>
      <c r="AA5" s="3511"/>
      <c r="AB5" s="3509" t="str">
        <f>IF(AB2="","",VLOOKUP(AB2,$AV$3:$AZ$17,5,0))</f>
        <v/>
      </c>
      <c r="AC5" s="3510"/>
      <c r="AD5" s="3510"/>
      <c r="AE5" s="3510"/>
      <c r="AF5" s="3511"/>
      <c r="AG5" s="3509" t="str">
        <f>IF(AG2="","",VLOOKUP(AG2,$AV$3:$AZ$17,5,0))</f>
        <v/>
      </c>
      <c r="AH5" s="3510"/>
      <c r="AI5" s="3510"/>
      <c r="AJ5" s="3510"/>
      <c r="AK5" s="3511"/>
      <c r="AL5" s="1664"/>
      <c r="AM5" s="3626" t="s">
        <v>794</v>
      </c>
      <c r="AN5" s="3627"/>
      <c r="AO5" s="3627"/>
      <c r="AP5" s="3627"/>
      <c r="AQ5" s="137" t="s">
        <v>104</v>
      </c>
      <c r="AR5" s="1539" t="str">
        <f>IF(W5="","",(W5-W9))</f>
        <v/>
      </c>
      <c r="AS5" s="1539" t="str">
        <f>IF(AB5="","",(AB5-AB9))</f>
        <v/>
      </c>
      <c r="AT5" s="1538" t="str">
        <f>IF(AG5="","",(AG5-AG9))</f>
        <v/>
      </c>
      <c r="AV5" s="1654">
        <v>3</v>
      </c>
      <c r="AW5" s="1657">
        <v>4439.7</v>
      </c>
      <c r="AX5" s="1658">
        <v>15.24</v>
      </c>
      <c r="AY5" s="1658">
        <v>17.77</v>
      </c>
      <c r="AZ5" s="1659">
        <f t="shared" si="2"/>
        <v>3241.5090852825124</v>
      </c>
      <c r="BB5" s="1645">
        <f t="shared" si="0"/>
        <v>1.27</v>
      </c>
      <c r="BC5" s="1650">
        <f t="shared" si="3"/>
        <v>1.6129</v>
      </c>
      <c r="BD5" s="1629">
        <f t="shared" si="4"/>
        <v>2.0483829999999998</v>
      </c>
      <c r="BE5" s="1650">
        <f>+BB5^4</f>
        <v>2.6014464099999999</v>
      </c>
      <c r="BF5" s="1650">
        <f>+BB5^5</f>
        <v>3.3038369406999997</v>
      </c>
      <c r="BG5" s="1650">
        <f>+BB5^6</f>
        <v>4.1958729146889997</v>
      </c>
      <c r="BH5" s="1645">
        <v>0.05</v>
      </c>
      <c r="BI5" s="1661">
        <f t="shared" si="5"/>
        <v>0</v>
      </c>
      <c r="BJ5" s="1661">
        <f t="shared" si="6"/>
        <v>0</v>
      </c>
      <c r="BK5" s="1662">
        <f t="shared" si="7"/>
        <v>0</v>
      </c>
      <c r="BL5" s="1663">
        <f t="shared" si="8"/>
        <v>0</v>
      </c>
      <c r="BM5" s="1663">
        <f t="shared" si="9"/>
        <v>0</v>
      </c>
      <c r="BN5" s="1663">
        <f t="shared" si="10"/>
        <v>0</v>
      </c>
      <c r="BO5" s="1663">
        <f t="shared" si="11"/>
        <v>0</v>
      </c>
      <c r="BP5" s="1663">
        <f t="shared" si="12"/>
        <v>0</v>
      </c>
      <c r="BQ5" s="1663">
        <f t="shared" si="13"/>
        <v>0</v>
      </c>
      <c r="BR5" s="1663">
        <f t="shared" si="14"/>
        <v>0</v>
      </c>
      <c r="BS5" s="1663">
        <f t="shared" si="15"/>
        <v>0</v>
      </c>
      <c r="BT5" s="1663">
        <f t="shared" si="16"/>
        <v>0</v>
      </c>
      <c r="BU5" s="1663">
        <f t="shared" si="1"/>
        <v>0</v>
      </c>
      <c r="BV5" s="1663">
        <f t="shared" si="17"/>
        <v>0</v>
      </c>
      <c r="BW5" s="1663">
        <f t="shared" si="18"/>
        <v>0</v>
      </c>
    </row>
    <row r="6" spans="1:90" s="1652" customFormat="1" ht="15" customHeight="1">
      <c r="A6" s="1186"/>
      <c r="B6" s="1187"/>
      <c r="C6" s="1187"/>
      <c r="D6" s="1187"/>
      <c r="E6" s="875"/>
      <c r="F6" s="1188"/>
      <c r="G6" s="1665"/>
      <c r="H6" s="541" t="s">
        <v>314</v>
      </c>
      <c r="J6" s="3515" t="s">
        <v>790</v>
      </c>
      <c r="K6" s="3516"/>
      <c r="L6" s="3516"/>
      <c r="M6" s="3516"/>
      <c r="N6" s="3516"/>
      <c r="O6" s="3516"/>
      <c r="P6" s="3516"/>
      <c r="Q6" s="3516"/>
      <c r="R6" s="3516"/>
      <c r="S6" s="3516"/>
      <c r="T6" s="3516"/>
      <c r="U6" s="3516"/>
      <c r="V6" s="3517"/>
      <c r="W6" s="3518" t="s">
        <v>110</v>
      </c>
      <c r="X6" s="3519"/>
      <c r="Y6" s="3519"/>
      <c r="Z6" s="3519"/>
      <c r="AA6" s="3519"/>
      <c r="AB6" s="3520"/>
      <c r="AC6" s="3520"/>
      <c r="AD6" s="3520"/>
      <c r="AE6" s="3520"/>
      <c r="AF6" s="3520"/>
      <c r="AG6" s="3520"/>
      <c r="AH6" s="3520"/>
      <c r="AI6" s="3520"/>
      <c r="AJ6" s="3520"/>
      <c r="AK6" s="3521"/>
      <c r="AL6" s="1666"/>
      <c r="AM6" s="3626" t="s">
        <v>105</v>
      </c>
      <c r="AN6" s="3627"/>
      <c r="AO6" s="3627"/>
      <c r="AP6" s="3627"/>
      <c r="AQ6" s="137" t="s">
        <v>58</v>
      </c>
      <c r="AR6" s="1538" t="str">
        <f>IF(AR4="","",AR4/(1+AR14%))</f>
        <v/>
      </c>
      <c r="AS6" s="1538" t="str">
        <f>IF(AS4="","",AS4/(1+AS14%))</f>
        <v/>
      </c>
      <c r="AT6" s="1538" t="str">
        <f>IF(AT4="","",AT4/(1+AT14%))</f>
        <v/>
      </c>
      <c r="AV6" s="1654">
        <v>4</v>
      </c>
      <c r="AW6" s="1657">
        <v>4269.3999999999996</v>
      </c>
      <c r="AX6" s="1658">
        <v>15.28</v>
      </c>
      <c r="AY6" s="1658">
        <v>17.739999999999998</v>
      </c>
      <c r="AZ6" s="1659">
        <f t="shared" si="2"/>
        <v>3253.0460062497723</v>
      </c>
      <c r="BB6" s="1645">
        <f t="shared" si="0"/>
        <v>1.9049999999999998</v>
      </c>
      <c r="BC6" s="1650">
        <f t="shared" si="3"/>
        <v>3.6290249999999991</v>
      </c>
      <c r="BD6" s="1629">
        <f t="shared" si="4"/>
        <v>6.9132926249999977</v>
      </c>
      <c r="BE6" s="1650">
        <f>+BB6^4</f>
        <v>13.169822450624993</v>
      </c>
      <c r="BF6" s="1650">
        <f>+BB6^5</f>
        <v>25.088511768440611</v>
      </c>
      <c r="BG6" s="1650">
        <f>+BB6^6</f>
        <v>47.793614918879356</v>
      </c>
      <c r="BH6" s="1645">
        <v>7.4999999999999997E-2</v>
      </c>
      <c r="BI6" s="1661">
        <f t="shared" si="5"/>
        <v>0</v>
      </c>
      <c r="BJ6" s="1661">
        <f t="shared" si="6"/>
        <v>0</v>
      </c>
      <c r="BK6" s="1662">
        <f t="shared" si="7"/>
        <v>0</v>
      </c>
      <c r="BL6" s="1663">
        <f t="shared" si="8"/>
        <v>0</v>
      </c>
      <c r="BM6" s="1663">
        <f t="shared" si="9"/>
        <v>0</v>
      </c>
      <c r="BN6" s="1663">
        <f t="shared" si="10"/>
        <v>0</v>
      </c>
      <c r="BO6" s="1663">
        <f t="shared" si="11"/>
        <v>0</v>
      </c>
      <c r="BP6" s="1663">
        <f t="shared" si="12"/>
        <v>0</v>
      </c>
      <c r="BQ6" s="1663">
        <f t="shared" si="13"/>
        <v>0</v>
      </c>
      <c r="BR6" s="1663">
        <f t="shared" si="14"/>
        <v>0</v>
      </c>
      <c r="BS6" s="1663">
        <f t="shared" si="15"/>
        <v>0</v>
      </c>
      <c r="BT6" s="1663">
        <f t="shared" si="16"/>
        <v>0</v>
      </c>
      <c r="BU6" s="1663">
        <f t="shared" si="1"/>
        <v>0</v>
      </c>
      <c r="BV6" s="1663">
        <f t="shared" si="17"/>
        <v>0</v>
      </c>
      <c r="BW6" s="1663">
        <f t="shared" si="18"/>
        <v>0</v>
      </c>
    </row>
    <row r="7" spans="1:90" s="1652" customFormat="1" ht="15" customHeight="1">
      <c r="A7" s="8"/>
      <c r="B7" s="15"/>
      <c r="D7" s="1047" t="s">
        <v>9</v>
      </c>
      <c r="E7" s="2195" t="str">
        <f>+IF('1. Encabezado'!T7="","",'1. Encabezado'!T7)</f>
        <v/>
      </c>
      <c r="F7" s="2195"/>
      <c r="G7" s="232"/>
      <c r="H7" s="555" t="s">
        <v>315</v>
      </c>
      <c r="J7" s="3484" t="s">
        <v>793</v>
      </c>
      <c r="K7" s="3485"/>
      <c r="L7" s="3485"/>
      <c r="M7" s="3485"/>
      <c r="N7" s="3485"/>
      <c r="O7" s="3485"/>
      <c r="P7" s="3485"/>
      <c r="Q7" s="3485"/>
      <c r="R7" s="3485"/>
      <c r="S7" s="3485"/>
      <c r="T7" s="3485"/>
      <c r="U7" s="3485"/>
      <c r="V7" s="3485"/>
      <c r="W7" s="3486"/>
      <c r="X7" s="3487"/>
      <c r="Y7" s="3487"/>
      <c r="Z7" s="3487"/>
      <c r="AA7" s="3488"/>
      <c r="AB7" s="3486"/>
      <c r="AC7" s="3487"/>
      <c r="AD7" s="3487"/>
      <c r="AE7" s="3487"/>
      <c r="AF7" s="3488"/>
      <c r="AG7" s="3486"/>
      <c r="AH7" s="3487"/>
      <c r="AI7" s="3487"/>
      <c r="AJ7" s="3487"/>
      <c r="AK7" s="3488"/>
      <c r="AL7" s="1666"/>
      <c r="AM7" s="3639" t="s">
        <v>186</v>
      </c>
      <c r="AN7" s="3640"/>
      <c r="AO7" s="3640"/>
      <c r="AP7" s="3640"/>
      <c r="AQ7" s="1190" t="s">
        <v>106</v>
      </c>
      <c r="AR7" s="142" t="str">
        <f>IF(AR4="","",AR4*1000/AR5)</f>
        <v/>
      </c>
      <c r="AS7" s="142" t="str">
        <f>IF(AS4="","",AS4*1000/AS5)</f>
        <v/>
      </c>
      <c r="AT7" s="142" t="str">
        <f>IF(AT4="","",AT4*1000/AT5)</f>
        <v/>
      </c>
      <c r="AV7" s="1654">
        <v>5</v>
      </c>
      <c r="AW7" s="1657">
        <v>4279.3999999999996</v>
      </c>
      <c r="AX7" s="1658">
        <v>15.26</v>
      </c>
      <c r="AY7" s="1658">
        <v>17.68</v>
      </c>
      <c r="AZ7" s="1659">
        <f t="shared" si="2"/>
        <v>3233.5621250723621</v>
      </c>
      <c r="BB7" s="1645">
        <f t="shared" si="0"/>
        <v>2.54</v>
      </c>
      <c r="BC7" s="1650">
        <f t="shared" si="3"/>
        <v>6.4516</v>
      </c>
      <c r="BD7" s="1629">
        <f t="shared" si="4"/>
        <v>16.387063999999999</v>
      </c>
      <c r="BE7" s="1650">
        <f t="shared" ref="BE7:BE14" si="19">+BB7^4</f>
        <v>41.623142559999998</v>
      </c>
      <c r="BF7" s="1650">
        <f t="shared" ref="BF7:BF14" si="20">+BB7^5</f>
        <v>105.72278210239999</v>
      </c>
      <c r="BG7" s="1650">
        <f t="shared" ref="BG7:BG14" si="21">+BB7^6</f>
        <v>268.53586654009598</v>
      </c>
      <c r="BH7" s="1645">
        <v>0.1</v>
      </c>
      <c r="BI7" s="1661">
        <f t="shared" si="5"/>
        <v>0</v>
      </c>
      <c r="BJ7" s="1661">
        <f t="shared" si="6"/>
        <v>0</v>
      </c>
      <c r="BK7" s="1662">
        <f t="shared" si="7"/>
        <v>0</v>
      </c>
      <c r="BL7" s="1663">
        <f t="shared" si="8"/>
        <v>0</v>
      </c>
      <c r="BM7" s="1663">
        <f t="shared" si="9"/>
        <v>0</v>
      </c>
      <c r="BN7" s="1663">
        <f t="shared" si="10"/>
        <v>0</v>
      </c>
      <c r="BO7" s="1663">
        <f t="shared" si="11"/>
        <v>0</v>
      </c>
      <c r="BP7" s="1663">
        <f t="shared" si="12"/>
        <v>0</v>
      </c>
      <c r="BQ7" s="1663">
        <f t="shared" si="13"/>
        <v>0</v>
      </c>
      <c r="BR7" s="1663">
        <f t="shared" si="14"/>
        <v>0</v>
      </c>
      <c r="BS7" s="1663">
        <f t="shared" si="15"/>
        <v>0</v>
      </c>
      <c r="BT7" s="1663">
        <f t="shared" si="16"/>
        <v>0</v>
      </c>
      <c r="BU7" s="1663">
        <f t="shared" si="1"/>
        <v>0</v>
      </c>
      <c r="BV7" s="1663">
        <f t="shared" si="17"/>
        <v>0</v>
      </c>
      <c r="BW7" s="1663">
        <f t="shared" si="18"/>
        <v>0</v>
      </c>
    </row>
    <row r="8" spans="1:90" s="1652" customFormat="1" ht="15" customHeight="1">
      <c r="A8" s="8"/>
      <c r="B8" s="326"/>
      <c r="C8" s="450"/>
      <c r="E8" s="2222" t="str">
        <f>IF(E7="",H11,CONCATENATE(H7," ",H8," ",H9," ", H10))</f>
        <v>Pagina xx de xx</v>
      </c>
      <c r="F8" s="2222"/>
      <c r="G8" s="232"/>
      <c r="H8" s="530">
        <v>16</v>
      </c>
      <c r="J8" s="1601" t="s">
        <v>808</v>
      </c>
      <c r="K8" s="1602"/>
      <c r="L8" s="1602"/>
      <c r="M8" s="1602"/>
      <c r="N8" s="1602"/>
      <c r="O8" s="1602"/>
      <c r="P8" s="1602"/>
      <c r="Q8" s="1602"/>
      <c r="R8" s="1602"/>
      <c r="S8" s="1602"/>
      <c r="T8" s="1602"/>
      <c r="U8" s="3477" t="s">
        <v>60</v>
      </c>
      <c r="V8" s="3477"/>
      <c r="W8" s="3489" t="str">
        <f>+IF(W7="","",(VLOOKUP(W7,$AV$19:$AZ$22,4,0))*10)</f>
        <v/>
      </c>
      <c r="X8" s="3490"/>
      <c r="Y8" s="3490"/>
      <c r="Z8" s="3490"/>
      <c r="AA8" s="3491"/>
      <c r="AB8" s="3489" t="str">
        <f>+IF(AB7="","",(VLOOKUP(AB7,$AV$19:$AZ$22,4,0))*10)</f>
        <v/>
      </c>
      <c r="AC8" s="3490"/>
      <c r="AD8" s="3490"/>
      <c r="AE8" s="3490"/>
      <c r="AF8" s="3491"/>
      <c r="AG8" s="3489" t="str">
        <f>+IF(AG7="","",(VLOOKUP(AG7,$AV$19:$AZ$22,4,0))*10)</f>
        <v/>
      </c>
      <c r="AH8" s="3490"/>
      <c r="AI8" s="3490"/>
      <c r="AJ8" s="3490"/>
      <c r="AK8" s="3491"/>
      <c r="AL8" s="1666"/>
      <c r="AM8" s="3623" t="s">
        <v>107</v>
      </c>
      <c r="AN8" s="3624"/>
      <c r="AO8" s="3624"/>
      <c r="AP8" s="3624"/>
      <c r="AQ8" s="3624"/>
      <c r="AR8" s="3624"/>
      <c r="AS8" s="3624"/>
      <c r="AT8" s="3625"/>
      <c r="AV8" s="1654">
        <v>6</v>
      </c>
      <c r="AW8" s="1657">
        <v>4487.7</v>
      </c>
      <c r="AX8" s="1658">
        <v>15.25</v>
      </c>
      <c r="AY8" s="1658">
        <v>17.84</v>
      </c>
      <c r="AZ8" s="1659">
        <f t="shared" si="2"/>
        <v>3258.550221092124</v>
      </c>
      <c r="BB8" s="1645">
        <f t="shared" si="0"/>
        <v>3.1749999999999998</v>
      </c>
      <c r="BC8" s="1650">
        <f t="shared" si="3"/>
        <v>10.080625</v>
      </c>
      <c r="BD8" s="1629">
        <f t="shared" si="4"/>
        <v>32.005984374999997</v>
      </c>
      <c r="BE8" s="1650">
        <f t="shared" si="19"/>
        <v>101.61900039062499</v>
      </c>
      <c r="BF8" s="1650">
        <f t="shared" si="20"/>
        <v>322.64032624023434</v>
      </c>
      <c r="BG8" s="1650">
        <f t="shared" si="21"/>
        <v>1024.3830358127441</v>
      </c>
      <c r="BH8" s="1645">
        <v>0.125</v>
      </c>
      <c r="BI8" s="1661">
        <f t="shared" si="5"/>
        <v>0</v>
      </c>
      <c r="BJ8" s="1661">
        <f t="shared" si="6"/>
        <v>0</v>
      </c>
      <c r="BK8" s="1662">
        <f t="shared" si="7"/>
        <v>0</v>
      </c>
      <c r="BL8" s="1663">
        <f t="shared" si="8"/>
        <v>0</v>
      </c>
      <c r="BM8" s="1663">
        <f t="shared" si="9"/>
        <v>0</v>
      </c>
      <c r="BN8" s="1663">
        <f t="shared" si="10"/>
        <v>0</v>
      </c>
      <c r="BO8" s="1663">
        <f t="shared" si="11"/>
        <v>0</v>
      </c>
      <c r="BP8" s="1663">
        <f t="shared" si="12"/>
        <v>0</v>
      </c>
      <c r="BQ8" s="1663">
        <f t="shared" si="13"/>
        <v>0</v>
      </c>
      <c r="BR8" s="1663">
        <f t="shared" si="14"/>
        <v>0</v>
      </c>
      <c r="BS8" s="1663">
        <f t="shared" si="15"/>
        <v>0</v>
      </c>
      <c r="BT8" s="1663">
        <f t="shared" si="16"/>
        <v>0</v>
      </c>
      <c r="BU8" s="1663">
        <f t="shared" si="1"/>
        <v>0</v>
      </c>
      <c r="BV8" s="1663">
        <f t="shared" si="17"/>
        <v>0</v>
      </c>
      <c r="BW8" s="1663">
        <f t="shared" si="18"/>
        <v>0</v>
      </c>
    </row>
    <row r="9" spans="1:90" s="1652" customFormat="1" ht="15" customHeight="1">
      <c r="A9" s="8"/>
      <c r="B9" s="326"/>
      <c r="C9" s="479"/>
      <c r="D9" s="255"/>
      <c r="E9" s="479"/>
      <c r="F9" s="479"/>
      <c r="G9" s="232"/>
      <c r="H9" s="578" t="s">
        <v>316</v>
      </c>
      <c r="J9" s="3524" t="s">
        <v>113</v>
      </c>
      <c r="K9" s="3525"/>
      <c r="L9" s="3525"/>
      <c r="M9" s="3525"/>
      <c r="N9" s="3525"/>
      <c r="O9" s="3525"/>
      <c r="P9" s="3525"/>
      <c r="Q9" s="3525"/>
      <c r="R9" s="3525"/>
      <c r="S9" s="3525"/>
      <c r="T9" s="3525"/>
      <c r="U9" s="3508" t="s">
        <v>756</v>
      </c>
      <c r="V9" s="3508"/>
      <c r="W9" s="3509" t="str">
        <f>IF(W7="","",VLOOKUP(W7,$AV$20:$AZ$22,5,0))</f>
        <v/>
      </c>
      <c r="X9" s="3510"/>
      <c r="Y9" s="3510"/>
      <c r="Z9" s="3510"/>
      <c r="AA9" s="3511"/>
      <c r="AB9" s="3509" t="str">
        <f>IF(AB7="","",VLOOKUP(AB7,$AV$20:$AZ$22,5,0))</f>
        <v/>
      </c>
      <c r="AC9" s="3510"/>
      <c r="AD9" s="3510"/>
      <c r="AE9" s="3510"/>
      <c r="AF9" s="3511"/>
      <c r="AG9" s="3509" t="str">
        <f>IF(AG7="","",VLOOKUP(AG7,$AV$20:$AZ$22,5,0))</f>
        <v/>
      </c>
      <c r="AH9" s="3510"/>
      <c r="AI9" s="3510"/>
      <c r="AJ9" s="3510"/>
      <c r="AK9" s="3511"/>
      <c r="AL9" s="1666"/>
      <c r="AM9" s="3641" t="s">
        <v>777</v>
      </c>
      <c r="AN9" s="3642"/>
      <c r="AO9" s="3642"/>
      <c r="AP9" s="3642"/>
      <c r="AQ9" s="139" t="s">
        <v>58</v>
      </c>
      <c r="AR9" s="1540" t="str">
        <f>IF(W14="","",W14)</f>
        <v/>
      </c>
      <c r="AS9" s="1542" t="str">
        <f>IF(AB14="","",AB14)</f>
        <v/>
      </c>
      <c r="AT9" s="1585" t="str">
        <f>IF(AG14="","",AG14)</f>
        <v/>
      </c>
      <c r="AV9" s="1654">
        <v>7</v>
      </c>
      <c r="AW9" s="1657">
        <v>4502.3</v>
      </c>
      <c r="AX9" s="1658">
        <v>15.24</v>
      </c>
      <c r="AY9" s="1658">
        <v>17.79</v>
      </c>
      <c r="AZ9" s="1659">
        <f t="shared" si="2"/>
        <v>3245.1573791320143</v>
      </c>
      <c r="BB9" s="1645">
        <f t="shared" si="0"/>
        <v>3.8099999999999996</v>
      </c>
      <c r="BC9" s="1650">
        <f t="shared" si="3"/>
        <v>14.516099999999996</v>
      </c>
      <c r="BD9" s="1629">
        <f t="shared" si="4"/>
        <v>55.306340999999982</v>
      </c>
      <c r="BE9" s="1650">
        <f t="shared" si="19"/>
        <v>210.71715920999989</v>
      </c>
      <c r="BF9" s="1650">
        <f t="shared" si="20"/>
        <v>802.83237659009956</v>
      </c>
      <c r="BG9" s="1650">
        <f t="shared" si="21"/>
        <v>3058.7913548082788</v>
      </c>
      <c r="BH9" s="1645">
        <v>0.15</v>
      </c>
      <c r="BI9" s="1661">
        <f t="shared" si="5"/>
        <v>0</v>
      </c>
      <c r="BJ9" s="1661">
        <f t="shared" si="6"/>
        <v>0</v>
      </c>
      <c r="BK9" s="1662">
        <f t="shared" si="7"/>
        <v>0</v>
      </c>
      <c r="BL9" s="1663">
        <f t="shared" si="8"/>
        <v>0</v>
      </c>
      <c r="BM9" s="1663">
        <f t="shared" si="9"/>
        <v>0</v>
      </c>
      <c r="BN9" s="1663">
        <f t="shared" si="10"/>
        <v>0</v>
      </c>
      <c r="BO9" s="1663">
        <f t="shared" si="11"/>
        <v>0</v>
      </c>
      <c r="BP9" s="1663">
        <f t="shared" si="12"/>
        <v>0</v>
      </c>
      <c r="BQ9" s="1663">
        <f t="shared" si="13"/>
        <v>0</v>
      </c>
      <c r="BR9" s="1663">
        <f t="shared" si="14"/>
        <v>0</v>
      </c>
      <c r="BS9" s="1663">
        <f t="shared" si="15"/>
        <v>0</v>
      </c>
      <c r="BT9" s="1663">
        <f t="shared" si="16"/>
        <v>0</v>
      </c>
      <c r="BU9" s="1663">
        <f t="shared" si="1"/>
        <v>0</v>
      </c>
      <c r="BV9" s="1663">
        <f t="shared" si="17"/>
        <v>0</v>
      </c>
      <c r="BW9" s="1663">
        <f t="shared" si="18"/>
        <v>0</v>
      </c>
    </row>
    <row r="10" spans="1:90" s="1652" customFormat="1" ht="15" customHeight="1">
      <c r="A10" s="3495" t="s">
        <v>785</v>
      </c>
      <c r="B10" s="3496"/>
      <c r="C10" s="3496"/>
      <c r="D10" s="3497"/>
      <c r="E10" s="3500"/>
      <c r="F10" s="3501"/>
      <c r="G10" s="3502"/>
      <c r="H10" s="1667">
        <f>IF('1. Encabezado'!AB10="","",'1. Encabezado'!AB10)</f>
        <v>17</v>
      </c>
      <c r="J10" s="3515" t="s">
        <v>114</v>
      </c>
      <c r="K10" s="3516"/>
      <c r="L10" s="3516"/>
      <c r="M10" s="3516"/>
      <c r="N10" s="3516"/>
      <c r="O10" s="3516"/>
      <c r="P10" s="3516"/>
      <c r="Q10" s="3516"/>
      <c r="R10" s="3516"/>
      <c r="S10" s="3516"/>
      <c r="T10" s="3516"/>
      <c r="U10" s="3516"/>
      <c r="V10" s="3516"/>
      <c r="W10" s="3621"/>
      <c r="X10" s="3621"/>
      <c r="Y10" s="3621"/>
      <c r="Z10" s="3621"/>
      <c r="AA10" s="3621"/>
      <c r="AB10" s="3621"/>
      <c r="AC10" s="3621"/>
      <c r="AD10" s="3621"/>
      <c r="AE10" s="3621"/>
      <c r="AF10" s="3621"/>
      <c r="AG10" s="3621"/>
      <c r="AH10" s="3621"/>
      <c r="AI10" s="3621"/>
      <c r="AJ10" s="3621"/>
      <c r="AK10" s="3622"/>
      <c r="AM10" s="3529" t="s">
        <v>778</v>
      </c>
      <c r="AN10" s="3530"/>
      <c r="AO10" s="3530"/>
      <c r="AP10" s="3530"/>
      <c r="AQ10" s="140" t="s">
        <v>58</v>
      </c>
      <c r="AR10" s="9" t="str">
        <f>IF(W15="","",W15)</f>
        <v/>
      </c>
      <c r="AS10" s="1537" t="str">
        <f>IF(AB15="","",AB15)</f>
        <v/>
      </c>
      <c r="AT10" s="1536" t="str">
        <f>IF(AG15="","",AG15)</f>
        <v/>
      </c>
      <c r="AV10" s="1654">
        <v>8</v>
      </c>
      <c r="AW10" s="1657">
        <v>4373.3</v>
      </c>
      <c r="AX10" s="1658">
        <v>15.24</v>
      </c>
      <c r="AY10" s="1658">
        <v>17.809999999999999</v>
      </c>
      <c r="AZ10" s="1659">
        <f t="shared" si="2"/>
        <v>3248.8056729815162</v>
      </c>
      <c r="BB10" s="1645">
        <f t="shared" si="0"/>
        <v>4.4449999999999994</v>
      </c>
      <c r="BC10" s="1650">
        <f t="shared" si="3"/>
        <v>19.758024999999996</v>
      </c>
      <c r="BD10" s="1629">
        <f t="shared" si="4"/>
        <v>87.824421124999972</v>
      </c>
      <c r="BE10" s="1650">
        <f t="shared" si="19"/>
        <v>390.37955190062485</v>
      </c>
      <c r="BF10" s="1650">
        <f t="shared" si="20"/>
        <v>1735.2371081982772</v>
      </c>
      <c r="BG10" s="1650">
        <f t="shared" si="21"/>
        <v>7713.128945941342</v>
      </c>
      <c r="BH10" s="1645">
        <v>0.17499999999999999</v>
      </c>
      <c r="BI10" s="1661">
        <f t="shared" si="5"/>
        <v>0</v>
      </c>
      <c r="BJ10" s="1661">
        <f t="shared" si="6"/>
        <v>0</v>
      </c>
      <c r="BK10" s="1662">
        <f t="shared" si="7"/>
        <v>0</v>
      </c>
      <c r="BL10" s="1663">
        <f t="shared" si="8"/>
        <v>0</v>
      </c>
      <c r="BM10" s="1663">
        <f t="shared" si="9"/>
        <v>0</v>
      </c>
      <c r="BN10" s="1663">
        <f t="shared" si="10"/>
        <v>0</v>
      </c>
      <c r="BO10" s="1663">
        <f t="shared" si="11"/>
        <v>0</v>
      </c>
      <c r="BP10" s="1663">
        <f t="shared" si="12"/>
        <v>0</v>
      </c>
      <c r="BQ10" s="1663">
        <f t="shared" si="13"/>
        <v>0</v>
      </c>
      <c r="BR10" s="1663">
        <f t="shared" si="14"/>
        <v>0</v>
      </c>
      <c r="BS10" s="1663">
        <f t="shared" si="15"/>
        <v>0</v>
      </c>
      <c r="BT10" s="1663">
        <f t="shared" si="16"/>
        <v>0</v>
      </c>
      <c r="BU10" s="1663">
        <f t="shared" si="1"/>
        <v>0</v>
      </c>
      <c r="BV10" s="1663">
        <f t="shared" si="17"/>
        <v>0</v>
      </c>
      <c r="BW10" s="1663">
        <f t="shared" si="18"/>
        <v>0</v>
      </c>
    </row>
    <row r="11" spans="1:90" s="1652" customFormat="1" ht="15" customHeight="1">
      <c r="A11" s="3492" t="s">
        <v>784</v>
      </c>
      <c r="B11" s="3493"/>
      <c r="C11" s="3494"/>
      <c r="D11" s="3498" t="str">
        <f>IF(AG21="","",AG21)</f>
        <v/>
      </c>
      <c r="E11" s="3499"/>
      <c r="F11" s="1555" t="s">
        <v>99</v>
      </c>
      <c r="G11" s="1668" t="str">
        <f>+IF(P21="","",P21)</f>
        <v/>
      </c>
      <c r="H11" s="1669" t="s">
        <v>317</v>
      </c>
      <c r="J11" s="3513" t="s">
        <v>185</v>
      </c>
      <c r="K11" s="3514"/>
      <c r="L11" s="3514"/>
      <c r="M11" s="3514"/>
      <c r="N11" s="3514"/>
      <c r="O11" s="3514"/>
      <c r="P11" s="3514"/>
      <c r="Q11" s="3514"/>
      <c r="R11" s="3514"/>
      <c r="S11" s="3514"/>
      <c r="T11" s="3514"/>
      <c r="U11" s="3514"/>
      <c r="V11" s="3514"/>
      <c r="W11" s="3512">
        <v>56</v>
      </c>
      <c r="X11" s="3512"/>
      <c r="Y11" s="3512"/>
      <c r="Z11" s="3512"/>
      <c r="AA11" s="3512"/>
      <c r="AB11" s="3512">
        <v>25</v>
      </c>
      <c r="AC11" s="3512"/>
      <c r="AD11" s="3512"/>
      <c r="AE11" s="3512"/>
      <c r="AF11" s="3512"/>
      <c r="AG11" s="3512">
        <v>10</v>
      </c>
      <c r="AH11" s="3512"/>
      <c r="AI11" s="3512"/>
      <c r="AJ11" s="3512"/>
      <c r="AK11" s="3512"/>
      <c r="AL11" s="1670"/>
      <c r="AM11" s="3529" t="s">
        <v>109</v>
      </c>
      <c r="AN11" s="3530"/>
      <c r="AO11" s="3530"/>
      <c r="AP11" s="3530"/>
      <c r="AQ11" s="140" t="s">
        <v>58</v>
      </c>
      <c r="AR11" s="1541" t="str">
        <f>IF(OR(AR9="",AR10=""),"",AR9-AR10)</f>
        <v/>
      </c>
      <c r="AS11" s="1543" t="str">
        <f>IF(AS9="","",AS9-AS10)</f>
        <v/>
      </c>
      <c r="AT11" s="1557" t="str">
        <f>IF(AT9="","",AT9-AT10)</f>
        <v/>
      </c>
      <c r="AV11" s="1654">
        <v>9</v>
      </c>
      <c r="AW11" s="1657">
        <v>4394.8</v>
      </c>
      <c r="AX11" s="1658">
        <v>15.17</v>
      </c>
      <c r="AY11" s="1658">
        <v>17.75</v>
      </c>
      <c r="AZ11" s="1659">
        <f t="shared" si="2"/>
        <v>3208.1849734329817</v>
      </c>
      <c r="BB11" s="1645">
        <f t="shared" si="0"/>
        <v>5.08</v>
      </c>
      <c r="BC11" s="1650">
        <f t="shared" si="3"/>
        <v>25.8064</v>
      </c>
      <c r="BD11" s="1629">
        <f t="shared" si="4"/>
        <v>131.09651199999999</v>
      </c>
      <c r="BE11" s="1650">
        <f t="shared" si="19"/>
        <v>665.97028095999997</v>
      </c>
      <c r="BF11" s="1650">
        <f t="shared" si="20"/>
        <v>3383.1290272767997</v>
      </c>
      <c r="BG11" s="1650">
        <f t="shared" si="21"/>
        <v>17186.295458566143</v>
      </c>
      <c r="BH11" s="1645">
        <v>0.2</v>
      </c>
      <c r="BI11" s="1661">
        <f t="shared" si="5"/>
        <v>0</v>
      </c>
      <c r="BJ11" s="1661">
        <f t="shared" si="6"/>
        <v>0</v>
      </c>
      <c r="BK11" s="1662">
        <f t="shared" si="7"/>
        <v>0</v>
      </c>
      <c r="BL11" s="1663">
        <f t="shared" si="8"/>
        <v>0</v>
      </c>
      <c r="BM11" s="1663">
        <f t="shared" si="9"/>
        <v>0</v>
      </c>
      <c r="BN11" s="1663">
        <f t="shared" si="10"/>
        <v>0</v>
      </c>
      <c r="BO11" s="1663">
        <f t="shared" si="11"/>
        <v>0</v>
      </c>
      <c r="BP11" s="1663">
        <f t="shared" si="12"/>
        <v>0</v>
      </c>
      <c r="BQ11" s="1663">
        <f t="shared" si="13"/>
        <v>0</v>
      </c>
      <c r="BR11" s="1663">
        <f t="shared" si="14"/>
        <v>0</v>
      </c>
      <c r="BS11" s="1663">
        <f t="shared" si="15"/>
        <v>0</v>
      </c>
      <c r="BT11" s="1663">
        <f t="shared" si="16"/>
        <v>0</v>
      </c>
      <c r="BU11" s="1663">
        <f t="shared" si="1"/>
        <v>0</v>
      </c>
      <c r="BV11" s="1663">
        <f t="shared" si="17"/>
        <v>0</v>
      </c>
      <c r="BW11" s="1663">
        <f t="shared" si="18"/>
        <v>0</v>
      </c>
    </row>
    <row r="12" spans="1:90" s="1652" customFormat="1" ht="15" customHeight="1">
      <c r="A12" s="1560" t="s">
        <v>771</v>
      </c>
      <c r="B12" s="3475">
        <f>IF(W11="","",W11)</f>
        <v>56</v>
      </c>
      <c r="C12" s="3476"/>
      <c r="D12" s="3475">
        <f>IF(AB11="","",AB11)</f>
        <v>25</v>
      </c>
      <c r="E12" s="3476"/>
      <c r="F12" s="3475">
        <f>IF(AG11="","",AG11)</f>
        <v>10</v>
      </c>
      <c r="G12" s="3476"/>
      <c r="J12" s="1508" t="s">
        <v>115</v>
      </c>
      <c r="K12" s="1510"/>
      <c r="L12" s="1510"/>
      <c r="M12" s="1510"/>
      <c r="N12" s="1511"/>
      <c r="O12" s="1511"/>
      <c r="P12" s="1511"/>
      <c r="Q12" s="1511"/>
      <c r="R12" s="1511"/>
      <c r="S12" s="1511"/>
      <c r="T12" s="1511"/>
      <c r="U12" s="1511"/>
      <c r="V12" s="1532" t="s">
        <v>58</v>
      </c>
      <c r="W12" s="3480"/>
      <c r="X12" s="3480"/>
      <c r="Y12" s="3480"/>
      <c r="Z12" s="3480"/>
      <c r="AA12" s="3481"/>
      <c r="AB12" s="3482"/>
      <c r="AC12" s="3480"/>
      <c r="AD12" s="3480"/>
      <c r="AE12" s="3480"/>
      <c r="AF12" s="3481"/>
      <c r="AG12" s="3482"/>
      <c r="AH12" s="3480"/>
      <c r="AI12" s="3480"/>
      <c r="AJ12" s="3480"/>
      <c r="AK12" s="3481"/>
      <c r="AL12" s="1670"/>
      <c r="AM12" s="3529" t="s">
        <v>775</v>
      </c>
      <c r="AN12" s="3530"/>
      <c r="AO12" s="3530"/>
      <c r="AP12" s="3530"/>
      <c r="AQ12" s="140" t="s">
        <v>58</v>
      </c>
      <c r="AR12" s="1541" t="str">
        <f>IF(W16="","",W16)</f>
        <v/>
      </c>
      <c r="AS12" s="1543" t="str">
        <f>IF(AB16="","",AB16)</f>
        <v/>
      </c>
      <c r="AT12" s="1557" t="str">
        <f>IF(AG16="","",AG16)</f>
        <v/>
      </c>
      <c r="AV12" s="1654">
        <v>10</v>
      </c>
      <c r="AW12" s="1657">
        <v>4354.3</v>
      </c>
      <c r="AX12" s="1658">
        <v>15.26</v>
      </c>
      <c r="AY12" s="1658">
        <v>17.850000000000001</v>
      </c>
      <c r="AZ12" s="1659">
        <f t="shared" si="2"/>
        <v>3264.6540685826735</v>
      </c>
      <c r="BB12" s="1645">
        <f t="shared" si="0"/>
        <v>7.6199999999999992</v>
      </c>
      <c r="BC12" s="1650">
        <f t="shared" si="3"/>
        <v>58.064399999999985</v>
      </c>
      <c r="BD12" s="1629">
        <f t="shared" si="4"/>
        <v>442.45072799999986</v>
      </c>
      <c r="BE12" s="1650">
        <f t="shared" si="19"/>
        <v>3371.4745473599983</v>
      </c>
      <c r="BF12" s="1650">
        <f t="shared" si="20"/>
        <v>25690.636050883186</v>
      </c>
      <c r="BG12" s="1650">
        <f t="shared" si="21"/>
        <v>195762.64670772984</v>
      </c>
      <c r="BH12" s="1645">
        <v>0.3</v>
      </c>
      <c r="BI12" s="1661">
        <f t="shared" si="5"/>
        <v>0</v>
      </c>
      <c r="BJ12" s="1661">
        <f t="shared" si="6"/>
        <v>0</v>
      </c>
      <c r="BK12" s="1662">
        <f t="shared" si="7"/>
        <v>0</v>
      </c>
      <c r="BL12" s="1663">
        <f t="shared" si="8"/>
        <v>0</v>
      </c>
      <c r="BM12" s="1663">
        <f t="shared" si="9"/>
        <v>0</v>
      </c>
      <c r="BN12" s="1663">
        <f t="shared" si="10"/>
        <v>0</v>
      </c>
      <c r="BO12" s="1663">
        <f t="shared" si="11"/>
        <v>0</v>
      </c>
      <c r="BP12" s="1663">
        <f t="shared" si="12"/>
        <v>0</v>
      </c>
      <c r="BQ12" s="1663">
        <f t="shared" si="13"/>
        <v>0</v>
      </c>
      <c r="BR12" s="1663">
        <f t="shared" si="14"/>
        <v>0</v>
      </c>
      <c r="BS12" s="1663">
        <f t="shared" si="15"/>
        <v>0</v>
      </c>
      <c r="BT12" s="1663">
        <f t="shared" si="16"/>
        <v>0</v>
      </c>
      <c r="BU12" s="1663">
        <f t="shared" si="1"/>
        <v>0</v>
      </c>
      <c r="BV12" s="1663">
        <f t="shared" si="17"/>
        <v>0</v>
      </c>
      <c r="BW12" s="1663">
        <f t="shared" si="18"/>
        <v>0</v>
      </c>
    </row>
    <row r="13" spans="1:90" s="1652" customFormat="1" ht="15" customHeight="1">
      <c r="A13" s="1671" t="s">
        <v>770</v>
      </c>
      <c r="B13" s="3522" t="str">
        <f>IF(W20="","",CONCATENATE(W20/1000," kg"))</f>
        <v/>
      </c>
      <c r="C13" s="3523"/>
      <c r="D13" s="3522" t="str">
        <f>IF(AB20="","",CONCATENATE(AB20/1000," kg"))</f>
        <v/>
      </c>
      <c r="E13" s="3523"/>
      <c r="F13" s="3522" t="str">
        <f>IF(AG20="","",CONCATENATE(AG20/1000," kg"))</f>
        <v/>
      </c>
      <c r="G13" s="3523"/>
      <c r="J13" s="3526" t="s">
        <v>116</v>
      </c>
      <c r="K13" s="3527"/>
      <c r="L13" s="3527"/>
      <c r="M13" s="3527"/>
      <c r="N13" s="3527"/>
      <c r="O13" s="3527"/>
      <c r="P13" s="3527"/>
      <c r="Q13" s="3527"/>
      <c r="R13" s="3527"/>
      <c r="S13" s="3527"/>
      <c r="T13" s="3527"/>
      <c r="U13" s="3527"/>
      <c r="V13" s="3527"/>
      <c r="W13" s="3539"/>
      <c r="X13" s="3539"/>
      <c r="Y13" s="3539"/>
      <c r="Z13" s="3539"/>
      <c r="AA13" s="3539"/>
      <c r="AB13" s="3539"/>
      <c r="AC13" s="3539"/>
      <c r="AD13" s="3539"/>
      <c r="AE13" s="3539"/>
      <c r="AF13" s="3539"/>
      <c r="AG13" s="3539"/>
      <c r="AH13" s="3539"/>
      <c r="AI13" s="3539"/>
      <c r="AJ13" s="3539"/>
      <c r="AK13" s="3540"/>
      <c r="AL13" s="1670"/>
      <c r="AM13" s="3529" t="s">
        <v>111</v>
      </c>
      <c r="AN13" s="3530"/>
      <c r="AO13" s="3530"/>
      <c r="AP13" s="3530"/>
      <c r="AQ13" s="140" t="s">
        <v>58</v>
      </c>
      <c r="AR13" s="1541" t="str">
        <f>IF(AR10="","",AR10-AR12)</f>
        <v/>
      </c>
      <c r="AS13" s="1543" t="str">
        <f>IF(AS10="","",AS10-AS12)</f>
        <v/>
      </c>
      <c r="AT13" s="1557" t="str">
        <f>IF(AT10="","",AT10-AT12)</f>
        <v/>
      </c>
      <c r="AV13" s="1654">
        <v>11</v>
      </c>
      <c r="AW13" s="1657">
        <v>3929.7</v>
      </c>
      <c r="AX13" s="1658">
        <v>15.27</v>
      </c>
      <c r="AY13" s="1658">
        <v>17.84</v>
      </c>
      <c r="AZ13" s="1659">
        <f t="shared" si="2"/>
        <v>3267.1028426667744</v>
      </c>
      <c r="BA13" s="1672"/>
      <c r="BB13" s="1645">
        <f t="shared" si="0"/>
        <v>10.16</v>
      </c>
      <c r="BC13" s="1650">
        <f t="shared" si="3"/>
        <v>103.2256</v>
      </c>
      <c r="BD13" s="1629">
        <f t="shared" si="4"/>
        <v>1048.7720959999999</v>
      </c>
      <c r="BE13" s="1650">
        <f t="shared" si="19"/>
        <v>10655.524495359999</v>
      </c>
      <c r="BF13" s="1650">
        <f t="shared" si="20"/>
        <v>108260.12887285759</v>
      </c>
      <c r="BG13" s="1650">
        <f t="shared" si="21"/>
        <v>1099922.9093482331</v>
      </c>
      <c r="BH13" s="1645">
        <v>0.4</v>
      </c>
      <c r="BI13" s="1661">
        <f t="shared" si="5"/>
        <v>0</v>
      </c>
      <c r="BJ13" s="1661">
        <f t="shared" si="6"/>
        <v>0</v>
      </c>
      <c r="BK13" s="1662">
        <f t="shared" si="7"/>
        <v>0</v>
      </c>
      <c r="BL13" s="1663">
        <f t="shared" si="8"/>
        <v>0</v>
      </c>
      <c r="BM13" s="1663">
        <f t="shared" si="9"/>
        <v>0</v>
      </c>
      <c r="BN13" s="1663">
        <f t="shared" si="10"/>
        <v>0</v>
      </c>
      <c r="BO13" s="1663">
        <f t="shared" si="11"/>
        <v>0</v>
      </c>
      <c r="BP13" s="1663">
        <f t="shared" si="12"/>
        <v>0</v>
      </c>
      <c r="BQ13" s="1663">
        <f t="shared" si="13"/>
        <v>0</v>
      </c>
      <c r="BR13" s="1663">
        <f t="shared" si="14"/>
        <v>0</v>
      </c>
      <c r="BS13" s="1663">
        <f t="shared" si="15"/>
        <v>0</v>
      </c>
      <c r="BT13" s="1663">
        <f t="shared" si="16"/>
        <v>0</v>
      </c>
      <c r="BU13" s="1663">
        <f t="shared" si="1"/>
        <v>0</v>
      </c>
      <c r="BV13" s="1663">
        <f t="shared" si="17"/>
        <v>0</v>
      </c>
      <c r="BW13" s="1663">
        <f t="shared" si="18"/>
        <v>0</v>
      </c>
    </row>
    <row r="14" spans="1:90" s="1652" customFormat="1" ht="15" customHeight="1">
      <c r="A14" s="1562" t="s">
        <v>773</v>
      </c>
      <c r="B14" s="3503" t="str">
        <f>IF(OR(W19="", W18=""),"",((W19-W18)*10)/(W4-W8))</f>
        <v/>
      </c>
      <c r="C14" s="3504"/>
      <c r="D14" s="3503" t="str">
        <f>IF(OR(AB19="",AB18=""),"",(AB19-AB18)/(AB4-AB8)*100)</f>
        <v/>
      </c>
      <c r="E14" s="3504"/>
      <c r="F14" s="3503" t="str">
        <f>IF(OR(AG19="",AG18=""),"",(AG19-AG18)/(AG4-AG8)*100)</f>
        <v/>
      </c>
      <c r="G14" s="3504"/>
      <c r="I14" s="1673"/>
      <c r="J14" s="1509" t="s">
        <v>757</v>
      </c>
      <c r="K14" s="1513"/>
      <c r="L14" s="1513"/>
      <c r="M14" s="1513"/>
      <c r="N14" s="1514"/>
      <c r="O14" s="1514"/>
      <c r="P14" s="1514"/>
      <c r="Q14" s="1514"/>
      <c r="R14" s="1514"/>
      <c r="S14" s="1514"/>
      <c r="T14" s="1514"/>
      <c r="U14" s="1514"/>
      <c r="V14" s="1533" t="s">
        <v>58</v>
      </c>
      <c r="W14" s="3480"/>
      <c r="X14" s="3480"/>
      <c r="Y14" s="3480"/>
      <c r="Z14" s="3480"/>
      <c r="AA14" s="3480"/>
      <c r="AB14" s="3482"/>
      <c r="AC14" s="3480"/>
      <c r="AD14" s="3480"/>
      <c r="AE14" s="3480"/>
      <c r="AF14" s="3481"/>
      <c r="AG14" s="3480"/>
      <c r="AH14" s="3480"/>
      <c r="AI14" s="3480"/>
      <c r="AJ14" s="3480"/>
      <c r="AK14" s="3481"/>
      <c r="AL14" s="1670"/>
      <c r="AM14" s="3531" t="s">
        <v>776</v>
      </c>
      <c r="AN14" s="3532"/>
      <c r="AO14" s="3532"/>
      <c r="AP14" s="3532"/>
      <c r="AQ14" s="1586" t="s">
        <v>62</v>
      </c>
      <c r="AR14" s="1587" t="str">
        <f>IF(AR11="","",(AR11/AR13)*100)</f>
        <v/>
      </c>
      <c r="AS14" s="1588" t="str">
        <f>IF(AS11="","",(AS11/AS13)*100)</f>
        <v/>
      </c>
      <c r="AT14" s="1589" t="str">
        <f>IF(AT11="","",(AT11/AT13)*100)</f>
        <v/>
      </c>
      <c r="AV14" s="1654">
        <v>12</v>
      </c>
      <c r="AW14" s="1657">
        <v>3923.2</v>
      </c>
      <c r="AX14" s="1658">
        <v>15.24</v>
      </c>
      <c r="AY14" s="1658">
        <v>17.71</v>
      </c>
      <c r="AZ14" s="1659">
        <f t="shared" si="2"/>
        <v>3230.5642037340067</v>
      </c>
      <c r="BA14" s="1672"/>
      <c r="BB14" s="1647">
        <f t="shared" si="0"/>
        <v>12.7</v>
      </c>
      <c r="BC14" s="1630">
        <f t="shared" si="3"/>
        <v>161.29</v>
      </c>
      <c r="BD14" s="1631">
        <f t="shared" si="4"/>
        <v>2048.3829999999998</v>
      </c>
      <c r="BE14" s="1647">
        <f t="shared" si="19"/>
        <v>26014.464099999997</v>
      </c>
      <c r="BF14" s="1647">
        <f t="shared" si="20"/>
        <v>330383.69406999997</v>
      </c>
      <c r="BG14" s="1634">
        <f t="shared" si="21"/>
        <v>4195872.9146889998</v>
      </c>
      <c r="BH14" s="1647">
        <v>0.5</v>
      </c>
      <c r="BI14" s="1661">
        <f t="shared" si="5"/>
        <v>0</v>
      </c>
      <c r="BJ14" s="1661">
        <f t="shared" si="6"/>
        <v>0</v>
      </c>
      <c r="BK14" s="1662">
        <f t="shared" si="7"/>
        <v>0</v>
      </c>
      <c r="BL14" s="1663">
        <f t="shared" si="8"/>
        <v>0</v>
      </c>
      <c r="BM14" s="1663">
        <f t="shared" si="9"/>
        <v>0</v>
      </c>
      <c r="BN14" s="1663">
        <f t="shared" si="10"/>
        <v>0</v>
      </c>
      <c r="BO14" s="1663">
        <f t="shared" si="11"/>
        <v>0</v>
      </c>
      <c r="BP14" s="1663">
        <f t="shared" si="12"/>
        <v>0</v>
      </c>
      <c r="BQ14" s="1663">
        <f t="shared" si="13"/>
        <v>0</v>
      </c>
      <c r="BR14" s="1663">
        <f t="shared" si="14"/>
        <v>0</v>
      </c>
      <c r="BS14" s="1663">
        <f t="shared" si="15"/>
        <v>0</v>
      </c>
      <c r="BT14" s="1663">
        <f t="shared" si="16"/>
        <v>0</v>
      </c>
      <c r="BU14" s="1663">
        <f t="shared" si="1"/>
        <v>0</v>
      </c>
      <c r="BV14" s="1663">
        <f t="shared" si="17"/>
        <v>0</v>
      </c>
      <c r="BW14" s="1663">
        <f t="shared" si="18"/>
        <v>0</v>
      </c>
    </row>
    <row r="15" spans="1:90" s="1652" customFormat="1" ht="15" customHeight="1">
      <c r="A15" s="3564" t="s">
        <v>801</v>
      </c>
      <c r="B15" s="3566" t="s">
        <v>802</v>
      </c>
      <c r="C15" s="3572" t="s">
        <v>803</v>
      </c>
      <c r="D15" s="3566" t="s">
        <v>802</v>
      </c>
      <c r="E15" s="3572" t="s">
        <v>803</v>
      </c>
      <c r="F15" s="3566" t="s">
        <v>802</v>
      </c>
      <c r="G15" s="3572" t="s">
        <v>803</v>
      </c>
      <c r="J15" s="1509" t="s">
        <v>758</v>
      </c>
      <c r="K15" s="1513"/>
      <c r="L15" s="1513"/>
      <c r="M15" s="1513"/>
      <c r="N15" s="1514"/>
      <c r="O15" s="1514"/>
      <c r="P15" s="1514"/>
      <c r="Q15" s="1514"/>
      <c r="R15" s="1514"/>
      <c r="S15" s="1514"/>
      <c r="T15" s="1514"/>
      <c r="U15" s="1514"/>
      <c r="V15" s="1534" t="s">
        <v>58</v>
      </c>
      <c r="W15" s="3480"/>
      <c r="X15" s="3480"/>
      <c r="Y15" s="3480"/>
      <c r="Z15" s="3480"/>
      <c r="AA15" s="3481"/>
      <c r="AB15" s="3482"/>
      <c r="AC15" s="3480"/>
      <c r="AD15" s="3480"/>
      <c r="AE15" s="3480"/>
      <c r="AF15" s="3481"/>
      <c r="AG15" s="3482"/>
      <c r="AH15" s="3480"/>
      <c r="AI15" s="3480"/>
      <c r="AJ15" s="3480"/>
      <c r="AK15" s="3481"/>
      <c r="AL15" s="1670"/>
      <c r="AM15" s="3623" t="s">
        <v>798</v>
      </c>
      <c r="AN15" s="3624"/>
      <c r="AO15" s="3624"/>
      <c r="AP15" s="3624"/>
      <c r="AQ15" s="3624"/>
      <c r="AR15" s="3624"/>
      <c r="AS15" s="3624"/>
      <c r="AT15" s="3625"/>
      <c r="AU15" s="1674"/>
      <c r="AV15" s="1654">
        <v>13</v>
      </c>
      <c r="AW15" s="1657">
        <v>3962.4</v>
      </c>
      <c r="AX15" s="1658">
        <v>15.26</v>
      </c>
      <c r="AY15" s="1658">
        <v>17.75</v>
      </c>
      <c r="AZ15" s="1659">
        <f t="shared" si="2"/>
        <v>3246.3646900471958</v>
      </c>
      <c r="BA15" s="1672"/>
      <c r="BB15" s="1675"/>
      <c r="BC15" s="1675"/>
      <c r="BD15" s="1675"/>
      <c r="BE15" s="1675"/>
      <c r="BF15" s="1675"/>
      <c r="BG15" s="1675"/>
      <c r="BH15" s="1675"/>
      <c r="BI15" s="1675"/>
      <c r="BJ15" s="1676"/>
      <c r="BK15" s="1676"/>
      <c r="BL15" s="158"/>
      <c r="BM15" s="158"/>
      <c r="BN15" s="158"/>
      <c r="BO15" s="158"/>
      <c r="BP15" s="158"/>
      <c r="BQ15" s="158"/>
    </row>
    <row r="16" spans="1:90" s="1652" customFormat="1" ht="15" customHeight="1">
      <c r="A16" s="3565"/>
      <c r="B16" s="3567"/>
      <c r="C16" s="3573"/>
      <c r="D16" s="3567"/>
      <c r="E16" s="3573"/>
      <c r="F16" s="3567"/>
      <c r="G16" s="3573"/>
      <c r="J16" s="1644" t="s">
        <v>759</v>
      </c>
      <c r="K16" s="1516"/>
      <c r="L16" s="1516"/>
      <c r="M16" s="1516"/>
      <c r="N16" s="1517"/>
      <c r="O16" s="1517"/>
      <c r="P16" s="1517"/>
      <c r="Q16" s="1517"/>
      <c r="R16" s="1517"/>
      <c r="S16" s="1517"/>
      <c r="T16" s="1517"/>
      <c r="U16" s="1517"/>
      <c r="V16" s="1532" t="s">
        <v>58</v>
      </c>
      <c r="W16" s="3542"/>
      <c r="X16" s="3542"/>
      <c r="Y16" s="3542"/>
      <c r="Z16" s="3542"/>
      <c r="AA16" s="3543"/>
      <c r="AB16" s="3544"/>
      <c r="AC16" s="3542"/>
      <c r="AD16" s="3542"/>
      <c r="AE16" s="3542"/>
      <c r="AF16" s="3543"/>
      <c r="AG16" s="3544"/>
      <c r="AH16" s="3542"/>
      <c r="AI16" s="3542"/>
      <c r="AJ16" s="3542"/>
      <c r="AK16" s="3543"/>
      <c r="AL16" s="1670"/>
      <c r="AM16" s="3533" t="s">
        <v>122</v>
      </c>
      <c r="AN16" s="3534"/>
      <c r="AO16" s="3534"/>
      <c r="AP16" s="3534"/>
      <c r="AQ16" s="139" t="s">
        <v>106</v>
      </c>
      <c r="AR16" s="1549" t="e">
        <f>+AR6*1000/AR5</f>
        <v>#VALUE!</v>
      </c>
      <c r="AS16" s="1549" t="e">
        <f>+AS6*1000/AS5</f>
        <v>#VALUE!</v>
      </c>
      <c r="AT16" s="1549" t="e">
        <f t="shared" ref="AT16" si="22">+AT6*1000/AT5</f>
        <v>#VALUE!</v>
      </c>
      <c r="AU16" s="1674"/>
      <c r="AV16" s="1654">
        <v>14</v>
      </c>
      <c r="AW16" s="1657">
        <v>3919.2</v>
      </c>
      <c r="AX16" s="1658">
        <v>15.24</v>
      </c>
      <c r="AY16" s="1677">
        <v>17.7</v>
      </c>
      <c r="AZ16" s="1659">
        <f t="shared" ref="AZ16:AZ17" si="23">+PI()*((AX16/2)^2)*AY16</f>
        <v>3228.7400568092553</v>
      </c>
      <c r="BA16" s="1672"/>
      <c r="BB16" s="1616" t="s">
        <v>532</v>
      </c>
      <c r="BC16" s="3466">
        <f>+BI1</f>
        <v>56</v>
      </c>
      <c r="BD16" s="3466"/>
      <c r="BE16" s="3466"/>
      <c r="BF16" s="3467"/>
      <c r="BG16" s="3468" t="s">
        <v>820</v>
      </c>
      <c r="BH16" s="3467"/>
      <c r="BJ16" s="1616" t="s">
        <v>532</v>
      </c>
      <c r="BK16" s="3466">
        <f>+BO2</f>
        <v>56</v>
      </c>
      <c r="BL16" s="3466"/>
      <c r="BM16" s="3466"/>
      <c r="BN16" s="3466"/>
      <c r="BO16" s="3467"/>
      <c r="BP16" s="3468" t="s">
        <v>820</v>
      </c>
      <c r="BQ16" s="3467"/>
      <c r="BS16" s="1616" t="s">
        <v>532</v>
      </c>
      <c r="BT16" s="3466">
        <f>+BR2</f>
        <v>56</v>
      </c>
      <c r="BU16" s="3466"/>
      <c r="BV16" s="3466"/>
      <c r="BW16" s="3466"/>
      <c r="BX16" s="3466"/>
      <c r="BY16" s="3467"/>
      <c r="BZ16" s="3468" t="s">
        <v>820</v>
      </c>
      <c r="CA16" s="3467"/>
      <c r="CC16" s="1616" t="s">
        <v>532</v>
      </c>
      <c r="CD16" s="3466">
        <f>+BU2</f>
        <v>56</v>
      </c>
      <c r="CE16" s="3466"/>
      <c r="CF16" s="3466"/>
      <c r="CG16" s="3466"/>
      <c r="CH16" s="3466"/>
      <c r="CI16" s="3466"/>
      <c r="CJ16" s="3467"/>
      <c r="CK16" s="3468" t="s">
        <v>820</v>
      </c>
      <c r="CL16" s="3467"/>
    </row>
    <row r="17" spans="1:90" s="1652" customFormat="1" ht="12.95" customHeight="1">
      <c r="A17" s="1558">
        <f t="shared" ref="A17:A28" si="24">+J24</f>
        <v>0</v>
      </c>
      <c r="B17" s="1559" t="str">
        <f t="shared" ref="B17:B28" si="25">+IF(W24="","",W24)</f>
        <v/>
      </c>
      <c r="C17" s="1561" t="str">
        <f t="shared" ref="C17:C28" si="26">+IF(B17="","",((B17*1000)/1935))</f>
        <v/>
      </c>
      <c r="D17" s="1559" t="str">
        <f t="shared" ref="D17:D23" si="27">+IF(AB24="","",AB24)</f>
        <v/>
      </c>
      <c r="E17" s="1561" t="str">
        <f>+IF(D17="","",((D17*1000)/1935))</f>
        <v/>
      </c>
      <c r="F17" s="1559" t="str">
        <f t="shared" ref="F17:F28" si="28">+IF(AG24="","",AG24)</f>
        <v/>
      </c>
      <c r="G17" s="1561" t="str">
        <f>+IF(F17="","",((F17*1000)/1935))</f>
        <v/>
      </c>
      <c r="J17" s="3526" t="s">
        <v>117</v>
      </c>
      <c r="K17" s="3527"/>
      <c r="L17" s="3527"/>
      <c r="M17" s="3527"/>
      <c r="N17" s="3527"/>
      <c r="O17" s="3527"/>
      <c r="P17" s="3527"/>
      <c r="Q17" s="3527"/>
      <c r="R17" s="3527"/>
      <c r="S17" s="3527"/>
      <c r="T17" s="3527"/>
      <c r="U17" s="3527"/>
      <c r="V17" s="3527"/>
      <c r="W17" s="3527"/>
      <c r="X17" s="3527"/>
      <c r="Y17" s="3527"/>
      <c r="Z17" s="3527"/>
      <c r="AA17" s="3527"/>
      <c r="AB17" s="3527"/>
      <c r="AC17" s="3527"/>
      <c r="AD17" s="3527"/>
      <c r="AE17" s="3527"/>
      <c r="AF17" s="3527"/>
      <c r="AG17" s="3527"/>
      <c r="AH17" s="3527"/>
      <c r="AI17" s="3527"/>
      <c r="AJ17" s="3527"/>
      <c r="AK17" s="3528"/>
      <c r="AL17" s="1670"/>
      <c r="AM17" s="3535" t="s">
        <v>796</v>
      </c>
      <c r="AN17" s="3536"/>
      <c r="AO17" s="3536"/>
      <c r="AP17" s="3536"/>
      <c r="AQ17" s="1544" t="s">
        <v>797</v>
      </c>
      <c r="AR17" s="1549" t="e">
        <f>+IF(AR16="","",(AR16*9.8066)/1000)</f>
        <v>#VALUE!</v>
      </c>
      <c r="AS17" s="1549" t="e">
        <f>+IF(AS16="","",(AS16*9.8066)/1000)</f>
        <v>#VALUE!</v>
      </c>
      <c r="AT17" s="1549" t="e">
        <f t="shared" ref="AT17" si="29">+IF(AT16="","",(AT16*9.8066)/1000)</f>
        <v>#VALUE!</v>
      </c>
      <c r="AU17" s="1674"/>
      <c r="AV17" s="1654">
        <v>15</v>
      </c>
      <c r="AW17" s="1657">
        <v>3952.8</v>
      </c>
      <c r="AX17" s="1658">
        <v>15.26</v>
      </c>
      <c r="AY17" s="1658">
        <v>17.78</v>
      </c>
      <c r="AZ17" s="1659">
        <f t="shared" si="23"/>
        <v>3251.8515036078393</v>
      </c>
      <c r="BA17" s="1672"/>
      <c r="BB17" s="1529" t="s">
        <v>818</v>
      </c>
      <c r="BC17" s="1678" t="s">
        <v>825</v>
      </c>
      <c r="BD17" s="1678" t="s">
        <v>826</v>
      </c>
      <c r="BE17" s="1679" t="s">
        <v>827</v>
      </c>
      <c r="BF17" s="1680" t="s">
        <v>828</v>
      </c>
      <c r="BG17" s="1681" t="s">
        <v>331</v>
      </c>
      <c r="BH17" s="1682" t="s">
        <v>815</v>
      </c>
      <c r="BJ17" s="1529" t="s">
        <v>818</v>
      </c>
      <c r="BK17" s="1678" t="s">
        <v>847</v>
      </c>
      <c r="BL17" s="1678" t="s">
        <v>848</v>
      </c>
      <c r="BM17" s="1678" t="s">
        <v>849</v>
      </c>
      <c r="BN17" s="1679" t="s">
        <v>850</v>
      </c>
      <c r="BO17" s="1680" t="s">
        <v>851</v>
      </c>
      <c r="BP17" s="1681" t="s">
        <v>331</v>
      </c>
      <c r="BQ17" s="1682" t="s">
        <v>815</v>
      </c>
      <c r="BR17" s="1436"/>
      <c r="BS17" s="1529" t="s">
        <v>818</v>
      </c>
      <c r="BT17" s="1678" t="s">
        <v>852</v>
      </c>
      <c r="BU17" s="1678" t="s">
        <v>853</v>
      </c>
      <c r="BV17" s="1678" t="s">
        <v>854</v>
      </c>
      <c r="BW17" s="1678" t="s">
        <v>855</v>
      </c>
      <c r="BX17" s="1679" t="s">
        <v>856</v>
      </c>
      <c r="BY17" s="1680" t="s">
        <v>857</v>
      </c>
      <c r="BZ17" s="1681" t="s">
        <v>331</v>
      </c>
      <c r="CA17" s="1682" t="s">
        <v>815</v>
      </c>
      <c r="CC17" s="1529" t="s">
        <v>818</v>
      </c>
      <c r="CD17" s="1678" t="s">
        <v>837</v>
      </c>
      <c r="CE17" s="1678" t="s">
        <v>838</v>
      </c>
      <c r="CF17" s="1678" t="s">
        <v>839</v>
      </c>
      <c r="CG17" s="1678" t="s">
        <v>840</v>
      </c>
      <c r="CH17" s="1678" t="s">
        <v>841</v>
      </c>
      <c r="CI17" s="1679" t="s">
        <v>842</v>
      </c>
      <c r="CJ17" s="1680" t="s">
        <v>58</v>
      </c>
      <c r="CK17" s="1681" t="s">
        <v>331</v>
      </c>
      <c r="CL17" s="1682" t="s">
        <v>815</v>
      </c>
    </row>
    <row r="18" spans="1:90" s="1652" customFormat="1" ht="12.95" customHeight="1">
      <c r="A18" s="1558">
        <f t="shared" si="24"/>
        <v>0.63500000000000001</v>
      </c>
      <c r="B18" s="1559" t="str">
        <f t="shared" si="25"/>
        <v/>
      </c>
      <c r="C18" s="1561" t="str">
        <f t="shared" si="26"/>
        <v/>
      </c>
      <c r="D18" s="1559" t="str">
        <f t="shared" si="27"/>
        <v/>
      </c>
      <c r="E18" s="1561" t="str">
        <f>+IF(D18="","",((D18*1000)/1935))</f>
        <v/>
      </c>
      <c r="F18" s="1559" t="str">
        <f t="shared" si="28"/>
        <v/>
      </c>
      <c r="G18" s="1561" t="str">
        <f>+IF(F18="","",((F18*1000)/1935))</f>
        <v/>
      </c>
      <c r="J18" s="1518" t="s">
        <v>118</v>
      </c>
      <c r="K18" s="1519"/>
      <c r="L18" s="1519"/>
      <c r="M18" s="1519"/>
      <c r="N18" s="1519"/>
      <c r="O18" s="1519"/>
      <c r="P18" s="1519"/>
      <c r="Q18" s="1519"/>
      <c r="R18" s="1519"/>
      <c r="S18" s="1520"/>
      <c r="T18" s="1520"/>
      <c r="U18" s="1519"/>
      <c r="V18" s="1521" t="s">
        <v>774</v>
      </c>
      <c r="W18" s="3541"/>
      <c r="X18" s="3541"/>
      <c r="Y18" s="3541"/>
      <c r="Z18" s="3541"/>
      <c r="AA18" s="3541"/>
      <c r="AB18" s="3541"/>
      <c r="AC18" s="3541"/>
      <c r="AD18" s="3541"/>
      <c r="AE18" s="3541"/>
      <c r="AF18" s="3541"/>
      <c r="AG18" s="3541"/>
      <c r="AH18" s="3541"/>
      <c r="AI18" s="3541"/>
      <c r="AJ18" s="3541"/>
      <c r="AK18" s="3541"/>
      <c r="AL18" s="1670"/>
      <c r="AM18" s="3537"/>
      <c r="AN18" s="3538"/>
      <c r="AO18" s="3538"/>
      <c r="AP18" s="3538"/>
      <c r="AQ18" s="1544" t="s">
        <v>644</v>
      </c>
      <c r="AR18" s="1545" t="e">
        <f>IF(AR16="","",AR16*62.428/1000)</f>
        <v>#VALUE!</v>
      </c>
      <c r="AS18" s="1546" t="e">
        <f>IF(AS16="","",AS16*62.428/1000)</f>
        <v>#VALUE!</v>
      </c>
      <c r="AT18" s="1590" t="e">
        <f>IF(AT16="","",AT16*62.428/1000)</f>
        <v>#VALUE!</v>
      </c>
      <c r="AV18" s="3618" t="s">
        <v>641</v>
      </c>
      <c r="AW18" s="3619"/>
      <c r="AX18" s="3619"/>
      <c r="AY18" s="3619"/>
      <c r="AZ18" s="3620"/>
      <c r="BA18" s="1672"/>
      <c r="BB18" s="1529" t="s">
        <v>810</v>
      </c>
      <c r="BC18" s="1660">
        <f t="array" ref="BC18:BF20">LINEST(BI3:BI14,BB3:BD14,TRUE,TRUE)</f>
        <v>0</v>
      </c>
      <c r="BD18" s="1660">
        <v>0</v>
      </c>
      <c r="BE18" s="1660">
        <v>0</v>
      </c>
      <c r="BF18" s="1683">
        <v>0</v>
      </c>
      <c r="BG18" s="1684" t="e">
        <f>+-BD18/(3*BC18)</f>
        <v>#DIV/0!</v>
      </c>
      <c r="BH18" s="1685" t="e">
        <f>+(BC18*BG18*BG18*BG18)+(BD18*BG18*BG18)+(BE18*BG18)+BF18</f>
        <v>#DIV/0!</v>
      </c>
      <c r="BJ18" s="1529" t="s">
        <v>810</v>
      </c>
      <c r="BK18" s="1660">
        <f t="array" ref="BK18:BO20">LINEST(BI3:BI14,BB3:BE14,TRUE,TRUE)</f>
        <v>0</v>
      </c>
      <c r="BL18" s="1660">
        <v>0</v>
      </c>
      <c r="BM18" s="1660">
        <v>0</v>
      </c>
      <c r="BN18" s="1660">
        <v>0</v>
      </c>
      <c r="BO18" s="1683">
        <v>0</v>
      </c>
      <c r="BP18" s="1684"/>
      <c r="BQ18" s="1685"/>
      <c r="BR18" s="158"/>
      <c r="BS18" s="1529" t="s">
        <v>810</v>
      </c>
      <c r="BT18" s="1660">
        <f t="array" ref="BT18:BY20">LINEST(BI3:BI14,BB3:BF14,TRUE,TRUE)</f>
        <v>0</v>
      </c>
      <c r="BU18" s="1660">
        <v>0</v>
      </c>
      <c r="BV18" s="1660">
        <v>0</v>
      </c>
      <c r="BW18" s="1660">
        <v>0</v>
      </c>
      <c r="BX18" s="1660">
        <v>0</v>
      </c>
      <c r="BY18" s="1683">
        <v>0</v>
      </c>
      <c r="BZ18" s="1684"/>
      <c r="CA18" s="1685"/>
      <c r="CC18" s="1529" t="s">
        <v>810</v>
      </c>
      <c r="CD18" s="1660">
        <f t="array" ref="CD18:CJ20">LINEST(BI3:BI14,BB3:BG14,TRUE,TRUE)</f>
        <v>0</v>
      </c>
      <c r="CE18" s="1660">
        <v>0</v>
      </c>
      <c r="CF18" s="1660">
        <v>0</v>
      </c>
      <c r="CG18" s="1660">
        <v>0</v>
      </c>
      <c r="CH18" s="1660">
        <v>0</v>
      </c>
      <c r="CI18" s="1660">
        <v>0</v>
      </c>
      <c r="CJ18" s="1683">
        <v>0</v>
      </c>
      <c r="CK18" s="1684"/>
      <c r="CL18" s="1685"/>
    </row>
    <row r="19" spans="1:90" s="1652" customFormat="1" ht="12.95" customHeight="1">
      <c r="A19" s="1558">
        <f t="shared" si="24"/>
        <v>1.27</v>
      </c>
      <c r="B19" s="1559" t="str">
        <f t="shared" si="25"/>
        <v/>
      </c>
      <c r="C19" s="1561" t="str">
        <f t="shared" si="26"/>
        <v/>
      </c>
      <c r="D19" s="1559" t="str">
        <f t="shared" si="27"/>
        <v/>
      </c>
      <c r="E19" s="1561" t="str">
        <f t="shared" ref="E19:E28" si="30">+IF(D19="","",((D19*1000)/1935))</f>
        <v/>
      </c>
      <c r="F19" s="1559" t="str">
        <f t="shared" si="28"/>
        <v/>
      </c>
      <c r="G19" s="1561" t="str">
        <f t="shared" ref="G19:G28" si="31">+IF(F19="","",((F19*1000)/1935))</f>
        <v/>
      </c>
      <c r="J19" s="1509" t="s">
        <v>119</v>
      </c>
      <c r="K19" s="1513"/>
      <c r="L19" s="1513"/>
      <c r="M19" s="1513"/>
      <c r="N19" s="1514"/>
      <c r="O19" s="1514"/>
      <c r="P19" s="1514"/>
      <c r="Q19" s="1514"/>
      <c r="R19" s="1514"/>
      <c r="S19" s="1514"/>
      <c r="T19" s="1514"/>
      <c r="U19" s="1514"/>
      <c r="V19" s="1534" t="s">
        <v>774</v>
      </c>
      <c r="W19" s="3480"/>
      <c r="X19" s="3480"/>
      <c r="Y19" s="3480"/>
      <c r="Z19" s="3480"/>
      <c r="AA19" s="3481"/>
      <c r="AB19" s="3568"/>
      <c r="AC19" s="3568"/>
      <c r="AD19" s="3568"/>
      <c r="AE19" s="3568"/>
      <c r="AF19" s="3569"/>
      <c r="AG19" s="3568"/>
      <c r="AH19" s="3568"/>
      <c r="AI19" s="3568"/>
      <c r="AJ19" s="3568"/>
      <c r="AK19" s="3569"/>
      <c r="AL19" s="1670"/>
      <c r="AM19" s="3643"/>
      <c r="AN19" s="3644"/>
      <c r="AO19" s="3644"/>
      <c r="AP19" s="3644"/>
      <c r="AQ19" s="3644"/>
      <c r="AR19" s="3644"/>
      <c r="AS19" s="3644"/>
      <c r="AT19" s="3645"/>
      <c r="AV19" s="1686" t="s">
        <v>635</v>
      </c>
      <c r="AW19" s="1686" t="s">
        <v>636</v>
      </c>
      <c r="AX19" s="1686" t="s">
        <v>637</v>
      </c>
      <c r="AY19" s="1686" t="s">
        <v>638</v>
      </c>
      <c r="AZ19" s="1686" t="s">
        <v>760</v>
      </c>
      <c r="BA19" s="1672"/>
      <c r="BB19" s="1529" t="s">
        <v>811</v>
      </c>
      <c r="BC19" s="1660">
        <v>0</v>
      </c>
      <c r="BD19" s="1660">
        <v>0</v>
      </c>
      <c r="BE19" s="1660">
        <v>0</v>
      </c>
      <c r="BF19" s="1683">
        <v>0</v>
      </c>
      <c r="BG19" s="3469" t="s">
        <v>832</v>
      </c>
      <c r="BH19" s="3470"/>
      <c r="BJ19" s="1529" t="s">
        <v>811</v>
      </c>
      <c r="BK19" s="1660">
        <v>0</v>
      </c>
      <c r="BL19" s="1660">
        <v>0</v>
      </c>
      <c r="BM19" s="1660">
        <v>0</v>
      </c>
      <c r="BN19" s="1660">
        <v>0</v>
      </c>
      <c r="BO19" s="1683">
        <v>0</v>
      </c>
      <c r="BP19" s="3469" t="s">
        <v>832</v>
      </c>
      <c r="BQ19" s="3470"/>
      <c r="BR19" s="158"/>
      <c r="BS19" s="1529" t="s">
        <v>811</v>
      </c>
      <c r="BT19" s="1660">
        <v>0</v>
      </c>
      <c r="BU19" s="1660">
        <v>0</v>
      </c>
      <c r="BV19" s="1660">
        <v>0</v>
      </c>
      <c r="BW19" s="1660">
        <v>0</v>
      </c>
      <c r="BX19" s="1660">
        <v>0</v>
      </c>
      <c r="BY19" s="1683">
        <v>0</v>
      </c>
      <c r="BZ19" s="3469" t="s">
        <v>832</v>
      </c>
      <c r="CA19" s="3470"/>
      <c r="CC19" s="1529" t="s">
        <v>811</v>
      </c>
      <c r="CD19" s="1660">
        <v>0</v>
      </c>
      <c r="CE19" s="1660">
        <v>0</v>
      </c>
      <c r="CF19" s="1660">
        <v>0</v>
      </c>
      <c r="CG19" s="1660">
        <v>0</v>
      </c>
      <c r="CH19" s="1660">
        <v>0</v>
      </c>
      <c r="CI19" s="1660">
        <v>0</v>
      </c>
      <c r="CJ19" s="1683">
        <v>0</v>
      </c>
      <c r="CK19" s="3469" t="s">
        <v>832</v>
      </c>
      <c r="CL19" s="3470"/>
    </row>
    <row r="20" spans="1:90" ht="12.95" customHeight="1">
      <c r="A20" s="1558">
        <f t="shared" si="24"/>
        <v>1.9049999999999998</v>
      </c>
      <c r="B20" s="1559" t="str">
        <f t="shared" si="25"/>
        <v/>
      </c>
      <c r="C20" s="1561" t="str">
        <f t="shared" si="26"/>
        <v/>
      </c>
      <c r="D20" s="1559" t="str">
        <f t="shared" si="27"/>
        <v/>
      </c>
      <c r="E20" s="1561" t="str">
        <f t="shared" si="30"/>
        <v/>
      </c>
      <c r="F20" s="1559" t="str">
        <f t="shared" si="28"/>
        <v/>
      </c>
      <c r="G20" s="1561" t="str">
        <f t="shared" si="31"/>
        <v/>
      </c>
      <c r="J20" s="1518" t="s">
        <v>772</v>
      </c>
      <c r="K20" s="1519"/>
      <c r="L20" s="1519"/>
      <c r="M20" s="1519"/>
      <c r="N20" s="1519"/>
      <c r="O20" s="1519"/>
      <c r="P20" s="1519"/>
      <c r="Q20" s="1519"/>
      <c r="R20" s="1519"/>
      <c r="S20" s="1635"/>
      <c r="T20" s="1520"/>
      <c r="U20" s="1519"/>
      <c r="V20" s="1605" t="s">
        <v>58</v>
      </c>
      <c r="W20" s="3561"/>
      <c r="X20" s="3562"/>
      <c r="Y20" s="3562"/>
      <c r="Z20" s="3562"/>
      <c r="AA20" s="3563"/>
      <c r="AB20" s="3561"/>
      <c r="AC20" s="3562"/>
      <c r="AD20" s="3562"/>
      <c r="AE20" s="3562"/>
      <c r="AF20" s="3563"/>
      <c r="AG20" s="3561"/>
      <c r="AH20" s="3562"/>
      <c r="AI20" s="3562"/>
      <c r="AJ20" s="3562"/>
      <c r="AK20" s="3563"/>
      <c r="AL20" s="1687"/>
      <c r="AM20" s="3626" t="s">
        <v>768</v>
      </c>
      <c r="AN20" s="3627"/>
      <c r="AO20" s="3627"/>
      <c r="AP20" s="3627"/>
      <c r="AQ20" s="140" t="s">
        <v>62</v>
      </c>
      <c r="AR20" s="1547" t="str">
        <f>+B29</f>
        <v/>
      </c>
      <c r="AS20" s="1548" t="str">
        <f>+D29</f>
        <v/>
      </c>
      <c r="AT20" s="1591" t="str">
        <f>+F29</f>
        <v/>
      </c>
      <c r="AV20" s="1688">
        <v>1</v>
      </c>
      <c r="AW20" s="1657">
        <v>1557.3</v>
      </c>
      <c r="AX20" s="1677">
        <v>15.1</v>
      </c>
      <c r="AY20" s="1677">
        <v>5.0999999999999996</v>
      </c>
      <c r="AZ20" s="1659">
        <f>+PI()*((AX20/2)^2)*AY20</f>
        <v>913.30103970488608</v>
      </c>
      <c r="BA20" s="211"/>
      <c r="BB20" s="1531" t="s">
        <v>812</v>
      </c>
      <c r="BC20" s="1689">
        <v>1</v>
      </c>
      <c r="BD20" s="1689">
        <v>0</v>
      </c>
      <c r="BE20" s="1689" t="e">
        <v>#N/A</v>
      </c>
      <c r="BF20" s="1690" t="e">
        <v>#N/A</v>
      </c>
      <c r="BG20" s="3471" t="e">
        <f>IF(BB4&gt;BG18,"el valor de X no es menor al punto de inflexión",IF(AND(BL4&lt;0,BB4&lt;BG18),"concavo","Convexo"))</f>
        <v>#DIV/0!</v>
      </c>
      <c r="BH20" s="3472"/>
      <c r="BJ20" s="1531" t="s">
        <v>812</v>
      </c>
      <c r="BK20" s="1689">
        <v>1</v>
      </c>
      <c r="BL20" s="1689">
        <v>0</v>
      </c>
      <c r="BM20" s="1689" t="e">
        <v>#N/A</v>
      </c>
      <c r="BN20" s="1689" t="e">
        <v>#N/A</v>
      </c>
      <c r="BO20" s="1690" t="e">
        <v>#N/A</v>
      </c>
      <c r="BP20" s="3471" t="str">
        <f>IF(BM4&gt;BP18,"el valor de X no es menor al punto de inflexión",IF(AND(BU4&lt;0,BM4&lt;BP18),"concavo hacia abajo","Convexo"))</f>
        <v>Convexo</v>
      </c>
      <c r="BQ20" s="3472"/>
      <c r="BS20" s="1531" t="s">
        <v>812</v>
      </c>
      <c r="BT20" s="1689">
        <v>1</v>
      </c>
      <c r="BU20" s="1689">
        <v>0</v>
      </c>
      <c r="BV20" s="1689" t="e">
        <v>#N/A</v>
      </c>
      <c r="BW20" s="1689" t="e">
        <v>#N/A</v>
      </c>
      <c r="BX20" s="1689" t="e">
        <v>#N/A</v>
      </c>
      <c r="BY20" s="1690" t="e">
        <v>#N/A</v>
      </c>
      <c r="BZ20" s="3471" t="str">
        <f>IF(BW4&gt;BZ18,"el valor de X no es menor al punto de inflexión",IF(AND(CE4&lt;0,BW4&lt;BZ18),"concavo hacia abajo","Convexo"))</f>
        <v>Convexo</v>
      </c>
      <c r="CA20" s="3472"/>
      <c r="CC20" s="1531" t="s">
        <v>812</v>
      </c>
      <c r="CD20" s="1689">
        <v>1</v>
      </c>
      <c r="CE20" s="1689">
        <v>0</v>
      </c>
      <c r="CF20" s="1689" t="e">
        <v>#N/A</v>
      </c>
      <c r="CG20" s="1689" t="e">
        <v>#N/A</v>
      </c>
      <c r="CH20" s="1689" t="e">
        <v>#N/A</v>
      </c>
      <c r="CI20" s="1689" t="e">
        <v>#N/A</v>
      </c>
      <c r="CJ20" s="1690" t="e">
        <v>#N/A</v>
      </c>
      <c r="CK20" s="3471" t="str">
        <f>IF(CH4&gt;CK18,"el valor de X no es menor al punto de inflexión",IF(AND(CP4&lt;0,CH4&lt;CK18),"concavo hacia abajo","Convexo"))</f>
        <v>Convexo</v>
      </c>
      <c r="CL20" s="3472"/>
    </row>
    <row r="21" spans="1:90" s="1285" customFormat="1" ht="12.95" customHeight="1">
      <c r="A21" s="1558">
        <f t="shared" si="24"/>
        <v>2.54</v>
      </c>
      <c r="B21" s="1559" t="str">
        <f t="shared" si="25"/>
        <v/>
      </c>
      <c r="C21" s="1561" t="str">
        <f t="shared" si="26"/>
        <v/>
      </c>
      <c r="D21" s="1559" t="str">
        <f t="shared" si="27"/>
        <v/>
      </c>
      <c r="E21" s="1561" t="str">
        <f t="shared" si="30"/>
        <v/>
      </c>
      <c r="F21" s="1559" t="str">
        <f t="shared" si="28"/>
        <v/>
      </c>
      <c r="G21" s="1561" t="str">
        <f t="shared" si="31"/>
        <v/>
      </c>
      <c r="J21" s="3545" t="s">
        <v>99</v>
      </c>
      <c r="K21" s="3546"/>
      <c r="L21" s="3546"/>
      <c r="M21" s="3546"/>
      <c r="N21" s="3546"/>
      <c r="O21" s="3546"/>
      <c r="P21" s="3480"/>
      <c r="Q21" s="3480"/>
      <c r="R21" s="3480"/>
      <c r="S21" s="3480"/>
      <c r="T21" s="3480"/>
      <c r="U21" s="3480"/>
      <c r="V21" s="3481"/>
      <c r="W21" s="3560" t="s">
        <v>120</v>
      </c>
      <c r="X21" s="3560"/>
      <c r="Y21" s="3560"/>
      <c r="Z21" s="3560"/>
      <c r="AA21" s="3560"/>
      <c r="AB21" s="3560"/>
      <c r="AC21" s="3560"/>
      <c r="AD21" s="3560"/>
      <c r="AE21" s="3560"/>
      <c r="AF21" s="3560"/>
      <c r="AG21" s="3547" t="str">
        <f>'Gradacion '!Y62</f>
        <v/>
      </c>
      <c r="AH21" s="3547"/>
      <c r="AI21" s="3547"/>
      <c r="AJ21" s="3547"/>
      <c r="AK21" s="3548"/>
      <c r="AL21" s="1691"/>
      <c r="AM21" s="3626" t="s">
        <v>769</v>
      </c>
      <c r="AN21" s="3627"/>
      <c r="AO21" s="3627"/>
      <c r="AP21" s="3627"/>
      <c r="AQ21" s="140" t="s">
        <v>62</v>
      </c>
      <c r="AR21" s="1547" t="str">
        <f>+B30</f>
        <v/>
      </c>
      <c r="AS21" s="1548" t="str">
        <f>+D30</f>
        <v/>
      </c>
      <c r="AT21" s="1591" t="str">
        <f>+F30</f>
        <v/>
      </c>
      <c r="AU21" s="158"/>
      <c r="AV21" s="1688">
        <v>2</v>
      </c>
      <c r="AW21" s="1688"/>
      <c r="AX21" s="1692"/>
      <c r="AY21" s="1692"/>
      <c r="AZ21" s="1659"/>
      <c r="BA21" s="212"/>
      <c r="BB21" s="1693"/>
      <c r="BC21" s="1694"/>
      <c r="BD21" s="1694"/>
      <c r="BE21" s="1694"/>
      <c r="BF21" s="1648"/>
      <c r="BG21" s="1604"/>
      <c r="BH21" s="1604"/>
      <c r="BI21" s="1604"/>
      <c r="BJ21" s="1676"/>
      <c r="BK21" s="1676"/>
      <c r="BL21" s="158"/>
      <c r="BM21" s="158"/>
      <c r="BN21" s="158"/>
      <c r="BO21" s="158"/>
      <c r="BP21" s="158"/>
      <c r="BQ21" s="158"/>
    </row>
    <row r="22" spans="1:90" s="1436" customFormat="1" ht="12.95" customHeight="1">
      <c r="A22" s="1558">
        <f t="shared" si="24"/>
        <v>3.1749999999999998</v>
      </c>
      <c r="B22" s="1559" t="str">
        <f t="shared" si="25"/>
        <v/>
      </c>
      <c r="C22" s="1561" t="str">
        <f t="shared" si="26"/>
        <v/>
      </c>
      <c r="D22" s="1559" t="str">
        <f t="shared" si="27"/>
        <v/>
      </c>
      <c r="E22" s="1561" t="str">
        <f t="shared" si="30"/>
        <v/>
      </c>
      <c r="F22" s="1559" t="str">
        <f t="shared" si="28"/>
        <v/>
      </c>
      <c r="G22" s="1561" t="str">
        <f t="shared" si="31"/>
        <v/>
      </c>
      <c r="J22" s="3607" t="s">
        <v>59</v>
      </c>
      <c r="K22" s="3608"/>
      <c r="L22" s="3608"/>
      <c r="M22" s="3608"/>
      <c r="N22" s="3608"/>
      <c r="O22" s="3608"/>
      <c r="P22" s="3608"/>
      <c r="Q22" s="3608"/>
      <c r="R22" s="3608"/>
      <c r="S22" s="3608"/>
      <c r="T22" s="3608"/>
      <c r="U22" s="3608"/>
      <c r="V22" s="3608"/>
      <c r="W22" s="3609"/>
      <c r="X22" s="3609"/>
      <c r="Y22" s="3609"/>
      <c r="Z22" s="3609"/>
      <c r="AA22" s="3609"/>
      <c r="AB22" s="3609"/>
      <c r="AC22" s="3609"/>
      <c r="AD22" s="3609"/>
      <c r="AE22" s="3609"/>
      <c r="AF22" s="3609"/>
      <c r="AG22" s="3609"/>
      <c r="AH22" s="3609"/>
      <c r="AI22" s="3609"/>
      <c r="AJ22" s="3609"/>
      <c r="AK22" s="3610"/>
      <c r="AL22" s="1695"/>
      <c r="AM22" s="3639" t="s">
        <v>123</v>
      </c>
      <c r="AN22" s="3640"/>
      <c r="AO22" s="3640"/>
      <c r="AP22" s="3640"/>
      <c r="AQ22" s="1592" t="s">
        <v>62</v>
      </c>
      <c r="AR22" s="1593">
        <f>MAX(AR20:AR21)</f>
        <v>0</v>
      </c>
      <c r="AS22" s="1594">
        <f>MAX(AS20:AS21)</f>
        <v>0</v>
      </c>
      <c r="AT22" s="1595">
        <f t="shared" ref="AT22" si="32">MAX(AT20:AT21)</f>
        <v>0</v>
      </c>
      <c r="AU22" s="1285"/>
      <c r="AV22" s="1688">
        <v>3</v>
      </c>
      <c r="AW22" s="1657">
        <v>1606.4</v>
      </c>
      <c r="AX22" s="1677">
        <v>15.1</v>
      </c>
      <c r="AY22" s="1677">
        <v>5.0999999999999996</v>
      </c>
      <c r="AZ22" s="1659">
        <f>+PI()*((AX22/2)^2)*AY22</f>
        <v>913.30103970488608</v>
      </c>
      <c r="BA22" s="1507"/>
      <c r="BB22" s="1616" t="s">
        <v>532</v>
      </c>
      <c r="BC22" s="3466">
        <f>+BJ1</f>
        <v>25</v>
      </c>
      <c r="BD22" s="3466"/>
      <c r="BE22" s="3466"/>
      <c r="BF22" s="3467"/>
      <c r="BG22" s="3468" t="s">
        <v>820</v>
      </c>
      <c r="BH22" s="3467"/>
      <c r="BI22" s="1648"/>
      <c r="BJ22" s="1616" t="s">
        <v>532</v>
      </c>
      <c r="BK22" s="3466">
        <f>+BP2</f>
        <v>25</v>
      </c>
      <c r="BL22" s="3466"/>
      <c r="BM22" s="3466"/>
      <c r="BN22" s="3466"/>
      <c r="BO22" s="3467"/>
      <c r="BP22" s="3468" t="s">
        <v>820</v>
      </c>
      <c r="BQ22" s="3467"/>
      <c r="BS22" s="1616" t="s">
        <v>532</v>
      </c>
      <c r="BT22" s="3466">
        <f>+BS2</f>
        <v>25</v>
      </c>
      <c r="BU22" s="3466"/>
      <c r="BV22" s="3466"/>
      <c r="BW22" s="3466"/>
      <c r="BX22" s="3466"/>
      <c r="BY22" s="3467"/>
      <c r="BZ22" s="3468" t="s">
        <v>820</v>
      </c>
      <c r="CA22" s="3467"/>
      <c r="CC22" s="1616" t="s">
        <v>532</v>
      </c>
      <c r="CD22" s="3466">
        <f>+BV2</f>
        <v>25</v>
      </c>
      <c r="CE22" s="3466"/>
      <c r="CF22" s="3466"/>
      <c r="CG22" s="3466"/>
      <c r="CH22" s="3466"/>
      <c r="CI22" s="3466"/>
      <c r="CJ22" s="3467"/>
      <c r="CK22" s="3468" t="s">
        <v>820</v>
      </c>
      <c r="CL22" s="3467"/>
    </row>
    <row r="23" spans="1:90" ht="12.95" customHeight="1">
      <c r="A23" s="1558">
        <f t="shared" si="24"/>
        <v>3.8099999999999996</v>
      </c>
      <c r="B23" s="1559" t="str">
        <f t="shared" si="25"/>
        <v/>
      </c>
      <c r="C23" s="1561" t="str">
        <f t="shared" si="26"/>
        <v/>
      </c>
      <c r="D23" s="1559" t="str">
        <f t="shared" si="27"/>
        <v/>
      </c>
      <c r="E23" s="1561" t="str">
        <f t="shared" si="30"/>
        <v/>
      </c>
      <c r="F23" s="1559" t="str">
        <f t="shared" si="28"/>
        <v/>
      </c>
      <c r="G23" s="1561" t="str">
        <f t="shared" si="31"/>
        <v/>
      </c>
      <c r="J23" s="3557" t="s">
        <v>764</v>
      </c>
      <c r="K23" s="3558"/>
      <c r="L23" s="3558"/>
      <c r="M23" s="3558"/>
      <c r="N23" s="3558"/>
      <c r="O23" s="3558"/>
      <c r="P23" s="3557" t="s">
        <v>571</v>
      </c>
      <c r="Q23" s="3558"/>
      <c r="R23" s="3558"/>
      <c r="S23" s="3558"/>
      <c r="T23" s="3558"/>
      <c r="U23" s="3558"/>
      <c r="V23" s="3559"/>
      <c r="W23" s="3611" t="s">
        <v>121</v>
      </c>
      <c r="X23" s="3612"/>
      <c r="Y23" s="3612"/>
      <c r="Z23" s="3612"/>
      <c r="AA23" s="3612"/>
      <c r="AB23" s="3612"/>
      <c r="AC23" s="3612"/>
      <c r="AD23" s="3612"/>
      <c r="AE23" s="3612"/>
      <c r="AF23" s="3612"/>
      <c r="AG23" s="3612"/>
      <c r="AH23" s="3612"/>
      <c r="AI23" s="3612"/>
      <c r="AJ23" s="3612"/>
      <c r="AK23" s="3613"/>
      <c r="AL23" s="1696"/>
      <c r="AM23" s="208"/>
      <c r="AN23" s="208"/>
      <c r="AO23" s="208"/>
      <c r="AP23" s="208"/>
      <c r="AQ23" s="208"/>
      <c r="AU23" s="1436"/>
      <c r="AV23" s="1675"/>
      <c r="AW23" s="1675"/>
      <c r="AX23" s="1309"/>
      <c r="AY23" s="1309"/>
      <c r="AZ23" s="1309"/>
      <c r="BA23" s="211"/>
      <c r="BB23" s="1529" t="s">
        <v>818</v>
      </c>
      <c r="BC23" s="1678" t="s">
        <v>825</v>
      </c>
      <c r="BD23" s="1678" t="s">
        <v>826</v>
      </c>
      <c r="BE23" s="1679" t="s">
        <v>827</v>
      </c>
      <c r="BF23" s="1680" t="s">
        <v>828</v>
      </c>
      <c r="BG23" s="1681" t="s">
        <v>331</v>
      </c>
      <c r="BH23" s="1682" t="s">
        <v>815</v>
      </c>
      <c r="BI23" s="1648"/>
      <c r="BJ23" s="1529" t="s">
        <v>818</v>
      </c>
      <c r="BK23" s="1678" t="s">
        <v>847</v>
      </c>
      <c r="BL23" s="1678" t="s">
        <v>848</v>
      </c>
      <c r="BM23" s="1678" t="s">
        <v>849</v>
      </c>
      <c r="BN23" s="1679" t="s">
        <v>850</v>
      </c>
      <c r="BO23" s="1680" t="s">
        <v>851</v>
      </c>
      <c r="BP23" s="1681" t="s">
        <v>331</v>
      </c>
      <c r="BQ23" s="1682" t="s">
        <v>815</v>
      </c>
      <c r="BS23" s="1529" t="s">
        <v>818</v>
      </c>
      <c r="BT23" s="1678" t="s">
        <v>852</v>
      </c>
      <c r="BU23" s="1678" t="s">
        <v>853</v>
      </c>
      <c r="BV23" s="1678" t="s">
        <v>854</v>
      </c>
      <c r="BW23" s="1678" t="s">
        <v>855</v>
      </c>
      <c r="BX23" s="1679" t="s">
        <v>856</v>
      </c>
      <c r="BY23" s="1680" t="s">
        <v>857</v>
      </c>
      <c r="BZ23" s="1681" t="s">
        <v>331</v>
      </c>
      <c r="CA23" s="1682" t="s">
        <v>815</v>
      </c>
      <c r="CC23" s="1529" t="s">
        <v>818</v>
      </c>
      <c r="CD23" s="1678" t="s">
        <v>837</v>
      </c>
      <c r="CE23" s="1678" t="s">
        <v>838</v>
      </c>
      <c r="CF23" s="1678" t="s">
        <v>839</v>
      </c>
      <c r="CG23" s="1678" t="s">
        <v>840</v>
      </c>
      <c r="CH23" s="1678" t="s">
        <v>841</v>
      </c>
      <c r="CI23" s="1679" t="s">
        <v>842</v>
      </c>
      <c r="CJ23" s="1680" t="s">
        <v>58</v>
      </c>
      <c r="CK23" s="1681" t="s">
        <v>331</v>
      </c>
      <c r="CL23" s="1682" t="s">
        <v>815</v>
      </c>
    </row>
    <row r="24" spans="1:90" ht="12.95" customHeight="1">
      <c r="A24" s="1558">
        <f t="shared" si="24"/>
        <v>4.4449999999999994</v>
      </c>
      <c r="B24" s="1559" t="str">
        <f t="shared" si="25"/>
        <v/>
      </c>
      <c r="C24" s="1561" t="str">
        <f t="shared" si="26"/>
        <v/>
      </c>
      <c r="D24" s="1559" t="str">
        <f t="shared" ref="D24:D28" si="33">+IF(AB31="","",AB31)</f>
        <v/>
      </c>
      <c r="E24" s="1561" t="str">
        <f t="shared" si="30"/>
        <v/>
      </c>
      <c r="F24" s="1559" t="str">
        <f t="shared" si="28"/>
        <v/>
      </c>
      <c r="G24" s="1561" t="str">
        <f t="shared" si="31"/>
        <v/>
      </c>
      <c r="J24" s="3614">
        <f t="shared" ref="J24:J35" si="34">25.4*P24</f>
        <v>0</v>
      </c>
      <c r="K24" s="3615"/>
      <c r="L24" s="3615"/>
      <c r="M24" s="3615"/>
      <c r="N24" s="3615"/>
      <c r="O24" s="3615"/>
      <c r="P24" s="3551">
        <v>0</v>
      </c>
      <c r="Q24" s="3552"/>
      <c r="R24" s="3552"/>
      <c r="S24" s="3552"/>
      <c r="T24" s="3552"/>
      <c r="U24" s="3552"/>
      <c r="V24" s="3553"/>
      <c r="W24" s="3554"/>
      <c r="X24" s="3555"/>
      <c r="Y24" s="3555"/>
      <c r="Z24" s="3555"/>
      <c r="AA24" s="3556"/>
      <c r="AB24" s="3554"/>
      <c r="AC24" s="3555"/>
      <c r="AD24" s="3555"/>
      <c r="AE24" s="3555"/>
      <c r="AF24" s="3556"/>
      <c r="AG24" s="3554"/>
      <c r="AH24" s="3555"/>
      <c r="AI24" s="3555"/>
      <c r="AJ24" s="3555"/>
      <c r="AK24" s="3556"/>
      <c r="AL24" s="200"/>
      <c r="AM24" s="3633" t="s">
        <v>806</v>
      </c>
      <c r="AN24" s="3635" t="s">
        <v>763</v>
      </c>
      <c r="AO24" s="3635" t="s">
        <v>814</v>
      </c>
      <c r="AP24" s="3637" t="s">
        <v>819</v>
      </c>
      <c r="AQ24" s="1619"/>
      <c r="AR24" s="3590" t="s">
        <v>816</v>
      </c>
      <c r="AS24" s="3591"/>
      <c r="AT24" s="3592"/>
      <c r="AV24" s="3603" t="s">
        <v>766</v>
      </c>
      <c r="AW24" s="3604"/>
      <c r="AX24" s="1697">
        <v>4.5426000000000002</v>
      </c>
      <c r="AY24" s="1698" t="s">
        <v>762</v>
      </c>
      <c r="AZ24" s="1309"/>
      <c r="BA24" s="158"/>
      <c r="BB24" s="1529" t="s">
        <v>810</v>
      </c>
      <c r="BC24" s="1660">
        <f t="array" ref="BC24:BF26">LINEST(BJ3:BJ14,BB3:BD14,TRUE,TRUE)</f>
        <v>0</v>
      </c>
      <c r="BD24" s="1660">
        <v>0</v>
      </c>
      <c r="BE24" s="1660">
        <v>0</v>
      </c>
      <c r="BF24" s="1683">
        <v>0</v>
      </c>
      <c r="BG24" s="1684" t="e">
        <f>+-BD24/(3*BC24)</f>
        <v>#DIV/0!</v>
      </c>
      <c r="BH24" s="1685" t="e">
        <f>+(BC24*BG24*BG24*BG24)+(BD24*BG24*BG24)+(BE24*BG24)+BF24</f>
        <v>#DIV/0!</v>
      </c>
      <c r="BI24" s="1676"/>
      <c r="BJ24" s="1529" t="s">
        <v>810</v>
      </c>
      <c r="BK24" s="1660">
        <f t="array" ref="BK24:BO26">LINEST(BJ3:BJ14,BB3:BE14,TRUE,TRUE)</f>
        <v>0</v>
      </c>
      <c r="BL24" s="1660">
        <v>0</v>
      </c>
      <c r="BM24" s="1660">
        <v>0</v>
      </c>
      <c r="BN24" s="1660">
        <v>0</v>
      </c>
      <c r="BO24" s="1683">
        <v>0</v>
      </c>
      <c r="BP24" s="1684"/>
      <c r="BQ24" s="1685"/>
      <c r="BS24" s="1529" t="s">
        <v>810</v>
      </c>
      <c r="BT24" s="1660">
        <f t="array" ref="BT24:BY26">LINEST(BJ3:BJ14,BB3:BF14,TRUE,TRUE)</f>
        <v>0</v>
      </c>
      <c r="BU24" s="1660">
        <v>0</v>
      </c>
      <c r="BV24" s="1660">
        <v>0</v>
      </c>
      <c r="BW24" s="1660">
        <v>0</v>
      </c>
      <c r="BX24" s="1660">
        <v>0</v>
      </c>
      <c r="BY24" s="1683">
        <v>0</v>
      </c>
      <c r="BZ24" s="1684"/>
      <c r="CA24" s="1685"/>
      <c r="CC24" s="1529" t="s">
        <v>810</v>
      </c>
      <c r="CD24" s="1660">
        <f t="array" ref="CD24:CJ26">LINEST(BJ3:BJ14,BB3:BG14,TRUE,TRUE)</f>
        <v>0</v>
      </c>
      <c r="CE24" s="1660">
        <v>0</v>
      </c>
      <c r="CF24" s="1660">
        <v>0</v>
      </c>
      <c r="CG24" s="1660">
        <v>0</v>
      </c>
      <c r="CH24" s="1660">
        <v>0</v>
      </c>
      <c r="CI24" s="1660">
        <v>0</v>
      </c>
      <c r="CJ24" s="1683">
        <v>0</v>
      </c>
      <c r="CK24" s="1684"/>
      <c r="CL24" s="1685"/>
    </row>
    <row r="25" spans="1:90" ht="12.95" customHeight="1">
      <c r="A25" s="1558">
        <f t="shared" si="24"/>
        <v>5.08</v>
      </c>
      <c r="B25" s="1559" t="str">
        <f t="shared" si="25"/>
        <v/>
      </c>
      <c r="C25" s="1561" t="str">
        <f t="shared" si="26"/>
        <v/>
      </c>
      <c r="D25" s="1559" t="str">
        <f t="shared" si="33"/>
        <v/>
      </c>
      <c r="E25" s="1561" t="str">
        <f t="shared" si="30"/>
        <v/>
      </c>
      <c r="F25" s="1559" t="str">
        <f t="shared" si="28"/>
        <v/>
      </c>
      <c r="G25" s="1561" t="str">
        <f t="shared" si="31"/>
        <v/>
      </c>
      <c r="J25" s="3549">
        <f t="shared" si="34"/>
        <v>0.63500000000000001</v>
      </c>
      <c r="K25" s="3550"/>
      <c r="L25" s="3550"/>
      <c r="M25" s="3550"/>
      <c r="N25" s="3550"/>
      <c r="O25" s="3550"/>
      <c r="P25" s="3551">
        <v>2.5000000000000001E-2</v>
      </c>
      <c r="Q25" s="3552"/>
      <c r="R25" s="3552"/>
      <c r="S25" s="3552"/>
      <c r="T25" s="3552"/>
      <c r="U25" s="3552"/>
      <c r="V25" s="3553"/>
      <c r="W25" s="3554"/>
      <c r="X25" s="3555"/>
      <c r="Y25" s="3555"/>
      <c r="Z25" s="3555"/>
      <c r="AA25" s="3556"/>
      <c r="AB25" s="3554"/>
      <c r="AC25" s="3555"/>
      <c r="AD25" s="3555"/>
      <c r="AE25" s="3555"/>
      <c r="AF25" s="3556"/>
      <c r="AG25" s="3554"/>
      <c r="AH25" s="3555"/>
      <c r="AI25" s="3555"/>
      <c r="AJ25" s="3555"/>
      <c r="AK25" s="3556"/>
      <c r="AL25" s="200"/>
      <c r="AM25" s="3634"/>
      <c r="AN25" s="3636"/>
      <c r="AO25" s="3636"/>
      <c r="AP25" s="3638"/>
      <c r="AQ25" s="1619"/>
      <c r="AR25" s="3593" t="str">
        <f>CONCATENATE(AM17," ",AQ17)</f>
        <v>Peso unitario seco kN/m³</v>
      </c>
      <c r="AS25" s="3594"/>
      <c r="AT25" s="3597" t="str">
        <f>+CONCATENATE(AM22," ",AQ22)</f>
        <v>CBR %</v>
      </c>
      <c r="AV25" s="3605" t="s">
        <v>767</v>
      </c>
      <c r="AW25" s="3606"/>
      <c r="AX25" s="1649">
        <f>458/10</f>
        <v>45.8</v>
      </c>
      <c r="AY25" s="1603" t="s">
        <v>761</v>
      </c>
      <c r="AZ25" s="1528"/>
      <c r="BA25" s="158"/>
      <c r="BB25" s="1529" t="s">
        <v>811</v>
      </c>
      <c r="BC25" s="1660">
        <v>0</v>
      </c>
      <c r="BD25" s="1660">
        <v>0</v>
      </c>
      <c r="BE25" s="1660">
        <v>0</v>
      </c>
      <c r="BF25" s="1683">
        <v>0</v>
      </c>
      <c r="BG25" s="3469" t="s">
        <v>832</v>
      </c>
      <c r="BH25" s="3470"/>
      <c r="BI25" s="1676"/>
      <c r="BJ25" s="1529" t="s">
        <v>811</v>
      </c>
      <c r="BK25" s="1660">
        <v>0</v>
      </c>
      <c r="BL25" s="1660">
        <v>0</v>
      </c>
      <c r="BM25" s="1660">
        <v>0</v>
      </c>
      <c r="BN25" s="1660">
        <v>0</v>
      </c>
      <c r="BO25" s="1683">
        <v>0</v>
      </c>
      <c r="BP25" s="3469" t="s">
        <v>832</v>
      </c>
      <c r="BQ25" s="3470"/>
      <c r="BS25" s="1529" t="s">
        <v>811</v>
      </c>
      <c r="BT25" s="1660">
        <v>0</v>
      </c>
      <c r="BU25" s="1660">
        <v>0</v>
      </c>
      <c r="BV25" s="1660">
        <v>0</v>
      </c>
      <c r="BW25" s="1660">
        <v>0</v>
      </c>
      <c r="BX25" s="1660">
        <v>0</v>
      </c>
      <c r="BY25" s="1683">
        <v>0</v>
      </c>
      <c r="BZ25" s="3469" t="s">
        <v>832</v>
      </c>
      <c r="CA25" s="3470"/>
      <c r="CC25" s="1529" t="s">
        <v>811</v>
      </c>
      <c r="CD25" s="1660">
        <v>0</v>
      </c>
      <c r="CE25" s="1660">
        <v>0</v>
      </c>
      <c r="CF25" s="1660">
        <v>0</v>
      </c>
      <c r="CG25" s="1660">
        <v>0</v>
      </c>
      <c r="CH25" s="1660">
        <v>0</v>
      </c>
      <c r="CI25" s="1660">
        <v>0</v>
      </c>
      <c r="CJ25" s="1683">
        <v>0</v>
      </c>
      <c r="CK25" s="3469" t="s">
        <v>832</v>
      </c>
      <c r="CL25" s="3470"/>
    </row>
    <row r="26" spans="1:90" ht="12.95" customHeight="1">
      <c r="A26" s="1558">
        <f t="shared" si="24"/>
        <v>7.6199999999999992</v>
      </c>
      <c r="B26" s="1559" t="str">
        <f t="shared" si="25"/>
        <v/>
      </c>
      <c r="C26" s="1561" t="str">
        <f t="shared" si="26"/>
        <v/>
      </c>
      <c r="D26" s="1559" t="str">
        <f t="shared" si="33"/>
        <v/>
      </c>
      <c r="E26" s="1561" t="str">
        <f t="shared" si="30"/>
        <v/>
      </c>
      <c r="F26" s="1559" t="str">
        <f t="shared" si="28"/>
        <v/>
      </c>
      <c r="G26" s="1561" t="str">
        <f t="shared" si="31"/>
        <v/>
      </c>
      <c r="J26" s="3549">
        <f t="shared" si="34"/>
        <v>1.27</v>
      </c>
      <c r="K26" s="3550"/>
      <c r="L26" s="3550"/>
      <c r="M26" s="3550"/>
      <c r="N26" s="3550"/>
      <c r="O26" s="3550"/>
      <c r="P26" s="3551">
        <v>0.05</v>
      </c>
      <c r="Q26" s="3552"/>
      <c r="R26" s="3552"/>
      <c r="S26" s="3552"/>
      <c r="T26" s="3552"/>
      <c r="U26" s="3552"/>
      <c r="V26" s="3553"/>
      <c r="W26" s="3554"/>
      <c r="X26" s="3555"/>
      <c r="Y26" s="3555"/>
      <c r="Z26" s="3555"/>
      <c r="AA26" s="3556"/>
      <c r="AB26" s="3554"/>
      <c r="AC26" s="3555"/>
      <c r="AD26" s="3555"/>
      <c r="AE26" s="3555"/>
      <c r="AF26" s="3556"/>
      <c r="AG26" s="3554"/>
      <c r="AH26" s="3555"/>
      <c r="AI26" s="3555"/>
      <c r="AJ26" s="3555"/>
      <c r="AK26" s="3556"/>
      <c r="AL26" s="200"/>
      <c r="AM26" s="3634"/>
      <c r="AN26" s="3636"/>
      <c r="AO26" s="3636"/>
      <c r="AP26" s="3638"/>
      <c r="AQ26" s="1619"/>
      <c r="AR26" s="3595"/>
      <c r="AS26" s="3596"/>
      <c r="AT26" s="3598"/>
      <c r="AV26" s="3600" t="s">
        <v>108</v>
      </c>
      <c r="AW26" s="3601"/>
      <c r="AX26" s="3630">
        <v>5</v>
      </c>
      <c r="AY26" s="3631"/>
      <c r="AZ26" s="1604"/>
      <c r="BA26" s="158"/>
      <c r="BB26" s="1531" t="s">
        <v>812</v>
      </c>
      <c r="BC26" s="1689">
        <v>1</v>
      </c>
      <c r="BD26" s="1689">
        <v>0</v>
      </c>
      <c r="BE26" s="1689" t="e">
        <v>#N/A</v>
      </c>
      <c r="BF26" s="1690" t="e">
        <v>#N/A</v>
      </c>
      <c r="BG26" s="3654" t="e">
        <f>IF(BB4&gt;BG24,"el valor de X no es menor al punto de inflexión",IF(AND(BM4&lt;0,BB4&lt;BG24),"concavo","Convexo"))</f>
        <v>#DIV/0!</v>
      </c>
      <c r="BH26" s="3655"/>
      <c r="BI26" s="1676"/>
      <c r="BJ26" s="1531" t="s">
        <v>812</v>
      </c>
      <c r="BK26" s="1699">
        <v>1</v>
      </c>
      <c r="BL26" s="1689">
        <v>0</v>
      </c>
      <c r="BM26" s="1689" t="e">
        <v>#N/A</v>
      </c>
      <c r="BN26" s="1689" t="e">
        <v>#N/A</v>
      </c>
      <c r="BO26" s="1690" t="e">
        <v>#N/A</v>
      </c>
      <c r="BP26" s="3471" t="str">
        <f>IF(BM10&gt;BP24,"el valor de X no es menor al punto de inflexión",IF(AND(BU10&lt;0,BM10&lt;BP24),"concavo hacia abajo","Convexo"))</f>
        <v>Convexo</v>
      </c>
      <c r="BQ26" s="3472"/>
      <c r="BS26" s="1531" t="s">
        <v>812</v>
      </c>
      <c r="BT26" s="1700">
        <v>1</v>
      </c>
      <c r="BU26" s="1689">
        <v>0</v>
      </c>
      <c r="BV26" s="1689" t="e">
        <v>#N/A</v>
      </c>
      <c r="BW26" s="1689" t="e">
        <v>#N/A</v>
      </c>
      <c r="BX26" s="1689" t="e">
        <v>#N/A</v>
      </c>
      <c r="BY26" s="1690" t="e">
        <v>#N/A</v>
      </c>
      <c r="BZ26" s="3471" t="str">
        <f>IF(BW10&gt;BZ24,"el valor de X no es menor al punto de inflexión",IF(AND(CE10&lt;0,BW10&lt;BZ24),"concavo hacia abajo","Convexo"))</f>
        <v>Convexo</v>
      </c>
      <c r="CA26" s="3472"/>
      <c r="CC26" s="1531" t="s">
        <v>812</v>
      </c>
      <c r="CD26" s="1700">
        <v>1</v>
      </c>
      <c r="CE26" s="1689">
        <v>0</v>
      </c>
      <c r="CF26" s="1689" t="e">
        <v>#N/A</v>
      </c>
      <c r="CG26" s="1689" t="e">
        <v>#N/A</v>
      </c>
      <c r="CH26" s="1689" t="e">
        <v>#N/A</v>
      </c>
      <c r="CI26" s="1689" t="e">
        <v>#N/A</v>
      </c>
      <c r="CJ26" s="1690" t="e">
        <v>#N/A</v>
      </c>
      <c r="CK26" s="3471" t="str">
        <f>IF(CH10&gt;CK24,"el valor de X no es menor al punto de inflexión",IF(AND(CP10&lt;0,CH10&lt;CK24),"concavo hacia abajo","Convexo"))</f>
        <v>Convexo</v>
      </c>
      <c r="CL26" s="3472"/>
    </row>
    <row r="27" spans="1:90" ht="12.95" customHeight="1">
      <c r="A27" s="1558">
        <f t="shared" si="24"/>
        <v>10.16</v>
      </c>
      <c r="B27" s="1559" t="str">
        <f t="shared" si="25"/>
        <v/>
      </c>
      <c r="C27" s="1561" t="str">
        <f t="shared" si="26"/>
        <v/>
      </c>
      <c r="D27" s="1559" t="str">
        <f t="shared" si="33"/>
        <v/>
      </c>
      <c r="E27" s="1561" t="str">
        <f t="shared" si="30"/>
        <v/>
      </c>
      <c r="F27" s="1559" t="str">
        <f t="shared" si="28"/>
        <v/>
      </c>
      <c r="G27" s="1561" t="str">
        <f t="shared" si="31"/>
        <v/>
      </c>
      <c r="J27" s="3549">
        <f t="shared" si="34"/>
        <v>1.9049999999999998</v>
      </c>
      <c r="K27" s="3550"/>
      <c r="L27" s="3550"/>
      <c r="M27" s="3550"/>
      <c r="N27" s="3550"/>
      <c r="O27" s="3550"/>
      <c r="P27" s="3551">
        <v>7.4999999999999997E-2</v>
      </c>
      <c r="Q27" s="3552"/>
      <c r="R27" s="3552"/>
      <c r="S27" s="3552"/>
      <c r="T27" s="3552"/>
      <c r="U27" s="3552"/>
      <c r="V27" s="3553"/>
      <c r="W27" s="3554"/>
      <c r="X27" s="3555"/>
      <c r="Y27" s="3555"/>
      <c r="Z27" s="3555"/>
      <c r="AA27" s="3556"/>
      <c r="AB27" s="3554"/>
      <c r="AC27" s="3555"/>
      <c r="AD27" s="3555"/>
      <c r="AE27" s="3555"/>
      <c r="AF27" s="3556"/>
      <c r="AG27" s="3554"/>
      <c r="AH27" s="3555"/>
      <c r="AI27" s="3555"/>
      <c r="AJ27" s="3555"/>
      <c r="AK27" s="3556"/>
      <c r="AL27" s="200"/>
      <c r="AM27" s="1621">
        <v>100</v>
      </c>
      <c r="AN27" s="1620" t="str">
        <f>IF(AX32="","",$AX$32*AM27/100)</f>
        <v/>
      </c>
      <c r="AO27" s="1620" t="str">
        <f>+IF(AN27="","",(AN27*9.8066)/1000)</f>
        <v/>
      </c>
      <c r="AP27" s="1622" t="str">
        <f>IF(AN27="","",($AR$33*AO27*AO27)+($AS$33*AO27)+$AT$33)</f>
        <v/>
      </c>
      <c r="AQ27" s="1619"/>
      <c r="AR27" s="1701" t="s">
        <v>331</v>
      </c>
      <c r="AS27" s="1702" t="s">
        <v>817</v>
      </c>
      <c r="AT27" s="1703" t="s">
        <v>815</v>
      </c>
      <c r="AV27" s="3602"/>
      <c r="AW27" s="3602"/>
      <c r="AX27" s="1704"/>
      <c r="AY27" s="1"/>
      <c r="AZ27" s="1648"/>
      <c r="BA27" s="158"/>
      <c r="BB27" s="1676"/>
      <c r="BC27" s="1676"/>
      <c r="BD27" s="1676"/>
      <c r="BE27" s="1676"/>
      <c r="BF27" s="1676"/>
      <c r="BG27" s="1676"/>
      <c r="BH27" s="1676"/>
      <c r="BI27" s="1676"/>
      <c r="BJ27" s="1676"/>
      <c r="BK27" s="1676"/>
    </row>
    <row r="28" spans="1:90" ht="12.95" customHeight="1">
      <c r="A28" s="1558">
        <f t="shared" si="24"/>
        <v>12.7</v>
      </c>
      <c r="B28" s="1559" t="str">
        <f t="shared" si="25"/>
        <v/>
      </c>
      <c r="C28" s="1561" t="str">
        <f t="shared" si="26"/>
        <v/>
      </c>
      <c r="D28" s="1559" t="str">
        <f t="shared" si="33"/>
        <v/>
      </c>
      <c r="E28" s="1561" t="str">
        <f t="shared" si="30"/>
        <v/>
      </c>
      <c r="F28" s="1559" t="str">
        <f t="shared" si="28"/>
        <v/>
      </c>
      <c r="G28" s="1561" t="str">
        <f t="shared" si="31"/>
        <v/>
      </c>
      <c r="J28" s="3549">
        <f t="shared" si="34"/>
        <v>2.54</v>
      </c>
      <c r="K28" s="3550"/>
      <c r="L28" s="3550"/>
      <c r="M28" s="3550"/>
      <c r="N28" s="3550"/>
      <c r="O28" s="3550"/>
      <c r="P28" s="3551">
        <v>0.1</v>
      </c>
      <c r="Q28" s="3552"/>
      <c r="R28" s="3552"/>
      <c r="S28" s="3552"/>
      <c r="T28" s="3552"/>
      <c r="U28" s="3552"/>
      <c r="V28" s="3553"/>
      <c r="W28" s="3554"/>
      <c r="X28" s="3555"/>
      <c r="Y28" s="3555"/>
      <c r="Z28" s="3555"/>
      <c r="AA28" s="3556"/>
      <c r="AB28" s="3554"/>
      <c r="AC28" s="3555"/>
      <c r="AD28" s="3555"/>
      <c r="AE28" s="3555"/>
      <c r="AF28" s="3556"/>
      <c r="AG28" s="3554"/>
      <c r="AH28" s="3555"/>
      <c r="AI28" s="3555"/>
      <c r="AJ28" s="3555"/>
      <c r="AK28" s="3556"/>
      <c r="AL28" s="200"/>
      <c r="AM28" s="1621">
        <v>98</v>
      </c>
      <c r="AN28" s="1620" t="str">
        <f>IF(AX32="","",$AX$32*AM28/100)</f>
        <v/>
      </c>
      <c r="AO28" s="1620" t="str">
        <f t="shared" ref="AO28:AO30" si="35">+IF(AN28="","",(AN28*9.8066)/1000)</f>
        <v/>
      </c>
      <c r="AP28" s="1622" t="str">
        <f>IF(AN28="","",($AR$33*AO28*AO28)+($AS$33*AO28)+$AT$33)</f>
        <v/>
      </c>
      <c r="AQ28" s="1619"/>
      <c r="AR28" s="1705" t="e">
        <f>+AR17</f>
        <v>#VALUE!</v>
      </c>
      <c r="AS28" s="1706" t="e">
        <f>+Tabla14[[#This Row],[x]]*Tabla14[[#This Row],[x]]</f>
        <v>#VALUE!</v>
      </c>
      <c r="AT28" s="1707">
        <f>+AR22</f>
        <v>0</v>
      </c>
      <c r="AV28" s="3633" t="s">
        <v>813</v>
      </c>
      <c r="AW28" s="3635"/>
      <c r="AX28" s="3635"/>
      <c r="AY28" s="3659"/>
      <c r="AZ28" s="1528"/>
      <c r="BA28" s="158"/>
      <c r="BB28" s="1616" t="s">
        <v>532</v>
      </c>
      <c r="BC28" s="3466">
        <f>+BK1</f>
        <v>10</v>
      </c>
      <c r="BD28" s="3466"/>
      <c r="BE28" s="3466"/>
      <c r="BF28" s="3467"/>
      <c r="BG28" s="3468" t="s">
        <v>820</v>
      </c>
      <c r="BH28" s="3467"/>
      <c r="BI28" s="1676"/>
      <c r="BJ28" s="1616" t="s">
        <v>532</v>
      </c>
      <c r="BK28" s="3466">
        <f>+BQ2</f>
        <v>10</v>
      </c>
      <c r="BL28" s="3466"/>
      <c r="BM28" s="3466"/>
      <c r="BN28" s="3466"/>
      <c r="BO28" s="3467"/>
      <c r="BP28" s="3468" t="s">
        <v>820</v>
      </c>
      <c r="BQ28" s="3467"/>
      <c r="BS28" s="1616" t="s">
        <v>532</v>
      </c>
      <c r="BT28" s="3466">
        <f>+BT2</f>
        <v>10</v>
      </c>
      <c r="BU28" s="3466"/>
      <c r="BV28" s="3466"/>
      <c r="BW28" s="3466"/>
      <c r="BX28" s="3466"/>
      <c r="BY28" s="3467"/>
      <c r="BZ28" s="3468" t="s">
        <v>820</v>
      </c>
      <c r="CA28" s="3467"/>
      <c r="CC28" s="1616" t="s">
        <v>532</v>
      </c>
      <c r="CD28" s="3466">
        <f>+BW2</f>
        <v>10</v>
      </c>
      <c r="CE28" s="3466"/>
      <c r="CF28" s="3466"/>
      <c r="CG28" s="3466"/>
      <c r="CH28" s="3466"/>
      <c r="CI28" s="3466"/>
      <c r="CJ28" s="3467"/>
      <c r="CK28" s="3468" t="s">
        <v>820</v>
      </c>
      <c r="CL28" s="3467"/>
    </row>
    <row r="29" spans="1:90" ht="15" customHeight="1">
      <c r="A29" s="1563" t="s">
        <v>804</v>
      </c>
      <c r="B29" s="3574" t="str">
        <f>+IF(C21="","",(C21/6.9)*100)</f>
        <v/>
      </c>
      <c r="C29" s="3575"/>
      <c r="D29" s="3574" t="str">
        <f>+IF(E21="","",IF(E21="","",(E21/6.9)*100))</f>
        <v/>
      </c>
      <c r="E29" s="3575"/>
      <c r="F29" s="3574" t="str">
        <f>+IF(G21="","",(G21/6.9)*100)</f>
        <v/>
      </c>
      <c r="G29" s="3575"/>
      <c r="J29" s="3549">
        <f t="shared" si="34"/>
        <v>3.1749999999999998</v>
      </c>
      <c r="K29" s="3550"/>
      <c r="L29" s="3550"/>
      <c r="M29" s="3550"/>
      <c r="N29" s="3550"/>
      <c r="O29" s="3550"/>
      <c r="P29" s="3551">
        <v>0.125</v>
      </c>
      <c r="Q29" s="3552"/>
      <c r="R29" s="3552"/>
      <c r="S29" s="3552"/>
      <c r="T29" s="3552"/>
      <c r="U29" s="3552"/>
      <c r="V29" s="3553"/>
      <c r="W29" s="3554"/>
      <c r="X29" s="3555"/>
      <c r="Y29" s="3555"/>
      <c r="Z29" s="3555"/>
      <c r="AA29" s="3556"/>
      <c r="AB29" s="3554"/>
      <c r="AC29" s="3555"/>
      <c r="AD29" s="3555"/>
      <c r="AE29" s="3555"/>
      <c r="AF29" s="3556"/>
      <c r="AG29" s="3554"/>
      <c r="AH29" s="3555"/>
      <c r="AI29" s="3555"/>
      <c r="AJ29" s="3555"/>
      <c r="AK29" s="3556"/>
      <c r="AL29" s="200"/>
      <c r="AM29" s="1621">
        <v>95</v>
      </c>
      <c r="AN29" s="1620" t="str">
        <f>IF(AX32="","",$AX$32*AM29/100)</f>
        <v/>
      </c>
      <c r="AO29" s="1620" t="str">
        <f t="shared" si="35"/>
        <v/>
      </c>
      <c r="AP29" s="1622" t="str">
        <f>IF(AN29="","",($AR$33*AO29*AO29)+($AS$33*AO29)+$AT$33)</f>
        <v/>
      </c>
      <c r="AQ29" s="1619"/>
      <c r="AR29" s="1705" t="e">
        <f>+AS17</f>
        <v>#VALUE!</v>
      </c>
      <c r="AS29" s="1706" t="e">
        <f>+Tabla14[[#This Row],[x]]*Tabla14[[#This Row],[x]]</f>
        <v>#VALUE!</v>
      </c>
      <c r="AT29" s="1707">
        <f>+AS22</f>
        <v>0</v>
      </c>
      <c r="AV29" s="3634"/>
      <c r="AW29" s="3636"/>
      <c r="AX29" s="3636"/>
      <c r="AY29" s="3660"/>
      <c r="AZ29" s="1676"/>
      <c r="BA29" s="158"/>
      <c r="BB29" s="1529" t="s">
        <v>818</v>
      </c>
      <c r="BC29" s="1678" t="s">
        <v>825</v>
      </c>
      <c r="BD29" s="1678" t="s">
        <v>826</v>
      </c>
      <c r="BE29" s="1679" t="s">
        <v>827</v>
      </c>
      <c r="BF29" s="1680" t="s">
        <v>828</v>
      </c>
      <c r="BG29" s="1681" t="s">
        <v>331</v>
      </c>
      <c r="BH29" s="1682" t="s">
        <v>815</v>
      </c>
      <c r="BI29" s="1676"/>
      <c r="BJ29" s="1529" t="s">
        <v>818</v>
      </c>
      <c r="BK29" s="1678" t="s">
        <v>847</v>
      </c>
      <c r="BL29" s="1678" t="s">
        <v>848</v>
      </c>
      <c r="BM29" s="1678" t="s">
        <v>849</v>
      </c>
      <c r="BN29" s="1679" t="s">
        <v>850</v>
      </c>
      <c r="BO29" s="1680" t="s">
        <v>851</v>
      </c>
      <c r="BP29" s="1681" t="s">
        <v>331</v>
      </c>
      <c r="BQ29" s="1682" t="s">
        <v>815</v>
      </c>
      <c r="BS29" s="1529" t="s">
        <v>818</v>
      </c>
      <c r="BT29" s="1678" t="s">
        <v>852</v>
      </c>
      <c r="BU29" s="1678" t="s">
        <v>853</v>
      </c>
      <c r="BV29" s="1678" t="s">
        <v>854</v>
      </c>
      <c r="BW29" s="1678" t="s">
        <v>855</v>
      </c>
      <c r="BX29" s="1679" t="s">
        <v>856</v>
      </c>
      <c r="BY29" s="1680" t="s">
        <v>857</v>
      </c>
      <c r="BZ29" s="1681" t="s">
        <v>331</v>
      </c>
      <c r="CA29" s="1682" t="s">
        <v>815</v>
      </c>
      <c r="CC29" s="1529" t="s">
        <v>818</v>
      </c>
      <c r="CD29" s="1678" t="s">
        <v>837</v>
      </c>
      <c r="CE29" s="1678" t="s">
        <v>838</v>
      </c>
      <c r="CF29" s="1678" t="s">
        <v>839</v>
      </c>
      <c r="CG29" s="1678" t="s">
        <v>840</v>
      </c>
      <c r="CH29" s="1678" t="s">
        <v>841</v>
      </c>
      <c r="CI29" s="1679" t="s">
        <v>842</v>
      </c>
      <c r="CJ29" s="1680" t="s">
        <v>58</v>
      </c>
      <c r="CK29" s="1681" t="s">
        <v>331</v>
      </c>
      <c r="CL29" s="1682" t="s">
        <v>815</v>
      </c>
    </row>
    <row r="30" spans="1:90" ht="15" customHeight="1">
      <c r="A30" s="1564" t="s">
        <v>805</v>
      </c>
      <c r="B30" s="3570" t="str">
        <f>IF(C25="","",(C25/10.3)*100)</f>
        <v/>
      </c>
      <c r="C30" s="3571"/>
      <c r="D30" s="3570" t="str">
        <f>+IF(E25="","",(E25/10.3)*100)</f>
        <v/>
      </c>
      <c r="E30" s="3571"/>
      <c r="F30" s="3570" t="str">
        <f>+IF(G25="","",(G25/10.3)*100)</f>
        <v/>
      </c>
      <c r="G30" s="3571"/>
      <c r="J30" s="3549">
        <f t="shared" si="34"/>
        <v>3.8099999999999996</v>
      </c>
      <c r="K30" s="3550"/>
      <c r="L30" s="3550"/>
      <c r="M30" s="3550"/>
      <c r="N30" s="3550"/>
      <c r="O30" s="3550"/>
      <c r="P30" s="3551">
        <v>0.15</v>
      </c>
      <c r="Q30" s="3552"/>
      <c r="R30" s="3552"/>
      <c r="S30" s="3552"/>
      <c r="T30" s="3552"/>
      <c r="U30" s="3552"/>
      <c r="V30" s="3553"/>
      <c r="W30" s="3554"/>
      <c r="X30" s="3555"/>
      <c r="Y30" s="3555"/>
      <c r="Z30" s="3555"/>
      <c r="AA30" s="3556"/>
      <c r="AB30" s="3554"/>
      <c r="AC30" s="3555"/>
      <c r="AD30" s="3555"/>
      <c r="AE30" s="3555"/>
      <c r="AF30" s="3556"/>
      <c r="AG30" s="3554"/>
      <c r="AH30" s="3555"/>
      <c r="AI30" s="3555"/>
      <c r="AJ30" s="3555"/>
      <c r="AK30" s="3556"/>
      <c r="AL30" s="200"/>
      <c r="AM30" s="1623">
        <v>90</v>
      </c>
      <c r="AN30" s="1624" t="str">
        <f>IF(AX32="","",$AX$32*AM30/100)</f>
        <v/>
      </c>
      <c r="AO30" s="1624" t="str">
        <f t="shared" si="35"/>
        <v/>
      </c>
      <c r="AP30" s="1625" t="str">
        <f>IF(AN30="","",($AR$33*AO30*AO30)+($AS$33*AO30)+$AT$33)</f>
        <v/>
      </c>
      <c r="AQ30" s="1619"/>
      <c r="AR30" s="1708" t="e">
        <f>+AT17</f>
        <v>#VALUE!</v>
      </c>
      <c r="AS30" s="1709" t="e">
        <f>+Tabla14[[#This Row],[x]]*Tabla14[[#This Row],[x]]</f>
        <v>#VALUE!</v>
      </c>
      <c r="AT30" s="1710">
        <f>+AT22</f>
        <v>0</v>
      </c>
      <c r="AV30" s="3634" t="str">
        <f>+PROCTOR!G31</f>
        <v>Humedad óptima:</v>
      </c>
      <c r="AW30" s="3636"/>
      <c r="AX30" s="3656" t="str">
        <f>+PROCTOR!J31</f>
        <v/>
      </c>
      <c r="AY30" s="3665" t="s">
        <v>62</v>
      </c>
      <c r="BA30" s="158"/>
      <c r="BB30" s="1529" t="s">
        <v>810</v>
      </c>
      <c r="BC30" s="1660">
        <f t="array" ref="BC30:BF32">LINEST(BK3:BK14,BB3:BD14,TRUE,TRUE)</f>
        <v>0</v>
      </c>
      <c r="BD30" s="1660">
        <v>0</v>
      </c>
      <c r="BE30" s="1660">
        <v>0</v>
      </c>
      <c r="BF30" s="1683">
        <v>0</v>
      </c>
      <c r="BG30" s="1684" t="e">
        <f>+-BD30/(3*BC30)</f>
        <v>#DIV/0!</v>
      </c>
      <c r="BH30" s="1685" t="e">
        <f>+(BC30*BG30*BG30*BG30)+(BD30*BG30*BG30)+(BE30*BG30)+BF30</f>
        <v>#DIV/0!</v>
      </c>
      <c r="BI30" s="1676"/>
      <c r="BJ30" s="1529" t="s">
        <v>810</v>
      </c>
      <c r="BK30" s="1660">
        <f t="array" ref="BK30:BO32">LINEST(BK3:BK14,BB3:BE14,TRUE,TRUE)</f>
        <v>0</v>
      </c>
      <c r="BL30" s="1660">
        <v>0</v>
      </c>
      <c r="BM30" s="1660">
        <v>0</v>
      </c>
      <c r="BN30" s="1660">
        <v>0</v>
      </c>
      <c r="BO30" s="1683">
        <v>0</v>
      </c>
      <c r="BP30" s="1684"/>
      <c r="BQ30" s="1685"/>
      <c r="BS30" s="1529" t="s">
        <v>810</v>
      </c>
      <c r="BT30" s="1660">
        <f t="array" ref="BT30:BY32">LINEST(BK3:BK14,BB3:BF14,TRUE,TRUE)</f>
        <v>0</v>
      </c>
      <c r="BU30" s="1660">
        <v>0</v>
      </c>
      <c r="BV30" s="1660">
        <v>0</v>
      </c>
      <c r="BW30" s="1660">
        <v>0</v>
      </c>
      <c r="BX30" s="1660">
        <v>0</v>
      </c>
      <c r="BY30" s="1683">
        <v>0</v>
      </c>
      <c r="BZ30" s="1684"/>
      <c r="CA30" s="1685"/>
      <c r="CC30" s="1529" t="s">
        <v>810</v>
      </c>
      <c r="CD30" s="1660">
        <f t="array" ref="CD30:CJ32">LINEST(BK3:BK14,BB3:BG14,TRUE,TRUE)</f>
        <v>0</v>
      </c>
      <c r="CE30" s="1660">
        <v>0</v>
      </c>
      <c r="CF30" s="1660">
        <v>0</v>
      </c>
      <c r="CG30" s="1660">
        <v>0</v>
      </c>
      <c r="CH30" s="1660">
        <v>0</v>
      </c>
      <c r="CI30" s="1660">
        <v>0</v>
      </c>
      <c r="CJ30" s="1683">
        <v>0</v>
      </c>
      <c r="CK30" s="1684"/>
      <c r="CL30" s="1685"/>
    </row>
    <row r="31" spans="1:90" ht="12" customHeight="1">
      <c r="A31" s="3580"/>
      <c r="B31" s="3581"/>
      <c r="C31" s="3581"/>
      <c r="D31" s="3581"/>
      <c r="E31" s="3581"/>
      <c r="F31" s="3581"/>
      <c r="G31" s="3582"/>
      <c r="J31" s="3549">
        <f t="shared" si="34"/>
        <v>4.4449999999999994</v>
      </c>
      <c r="K31" s="3550"/>
      <c r="L31" s="3550"/>
      <c r="M31" s="3550"/>
      <c r="N31" s="3550"/>
      <c r="O31" s="3550"/>
      <c r="P31" s="3551">
        <v>0.17499999999999999</v>
      </c>
      <c r="Q31" s="3552"/>
      <c r="R31" s="3552"/>
      <c r="S31" s="3552"/>
      <c r="T31" s="3552"/>
      <c r="U31" s="3552"/>
      <c r="V31" s="3553"/>
      <c r="W31" s="3554"/>
      <c r="X31" s="3555"/>
      <c r="Y31" s="3555"/>
      <c r="Z31" s="3555"/>
      <c r="AA31" s="3556"/>
      <c r="AB31" s="3554"/>
      <c r="AC31" s="3555"/>
      <c r="AD31" s="3555"/>
      <c r="AE31" s="3555"/>
      <c r="AF31" s="3556"/>
      <c r="AG31" s="3554"/>
      <c r="AH31" s="3555"/>
      <c r="AI31" s="3555"/>
      <c r="AJ31" s="3555"/>
      <c r="AK31" s="3556"/>
      <c r="AL31" s="200"/>
      <c r="AM31" s="1617"/>
      <c r="AN31" s="1618"/>
      <c r="AO31" s="1618"/>
      <c r="AP31" s="1530"/>
      <c r="AV31" s="3634"/>
      <c r="AW31" s="3636"/>
      <c r="AX31" s="3656"/>
      <c r="AY31" s="3665"/>
      <c r="BA31" s="158"/>
      <c r="BB31" s="1529" t="s">
        <v>811</v>
      </c>
      <c r="BC31" s="1660">
        <v>0</v>
      </c>
      <c r="BD31" s="1660">
        <v>0</v>
      </c>
      <c r="BE31" s="1660">
        <v>0</v>
      </c>
      <c r="BF31" s="1683">
        <v>0</v>
      </c>
      <c r="BG31" s="3469" t="s">
        <v>832</v>
      </c>
      <c r="BH31" s="3470"/>
      <c r="BI31" s="1676"/>
      <c r="BJ31" s="1529" t="s">
        <v>811</v>
      </c>
      <c r="BK31" s="1660">
        <v>0</v>
      </c>
      <c r="BL31" s="1660">
        <v>0</v>
      </c>
      <c r="BM31" s="1660">
        <v>0</v>
      </c>
      <c r="BN31" s="1660">
        <v>0</v>
      </c>
      <c r="BO31" s="1683">
        <v>0</v>
      </c>
      <c r="BP31" s="3469" t="s">
        <v>832</v>
      </c>
      <c r="BQ31" s="3470"/>
      <c r="BS31" s="1529" t="s">
        <v>811</v>
      </c>
      <c r="BT31" s="1660">
        <v>0</v>
      </c>
      <c r="BU31" s="1660">
        <v>0</v>
      </c>
      <c r="BV31" s="1660">
        <v>0</v>
      </c>
      <c r="BW31" s="1660">
        <v>0</v>
      </c>
      <c r="BX31" s="1660">
        <v>0</v>
      </c>
      <c r="BY31" s="1683">
        <v>0</v>
      </c>
      <c r="BZ31" s="3469" t="s">
        <v>832</v>
      </c>
      <c r="CA31" s="3470"/>
      <c r="CC31" s="1529" t="s">
        <v>811</v>
      </c>
      <c r="CD31" s="1660">
        <v>0</v>
      </c>
      <c r="CE31" s="1660">
        <v>0</v>
      </c>
      <c r="CF31" s="1660">
        <v>0</v>
      </c>
      <c r="CG31" s="1660">
        <v>0</v>
      </c>
      <c r="CH31" s="1660">
        <v>0</v>
      </c>
      <c r="CI31" s="1660">
        <v>0</v>
      </c>
      <c r="CJ31" s="1683">
        <v>0</v>
      </c>
      <c r="CK31" s="3469" t="s">
        <v>832</v>
      </c>
      <c r="CL31" s="3470"/>
    </row>
    <row r="32" spans="1:90" ht="12" customHeight="1">
      <c r="A32" s="3583"/>
      <c r="B32" s="3584"/>
      <c r="C32" s="3584"/>
      <c r="D32" s="3584"/>
      <c r="E32" s="3584"/>
      <c r="F32" s="3584"/>
      <c r="G32" s="3585"/>
      <c r="J32" s="3549">
        <f t="shared" si="34"/>
        <v>5.08</v>
      </c>
      <c r="K32" s="3550"/>
      <c r="L32" s="3550"/>
      <c r="M32" s="3550"/>
      <c r="N32" s="3550"/>
      <c r="O32" s="3550"/>
      <c r="P32" s="3551">
        <v>0.2</v>
      </c>
      <c r="Q32" s="3552"/>
      <c r="R32" s="3552"/>
      <c r="S32" s="3552"/>
      <c r="T32" s="3552"/>
      <c r="U32" s="3552"/>
      <c r="V32" s="3553"/>
      <c r="W32" s="3554"/>
      <c r="X32" s="3555"/>
      <c r="Y32" s="3555"/>
      <c r="Z32" s="3555"/>
      <c r="AA32" s="3556"/>
      <c r="AB32" s="3554"/>
      <c r="AC32" s="3555"/>
      <c r="AD32" s="3555"/>
      <c r="AE32" s="3555"/>
      <c r="AF32" s="3556"/>
      <c r="AG32" s="3554"/>
      <c r="AH32" s="3555"/>
      <c r="AI32" s="3555"/>
      <c r="AJ32" s="3555"/>
      <c r="AK32" s="3556"/>
      <c r="AL32" s="200"/>
      <c r="AM32" s="1597" t="s">
        <v>123</v>
      </c>
      <c r="AN32" s="1597" t="s">
        <v>796</v>
      </c>
      <c r="AO32" s="1535"/>
      <c r="AP32" s="1530"/>
      <c r="AQ32" s="1616" t="s">
        <v>818</v>
      </c>
      <c r="AR32" s="1711" t="s">
        <v>829</v>
      </c>
      <c r="AS32" s="1712" t="s">
        <v>830</v>
      </c>
      <c r="AT32" s="1713" t="s">
        <v>831</v>
      </c>
      <c r="AV32" s="3634" t="s">
        <v>125</v>
      </c>
      <c r="AW32" s="3636"/>
      <c r="AX32" s="3657" t="str">
        <f>IF(PROCTOR!J35="","",PROCTOR!J35)</f>
        <v/>
      </c>
      <c r="AY32" s="3663" t="s">
        <v>765</v>
      </c>
      <c r="BA32" s="158"/>
      <c r="BB32" s="1531" t="s">
        <v>812</v>
      </c>
      <c r="BC32" s="1689">
        <v>1</v>
      </c>
      <c r="BD32" s="1689">
        <v>0</v>
      </c>
      <c r="BE32" s="1689" t="e">
        <v>#N/A</v>
      </c>
      <c r="BF32" s="1690" t="e">
        <v>#N/A</v>
      </c>
      <c r="BG32" s="3654" t="e">
        <f>IF(BB4&gt;BG24,"el valor de X no es menor al punto de inflexión",IF(AND(BN4&lt;0,BB4&lt;BG30),"concavo","Convexo"))</f>
        <v>#DIV/0!</v>
      </c>
      <c r="BH32" s="3655"/>
      <c r="BI32" s="1676"/>
      <c r="BJ32" s="1531" t="s">
        <v>812</v>
      </c>
      <c r="BK32" s="1689">
        <v>1</v>
      </c>
      <c r="BL32" s="1689">
        <v>0</v>
      </c>
      <c r="BM32" s="1689" t="e">
        <v>#N/A</v>
      </c>
      <c r="BN32" s="1689" t="e">
        <v>#N/A</v>
      </c>
      <c r="BO32" s="1690" t="e">
        <v>#N/A</v>
      </c>
      <c r="BP32" s="3471" t="str">
        <f>IF(BM16&gt;BP30,"el valor de X no es menor al punto de inflexión",IF(AND(BT16&lt;0,BM16&lt;BP30),"concavo hacia abajo","Convexo"))</f>
        <v>Convexo</v>
      </c>
      <c r="BQ32" s="3472"/>
      <c r="BS32" s="1531" t="s">
        <v>812</v>
      </c>
      <c r="BT32" s="1700">
        <v>1</v>
      </c>
      <c r="BU32" s="1689">
        <v>0</v>
      </c>
      <c r="BV32" s="1689" t="e">
        <v>#N/A</v>
      </c>
      <c r="BW32" s="1689" t="e">
        <v>#N/A</v>
      </c>
      <c r="BX32" s="1689" t="e">
        <v>#N/A</v>
      </c>
      <c r="BY32" s="1690" t="e">
        <v>#N/A</v>
      </c>
      <c r="BZ32" s="3471" t="e">
        <f>IF(BW16&gt;BZ30,"el valor de X no es menor al punto de inflexión",IF(AND(#REF!&lt;0,BW16&lt;BZ30),"concavo hacia abajo","Convexo"))</f>
        <v>#REF!</v>
      </c>
      <c r="CA32" s="3472"/>
      <c r="CC32" s="1531" t="s">
        <v>812</v>
      </c>
      <c r="CD32" s="1700">
        <v>1</v>
      </c>
      <c r="CE32" s="1689">
        <v>0</v>
      </c>
      <c r="CF32" s="1689" t="e">
        <v>#N/A</v>
      </c>
      <c r="CG32" s="1689" t="e">
        <v>#N/A</v>
      </c>
      <c r="CH32" s="1689" t="e">
        <v>#N/A</v>
      </c>
      <c r="CI32" s="1689" t="e">
        <v>#N/A</v>
      </c>
      <c r="CJ32" s="1690" t="e">
        <v>#N/A</v>
      </c>
      <c r="CK32" s="3471" t="str">
        <f>IF(CH16&gt;CK30,"el valor de X no es menor al punto de inflexión",IF(AND(CP16&lt;0,CH16&lt;CK30),"concavo hacia abajo","Convexo"))</f>
        <v>Convexo</v>
      </c>
      <c r="CL32" s="3472"/>
    </row>
    <row r="33" spans="1:69" ht="12" customHeight="1">
      <c r="A33" s="3583"/>
      <c r="B33" s="3584"/>
      <c r="C33" s="3584"/>
      <c r="D33" s="3584"/>
      <c r="E33" s="3584"/>
      <c r="F33" s="3584"/>
      <c r="G33" s="3585"/>
      <c r="J33" s="3549">
        <f t="shared" si="34"/>
        <v>7.6199999999999992</v>
      </c>
      <c r="K33" s="3550"/>
      <c r="L33" s="3550"/>
      <c r="M33" s="3550"/>
      <c r="N33" s="3550"/>
      <c r="O33" s="3550"/>
      <c r="P33" s="3551">
        <v>0.3</v>
      </c>
      <c r="Q33" s="3552"/>
      <c r="R33" s="3552"/>
      <c r="S33" s="3552"/>
      <c r="T33" s="3552"/>
      <c r="U33" s="3552"/>
      <c r="V33" s="3553"/>
      <c r="W33" s="3554"/>
      <c r="X33" s="3555"/>
      <c r="Y33" s="3555"/>
      <c r="Z33" s="3555"/>
      <c r="AA33" s="3556"/>
      <c r="AB33" s="3554"/>
      <c r="AC33" s="3555"/>
      <c r="AD33" s="3555"/>
      <c r="AE33" s="3555"/>
      <c r="AF33" s="3556"/>
      <c r="AG33" s="3554"/>
      <c r="AH33" s="3555"/>
      <c r="AI33" s="3555"/>
      <c r="AJ33" s="3555"/>
      <c r="AK33" s="3556"/>
      <c r="AL33" s="200"/>
      <c r="AM33" s="1714">
        <f>+AR22</f>
        <v>0</v>
      </c>
      <c r="AN33" s="1714" t="e">
        <f>+AR17</f>
        <v>#VALUE!</v>
      </c>
      <c r="AO33" s="1535"/>
      <c r="AP33" s="1530"/>
      <c r="AQ33" s="1529" t="s">
        <v>810</v>
      </c>
      <c r="AR33" s="1715" t="e">
        <f t="array" ref="AR33:AT35">LINEST(AT28:AT30,AR28:AS30,TRUE,TRUE)</f>
        <v>#VALUE!</v>
      </c>
      <c r="AS33" s="1715" t="e">
        <v>#VALUE!</v>
      </c>
      <c r="AT33" s="1716" t="e">
        <v>#VALUE!</v>
      </c>
      <c r="AV33" s="3661"/>
      <c r="AW33" s="3662"/>
      <c r="AX33" s="3658"/>
      <c r="AY33" s="3664"/>
      <c r="BA33" s="158"/>
      <c r="BB33" s="158"/>
      <c r="BC33" s="158"/>
      <c r="BD33" s="158"/>
      <c r="BE33" s="158"/>
      <c r="BJ33" s="1717"/>
      <c r="BK33" s="1717"/>
      <c r="BL33" s="1717"/>
      <c r="BM33" s="1717"/>
      <c r="BN33" s="1717"/>
      <c r="BO33" s="1717"/>
      <c r="BP33" s="1717"/>
      <c r="BQ33" s="1717"/>
    </row>
    <row r="34" spans="1:69" ht="12" customHeight="1">
      <c r="A34" s="3583"/>
      <c r="B34" s="3584"/>
      <c r="C34" s="3584"/>
      <c r="D34" s="3584"/>
      <c r="E34" s="3584"/>
      <c r="F34" s="3584"/>
      <c r="G34" s="3585"/>
      <c r="J34" s="3549">
        <f t="shared" si="34"/>
        <v>10.16</v>
      </c>
      <c r="K34" s="3550"/>
      <c r="L34" s="3550"/>
      <c r="M34" s="3550"/>
      <c r="N34" s="3550"/>
      <c r="O34" s="3550"/>
      <c r="P34" s="3551">
        <v>0.4</v>
      </c>
      <c r="Q34" s="3552"/>
      <c r="R34" s="3552"/>
      <c r="S34" s="3552"/>
      <c r="T34" s="3552"/>
      <c r="U34" s="3552"/>
      <c r="V34" s="3553"/>
      <c r="W34" s="3554"/>
      <c r="X34" s="3555"/>
      <c r="Y34" s="3555"/>
      <c r="Z34" s="3555"/>
      <c r="AA34" s="3556"/>
      <c r="AB34" s="3554"/>
      <c r="AC34" s="3555"/>
      <c r="AD34" s="3555"/>
      <c r="AE34" s="3555"/>
      <c r="AF34" s="3556"/>
      <c r="AG34" s="3554"/>
      <c r="AH34" s="3555"/>
      <c r="AI34" s="3555"/>
      <c r="AJ34" s="3555"/>
      <c r="AK34" s="3556"/>
      <c r="AL34" s="200"/>
      <c r="AM34" s="1714">
        <f>+AS22</f>
        <v>0</v>
      </c>
      <c r="AN34" s="1714" t="e">
        <f>+AS17</f>
        <v>#VALUE!</v>
      </c>
      <c r="AO34" s="1535"/>
      <c r="AP34" s="1530"/>
      <c r="AQ34" s="1529" t="s">
        <v>811</v>
      </c>
      <c r="AR34" s="1715" t="e">
        <v>#VALUE!</v>
      </c>
      <c r="AS34" s="1715" t="e">
        <v>#VALUE!</v>
      </c>
      <c r="AT34" s="1716" t="e">
        <v>#VALUE!</v>
      </c>
      <c r="AV34" s="3646" t="s">
        <v>833</v>
      </c>
      <c r="AW34" s="3647"/>
      <c r="AX34" s="3650" t="e">
        <f>+AX30-0.5</f>
        <v>#VALUE!</v>
      </c>
      <c r="AY34" s="3652" t="e">
        <f>+AX30+0.5</f>
        <v>#VALUE!</v>
      </c>
      <c r="BA34" s="158"/>
      <c r="BB34" s="3463" t="s">
        <v>858</v>
      </c>
      <c r="BC34" s="3464"/>
      <c r="BD34" s="3464"/>
      <c r="BE34" s="3464"/>
      <c r="BF34" s="3465"/>
    </row>
    <row r="35" spans="1:69" ht="12" customHeight="1">
      <c r="A35" s="3583"/>
      <c r="B35" s="3584"/>
      <c r="C35" s="3584"/>
      <c r="D35" s="3584"/>
      <c r="E35" s="3584"/>
      <c r="F35" s="3584"/>
      <c r="G35" s="3585"/>
      <c r="J35" s="3576">
        <f t="shared" si="34"/>
        <v>12.7</v>
      </c>
      <c r="K35" s="3577"/>
      <c r="L35" s="3577"/>
      <c r="M35" s="3577"/>
      <c r="N35" s="3577"/>
      <c r="O35" s="3577"/>
      <c r="P35" s="3551">
        <v>0.5</v>
      </c>
      <c r="Q35" s="3552"/>
      <c r="R35" s="3552"/>
      <c r="S35" s="3552"/>
      <c r="T35" s="3552"/>
      <c r="U35" s="3552"/>
      <c r="V35" s="3553"/>
      <c r="W35" s="3554"/>
      <c r="X35" s="3555"/>
      <c r="Y35" s="3555"/>
      <c r="Z35" s="3555"/>
      <c r="AA35" s="3556"/>
      <c r="AB35" s="3554"/>
      <c r="AC35" s="3555"/>
      <c r="AD35" s="3555"/>
      <c r="AE35" s="3555"/>
      <c r="AF35" s="3556"/>
      <c r="AG35" s="3554"/>
      <c r="AH35" s="3555"/>
      <c r="AI35" s="3555"/>
      <c r="AJ35" s="3555"/>
      <c r="AK35" s="3556"/>
      <c r="AL35" s="1718"/>
      <c r="AM35" s="1706">
        <f>+AT22</f>
        <v>0</v>
      </c>
      <c r="AN35" s="1706" t="e">
        <f>+AT17</f>
        <v>#VALUE!</v>
      </c>
      <c r="AO35" s="1618"/>
      <c r="AP35" s="1530"/>
      <c r="AQ35" s="1531" t="s">
        <v>812</v>
      </c>
      <c r="AR35" s="1719" t="e">
        <v>#VALUE!</v>
      </c>
      <c r="AS35" s="1719" t="e">
        <v>#VALUE!</v>
      </c>
      <c r="AT35" s="1720" t="e">
        <v>#VALUE!</v>
      </c>
      <c r="AV35" s="3648"/>
      <c r="AW35" s="3649"/>
      <c r="AX35" s="3651"/>
      <c r="AY35" s="3653"/>
      <c r="BA35" s="158"/>
      <c r="BB35" s="1721" t="s">
        <v>59</v>
      </c>
      <c r="BC35" s="1722">
        <v>3</v>
      </c>
      <c r="BD35" s="1722">
        <v>4</v>
      </c>
      <c r="BE35" s="1722">
        <v>5</v>
      </c>
      <c r="BF35" s="1723">
        <v>6</v>
      </c>
    </row>
    <row r="36" spans="1:69" ht="12" customHeight="1">
      <c r="A36" s="3583"/>
      <c r="B36" s="3584"/>
      <c r="C36" s="3584"/>
      <c r="D36" s="3584"/>
      <c r="E36" s="3584"/>
      <c r="F36" s="3584"/>
      <c r="G36" s="3585"/>
      <c r="J36" s="3526" t="s">
        <v>124</v>
      </c>
      <c r="K36" s="3527"/>
      <c r="L36" s="3527"/>
      <c r="M36" s="3527"/>
      <c r="N36" s="3527"/>
      <c r="O36" s="3527"/>
      <c r="P36" s="3527"/>
      <c r="Q36" s="3527"/>
      <c r="R36" s="3527"/>
      <c r="S36" s="3527"/>
      <c r="T36" s="3527"/>
      <c r="U36" s="3527"/>
      <c r="V36" s="3527"/>
      <c r="W36" s="3539"/>
      <c r="X36" s="3539"/>
      <c r="Y36" s="3539"/>
      <c r="Z36" s="3539"/>
      <c r="AA36" s="3539"/>
      <c r="AB36" s="3539"/>
      <c r="AC36" s="3539"/>
      <c r="AD36" s="3539"/>
      <c r="AE36" s="3539"/>
      <c r="AF36" s="3539"/>
      <c r="AG36" s="3539"/>
      <c r="AH36" s="3539"/>
      <c r="AI36" s="3539"/>
      <c r="AJ36" s="3539"/>
      <c r="AK36" s="3540"/>
      <c r="AL36" s="1718"/>
      <c r="AO36" s="1535"/>
      <c r="AP36" s="1530"/>
      <c r="AV36" s="1694"/>
      <c r="AW36" s="1694"/>
      <c r="BA36" s="158"/>
      <c r="BB36" s="1724">
        <v>56</v>
      </c>
      <c r="BC36" s="1520">
        <f>IF(AND(BC20&gt;=BK20,BC20&gt;=BT20,BC20&gt;=CD20),3,"")</f>
        <v>3</v>
      </c>
      <c r="BD36" s="1520">
        <f>IF(AND(BK20&gt;=BT20,BK20&gt;=CD20),4,"")</f>
        <v>4</v>
      </c>
      <c r="BE36" s="1520">
        <f>IF(AND(BT20&gt;=CD20),5,"")</f>
        <v>5</v>
      </c>
      <c r="BF36" s="1725" t="str">
        <f>IF(AND(BE36="",BD36="",BC36=""),6,"")</f>
        <v/>
      </c>
    </row>
    <row r="37" spans="1:69" ht="12" customHeight="1">
      <c r="A37" s="3583"/>
      <c r="B37" s="3584"/>
      <c r="C37" s="3584"/>
      <c r="D37" s="3584"/>
      <c r="E37" s="3584"/>
      <c r="F37" s="3584"/>
      <c r="G37" s="3585"/>
      <c r="I37" s="1726"/>
      <c r="J37" s="1522" t="s">
        <v>757</v>
      </c>
      <c r="K37" s="1523"/>
      <c r="L37" s="1524"/>
      <c r="M37" s="1524"/>
      <c r="N37" s="1524"/>
      <c r="O37" s="1525"/>
      <c r="P37" s="1525"/>
      <c r="Q37" s="1525"/>
      <c r="R37" s="1525"/>
      <c r="S37" s="1525"/>
      <c r="T37" s="1525"/>
      <c r="U37" s="1525"/>
      <c r="V37" s="1526" t="s">
        <v>58</v>
      </c>
      <c r="W37" s="3578"/>
      <c r="X37" s="3578"/>
      <c r="Y37" s="3578"/>
      <c r="Z37" s="3578"/>
      <c r="AA37" s="3578"/>
      <c r="AB37" s="3578"/>
      <c r="AC37" s="3578"/>
      <c r="AD37" s="3578"/>
      <c r="AE37" s="3578"/>
      <c r="AF37" s="3578"/>
      <c r="AG37" s="3578"/>
      <c r="AH37" s="3578"/>
      <c r="AI37" s="3578"/>
      <c r="AJ37" s="3578"/>
      <c r="AK37" s="3578"/>
      <c r="AL37" s="1718"/>
      <c r="AM37" s="1530"/>
      <c r="AN37" s="1535"/>
      <c r="AO37" s="1535"/>
      <c r="AP37" s="1530"/>
      <c r="BA37" s="158"/>
      <c r="BB37" s="1727">
        <v>25</v>
      </c>
      <c r="BC37" s="1520">
        <f>IF(AND(BC26&gt;=BK26,BC26&gt;=BT26,BC26&gt;=CD26),3,"")</f>
        <v>3</v>
      </c>
      <c r="BD37" s="1520">
        <f>IF(AND(BK26&gt;=BT26,BK26&gt;=CD26),4,"")</f>
        <v>4</v>
      </c>
      <c r="BE37" s="1520">
        <f>IF(AND(BT26&gt;=CD26),5,"")</f>
        <v>5</v>
      </c>
      <c r="BF37" s="1725" t="str">
        <f t="shared" ref="BF37:BF38" si="36">IF(AND(BE37="",BD37="",BC37=""),6,"")</f>
        <v/>
      </c>
    </row>
    <row r="38" spans="1:69" s="1717" customFormat="1" ht="12" customHeight="1">
      <c r="A38" s="3583"/>
      <c r="B38" s="3584"/>
      <c r="C38" s="3584"/>
      <c r="D38" s="3584"/>
      <c r="E38" s="3584"/>
      <c r="F38" s="3584"/>
      <c r="G38" s="3585"/>
      <c r="I38" s="1728"/>
      <c r="J38" s="1509" t="s">
        <v>758</v>
      </c>
      <c r="K38" s="1527"/>
      <c r="L38" s="1513"/>
      <c r="M38" s="1513"/>
      <c r="N38" s="1513"/>
      <c r="O38" s="1514"/>
      <c r="P38" s="1514"/>
      <c r="Q38" s="1514"/>
      <c r="R38" s="1514"/>
      <c r="S38" s="1514"/>
      <c r="T38" s="1514"/>
      <c r="U38" s="1514"/>
      <c r="V38" s="1515" t="s">
        <v>58</v>
      </c>
      <c r="W38" s="3579"/>
      <c r="X38" s="3579"/>
      <c r="Y38" s="3579"/>
      <c r="Z38" s="3579"/>
      <c r="AA38" s="3579"/>
      <c r="AB38" s="3579"/>
      <c r="AC38" s="3579"/>
      <c r="AD38" s="3579"/>
      <c r="AE38" s="3579"/>
      <c r="AF38" s="3579"/>
      <c r="AG38" s="3579"/>
      <c r="AH38" s="3579"/>
      <c r="AI38" s="3579"/>
      <c r="AJ38" s="3579"/>
      <c r="AK38" s="3579"/>
      <c r="AL38" s="1729"/>
      <c r="AM38" s="1530"/>
      <c r="AN38" s="1535"/>
      <c r="AO38" s="1535"/>
      <c r="AP38" s="1530"/>
      <c r="AV38" s="158"/>
      <c r="AW38" s="158"/>
      <c r="AX38" s="158"/>
      <c r="AY38" s="158"/>
      <c r="AZ38" s="158"/>
      <c r="BB38" s="1730">
        <v>10</v>
      </c>
      <c r="BC38" s="1731">
        <f>IF(AND(BC32&gt;=BK32,BC32&gt;=BT32,BC32&gt;=CD32),3,"")</f>
        <v>3</v>
      </c>
      <c r="BD38" s="1731">
        <f>IF(AND(BK32&gt;=BT32,BK32&gt;=CD32),4,"")</f>
        <v>4</v>
      </c>
      <c r="BE38" s="1731">
        <f>IF(AND(BT32&gt;=CD32),5,"")</f>
        <v>5</v>
      </c>
      <c r="BF38" s="1732" t="str">
        <f t="shared" si="36"/>
        <v/>
      </c>
      <c r="BJ38" s="158"/>
      <c r="BK38" s="158"/>
      <c r="BL38" s="158"/>
      <c r="BM38" s="158"/>
      <c r="BN38" s="158"/>
      <c r="BO38" s="158"/>
      <c r="BP38" s="158"/>
      <c r="BQ38" s="158"/>
    </row>
    <row r="39" spans="1:69" ht="12" customHeight="1">
      <c r="A39" s="3583"/>
      <c r="B39" s="3584"/>
      <c r="C39" s="3584"/>
      <c r="D39" s="3584"/>
      <c r="E39" s="3584"/>
      <c r="F39" s="3584"/>
      <c r="G39" s="3585"/>
      <c r="J39" s="1508" t="s">
        <v>759</v>
      </c>
      <c r="K39" s="1192"/>
      <c r="L39" s="1510"/>
      <c r="M39" s="1510"/>
      <c r="N39" s="1510"/>
      <c r="O39" s="1511"/>
      <c r="P39" s="1511"/>
      <c r="Q39" s="1511"/>
      <c r="R39" s="1511"/>
      <c r="S39" s="1511"/>
      <c r="T39" s="1511"/>
      <c r="U39" s="1511"/>
      <c r="V39" s="1512" t="s">
        <v>58</v>
      </c>
      <c r="W39" s="3589"/>
      <c r="X39" s="3589"/>
      <c r="Y39" s="3589"/>
      <c r="Z39" s="3589"/>
      <c r="AA39" s="3589"/>
      <c r="AB39" s="3589"/>
      <c r="AC39" s="3589"/>
      <c r="AD39" s="3589"/>
      <c r="AE39" s="3589"/>
      <c r="AF39" s="3589"/>
      <c r="AG39" s="3589"/>
      <c r="AH39" s="3589"/>
      <c r="AI39" s="3589"/>
      <c r="AJ39" s="3589"/>
      <c r="AK39" s="3589"/>
      <c r="AL39" s="1729"/>
      <c r="AM39" s="1530"/>
      <c r="AN39" s="1530"/>
      <c r="AO39" s="1530"/>
      <c r="AP39" s="1530"/>
      <c r="BA39" s="158"/>
      <c r="BB39" s="3463" t="s">
        <v>859</v>
      </c>
      <c r="BC39" s="3464"/>
      <c r="BD39" s="3464"/>
      <c r="BE39" s="3464"/>
      <c r="BF39" s="3465"/>
    </row>
    <row r="40" spans="1:69" ht="12" customHeight="1">
      <c r="A40" s="3583"/>
      <c r="B40" s="3584"/>
      <c r="C40" s="3584"/>
      <c r="D40" s="3584"/>
      <c r="E40" s="3584"/>
      <c r="F40" s="3584"/>
      <c r="G40" s="3585"/>
      <c r="J40" s="3463" t="s">
        <v>800</v>
      </c>
      <c r="K40" s="3464"/>
      <c r="L40" s="3464"/>
      <c r="M40" s="3464"/>
      <c r="N40" s="3464"/>
      <c r="O40" s="3464"/>
      <c r="P40" s="3464"/>
      <c r="Q40" s="3464"/>
      <c r="R40" s="3464"/>
      <c r="S40" s="3464"/>
      <c r="T40" s="3464"/>
      <c r="U40" s="3464"/>
      <c r="V40" s="3464"/>
      <c r="W40" s="3464"/>
      <c r="X40" s="3464"/>
      <c r="Y40" s="3464"/>
      <c r="Z40" s="3464"/>
      <c r="AA40" s="3464"/>
      <c r="AB40" s="3464"/>
      <c r="AC40" s="3464"/>
      <c r="AD40" s="3464"/>
      <c r="AE40" s="3464"/>
      <c r="AF40" s="3464"/>
      <c r="AG40" s="3464"/>
      <c r="AH40" s="3464"/>
      <c r="AI40" s="3464"/>
      <c r="AJ40" s="3464"/>
      <c r="AK40" s="3465"/>
      <c r="AL40" s="1729"/>
      <c r="AO40" s="1530"/>
      <c r="AP40" s="1530"/>
      <c r="BA40" s="158"/>
      <c r="BB40" s="1724">
        <v>56</v>
      </c>
      <c r="BC40" s="1520" t="str">
        <f>IF(BC36="","",IF(BL4&lt;0,"concavo","Convexo"))</f>
        <v>Convexo</v>
      </c>
      <c r="BD40" s="1520" t="str">
        <f>IF(BD36="","",IF(BO4&lt;0,"concavo","Convexo"))</f>
        <v>Convexo</v>
      </c>
      <c r="BE40" s="1520" t="str">
        <f>IF(BE36="","",IF(BR4&lt;0,"concavo","Convexo"))</f>
        <v>Convexo</v>
      </c>
      <c r="BF40" s="1725" t="str">
        <f>IF(BF36="","",IF(BU4&lt;0,"concavo","Convexo"))</f>
        <v/>
      </c>
    </row>
    <row r="41" spans="1:69" ht="15">
      <c r="A41" s="3583"/>
      <c r="B41" s="3584"/>
      <c r="C41" s="3584"/>
      <c r="D41" s="3584"/>
      <c r="E41" s="3584"/>
      <c r="F41" s="3584"/>
      <c r="G41" s="3585"/>
      <c r="J41" s="1733" t="s">
        <v>786</v>
      </c>
      <c r="K41" s="1734"/>
      <c r="L41" s="1734"/>
      <c r="M41" s="1734"/>
      <c r="N41" s="1734"/>
      <c r="O41" s="1734"/>
      <c r="P41" s="1734"/>
      <c r="Q41" s="1734"/>
      <c r="R41" s="1734"/>
      <c r="S41" s="1734"/>
      <c r="T41" s="1734"/>
      <c r="U41" s="1734"/>
      <c r="V41" s="1734"/>
      <c r="W41" s="1735"/>
      <c r="X41" s="1735"/>
      <c r="Y41" s="1735"/>
      <c r="Z41" s="1735"/>
      <c r="AA41" s="1735"/>
      <c r="AB41" s="1735"/>
      <c r="AC41" s="1735"/>
      <c r="AD41" s="1735"/>
      <c r="AE41" s="1735"/>
      <c r="AF41" s="1735"/>
      <c r="AG41" s="1735"/>
      <c r="AH41" s="1735"/>
      <c r="AI41" s="1735"/>
      <c r="AJ41" s="1735"/>
      <c r="AK41" s="1736"/>
      <c r="AL41" s="1729"/>
      <c r="AP41" s="1530"/>
      <c r="AR41" s="1678"/>
      <c r="AS41" s="1637"/>
      <c r="AU41" s="1737"/>
      <c r="BA41" s="158"/>
      <c r="BB41" s="1727">
        <v>25</v>
      </c>
      <c r="BC41" s="1520" t="str">
        <f>IF(BC37="","",IF(BM4&lt;0,"concavo","Convexo"))</f>
        <v>Convexo</v>
      </c>
      <c r="BD41" s="1520" t="str">
        <f>IF(BD37="","",IF(BP4&lt;0,"concavo","Convexo"))</f>
        <v>Convexo</v>
      </c>
      <c r="BE41" s="1520" t="str">
        <f>IF(BE37="","",IF(BS4&lt;0,"concavo","Convexo"))</f>
        <v>Convexo</v>
      </c>
      <c r="BF41" s="1725" t="str">
        <f>IF(BF37="","",IF(BV4&lt;0,"concavo","Convexo"))</f>
        <v/>
      </c>
    </row>
    <row r="42" spans="1:69" ht="15">
      <c r="A42" s="3583"/>
      <c r="B42" s="3584"/>
      <c r="C42" s="3584"/>
      <c r="D42" s="3584"/>
      <c r="E42" s="3584"/>
      <c r="F42" s="3584"/>
      <c r="G42" s="3585"/>
      <c r="J42" s="1738" t="s">
        <v>799</v>
      </c>
      <c r="K42" s="1192"/>
      <c r="L42" s="1192"/>
      <c r="M42" s="1192"/>
      <c r="N42" s="1192"/>
      <c r="O42" s="1192"/>
      <c r="P42" s="1192"/>
      <c r="Q42" s="1192"/>
      <c r="R42" s="1192"/>
      <c r="S42" s="1192"/>
      <c r="T42" s="1192"/>
      <c r="U42" s="1192"/>
      <c r="V42" s="1192"/>
      <c r="W42" s="1739"/>
      <c r="X42" s="1739"/>
      <c r="Y42" s="1739"/>
      <c r="Z42" s="1739"/>
      <c r="AA42" s="1739"/>
      <c r="AB42" s="1739"/>
      <c r="AC42" s="3599"/>
      <c r="AD42" s="3599"/>
      <c r="AE42" s="1739"/>
      <c r="AF42" s="3599"/>
      <c r="AG42" s="3599"/>
      <c r="AH42" s="1511"/>
      <c r="AI42" s="1739"/>
      <c r="AJ42" s="1511"/>
      <c r="AK42" s="1740"/>
      <c r="AL42" s="1729"/>
      <c r="AP42" s="1530"/>
      <c r="AQ42" s="1530"/>
      <c r="AR42" s="1734"/>
      <c r="AS42" s="1734"/>
      <c r="AT42" s="1741"/>
      <c r="AU42" s="1742"/>
      <c r="BA42" s="158"/>
      <c r="BB42" s="1730">
        <v>10</v>
      </c>
      <c r="BC42" s="1731" t="str">
        <f>IF(BC38="","",IF(BN4&lt;0,"concavo","Convexo"))</f>
        <v>Convexo</v>
      </c>
      <c r="BD42" s="1731" t="str">
        <f>IF(BD38="","",IF(BQ4&lt;0,"concavo","Convexo"))</f>
        <v>Convexo</v>
      </c>
      <c r="BE42" s="1731" t="str">
        <f>IF(BE38="","",IF(BT4&lt;0,"concavo","Convexo"))</f>
        <v>Convexo</v>
      </c>
      <c r="BF42" s="1732" t="str">
        <f>IF(BF38="","",IF(BW4&lt;0,"concavo","Convexo"))</f>
        <v/>
      </c>
    </row>
    <row r="43" spans="1:69" ht="15">
      <c r="A43" s="3583"/>
      <c r="B43" s="3584"/>
      <c r="C43" s="3584"/>
      <c r="D43" s="3584"/>
      <c r="E43" s="3584"/>
      <c r="F43" s="3584"/>
      <c r="G43" s="3585"/>
      <c r="J43" s="1717"/>
      <c r="W43" s="198"/>
      <c r="X43" s="198"/>
      <c r="Y43" s="198"/>
      <c r="Z43" s="198"/>
      <c r="AA43" s="198"/>
      <c r="AB43" s="198"/>
      <c r="AC43" s="198"/>
      <c r="AD43" s="198"/>
      <c r="AE43" s="198"/>
      <c r="AF43" s="198"/>
      <c r="AG43" s="198"/>
      <c r="AH43" s="198"/>
      <c r="AL43" s="1729"/>
      <c r="AP43" s="1530"/>
      <c r="AQ43" s="1530"/>
      <c r="AR43" s="1734"/>
      <c r="AS43" s="1734"/>
      <c r="AT43" s="1734"/>
      <c r="AU43" s="1743"/>
      <c r="AZ43" s="1717"/>
      <c r="BA43" s="158"/>
      <c r="BB43" s="158"/>
      <c r="BC43" s="158"/>
      <c r="BD43" s="158"/>
      <c r="BE43" s="158"/>
    </row>
    <row r="44" spans="1:69">
      <c r="A44" s="3583"/>
      <c r="B44" s="3584"/>
      <c r="C44" s="3584"/>
      <c r="D44" s="3584"/>
      <c r="E44" s="3584"/>
      <c r="F44" s="3584"/>
      <c r="G44" s="3585"/>
      <c r="W44" s="198"/>
      <c r="X44" s="198"/>
      <c r="Y44" s="198"/>
      <c r="Z44" s="198"/>
      <c r="AA44" s="198"/>
      <c r="AB44" s="198"/>
      <c r="AC44" s="198"/>
      <c r="AD44" s="198"/>
      <c r="AE44" s="198"/>
      <c r="AF44" s="198"/>
      <c r="AG44" s="198"/>
      <c r="AH44" s="198"/>
      <c r="AL44" s="1729"/>
      <c r="AM44" s="200"/>
      <c r="AP44" s="158"/>
      <c r="AQ44" s="1530"/>
      <c r="AR44" s="1734"/>
      <c r="AS44" s="1734"/>
      <c r="AT44" s="1734"/>
      <c r="BA44" s="158"/>
      <c r="BB44" s="158"/>
      <c r="BC44" s="158"/>
      <c r="BD44" s="158"/>
      <c r="BE44" s="158"/>
    </row>
    <row r="45" spans="1:69" ht="15">
      <c r="A45" s="3583"/>
      <c r="B45" s="3584"/>
      <c r="C45" s="3584"/>
      <c r="D45" s="3584"/>
      <c r="E45" s="3584"/>
      <c r="F45" s="3584"/>
      <c r="G45" s="3585"/>
      <c r="W45" s="198"/>
      <c r="X45" s="198"/>
      <c r="Y45" s="198"/>
      <c r="Z45" s="198"/>
      <c r="AA45" s="198"/>
      <c r="AB45" s="198"/>
      <c r="AC45" s="198"/>
      <c r="AD45" s="198"/>
      <c r="AE45" s="198"/>
      <c r="AF45" s="198"/>
      <c r="AG45" s="198"/>
      <c r="AH45" s="198"/>
      <c r="AL45" s="1729"/>
      <c r="AM45" s="1744"/>
      <c r="AN45" s="1744"/>
      <c r="AO45" s="1744"/>
      <c r="AP45" s="158"/>
      <c r="AQ45" s="1530"/>
      <c r="AS45" s="1737"/>
      <c r="AT45" s="1734"/>
      <c r="AV45" s="1717"/>
      <c r="AW45" s="1717"/>
      <c r="AX45" s="1717"/>
      <c r="AY45" s="1717"/>
      <c r="BA45" s="158"/>
      <c r="BB45" s="158"/>
      <c r="BC45" s="158"/>
      <c r="BD45" s="158"/>
      <c r="BE45" s="158"/>
    </row>
    <row r="46" spans="1:69" ht="15">
      <c r="A46" s="3583"/>
      <c r="B46" s="3584"/>
      <c r="C46" s="3584"/>
      <c r="D46" s="3584"/>
      <c r="E46" s="3584"/>
      <c r="F46" s="3584"/>
      <c r="G46" s="3585"/>
      <c r="W46" s="198"/>
      <c r="X46" s="198"/>
      <c r="Y46" s="198"/>
      <c r="Z46" s="198"/>
      <c r="AA46" s="198"/>
      <c r="AB46" s="198"/>
      <c r="AC46" s="198"/>
      <c r="AD46" s="198"/>
      <c r="AE46" s="198"/>
      <c r="AF46" s="198"/>
      <c r="AG46" s="198"/>
      <c r="AH46" s="198"/>
      <c r="AL46" s="1729"/>
      <c r="AM46" s="1"/>
      <c r="AN46" s="1"/>
      <c r="AO46" s="1"/>
      <c r="AP46" s="158"/>
      <c r="AS46" s="1737"/>
      <c r="AT46" s="201"/>
      <c r="BA46" s="158"/>
      <c r="BB46" s="158"/>
      <c r="BC46" s="158"/>
      <c r="BD46" s="158"/>
      <c r="BE46" s="158"/>
    </row>
    <row r="47" spans="1:69" ht="15">
      <c r="A47" s="3583"/>
      <c r="B47" s="3584"/>
      <c r="C47" s="3584"/>
      <c r="D47" s="3584"/>
      <c r="E47" s="3584"/>
      <c r="F47" s="3584"/>
      <c r="G47" s="3585"/>
      <c r="J47" s="1"/>
      <c r="K47" s="1"/>
      <c r="L47" s="1"/>
      <c r="M47" s="1"/>
      <c r="N47" s="1"/>
      <c r="O47" s="1"/>
      <c r="P47" s="1"/>
      <c r="Q47" s="1"/>
      <c r="R47" s="1"/>
      <c r="S47" s="1"/>
      <c r="T47" s="1"/>
      <c r="U47" s="1"/>
      <c r="V47" s="1"/>
      <c r="W47" s="198"/>
      <c r="X47" s="198"/>
      <c r="Y47" s="198"/>
      <c r="Z47" s="198"/>
      <c r="AA47" s="198"/>
      <c r="AB47" s="198"/>
      <c r="AC47" s="198"/>
      <c r="AD47" s="198"/>
      <c r="AE47" s="198"/>
      <c r="AF47" s="198"/>
      <c r="AG47" s="198"/>
      <c r="AH47" s="198"/>
      <c r="AI47" s="202"/>
      <c r="AJ47" s="202"/>
      <c r="AK47" s="202"/>
      <c r="AL47" s="1729"/>
      <c r="AP47" s="158"/>
      <c r="AS47" s="1737"/>
      <c r="AT47" s="204"/>
      <c r="BA47" s="158"/>
      <c r="BB47" s="158"/>
      <c r="BC47" s="158"/>
      <c r="BD47" s="158"/>
      <c r="BE47" s="158"/>
    </row>
    <row r="48" spans="1:69" ht="15">
      <c r="A48" s="3583"/>
      <c r="B48" s="3584"/>
      <c r="C48" s="3584"/>
      <c r="D48" s="3584"/>
      <c r="E48" s="3584"/>
      <c r="F48" s="3584"/>
      <c r="G48" s="3585"/>
      <c r="J48" s="1"/>
      <c r="K48" s="1"/>
      <c r="L48" s="1"/>
      <c r="M48" s="1"/>
      <c r="N48" s="1"/>
      <c r="O48" s="1"/>
      <c r="P48" s="1"/>
      <c r="Q48" s="1"/>
      <c r="R48" s="1"/>
      <c r="S48" s="1"/>
      <c r="T48" s="1"/>
      <c r="U48" s="1"/>
      <c r="V48" s="1"/>
      <c r="W48" s="198"/>
      <c r="X48" s="198"/>
      <c r="Y48" s="198"/>
      <c r="Z48" s="198"/>
      <c r="AA48" s="198"/>
      <c r="AB48" s="198"/>
      <c r="AC48" s="198"/>
      <c r="AD48" s="198"/>
      <c r="AE48" s="198"/>
      <c r="AF48" s="198"/>
      <c r="AG48" s="198"/>
      <c r="AH48" s="198"/>
      <c r="AI48" s="202"/>
      <c r="AJ48" s="202"/>
      <c r="AK48" s="202"/>
      <c r="AL48" s="1729"/>
      <c r="AS48" s="1737"/>
      <c r="AT48" s="204"/>
      <c r="BA48" s="158"/>
      <c r="BB48" s="158"/>
      <c r="BE48" s="158"/>
    </row>
    <row r="49" spans="1:69" ht="15">
      <c r="A49" s="3583"/>
      <c r="B49" s="3584"/>
      <c r="C49" s="3584"/>
      <c r="D49" s="3584"/>
      <c r="E49" s="3584"/>
      <c r="F49" s="3584"/>
      <c r="G49" s="3585"/>
      <c r="J49" s="1"/>
      <c r="K49" s="1"/>
      <c r="L49" s="1"/>
      <c r="M49" s="1"/>
      <c r="N49" s="1"/>
      <c r="O49" s="1"/>
      <c r="P49" s="1"/>
      <c r="Q49" s="1"/>
      <c r="R49" s="1"/>
      <c r="S49" s="1"/>
      <c r="T49" s="1"/>
      <c r="U49" s="1"/>
      <c r="V49" s="1"/>
      <c r="W49" s="198"/>
      <c r="X49" s="198"/>
      <c r="Y49" s="198"/>
      <c r="Z49" s="198"/>
      <c r="AA49" s="198"/>
      <c r="AB49" s="198"/>
      <c r="AC49" s="198"/>
      <c r="AD49" s="198"/>
      <c r="AE49" s="198"/>
      <c r="AF49" s="198"/>
      <c r="AG49" s="198"/>
      <c r="AH49" s="198"/>
      <c r="AI49" s="202"/>
      <c r="AJ49" s="202"/>
      <c r="AK49" s="202"/>
      <c r="AL49" s="1729"/>
      <c r="AM49" s="199"/>
      <c r="AN49" s="199"/>
      <c r="AS49" s="1737"/>
      <c r="BA49" s="158"/>
      <c r="BE49" s="158"/>
    </row>
    <row r="50" spans="1:69" ht="15">
      <c r="A50" s="3586"/>
      <c r="B50" s="3587"/>
      <c r="C50" s="3587"/>
      <c r="D50" s="3587"/>
      <c r="E50" s="3587"/>
      <c r="F50" s="3587"/>
      <c r="G50" s="3588"/>
      <c r="J50" s="1"/>
      <c r="K50" s="1"/>
      <c r="L50" s="1"/>
      <c r="M50" s="1"/>
      <c r="N50" s="1"/>
      <c r="O50" s="1"/>
      <c r="P50" s="1"/>
      <c r="Q50" s="1"/>
      <c r="R50" s="1"/>
      <c r="S50" s="1"/>
      <c r="T50" s="1"/>
      <c r="U50" s="1"/>
      <c r="V50" s="1"/>
      <c r="W50" s="198"/>
      <c r="X50" s="198"/>
      <c r="Y50" s="198"/>
      <c r="Z50" s="198"/>
      <c r="AA50" s="198"/>
      <c r="AB50" s="198"/>
      <c r="AC50" s="198"/>
      <c r="AD50" s="198"/>
      <c r="AE50" s="198"/>
      <c r="AF50" s="198"/>
      <c r="AG50" s="198"/>
      <c r="AH50" s="198"/>
      <c r="AI50" s="202"/>
      <c r="AJ50" s="202"/>
      <c r="AK50" s="202"/>
      <c r="AL50" s="1729"/>
      <c r="AM50" s="199"/>
      <c r="AN50" s="199"/>
      <c r="AQ50" s="1737"/>
      <c r="AR50" s="1737"/>
      <c r="AS50" s="1737"/>
      <c r="AU50" s="1194"/>
      <c r="BE50" s="158"/>
    </row>
    <row r="51" spans="1:69" ht="15">
      <c r="A51" s="2737" t="s">
        <v>306</v>
      </c>
      <c r="B51" s="2737"/>
      <c r="C51" s="2737"/>
      <c r="D51" s="2737"/>
      <c r="E51" s="2737"/>
      <c r="F51" s="2737"/>
      <c r="G51" s="2737"/>
      <c r="J51" s="1"/>
      <c r="K51" s="1"/>
      <c r="L51" s="1"/>
      <c r="M51" s="1"/>
      <c r="N51" s="1"/>
      <c r="O51" s="1"/>
      <c r="P51" s="1"/>
      <c r="Q51" s="1"/>
      <c r="R51" s="1"/>
      <c r="S51" s="1"/>
      <c r="T51" s="1"/>
      <c r="U51" s="1"/>
      <c r="V51" s="1"/>
      <c r="W51" s="198"/>
      <c r="X51" s="198"/>
      <c r="Y51" s="198"/>
      <c r="Z51" s="198"/>
      <c r="AA51" s="198"/>
      <c r="AB51" s="198"/>
      <c r="AC51" s="198"/>
      <c r="AD51" s="198"/>
      <c r="AE51" s="198"/>
      <c r="AF51" s="198"/>
      <c r="AG51" s="198"/>
      <c r="AH51" s="198"/>
      <c r="AI51" s="202"/>
      <c r="AJ51" s="202"/>
      <c r="AK51" s="202"/>
      <c r="AL51" s="1729"/>
      <c r="AM51" s="199"/>
      <c r="AN51" s="199"/>
      <c r="AP51" s="205"/>
      <c r="AQ51" s="1737"/>
      <c r="AR51" s="1737"/>
      <c r="AS51" s="1737"/>
      <c r="AU51" s="1641"/>
      <c r="BE51" s="158"/>
    </row>
    <row r="52" spans="1:69" ht="15">
      <c r="A52" s="2737"/>
      <c r="B52" s="2737"/>
      <c r="C52" s="2737"/>
      <c r="D52" s="2737"/>
      <c r="E52" s="2737"/>
      <c r="F52" s="2737"/>
      <c r="G52" s="2737"/>
      <c r="J52" s="1"/>
      <c r="K52" s="1"/>
      <c r="L52" s="1"/>
      <c r="M52" s="1"/>
      <c r="N52" s="1"/>
      <c r="O52" s="1"/>
      <c r="P52" s="1"/>
      <c r="Q52" s="1"/>
      <c r="R52" s="1"/>
      <c r="S52" s="1"/>
      <c r="T52" s="1"/>
      <c r="U52" s="1"/>
      <c r="V52" s="1"/>
      <c r="W52" s="198"/>
      <c r="X52" s="198"/>
      <c r="Y52" s="198"/>
      <c r="Z52" s="198"/>
      <c r="AA52" s="198"/>
      <c r="AB52" s="198"/>
      <c r="AC52" s="198"/>
      <c r="AD52" s="198"/>
      <c r="AE52" s="198"/>
      <c r="AF52" s="198"/>
      <c r="AG52" s="198"/>
      <c r="AH52" s="198"/>
      <c r="AI52" s="202"/>
      <c r="AJ52" s="202"/>
      <c r="AK52" s="202"/>
      <c r="AL52" s="1729"/>
      <c r="AP52" s="205"/>
      <c r="AQ52" s="1737"/>
      <c r="AR52" s="1737"/>
      <c r="AS52" s="1737"/>
      <c r="AT52" s="205"/>
      <c r="AU52" s="1641"/>
      <c r="BE52" s="158"/>
      <c r="BL52" s="158" t="s">
        <v>0</v>
      </c>
    </row>
    <row r="53" spans="1:69" ht="15">
      <c r="J53" s="1"/>
      <c r="K53" s="1"/>
      <c r="L53" s="1"/>
      <c r="M53" s="1"/>
      <c r="N53" s="1"/>
      <c r="O53" s="1"/>
      <c r="P53" s="1"/>
      <c r="Q53" s="1"/>
      <c r="R53" s="1"/>
      <c r="S53" s="1"/>
      <c r="T53" s="1"/>
      <c r="U53" s="1"/>
      <c r="V53" s="1"/>
      <c r="W53" s="198"/>
      <c r="X53" s="198"/>
      <c r="Y53" s="198"/>
      <c r="Z53" s="198"/>
      <c r="AA53" s="198"/>
      <c r="AB53" s="198"/>
      <c r="AC53" s="198"/>
      <c r="AD53" s="198"/>
      <c r="AE53" s="198"/>
      <c r="AF53" s="198"/>
      <c r="AG53" s="198"/>
      <c r="AH53" s="198"/>
      <c r="AI53" s="202"/>
      <c r="AJ53" s="202"/>
      <c r="AK53" s="202"/>
      <c r="AL53" s="1729"/>
      <c r="AQ53" s="1737"/>
      <c r="AR53" s="1737"/>
      <c r="AS53" s="1737"/>
      <c r="AU53" s="1640"/>
      <c r="BE53" s="158"/>
    </row>
    <row r="54" spans="1:69" ht="15">
      <c r="J54" s="1"/>
      <c r="K54" s="1"/>
      <c r="L54" s="1"/>
      <c r="M54" s="1"/>
      <c r="N54" s="1"/>
      <c r="O54" s="1"/>
      <c r="P54" s="1"/>
      <c r="Q54" s="1"/>
      <c r="R54" s="1"/>
      <c r="S54" s="1"/>
      <c r="T54" s="1"/>
      <c r="U54" s="1"/>
      <c r="V54" s="1"/>
      <c r="W54" s="198"/>
      <c r="X54" s="198"/>
      <c r="Y54" s="198"/>
      <c r="Z54" s="198"/>
      <c r="AA54" s="198"/>
      <c r="AB54" s="198"/>
      <c r="AC54" s="198"/>
      <c r="AD54" s="198"/>
      <c r="AE54" s="198"/>
      <c r="AF54" s="198"/>
      <c r="AG54" s="198"/>
      <c r="AH54" s="198"/>
      <c r="AI54" s="202"/>
      <c r="AJ54" s="202"/>
      <c r="AK54" s="202"/>
      <c r="AL54" s="1744"/>
      <c r="AM54" s="1"/>
      <c r="AN54" s="1"/>
      <c r="AO54" s="1"/>
      <c r="AQ54" s="1737"/>
      <c r="AR54" s="1737"/>
      <c r="AS54" s="1737"/>
      <c r="AU54" s="201"/>
      <c r="BE54" s="158"/>
    </row>
    <row r="55" spans="1:69" ht="15">
      <c r="J55" s="1"/>
      <c r="K55" s="1"/>
      <c r="L55" s="1"/>
      <c r="M55" s="1"/>
      <c r="N55" s="1"/>
      <c r="O55" s="1"/>
      <c r="P55" s="1"/>
      <c r="Q55" s="1"/>
      <c r="R55" s="1"/>
      <c r="S55" s="1"/>
      <c r="T55" s="1"/>
      <c r="U55" s="1"/>
      <c r="V55" s="1"/>
      <c r="W55" s="198"/>
      <c r="X55" s="198"/>
      <c r="Y55" s="198"/>
      <c r="Z55" s="198"/>
      <c r="AA55" s="198"/>
      <c r="AB55" s="198"/>
      <c r="AC55" s="198"/>
      <c r="AD55" s="198"/>
      <c r="AE55" s="198"/>
      <c r="AF55" s="198"/>
      <c r="AG55" s="198"/>
      <c r="AH55" s="198"/>
      <c r="AI55" s="202"/>
      <c r="AJ55" s="202"/>
      <c r="AK55" s="202"/>
      <c r="AM55" s="1"/>
      <c r="AN55" s="1"/>
      <c r="AO55" s="1"/>
      <c r="AQ55" s="1737"/>
      <c r="AR55" s="1737"/>
      <c r="AS55" s="1737"/>
      <c r="AU55" s="201"/>
      <c r="AZ55" s="143"/>
      <c r="BE55" s="158"/>
    </row>
    <row r="56" spans="1:69" ht="15">
      <c r="A56" s="1"/>
      <c r="B56" s="1"/>
      <c r="C56" s="1"/>
      <c r="D56" s="1"/>
      <c r="E56" s="1"/>
      <c r="F56" s="1"/>
      <c r="G56" s="1"/>
      <c r="W56" s="198"/>
      <c r="X56" s="198"/>
      <c r="Y56" s="198"/>
      <c r="Z56" s="198"/>
      <c r="AA56" s="198"/>
      <c r="AB56" s="198"/>
      <c r="AC56" s="198"/>
      <c r="AD56" s="198"/>
      <c r="AE56" s="198"/>
      <c r="AF56" s="198"/>
      <c r="AG56" s="198"/>
      <c r="AH56" s="198"/>
      <c r="AM56" s="1"/>
      <c r="AN56" s="1"/>
      <c r="AO56" s="1"/>
      <c r="AQ56" s="1737"/>
      <c r="AR56" s="1737"/>
      <c r="AS56" s="1737"/>
      <c r="AZ56" s="143"/>
      <c r="BE56" s="158"/>
    </row>
    <row r="57" spans="1:69" ht="15">
      <c r="A57" s="1"/>
      <c r="B57" s="1"/>
      <c r="C57" s="1"/>
      <c r="D57" s="1"/>
      <c r="E57" s="1"/>
      <c r="F57" s="1"/>
      <c r="G57" s="1"/>
      <c r="W57" s="199"/>
      <c r="AM57" s="1"/>
      <c r="AN57" s="1"/>
      <c r="AO57" s="1"/>
      <c r="AQ57" s="1737"/>
      <c r="AR57" s="1737"/>
      <c r="AS57" s="1737"/>
      <c r="AW57" s="143"/>
      <c r="AX57" s="143"/>
      <c r="AY57" s="143"/>
      <c r="AZ57" s="143"/>
      <c r="BE57" s="158"/>
    </row>
    <row r="58" spans="1:69" ht="15">
      <c r="A58" s="1"/>
      <c r="B58" s="1"/>
      <c r="C58" s="1"/>
      <c r="D58" s="1"/>
      <c r="E58" s="1"/>
      <c r="F58" s="1"/>
      <c r="G58" s="1"/>
      <c r="W58" s="199"/>
      <c r="AM58" s="1"/>
      <c r="AN58" s="1"/>
      <c r="AO58" s="1"/>
      <c r="AQ58" s="1737"/>
      <c r="AW58" s="143"/>
      <c r="AX58" s="143"/>
      <c r="AY58" s="143"/>
      <c r="AZ58" s="143"/>
      <c r="BE58" s="158"/>
    </row>
    <row r="59" spans="1:69" ht="27.95" customHeight="1">
      <c r="A59" s="1"/>
      <c r="B59" s="1"/>
      <c r="C59" s="1"/>
      <c r="D59" s="1"/>
      <c r="E59" s="1"/>
      <c r="F59" s="1"/>
      <c r="G59" s="1"/>
      <c r="W59" s="199"/>
      <c r="AM59" s="1"/>
      <c r="AN59" s="1"/>
      <c r="AO59" s="1"/>
      <c r="AU59" s="206"/>
      <c r="AW59" s="143"/>
      <c r="AX59" s="143"/>
      <c r="AY59" s="143"/>
      <c r="AZ59" s="143"/>
      <c r="BE59" s="201"/>
      <c r="BJ59" s="1"/>
      <c r="BK59" s="1"/>
      <c r="BL59" s="1"/>
      <c r="BM59" s="1"/>
      <c r="BN59" s="1"/>
      <c r="BO59" s="1"/>
      <c r="BP59" s="1"/>
      <c r="BQ59" s="1"/>
    </row>
    <row r="60" spans="1:69" ht="30" customHeight="1">
      <c r="A60" s="1"/>
      <c r="B60" s="1"/>
      <c r="C60" s="1"/>
      <c r="D60" s="1"/>
      <c r="E60" s="1"/>
      <c r="F60" s="1"/>
      <c r="G60" s="1"/>
      <c r="K60" s="203"/>
      <c r="L60" s="203"/>
      <c r="M60" s="203"/>
      <c r="N60" s="203"/>
      <c r="O60" s="203"/>
      <c r="P60" s="203"/>
      <c r="Q60" s="203"/>
      <c r="R60" s="203"/>
      <c r="S60" s="203"/>
      <c r="T60" s="203"/>
      <c r="U60" s="203"/>
      <c r="V60" s="203"/>
      <c r="W60" s="203"/>
      <c r="X60" s="203"/>
      <c r="Y60" s="203"/>
      <c r="Z60" s="203"/>
      <c r="AA60" s="203"/>
      <c r="AB60" s="203"/>
      <c r="AC60" s="203"/>
      <c r="AM60" s="1"/>
      <c r="AN60" s="1"/>
      <c r="AO60" s="1"/>
      <c r="AU60" s="206"/>
      <c r="AW60" s="143"/>
      <c r="AX60" s="143"/>
      <c r="AY60" s="143"/>
      <c r="AZ60" s="143"/>
      <c r="BE60" s="201"/>
      <c r="BJ60" s="1"/>
      <c r="BK60" s="1"/>
      <c r="BL60" s="1"/>
      <c r="BM60" s="1"/>
      <c r="BN60" s="1"/>
      <c r="BO60" s="1"/>
      <c r="BP60" s="1"/>
      <c r="BQ60" s="1"/>
    </row>
    <row r="61" spans="1:69" ht="12.75" customHeight="1">
      <c r="A61" s="1"/>
      <c r="B61" s="1"/>
      <c r="C61" s="1"/>
      <c r="D61" s="1"/>
      <c r="E61" s="1"/>
      <c r="F61" s="1"/>
      <c r="G61" s="1"/>
      <c r="K61" s="203"/>
      <c r="L61" s="203"/>
      <c r="M61" s="203"/>
      <c r="N61" s="203"/>
      <c r="O61" s="203"/>
      <c r="P61" s="203"/>
      <c r="Q61" s="203"/>
      <c r="R61" s="203"/>
      <c r="S61" s="203"/>
      <c r="T61" s="203"/>
      <c r="U61" s="203"/>
      <c r="V61" s="203"/>
      <c r="W61" s="203"/>
      <c r="X61" s="203"/>
      <c r="Y61" s="203"/>
      <c r="Z61" s="203"/>
      <c r="AA61" s="203"/>
      <c r="AB61" s="203"/>
      <c r="AC61" s="203"/>
      <c r="AM61" s="1"/>
      <c r="AN61" s="1"/>
      <c r="AO61" s="1"/>
      <c r="AW61" s="143"/>
      <c r="AX61" s="143"/>
      <c r="AY61" s="143"/>
      <c r="AZ61" s="143"/>
      <c r="BE61" s="201"/>
      <c r="BJ61" s="1"/>
      <c r="BK61" s="1"/>
      <c r="BL61" s="1"/>
      <c r="BM61" s="1"/>
      <c r="BN61" s="1"/>
      <c r="BO61" s="1"/>
      <c r="BP61" s="1"/>
      <c r="BQ61" s="1"/>
    </row>
    <row r="62" spans="1:69">
      <c r="A62" s="1"/>
      <c r="B62" s="1"/>
      <c r="C62" s="1"/>
      <c r="D62" s="1"/>
      <c r="E62" s="1"/>
      <c r="F62" s="1"/>
      <c r="G62" s="1"/>
      <c r="AM62" s="1"/>
      <c r="AN62" s="1"/>
      <c r="AO62" s="1"/>
      <c r="AW62" s="204"/>
      <c r="AX62" s="201"/>
      <c r="AZ62" s="143"/>
      <c r="BE62" s="201"/>
      <c r="BF62" s="1"/>
      <c r="BJ62" s="1"/>
      <c r="BK62" s="1"/>
      <c r="BL62" s="1"/>
      <c r="BM62" s="1"/>
      <c r="BN62" s="1"/>
      <c r="BO62" s="1"/>
      <c r="BP62" s="1"/>
      <c r="BQ62" s="1"/>
    </row>
    <row r="63" spans="1:69" ht="12" customHeight="1">
      <c r="A63" s="1"/>
      <c r="B63" s="1"/>
      <c r="C63" s="1"/>
      <c r="D63" s="1"/>
      <c r="E63" s="1"/>
      <c r="F63" s="1"/>
      <c r="G63" s="1"/>
      <c r="AW63" s="204"/>
      <c r="AX63" s="201"/>
      <c r="AZ63" s="143"/>
      <c r="BE63" s="201"/>
      <c r="BF63" s="1"/>
      <c r="BJ63" s="1"/>
      <c r="BK63" s="1"/>
      <c r="BL63" s="1"/>
      <c r="BM63" s="1"/>
      <c r="BN63" s="1"/>
      <c r="BO63" s="1"/>
      <c r="BP63" s="1"/>
      <c r="BQ63" s="1"/>
    </row>
    <row r="64" spans="1:69" s="1" customFormat="1">
      <c r="J64" s="158"/>
      <c r="K64" s="158"/>
      <c r="L64" s="158"/>
      <c r="M64" s="158"/>
      <c r="N64" s="158"/>
      <c r="O64" s="158"/>
      <c r="P64" s="158"/>
      <c r="Q64" s="158"/>
      <c r="R64" s="158"/>
      <c r="S64" s="158"/>
      <c r="T64" s="158"/>
      <c r="U64" s="158"/>
      <c r="V64" s="158"/>
      <c r="W64" s="158"/>
      <c r="X64" s="199"/>
      <c r="Y64" s="199"/>
      <c r="Z64" s="199"/>
      <c r="AA64" s="199"/>
      <c r="AB64" s="199"/>
      <c r="AC64" s="199"/>
      <c r="AD64" s="199"/>
      <c r="AE64" s="199"/>
      <c r="AF64" s="199"/>
      <c r="AG64" s="199"/>
      <c r="AH64" s="199"/>
      <c r="AI64" s="199"/>
      <c r="AJ64" s="199"/>
      <c r="AK64" s="199"/>
      <c r="AL64" s="199"/>
      <c r="AM64" s="158"/>
      <c r="AN64" s="158"/>
      <c r="AO64" s="158"/>
      <c r="AP64" s="200"/>
      <c r="AQ64" s="158"/>
      <c r="AR64" s="158"/>
      <c r="AS64" s="158"/>
      <c r="AT64" s="158"/>
      <c r="AU64" s="158"/>
      <c r="AV64" s="158"/>
      <c r="AW64" s="201"/>
      <c r="AX64" s="201"/>
      <c r="AY64" s="158"/>
      <c r="AZ64" s="143"/>
      <c r="BA64" s="143"/>
      <c r="BB64" s="143"/>
      <c r="BC64" s="143"/>
      <c r="BD64" s="143"/>
      <c r="BE64" s="201"/>
    </row>
    <row r="65" spans="1:69" s="1" customFormat="1">
      <c r="A65" s="158"/>
      <c r="B65" s="158"/>
      <c r="C65" s="158"/>
      <c r="D65" s="158"/>
      <c r="E65" s="158"/>
      <c r="F65" s="158"/>
      <c r="G65" s="158"/>
      <c r="J65" s="158"/>
      <c r="K65" s="158"/>
      <c r="L65" s="158"/>
      <c r="M65" s="158"/>
      <c r="N65" s="158"/>
      <c r="O65" s="158"/>
      <c r="P65" s="158"/>
      <c r="Q65" s="158"/>
      <c r="R65" s="158"/>
      <c r="S65" s="158"/>
      <c r="T65" s="158"/>
      <c r="U65" s="158"/>
      <c r="V65" s="158"/>
      <c r="W65" s="158"/>
      <c r="X65" s="199"/>
      <c r="Y65" s="199"/>
      <c r="Z65" s="199"/>
      <c r="AA65" s="199"/>
      <c r="AB65" s="199"/>
      <c r="AC65" s="199"/>
      <c r="AD65" s="199"/>
      <c r="AE65" s="199"/>
      <c r="AF65" s="199"/>
      <c r="AG65" s="199"/>
      <c r="AH65" s="199"/>
      <c r="AI65" s="199"/>
      <c r="AJ65" s="199"/>
      <c r="AK65" s="199"/>
      <c r="AL65" s="199"/>
      <c r="AM65" s="158"/>
      <c r="AN65" s="158"/>
      <c r="AO65" s="158"/>
      <c r="AP65" s="200"/>
      <c r="AQ65" s="158"/>
      <c r="AR65" s="158"/>
      <c r="AS65" s="158"/>
      <c r="AT65" s="158"/>
      <c r="AU65" s="158"/>
      <c r="AV65" s="158"/>
      <c r="AW65" s="201"/>
      <c r="AX65" s="201"/>
      <c r="AY65" s="158"/>
      <c r="AZ65" s="143"/>
      <c r="BA65" s="143"/>
      <c r="BB65" s="143"/>
      <c r="BC65" s="143"/>
      <c r="BD65" s="143"/>
      <c r="BE65" s="143"/>
    </row>
    <row r="66" spans="1:69" s="1" customFormat="1" ht="14.45" customHeight="1">
      <c r="A66" s="158"/>
      <c r="B66" s="158"/>
      <c r="C66" s="158"/>
      <c r="D66" s="158"/>
      <c r="E66" s="158"/>
      <c r="F66" s="158"/>
      <c r="G66" s="158"/>
      <c r="J66" s="158"/>
      <c r="K66" s="158"/>
      <c r="L66" s="158"/>
      <c r="M66" s="158"/>
      <c r="N66" s="158"/>
      <c r="O66" s="158"/>
      <c r="P66" s="158"/>
      <c r="Q66" s="158"/>
      <c r="R66" s="158"/>
      <c r="S66" s="158"/>
      <c r="T66" s="158"/>
      <c r="U66" s="158"/>
      <c r="V66" s="158"/>
      <c r="W66" s="158"/>
      <c r="X66" s="199"/>
      <c r="Y66" s="199"/>
      <c r="Z66" s="199"/>
      <c r="AA66" s="199"/>
      <c r="AB66" s="199"/>
      <c r="AC66" s="199"/>
      <c r="AD66" s="199"/>
      <c r="AE66" s="199"/>
      <c r="AF66" s="199"/>
      <c r="AG66" s="199"/>
      <c r="AH66" s="199"/>
      <c r="AI66" s="199"/>
      <c r="AJ66" s="199"/>
      <c r="AK66" s="199"/>
      <c r="AL66" s="199"/>
      <c r="AM66" s="158"/>
      <c r="AN66" s="158"/>
      <c r="AO66" s="158"/>
      <c r="AP66" s="200"/>
      <c r="AQ66" s="158"/>
      <c r="AR66" s="158"/>
      <c r="AS66" s="158"/>
      <c r="AT66" s="158"/>
      <c r="AU66" s="158"/>
      <c r="AV66" s="158"/>
      <c r="AW66" s="201"/>
      <c r="AX66" s="201"/>
      <c r="AY66" s="158"/>
      <c r="AZ66" s="143"/>
      <c r="BA66" s="143"/>
      <c r="BB66" s="143"/>
      <c r="BC66" s="143"/>
      <c r="BD66" s="143"/>
      <c r="BE66" s="143"/>
    </row>
    <row r="67" spans="1:69" s="1" customFormat="1" ht="15.75" customHeight="1">
      <c r="A67" s="158"/>
      <c r="B67" s="158"/>
      <c r="C67" s="158"/>
      <c r="D67" s="158"/>
      <c r="E67" s="158"/>
      <c r="F67" s="158"/>
      <c r="G67" s="158"/>
      <c r="J67" s="158"/>
      <c r="K67" s="158"/>
      <c r="L67" s="158"/>
      <c r="M67" s="158"/>
      <c r="N67" s="158"/>
      <c r="O67" s="158"/>
      <c r="P67" s="158"/>
      <c r="Q67" s="158"/>
      <c r="R67" s="158"/>
      <c r="S67" s="158"/>
      <c r="T67" s="158"/>
      <c r="U67" s="158"/>
      <c r="V67" s="158"/>
      <c r="W67" s="158"/>
      <c r="X67" s="199"/>
      <c r="Y67" s="199"/>
      <c r="Z67" s="199"/>
      <c r="AA67" s="199"/>
      <c r="AB67" s="199"/>
      <c r="AC67" s="199"/>
      <c r="AD67" s="199"/>
      <c r="AE67" s="199"/>
      <c r="AF67" s="199"/>
      <c r="AG67" s="199"/>
      <c r="AH67" s="199"/>
      <c r="AI67" s="199"/>
      <c r="AJ67" s="199"/>
      <c r="AK67" s="199"/>
      <c r="AL67" s="199"/>
      <c r="AM67" s="158"/>
      <c r="AN67" s="158"/>
      <c r="AO67" s="158"/>
      <c r="AP67" s="200"/>
      <c r="AQ67" s="158"/>
      <c r="AR67" s="158"/>
      <c r="AS67" s="158"/>
      <c r="AT67" s="158"/>
      <c r="AU67" s="158"/>
      <c r="AV67" s="158"/>
      <c r="AW67" s="201"/>
      <c r="AX67" s="201"/>
      <c r="AY67" s="201"/>
      <c r="AZ67" s="143"/>
      <c r="BA67" s="143"/>
      <c r="BB67" s="143"/>
      <c r="BC67" s="143"/>
      <c r="BD67" s="143"/>
      <c r="BE67" s="143"/>
    </row>
    <row r="68" spans="1:69" s="1" customFormat="1" ht="9.75" customHeight="1">
      <c r="A68" s="158"/>
      <c r="B68" s="158"/>
      <c r="C68" s="158"/>
      <c r="D68" s="158"/>
      <c r="E68" s="158"/>
      <c r="F68" s="158"/>
      <c r="G68" s="158"/>
      <c r="J68" s="158"/>
      <c r="K68" s="158"/>
      <c r="L68" s="158"/>
      <c r="M68" s="158"/>
      <c r="N68" s="158"/>
      <c r="O68" s="158"/>
      <c r="P68" s="158"/>
      <c r="Q68" s="158"/>
      <c r="R68" s="158"/>
      <c r="S68" s="158"/>
      <c r="T68" s="158"/>
      <c r="U68" s="158"/>
      <c r="V68" s="158"/>
      <c r="W68" s="158"/>
      <c r="X68" s="199"/>
      <c r="Y68" s="199"/>
      <c r="Z68" s="199"/>
      <c r="AA68" s="199"/>
      <c r="AB68" s="199"/>
      <c r="AC68" s="199"/>
      <c r="AD68" s="199"/>
      <c r="AE68" s="199"/>
      <c r="AF68" s="199"/>
      <c r="AG68" s="199"/>
      <c r="AH68" s="199"/>
      <c r="AI68" s="199"/>
      <c r="AJ68" s="199"/>
      <c r="AK68" s="199"/>
      <c r="AL68" s="199"/>
      <c r="AM68" s="158"/>
      <c r="AN68" s="158"/>
      <c r="AO68" s="158"/>
      <c r="AP68" s="200"/>
      <c r="AQ68" s="158"/>
      <c r="AR68" s="205"/>
      <c r="AS68" s="158"/>
      <c r="AT68" s="158"/>
      <c r="AU68" s="158"/>
      <c r="AV68" s="158"/>
      <c r="AW68" s="201"/>
      <c r="AX68" s="201"/>
      <c r="AY68" s="201"/>
      <c r="AZ68" s="143"/>
      <c r="BA68" s="143"/>
      <c r="BB68" s="143"/>
      <c r="BC68" s="143"/>
      <c r="BD68" s="143"/>
      <c r="BE68" s="143"/>
      <c r="BJ68" s="158"/>
      <c r="BK68" s="158"/>
      <c r="BL68" s="158"/>
      <c r="BM68" s="158"/>
      <c r="BN68" s="158"/>
      <c r="BO68" s="158"/>
      <c r="BP68" s="158"/>
      <c r="BQ68" s="158"/>
    </row>
    <row r="69" spans="1:69" s="1" customFormat="1" ht="18.75" customHeight="1">
      <c r="A69" s="158"/>
      <c r="B69" s="158"/>
      <c r="C69" s="158"/>
      <c r="D69" s="158"/>
      <c r="E69" s="158"/>
      <c r="F69" s="158"/>
      <c r="G69" s="158"/>
      <c r="J69" s="158"/>
      <c r="K69" s="158"/>
      <c r="L69" s="158"/>
      <c r="M69" s="158"/>
      <c r="N69" s="158"/>
      <c r="O69" s="158"/>
      <c r="P69" s="158"/>
      <c r="Q69" s="158"/>
      <c r="R69" s="158"/>
      <c r="S69" s="158"/>
      <c r="T69" s="158"/>
      <c r="U69" s="158"/>
      <c r="V69" s="158"/>
      <c r="W69" s="158"/>
      <c r="X69" s="199"/>
      <c r="Y69" s="199"/>
      <c r="Z69" s="199"/>
      <c r="AA69" s="199"/>
      <c r="AB69" s="199"/>
      <c r="AC69" s="199"/>
      <c r="AD69" s="199"/>
      <c r="AE69" s="199"/>
      <c r="AF69" s="199"/>
      <c r="AG69" s="199"/>
      <c r="AH69" s="199"/>
      <c r="AI69" s="199"/>
      <c r="AJ69" s="199"/>
      <c r="AK69" s="199"/>
      <c r="AL69" s="199"/>
      <c r="AM69" s="158"/>
      <c r="AN69" s="158"/>
      <c r="AO69" s="158"/>
      <c r="AP69" s="200"/>
      <c r="AQ69" s="205"/>
      <c r="AR69" s="205"/>
      <c r="AS69" s="158"/>
      <c r="AT69" s="158"/>
      <c r="AU69" s="158"/>
      <c r="AV69" s="158"/>
      <c r="AW69" s="201"/>
      <c r="AX69" s="201"/>
      <c r="AY69" s="201"/>
      <c r="AZ69" s="143"/>
      <c r="BA69" s="143"/>
      <c r="BB69" s="143"/>
      <c r="BC69" s="143"/>
      <c r="BD69" s="143"/>
      <c r="BE69" s="143"/>
      <c r="BJ69" s="158"/>
      <c r="BK69" s="158"/>
      <c r="BL69" s="158"/>
      <c r="BM69" s="158"/>
      <c r="BN69" s="158"/>
      <c r="BO69" s="158"/>
      <c r="BP69" s="158"/>
      <c r="BQ69" s="158"/>
    </row>
    <row r="70" spans="1:69" s="1" customFormat="1" ht="30" customHeight="1">
      <c r="A70" s="158"/>
      <c r="B70" s="158"/>
      <c r="C70" s="158"/>
      <c r="D70" s="158"/>
      <c r="E70" s="158"/>
      <c r="F70" s="158"/>
      <c r="G70" s="158"/>
      <c r="K70" s="158"/>
      <c r="L70" s="158"/>
      <c r="M70" s="158"/>
      <c r="N70" s="158"/>
      <c r="O70" s="158"/>
      <c r="P70" s="158"/>
      <c r="Q70" s="158"/>
      <c r="R70" s="158"/>
      <c r="S70" s="158"/>
      <c r="T70" s="158"/>
      <c r="U70" s="158"/>
      <c r="V70" s="158"/>
      <c r="W70" s="158"/>
      <c r="X70" s="199"/>
      <c r="Y70" s="199"/>
      <c r="Z70" s="199"/>
      <c r="AA70" s="199"/>
      <c r="AB70" s="199"/>
      <c r="AC70" s="199"/>
      <c r="AD70" s="199"/>
      <c r="AE70" s="199"/>
      <c r="AF70" s="199"/>
      <c r="AG70" s="199"/>
      <c r="AH70" s="199"/>
      <c r="AI70" s="199"/>
      <c r="AJ70" s="199"/>
      <c r="AK70" s="199"/>
      <c r="AL70" s="199"/>
      <c r="AM70" s="158"/>
      <c r="AN70" s="158"/>
      <c r="AO70" s="158"/>
      <c r="AP70" s="200"/>
      <c r="AQ70" s="205"/>
      <c r="AR70" s="207"/>
      <c r="AS70" s="205"/>
      <c r="AT70" s="158"/>
      <c r="AU70" s="158"/>
      <c r="AV70" s="158"/>
      <c r="AW70" s="201"/>
      <c r="AX70" s="201"/>
      <c r="AY70" s="201"/>
      <c r="AZ70" s="143"/>
      <c r="BA70" s="143"/>
      <c r="BB70" s="143"/>
      <c r="BC70" s="143"/>
      <c r="BD70" s="143"/>
      <c r="BE70" s="143"/>
      <c r="BJ70" s="158"/>
      <c r="BK70" s="158"/>
      <c r="BL70" s="158"/>
      <c r="BM70" s="158"/>
      <c r="BN70" s="158"/>
      <c r="BO70" s="158"/>
      <c r="BP70" s="158"/>
      <c r="BQ70" s="158"/>
    </row>
    <row r="71" spans="1:69" s="1" customFormat="1">
      <c r="A71" s="158"/>
      <c r="B71" s="158"/>
      <c r="C71" s="158"/>
      <c r="D71" s="158"/>
      <c r="E71" s="158"/>
      <c r="F71" s="158"/>
      <c r="G71" s="158"/>
      <c r="K71" s="158"/>
      <c r="L71" s="158"/>
      <c r="M71" s="158"/>
      <c r="N71" s="158"/>
      <c r="O71" s="158"/>
      <c r="P71" s="158"/>
      <c r="Q71" s="158"/>
      <c r="R71" s="158"/>
      <c r="S71" s="158"/>
      <c r="T71" s="158"/>
      <c r="U71" s="158"/>
      <c r="V71" s="158"/>
      <c r="W71" s="158"/>
      <c r="X71" s="199"/>
      <c r="Y71" s="199"/>
      <c r="Z71" s="199"/>
      <c r="AA71" s="199"/>
      <c r="AB71" s="199"/>
      <c r="AC71" s="199"/>
      <c r="AD71" s="199"/>
      <c r="AE71" s="199"/>
      <c r="AF71" s="199"/>
      <c r="AG71" s="199"/>
      <c r="AH71" s="199"/>
      <c r="AI71" s="199"/>
      <c r="AJ71" s="199"/>
      <c r="AK71" s="199"/>
      <c r="AL71" s="199"/>
      <c r="AM71" s="158"/>
      <c r="AN71" s="158"/>
      <c r="AO71" s="158"/>
      <c r="AP71" s="200"/>
      <c r="AQ71" s="207"/>
      <c r="AR71" s="158"/>
      <c r="AS71" s="205"/>
      <c r="AT71" s="205"/>
      <c r="AU71" s="158"/>
      <c r="AV71" s="158"/>
      <c r="AW71" s="201"/>
      <c r="AX71" s="201"/>
      <c r="AY71" s="201"/>
      <c r="AZ71" s="143"/>
      <c r="BA71" s="143"/>
      <c r="BB71" s="143"/>
      <c r="BC71" s="143"/>
      <c r="BD71" s="143"/>
      <c r="BE71" s="143"/>
      <c r="BF71" s="158"/>
      <c r="BJ71" s="158"/>
      <c r="BK71" s="158"/>
      <c r="BL71" s="158"/>
      <c r="BM71" s="158"/>
      <c r="BN71" s="158"/>
      <c r="BO71" s="158"/>
      <c r="BP71" s="158"/>
      <c r="BQ71" s="158"/>
    </row>
    <row r="72" spans="1:69" s="1" customFormat="1" ht="16.5" customHeight="1">
      <c r="A72" s="158"/>
      <c r="B72" s="158"/>
      <c r="C72" s="158"/>
      <c r="D72" s="158"/>
      <c r="E72" s="158"/>
      <c r="F72" s="158"/>
      <c r="G72" s="158"/>
      <c r="K72" s="158"/>
      <c r="L72" s="158"/>
      <c r="M72" s="158"/>
      <c r="N72" s="158"/>
      <c r="O72" s="158"/>
      <c r="P72" s="158"/>
      <c r="Q72" s="158"/>
      <c r="R72" s="158"/>
      <c r="S72" s="158"/>
      <c r="T72" s="158"/>
      <c r="U72" s="158"/>
      <c r="V72" s="158"/>
      <c r="W72" s="158"/>
      <c r="X72" s="199"/>
      <c r="Y72" s="199"/>
      <c r="Z72" s="199"/>
      <c r="AA72" s="199"/>
      <c r="AB72" s="199"/>
      <c r="AC72" s="199"/>
      <c r="AD72" s="199"/>
      <c r="AE72" s="199"/>
      <c r="AF72" s="199"/>
      <c r="AG72" s="199"/>
      <c r="AH72" s="199"/>
      <c r="AI72" s="199"/>
      <c r="AJ72" s="199"/>
      <c r="AK72" s="199"/>
      <c r="AL72" s="199"/>
      <c r="AM72" s="158"/>
      <c r="AN72" s="158"/>
      <c r="AO72" s="158"/>
      <c r="AP72" s="200"/>
      <c r="AQ72" s="158"/>
      <c r="AR72" s="158"/>
      <c r="AS72" s="207"/>
      <c r="AT72" s="205"/>
      <c r="AU72" s="158"/>
      <c r="AV72" s="158"/>
      <c r="AW72" s="201"/>
      <c r="AX72" s="201"/>
      <c r="AY72" s="201"/>
      <c r="AZ72" s="158"/>
      <c r="BA72" s="143"/>
      <c r="BB72" s="143"/>
      <c r="BC72" s="143"/>
      <c r="BD72" s="143"/>
      <c r="BE72" s="143"/>
      <c r="BF72" s="158"/>
      <c r="BJ72" s="158"/>
      <c r="BK72" s="158"/>
      <c r="BL72" s="158"/>
      <c r="BM72" s="158"/>
      <c r="BN72" s="158"/>
      <c r="BO72" s="158"/>
      <c r="BP72" s="158"/>
      <c r="BQ72" s="158"/>
    </row>
    <row r="73" spans="1:69" ht="16.5" customHeight="1">
      <c r="J73" s="1"/>
      <c r="AT73" s="207"/>
      <c r="AW73" s="201"/>
      <c r="AX73" s="201"/>
      <c r="AY73" s="201"/>
    </row>
    <row r="74" spans="1:69" ht="16.5" customHeight="1">
      <c r="J74" s="1"/>
      <c r="AW74" s="201"/>
      <c r="AX74" s="201"/>
      <c r="AY74" s="201"/>
    </row>
    <row r="75" spans="1:69" ht="16.5" customHeight="1">
      <c r="J75" s="1"/>
      <c r="AW75" s="201"/>
      <c r="AX75" s="201"/>
      <c r="AY75" s="201"/>
    </row>
    <row r="76" spans="1:69" ht="16.5" customHeight="1">
      <c r="J76" s="1"/>
      <c r="AW76" s="201"/>
      <c r="AX76" s="201"/>
      <c r="AY76" s="201"/>
    </row>
    <row r="77" spans="1:69" ht="16.5" customHeight="1">
      <c r="J77" s="1"/>
      <c r="AW77" s="201"/>
      <c r="AX77" s="201"/>
      <c r="AY77" s="201"/>
    </row>
    <row r="78" spans="1:69" ht="16.5" customHeight="1">
      <c r="J78" s="1"/>
      <c r="AW78" s="201"/>
      <c r="AX78" s="201"/>
      <c r="AY78" s="201"/>
    </row>
    <row r="79" spans="1:69">
      <c r="AU79" s="205"/>
      <c r="AW79" s="201"/>
      <c r="AX79" s="201"/>
      <c r="AY79" s="201"/>
    </row>
    <row r="80" spans="1:69">
      <c r="AU80" s="205"/>
      <c r="AW80" s="201"/>
      <c r="AX80" s="201"/>
      <c r="AY80" s="201"/>
    </row>
    <row r="81" spans="10:57" ht="12.75" customHeight="1">
      <c r="AU81" s="207"/>
      <c r="AX81" s="201"/>
      <c r="AY81" s="201"/>
      <c r="BC81" s="206"/>
      <c r="BD81" s="206"/>
      <c r="BE81" s="201"/>
    </row>
    <row r="82" spans="10:57">
      <c r="AX82" s="201"/>
      <c r="AY82" s="201"/>
      <c r="BB82" s="206"/>
      <c r="BC82" s="206"/>
      <c r="BD82" s="206"/>
      <c r="BE82" s="201"/>
    </row>
    <row r="83" spans="10:57">
      <c r="J83" s="203"/>
      <c r="AX83" s="204"/>
      <c r="AY83" s="204"/>
      <c r="BA83" s="206"/>
      <c r="BB83" s="206"/>
      <c r="BC83" s="206"/>
      <c r="BD83" s="206"/>
      <c r="BE83" s="201"/>
    </row>
    <row r="84" spans="10:57">
      <c r="J84" s="203"/>
      <c r="AX84" s="204"/>
      <c r="AY84" s="204"/>
      <c r="BA84" s="206"/>
      <c r="BB84" s="206"/>
      <c r="BC84" s="206"/>
      <c r="BD84" s="206"/>
      <c r="BE84" s="201"/>
    </row>
    <row r="85" spans="10:57">
      <c r="AX85" s="204"/>
      <c r="AY85" s="204"/>
      <c r="BA85" s="206"/>
      <c r="BB85" s="206"/>
      <c r="BC85" s="201"/>
      <c r="BD85" s="201"/>
      <c r="BE85" s="201"/>
    </row>
    <row r="86" spans="10:57">
      <c r="AV86" s="206"/>
      <c r="AX86" s="204"/>
      <c r="AY86" s="204"/>
      <c r="BA86" s="206"/>
      <c r="BB86" s="201"/>
      <c r="BC86" s="201"/>
      <c r="BD86" s="201"/>
      <c r="BE86" s="201"/>
    </row>
    <row r="87" spans="10:57">
      <c r="AV87" s="206"/>
      <c r="AX87" s="201"/>
      <c r="AY87" s="201"/>
      <c r="BA87" s="201"/>
      <c r="BB87" s="201"/>
      <c r="BC87" s="201"/>
      <c r="BD87" s="201"/>
      <c r="BE87" s="201"/>
    </row>
    <row r="88" spans="10:57">
      <c r="AX88" s="201"/>
      <c r="AY88" s="201"/>
      <c r="BA88" s="201"/>
      <c r="BB88" s="201"/>
      <c r="BC88" s="201"/>
      <c r="BD88" s="201"/>
      <c r="BE88" s="201"/>
    </row>
    <row r="89" spans="10:57">
      <c r="AX89" s="201"/>
      <c r="AY89" s="201"/>
      <c r="BA89" s="201"/>
      <c r="BB89" s="201"/>
      <c r="BC89" s="201"/>
      <c r="BD89" s="201"/>
      <c r="BE89" s="201"/>
    </row>
    <row r="90" spans="10:57">
      <c r="AX90" s="201"/>
      <c r="AY90" s="201"/>
      <c r="BA90" s="201"/>
      <c r="BB90" s="201"/>
      <c r="BC90" s="201"/>
      <c r="BD90" s="201"/>
      <c r="BE90" s="201"/>
    </row>
    <row r="91" spans="10:57">
      <c r="AX91" s="201"/>
      <c r="AY91" s="201"/>
      <c r="BA91" s="201"/>
      <c r="BB91" s="201"/>
      <c r="BC91" s="201"/>
      <c r="BD91" s="201"/>
      <c r="BE91" s="201"/>
    </row>
    <row r="92" spans="10:57">
      <c r="AX92" s="201"/>
      <c r="AY92" s="201"/>
      <c r="BA92" s="201"/>
      <c r="BB92" s="201"/>
      <c r="BC92" s="201"/>
      <c r="BD92" s="201"/>
      <c r="BE92" s="201"/>
    </row>
    <row r="93" spans="10:57">
      <c r="AX93" s="201"/>
      <c r="AY93" s="201"/>
      <c r="BA93" s="201"/>
      <c r="BB93" s="201"/>
      <c r="BC93" s="201"/>
      <c r="BD93" s="201"/>
      <c r="BE93" s="201"/>
    </row>
    <row r="94" spans="10:57">
      <c r="AX94" s="201"/>
      <c r="AY94" s="201"/>
      <c r="BA94" s="201"/>
      <c r="BB94" s="201"/>
      <c r="BC94" s="201"/>
      <c r="BD94" s="201"/>
      <c r="BE94" s="201"/>
    </row>
    <row r="95" spans="10:57">
      <c r="AX95" s="201"/>
      <c r="AY95" s="201"/>
      <c r="BA95" s="201"/>
      <c r="BB95" s="201"/>
    </row>
    <row r="96" spans="10:57">
      <c r="AX96" s="201"/>
      <c r="AY96" s="201"/>
      <c r="BA96" s="201"/>
    </row>
    <row r="97" spans="50:51">
      <c r="AX97" s="201"/>
      <c r="AY97" s="201"/>
    </row>
    <row r="98" spans="50:51">
      <c r="AX98" s="201"/>
      <c r="AY98" s="201"/>
    </row>
    <row r="99" spans="50:51">
      <c r="AX99" s="201"/>
      <c r="AY99" s="201"/>
    </row>
    <row r="100" spans="50:51">
      <c r="AX100" s="201"/>
      <c r="AY100" s="201"/>
    </row>
    <row r="101" spans="50:51">
      <c r="AX101" s="201"/>
      <c r="AY101" s="201"/>
    </row>
    <row r="102" spans="50:51">
      <c r="AX102" s="201"/>
      <c r="AY102" s="201"/>
    </row>
    <row r="103" spans="50:51">
      <c r="AX103" s="201"/>
      <c r="AY103" s="201"/>
    </row>
  </sheetData>
  <sheetProtection password="B39D" sheet="1" formatCells="0" formatColumns="0" formatRows="0"/>
  <dataConsolidate/>
  <mergeCells count="278">
    <mergeCell ref="BC28:BF28"/>
    <mergeCell ref="BG16:BH16"/>
    <mergeCell ref="BG22:BH22"/>
    <mergeCell ref="BG28:BH28"/>
    <mergeCell ref="BG19:BH19"/>
    <mergeCell ref="BG25:BH25"/>
    <mergeCell ref="BG31:BH31"/>
    <mergeCell ref="AV34:AW35"/>
    <mergeCell ref="AX34:AX35"/>
    <mergeCell ref="AY34:AY35"/>
    <mergeCell ref="BG20:BH20"/>
    <mergeCell ref="BG26:BH26"/>
    <mergeCell ref="BG32:BH32"/>
    <mergeCell ref="BC16:BF16"/>
    <mergeCell ref="AX30:AX31"/>
    <mergeCell ref="AX32:AX33"/>
    <mergeCell ref="AV28:AY29"/>
    <mergeCell ref="AV32:AW33"/>
    <mergeCell ref="AY32:AY33"/>
    <mergeCell ref="AV30:AW31"/>
    <mergeCell ref="AY30:AY31"/>
    <mergeCell ref="BB34:BF34"/>
    <mergeCell ref="BL1:BN1"/>
    <mergeCell ref="BU1:BW1"/>
    <mergeCell ref="BB1:BH1"/>
    <mergeCell ref="AM24:AM26"/>
    <mergeCell ref="AN24:AN26"/>
    <mergeCell ref="AO24:AO26"/>
    <mergeCell ref="AP24:AP26"/>
    <mergeCell ref="AM4:AP4"/>
    <mergeCell ref="AM5:AP5"/>
    <mergeCell ref="AM6:AP6"/>
    <mergeCell ref="AM7:AP7"/>
    <mergeCell ref="AM9:AP9"/>
    <mergeCell ref="AM10:AP10"/>
    <mergeCell ref="AM19:AT19"/>
    <mergeCell ref="AM22:AP22"/>
    <mergeCell ref="AM8:AT8"/>
    <mergeCell ref="AV1:AZ1"/>
    <mergeCell ref="BO1:BQ1"/>
    <mergeCell ref="BR1:BT1"/>
    <mergeCell ref="BK16:BO16"/>
    <mergeCell ref="BP16:BQ16"/>
    <mergeCell ref="BP19:BQ19"/>
    <mergeCell ref="BC22:BF22"/>
    <mergeCell ref="J1:V1"/>
    <mergeCell ref="J5:T5"/>
    <mergeCell ref="AV26:AW26"/>
    <mergeCell ref="AV27:AW27"/>
    <mergeCell ref="AV24:AW24"/>
    <mergeCell ref="AV25:AW25"/>
    <mergeCell ref="J22:AK22"/>
    <mergeCell ref="W23:AK23"/>
    <mergeCell ref="J24:O24"/>
    <mergeCell ref="P24:V24"/>
    <mergeCell ref="W24:AA24"/>
    <mergeCell ref="AB24:AF24"/>
    <mergeCell ref="AG24:AK24"/>
    <mergeCell ref="W1:AK1"/>
    <mergeCell ref="W20:AA20"/>
    <mergeCell ref="AV18:AZ18"/>
    <mergeCell ref="J10:AK10"/>
    <mergeCell ref="AM15:AT15"/>
    <mergeCell ref="AM20:AP20"/>
    <mergeCell ref="AM21:AP21"/>
    <mergeCell ref="AM1:AP1"/>
    <mergeCell ref="AM2:AP2"/>
    <mergeCell ref="AM3:AP3"/>
    <mergeCell ref="AX26:AY26"/>
    <mergeCell ref="W39:AA39"/>
    <mergeCell ref="AB39:AF39"/>
    <mergeCell ref="AG39:AK39"/>
    <mergeCell ref="AR24:AT24"/>
    <mergeCell ref="AR25:AS26"/>
    <mergeCell ref="AT25:AT26"/>
    <mergeCell ref="AC42:AD42"/>
    <mergeCell ref="AF42:AG42"/>
    <mergeCell ref="AB29:AF29"/>
    <mergeCell ref="AG29:AK29"/>
    <mergeCell ref="J40:AK40"/>
    <mergeCell ref="W33:AA33"/>
    <mergeCell ref="AB33:AF33"/>
    <mergeCell ref="AG33:AK33"/>
    <mergeCell ref="J30:O30"/>
    <mergeCell ref="J27:O27"/>
    <mergeCell ref="A51:G52"/>
    <mergeCell ref="J35:O35"/>
    <mergeCell ref="P35:V35"/>
    <mergeCell ref="W35:AA35"/>
    <mergeCell ref="AB35:AF35"/>
    <mergeCell ref="J32:O32"/>
    <mergeCell ref="P32:V32"/>
    <mergeCell ref="W32:AA32"/>
    <mergeCell ref="AB32:AF32"/>
    <mergeCell ref="J36:AK36"/>
    <mergeCell ref="W37:AA37"/>
    <mergeCell ref="AB37:AF37"/>
    <mergeCell ref="AG37:AK37"/>
    <mergeCell ref="W38:AA38"/>
    <mergeCell ref="AB38:AF38"/>
    <mergeCell ref="AG38:AK38"/>
    <mergeCell ref="J34:O34"/>
    <mergeCell ref="P34:V34"/>
    <mergeCell ref="W34:AA34"/>
    <mergeCell ref="AB34:AF34"/>
    <mergeCell ref="AG34:AK34"/>
    <mergeCell ref="A31:G50"/>
    <mergeCell ref="J33:O33"/>
    <mergeCell ref="J31:O31"/>
    <mergeCell ref="A15:A16"/>
    <mergeCell ref="B15:B16"/>
    <mergeCell ref="W19:AA19"/>
    <mergeCell ref="AB19:AF19"/>
    <mergeCell ref="AG19:AK19"/>
    <mergeCell ref="B30:C30"/>
    <mergeCell ref="D30:E30"/>
    <mergeCell ref="F30:G30"/>
    <mergeCell ref="J28:O28"/>
    <mergeCell ref="P28:V28"/>
    <mergeCell ref="W28:AA28"/>
    <mergeCell ref="AB28:AF28"/>
    <mergeCell ref="AG28:AK28"/>
    <mergeCell ref="C15:C16"/>
    <mergeCell ref="D15:D16"/>
    <mergeCell ref="E15:E16"/>
    <mergeCell ref="F15:F16"/>
    <mergeCell ref="J29:O29"/>
    <mergeCell ref="P29:V29"/>
    <mergeCell ref="B29:C29"/>
    <mergeCell ref="D29:E29"/>
    <mergeCell ref="F29:G29"/>
    <mergeCell ref="P30:V30"/>
    <mergeCell ref="G15:G16"/>
    <mergeCell ref="AB20:AF20"/>
    <mergeCell ref="AG20:AK20"/>
    <mergeCell ref="AG35:AK35"/>
    <mergeCell ref="P31:V31"/>
    <mergeCell ref="W31:AA31"/>
    <mergeCell ref="AB31:AF31"/>
    <mergeCell ref="AG31:AK31"/>
    <mergeCell ref="AG32:AK32"/>
    <mergeCell ref="P33:V33"/>
    <mergeCell ref="AB27:AF27"/>
    <mergeCell ref="AG27:AK27"/>
    <mergeCell ref="P27:V27"/>
    <mergeCell ref="W27:AA27"/>
    <mergeCell ref="W30:AA30"/>
    <mergeCell ref="AB30:AF30"/>
    <mergeCell ref="AG30:AK30"/>
    <mergeCell ref="W29:AA29"/>
    <mergeCell ref="J21:O21"/>
    <mergeCell ref="AG21:AK21"/>
    <mergeCell ref="J26:O26"/>
    <mergeCell ref="P26:V26"/>
    <mergeCell ref="W26:AA26"/>
    <mergeCell ref="AB26:AF26"/>
    <mergeCell ref="AG26:AK26"/>
    <mergeCell ref="J25:O25"/>
    <mergeCell ref="P25:V25"/>
    <mergeCell ref="W25:AA25"/>
    <mergeCell ref="AB25:AF25"/>
    <mergeCell ref="J23:O23"/>
    <mergeCell ref="P23:V23"/>
    <mergeCell ref="AG25:AK25"/>
    <mergeCell ref="P21:V21"/>
    <mergeCell ref="W21:AF21"/>
    <mergeCell ref="J17:AK17"/>
    <mergeCell ref="AM11:AP11"/>
    <mergeCell ref="AM12:AP12"/>
    <mergeCell ref="AM13:AP13"/>
    <mergeCell ref="AM14:AP14"/>
    <mergeCell ref="AM16:AP16"/>
    <mergeCell ref="AM17:AP18"/>
    <mergeCell ref="J13:AK13"/>
    <mergeCell ref="W14:AA14"/>
    <mergeCell ref="AB14:AF14"/>
    <mergeCell ref="AG14:AK14"/>
    <mergeCell ref="W15:AA15"/>
    <mergeCell ref="AB15:AF15"/>
    <mergeCell ref="W18:AA18"/>
    <mergeCell ref="AB18:AF18"/>
    <mergeCell ref="AG18:AK18"/>
    <mergeCell ref="W16:AA16"/>
    <mergeCell ref="AB16:AF16"/>
    <mergeCell ref="AG16:AK16"/>
    <mergeCell ref="AG15:AK15"/>
    <mergeCell ref="F13:G13"/>
    <mergeCell ref="AB7:AF7"/>
    <mergeCell ref="AG7:AK7"/>
    <mergeCell ref="J9:T9"/>
    <mergeCell ref="U9:V9"/>
    <mergeCell ref="W9:AA9"/>
    <mergeCell ref="AB9:AF9"/>
    <mergeCell ref="AG9:AK9"/>
    <mergeCell ref="E7:F7"/>
    <mergeCell ref="AG12:AK12"/>
    <mergeCell ref="AG8:AK8"/>
    <mergeCell ref="AG2:AK2"/>
    <mergeCell ref="A11:C11"/>
    <mergeCell ref="A10:D10"/>
    <mergeCell ref="D11:E11"/>
    <mergeCell ref="E10:G10"/>
    <mergeCell ref="B14:C14"/>
    <mergeCell ref="D14:E14"/>
    <mergeCell ref="F14:G14"/>
    <mergeCell ref="W4:AA4"/>
    <mergeCell ref="B5:G5"/>
    <mergeCell ref="U5:V5"/>
    <mergeCell ref="W5:AA5"/>
    <mergeCell ref="AB5:AF5"/>
    <mergeCell ref="AG5:AK5"/>
    <mergeCell ref="AG11:AK11"/>
    <mergeCell ref="J11:V11"/>
    <mergeCell ref="W11:AA11"/>
    <mergeCell ref="AB11:AF11"/>
    <mergeCell ref="J6:V6"/>
    <mergeCell ref="W6:AK6"/>
    <mergeCell ref="J7:V7"/>
    <mergeCell ref="W7:AA7"/>
    <mergeCell ref="B13:C13"/>
    <mergeCell ref="D13:E13"/>
    <mergeCell ref="BP32:BQ32"/>
    <mergeCell ref="E8:F8"/>
    <mergeCell ref="A1:A5"/>
    <mergeCell ref="B1:G3"/>
    <mergeCell ref="B12:C12"/>
    <mergeCell ref="D12:E12"/>
    <mergeCell ref="F12:G12"/>
    <mergeCell ref="U3:V3"/>
    <mergeCell ref="W3:AA3"/>
    <mergeCell ref="AB3:AF3"/>
    <mergeCell ref="W12:AA12"/>
    <mergeCell ref="AB12:AF12"/>
    <mergeCell ref="B4:E4"/>
    <mergeCell ref="F4:G4"/>
    <mergeCell ref="J2:V2"/>
    <mergeCell ref="W2:AA2"/>
    <mergeCell ref="AB2:AF2"/>
    <mergeCell ref="AB4:AF4"/>
    <mergeCell ref="U4:V4"/>
    <mergeCell ref="U8:V8"/>
    <mergeCell ref="W8:AA8"/>
    <mergeCell ref="AB8:AF8"/>
    <mergeCell ref="AG3:AK3"/>
    <mergeCell ref="AG4:AK4"/>
    <mergeCell ref="BZ26:CA26"/>
    <mergeCell ref="BP20:BQ20"/>
    <mergeCell ref="BK22:BO22"/>
    <mergeCell ref="BP22:BQ22"/>
    <mergeCell ref="BP25:BQ25"/>
    <mergeCell ref="BP26:BQ26"/>
    <mergeCell ref="BK28:BO28"/>
    <mergeCell ref="BP28:BQ28"/>
    <mergeCell ref="BP31:BQ31"/>
    <mergeCell ref="BB39:BF39"/>
    <mergeCell ref="BT28:BY28"/>
    <mergeCell ref="BZ28:CA28"/>
    <mergeCell ref="BZ31:CA31"/>
    <mergeCell ref="BZ32:CA32"/>
    <mergeCell ref="CK16:CL16"/>
    <mergeCell ref="CK19:CL19"/>
    <mergeCell ref="CK20:CL20"/>
    <mergeCell ref="CD16:CJ16"/>
    <mergeCell ref="CD22:CJ22"/>
    <mergeCell ref="CK22:CL22"/>
    <mergeCell ref="CK25:CL25"/>
    <mergeCell ref="CK26:CL26"/>
    <mergeCell ref="CD28:CJ28"/>
    <mergeCell ref="CK28:CL28"/>
    <mergeCell ref="CK31:CL31"/>
    <mergeCell ref="CK32:CL32"/>
    <mergeCell ref="BZ16:CA16"/>
    <mergeCell ref="BZ19:CA19"/>
    <mergeCell ref="BZ20:CA20"/>
    <mergeCell ref="BT16:BY16"/>
    <mergeCell ref="BT22:BY22"/>
    <mergeCell ref="BZ22:CA22"/>
    <mergeCell ref="BZ25:CA25"/>
  </mergeCells>
  <conditionalFormatting sqref="B13">
    <cfRule type="cellIs" dxfId="23" priority="5" operator="lessThan">
      <formula>4.54</formula>
    </cfRule>
  </conditionalFormatting>
  <conditionalFormatting sqref="D13">
    <cfRule type="cellIs" dxfId="22" priority="4" operator="lessThan">
      <formula>4.54</formula>
    </cfRule>
  </conditionalFormatting>
  <conditionalFormatting sqref="AR35">
    <cfRule type="cellIs" dxfId="21" priority="1" operator="lessThan">
      <formula>0.95</formula>
    </cfRule>
  </conditionalFormatting>
  <dataValidations count="1">
    <dataValidation type="list" allowBlank="1" showInputMessage="1" showErrorMessage="1" sqref="E10:G10">
      <formula1>$J$41:$J$42</formula1>
    </dataValidation>
  </dataValidations>
  <printOptions horizontalCentered="1"/>
  <pageMargins left="0.59055118110236227" right="0.39370078740157483" top="0.59055118110236227" bottom="0.59055118110236227" header="0" footer="0.19685039370078741"/>
  <pageSetup orientation="portrait" copies="2" r:id="rId1"/>
  <headerFooter scaleWithDoc="0">
    <oddHeader xml:space="preserve">&amp;L&amp;"Eurostile Extended,Regular Negrita"&amp;16
</oddHeader>
    <oddFooter>&amp;L&amp;6Calle 26 No. 57-41 Torre 8 Piso 8 CEMSA - CP: 1113111            
Pbx: 3779555  - Información: Línea 195     
www.umv.gov.co111311&amp;C&amp;6Página 1 de 2</oddFooter>
  </headerFooter>
  <ignoredErrors>
    <ignoredError sqref="AX25 W5:AK5 D11 H10 AB3:AK3 W9:AK9 AZ16:AZ17 AZ3:AZ15 AG21 AZ20 AZ22 AR25:AT30 B13:G13 G11 BI3:BI14 BJ3:BJ14 BK3:BK14 BC16 BC22 BC28 BC18:BF20 BC24:BF26 BC30:BF32 AM33:AN35 BG18:BH18 BG29:BH30 BG27:BH27 BL3:BL14 AR33:AT35 AX34:AY34 BM3:BM14 BN3:BN14 BG24:BH24 BK16 BP20 BK22 BK28 BK18:BO20 BK24:BO26 BK30 BP26 BP32 BU3:BU5 CD16 CK20 CK26 CK32 CD18 CD22 CD24 CD28 CD30 BT16:BY17 BT21:BY23 BT18:BY20 BT27:BY28 BT24:BY26 BT30 BZ20 BV3:BV14 BW3 BW4:BW14 BU6:BU14 BO3 BO4:BO14 BP3:BP14 BQ3:BQ14 BR3:BR14 BS3:BS14 BT3:BT14 BG20 BG26 BE36:BE38 BD38 BC37:BC38 BC36:BD36 BD37 BF36:BF38 BC40 BC41:BC42 BE40:BF42 BG32" unlockedFormula="1"/>
    <ignoredError sqref="F17:F18 D24:D29 F19:F28 D17:D23" formula="1"/>
  </ignoredErrors>
  <drawing r:id="rId2"/>
  <legacyDrawing r:id="rId3"/>
  <tableParts count="2">
    <tablePart r:id="rId4"/>
    <tablePart r:id="rId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114"/>
  <sheetViews>
    <sheetView showGridLines="0" tabSelected="1" view="pageBreakPreview" zoomScaleSheetLayoutView="100" workbookViewId="0">
      <selection activeCell="D51" sqref="D51"/>
    </sheetView>
  </sheetViews>
  <sheetFormatPr baseColWidth="10" defaultRowHeight="12.75"/>
  <cols>
    <col min="1" max="1" width="12.28515625" style="158" customWidth="1"/>
    <col min="2" max="8" width="11.7109375" style="143" customWidth="1"/>
    <col min="9" max="9" width="16.28515625" style="143" hidden="1" customWidth="1"/>
    <col min="10" max="10" width="17.5703125" style="158" bestFit="1" customWidth="1"/>
    <col min="11" max="11" width="12.42578125" style="158" bestFit="1" customWidth="1"/>
    <col min="12" max="214" width="11.42578125" style="158"/>
    <col min="215" max="226" width="2.7109375" style="158" customWidth="1"/>
    <col min="227" max="228" width="6.140625" style="158" customWidth="1"/>
    <col min="229" max="237" width="2.7109375" style="158" customWidth="1"/>
    <col min="238" max="238" width="14.7109375" style="158" customWidth="1"/>
    <col min="239" max="239" width="6.28515625" style="158" customWidth="1"/>
    <col min="240" max="250" width="2.7109375" style="158" customWidth="1"/>
    <col min="251" max="251" width="25.42578125" style="158" customWidth="1"/>
    <col min="252" max="252" width="17.85546875" style="158" customWidth="1"/>
    <col min="253" max="253" width="15.85546875" style="158" customWidth="1"/>
    <col min="254" max="254" width="14.7109375" style="158" customWidth="1"/>
    <col min="255" max="255" width="15.85546875" style="158" customWidth="1"/>
    <col min="256" max="256" width="15" style="158" customWidth="1"/>
    <col min="257" max="257" width="18.140625" style="158" customWidth="1"/>
    <col min="258" max="258" width="22.42578125" style="158" customWidth="1"/>
    <col min="259" max="259" width="23.7109375" style="158" customWidth="1"/>
    <col min="260" max="260" width="14" style="158" customWidth="1"/>
    <col min="261" max="261" width="15" style="158" customWidth="1"/>
    <col min="262" max="262" width="21.28515625" style="158" customWidth="1"/>
    <col min="263" max="263" width="15.85546875" style="158" customWidth="1"/>
    <col min="264" max="264" width="18.28515625" style="158" customWidth="1"/>
    <col min="265" max="265" width="16.28515625" style="158" customWidth="1"/>
    <col min="266" max="470" width="11.42578125" style="158"/>
    <col min="471" max="482" width="2.7109375" style="158" customWidth="1"/>
    <col min="483" max="484" width="6.140625" style="158" customWidth="1"/>
    <col min="485" max="493" width="2.7109375" style="158" customWidth="1"/>
    <col min="494" max="494" width="14.7109375" style="158" customWidth="1"/>
    <col min="495" max="495" width="6.28515625" style="158" customWidth="1"/>
    <col min="496" max="506" width="2.7109375" style="158" customWidth="1"/>
    <col min="507" max="507" width="25.42578125" style="158" customWidth="1"/>
    <col min="508" max="508" width="17.85546875" style="158" customWidth="1"/>
    <col min="509" max="509" width="15.85546875" style="158" customWidth="1"/>
    <col min="510" max="510" width="14.7109375" style="158" customWidth="1"/>
    <col min="511" max="511" width="15.85546875" style="158" customWidth="1"/>
    <col min="512" max="512" width="15" style="158" customWidth="1"/>
    <col min="513" max="513" width="18.140625" style="158" customWidth="1"/>
    <col min="514" max="514" width="22.42578125" style="158" customWidth="1"/>
    <col min="515" max="515" width="23.7109375" style="158" customWidth="1"/>
    <col min="516" max="516" width="14" style="158" customWidth="1"/>
    <col min="517" max="517" width="15" style="158" customWidth="1"/>
    <col min="518" max="518" width="21.28515625" style="158" customWidth="1"/>
    <col min="519" max="519" width="15.85546875" style="158" customWidth="1"/>
    <col min="520" max="520" width="18.28515625" style="158" customWidth="1"/>
    <col min="521" max="521" width="16.28515625" style="158" customWidth="1"/>
    <col min="522" max="726" width="11.42578125" style="158"/>
    <col min="727" max="738" width="2.7109375" style="158" customWidth="1"/>
    <col min="739" max="740" width="6.140625" style="158" customWidth="1"/>
    <col min="741" max="749" width="2.7109375" style="158" customWidth="1"/>
    <col min="750" max="750" width="14.7109375" style="158" customWidth="1"/>
    <col min="751" max="751" width="6.28515625" style="158" customWidth="1"/>
    <col min="752" max="762" width="2.7109375" style="158" customWidth="1"/>
    <col min="763" max="763" width="25.42578125" style="158" customWidth="1"/>
    <col min="764" max="764" width="17.85546875" style="158" customWidth="1"/>
    <col min="765" max="765" width="15.85546875" style="158" customWidth="1"/>
    <col min="766" max="766" width="14.7109375" style="158" customWidth="1"/>
    <col min="767" max="767" width="15.85546875" style="158" customWidth="1"/>
    <col min="768" max="768" width="15" style="158" customWidth="1"/>
    <col min="769" max="769" width="18.140625" style="158" customWidth="1"/>
    <col min="770" max="770" width="22.42578125" style="158" customWidth="1"/>
    <col min="771" max="771" width="23.7109375" style="158" customWidth="1"/>
    <col min="772" max="772" width="14" style="158" customWidth="1"/>
    <col min="773" max="773" width="15" style="158" customWidth="1"/>
    <col min="774" max="774" width="21.28515625" style="158" customWidth="1"/>
    <col min="775" max="775" width="15.85546875" style="158" customWidth="1"/>
    <col min="776" max="776" width="18.28515625" style="158" customWidth="1"/>
    <col min="777" max="777" width="16.28515625" style="158" customWidth="1"/>
    <col min="778" max="982" width="11.42578125" style="158"/>
    <col min="983" max="994" width="2.7109375" style="158" customWidth="1"/>
    <col min="995" max="996" width="6.140625" style="158" customWidth="1"/>
    <col min="997" max="1005" width="2.7109375" style="158" customWidth="1"/>
    <col min="1006" max="1006" width="14.7109375" style="158" customWidth="1"/>
    <col min="1007" max="1007" width="6.28515625" style="158" customWidth="1"/>
    <col min="1008" max="1018" width="2.7109375" style="158" customWidth="1"/>
    <col min="1019" max="1019" width="25.42578125" style="158" customWidth="1"/>
    <col min="1020" max="1020" width="17.85546875" style="158" customWidth="1"/>
    <col min="1021" max="1021" width="15.85546875" style="158" customWidth="1"/>
    <col min="1022" max="1022" width="14.7109375" style="158" customWidth="1"/>
    <col min="1023" max="1023" width="15.85546875" style="158" customWidth="1"/>
    <col min="1024" max="1024" width="15" style="158" customWidth="1"/>
    <col min="1025" max="1025" width="18.140625" style="158" customWidth="1"/>
    <col min="1026" max="1026" width="22.42578125" style="158" customWidth="1"/>
    <col min="1027" max="1027" width="23.7109375" style="158" customWidth="1"/>
    <col min="1028" max="1028" width="14" style="158" customWidth="1"/>
    <col min="1029" max="1029" width="15" style="158" customWidth="1"/>
    <col min="1030" max="1030" width="21.28515625" style="158" customWidth="1"/>
    <col min="1031" max="1031" width="15.85546875" style="158" customWidth="1"/>
    <col min="1032" max="1032" width="18.28515625" style="158" customWidth="1"/>
    <col min="1033" max="1033" width="16.28515625" style="158" customWidth="1"/>
    <col min="1034" max="1238" width="11.42578125" style="158"/>
    <col min="1239" max="1250" width="2.7109375" style="158" customWidth="1"/>
    <col min="1251" max="1252" width="6.140625" style="158" customWidth="1"/>
    <col min="1253" max="1261" width="2.7109375" style="158" customWidth="1"/>
    <col min="1262" max="1262" width="14.7109375" style="158" customWidth="1"/>
    <col min="1263" max="1263" width="6.28515625" style="158" customWidth="1"/>
    <col min="1264" max="1274" width="2.7109375" style="158" customWidth="1"/>
    <col min="1275" max="1275" width="25.42578125" style="158" customWidth="1"/>
    <col min="1276" max="1276" width="17.85546875" style="158" customWidth="1"/>
    <col min="1277" max="1277" width="15.85546875" style="158" customWidth="1"/>
    <col min="1278" max="1278" width="14.7109375" style="158" customWidth="1"/>
    <col min="1279" max="1279" width="15.85546875" style="158" customWidth="1"/>
    <col min="1280" max="1280" width="15" style="158" customWidth="1"/>
    <col min="1281" max="1281" width="18.140625" style="158" customWidth="1"/>
    <col min="1282" max="1282" width="22.42578125" style="158" customWidth="1"/>
    <col min="1283" max="1283" width="23.7109375" style="158" customWidth="1"/>
    <col min="1284" max="1284" width="14" style="158" customWidth="1"/>
    <col min="1285" max="1285" width="15" style="158" customWidth="1"/>
    <col min="1286" max="1286" width="21.28515625" style="158" customWidth="1"/>
    <col min="1287" max="1287" width="15.85546875" style="158" customWidth="1"/>
    <col min="1288" max="1288" width="18.28515625" style="158" customWidth="1"/>
    <col min="1289" max="1289" width="16.28515625" style="158" customWidth="1"/>
    <col min="1290" max="1494" width="11.42578125" style="158"/>
    <col min="1495" max="1506" width="2.7109375" style="158" customWidth="1"/>
    <col min="1507" max="1508" width="6.140625" style="158" customWidth="1"/>
    <col min="1509" max="1517" width="2.7109375" style="158" customWidth="1"/>
    <col min="1518" max="1518" width="14.7109375" style="158" customWidth="1"/>
    <col min="1519" max="1519" width="6.28515625" style="158" customWidth="1"/>
    <col min="1520" max="1530" width="2.7109375" style="158" customWidth="1"/>
    <col min="1531" max="1531" width="25.42578125" style="158" customWidth="1"/>
    <col min="1532" max="1532" width="17.85546875" style="158" customWidth="1"/>
    <col min="1533" max="1533" width="15.85546875" style="158" customWidth="1"/>
    <col min="1534" max="1534" width="14.7109375" style="158" customWidth="1"/>
    <col min="1535" max="1535" width="15.85546875" style="158" customWidth="1"/>
    <col min="1536" max="1536" width="15" style="158" customWidth="1"/>
    <col min="1537" max="1537" width="18.140625" style="158" customWidth="1"/>
    <col min="1538" max="1538" width="22.42578125" style="158" customWidth="1"/>
    <col min="1539" max="1539" width="23.7109375" style="158" customWidth="1"/>
    <col min="1540" max="1540" width="14" style="158" customWidth="1"/>
    <col min="1541" max="1541" width="15" style="158" customWidth="1"/>
    <col min="1542" max="1542" width="21.28515625" style="158" customWidth="1"/>
    <col min="1543" max="1543" width="15.85546875" style="158" customWidth="1"/>
    <col min="1544" max="1544" width="18.28515625" style="158" customWidth="1"/>
    <col min="1545" max="1545" width="16.28515625" style="158" customWidth="1"/>
    <col min="1546" max="1750" width="11.42578125" style="158"/>
    <col min="1751" max="1762" width="2.7109375" style="158" customWidth="1"/>
    <col min="1763" max="1764" width="6.140625" style="158" customWidth="1"/>
    <col min="1765" max="1773" width="2.7109375" style="158" customWidth="1"/>
    <col min="1774" max="1774" width="14.7109375" style="158" customWidth="1"/>
    <col min="1775" max="1775" width="6.28515625" style="158" customWidth="1"/>
    <col min="1776" max="1786" width="2.7109375" style="158" customWidth="1"/>
    <col min="1787" max="1787" width="25.42578125" style="158" customWidth="1"/>
    <col min="1788" max="1788" width="17.85546875" style="158" customWidth="1"/>
    <col min="1789" max="1789" width="15.85546875" style="158" customWidth="1"/>
    <col min="1790" max="1790" width="14.7109375" style="158" customWidth="1"/>
    <col min="1791" max="1791" width="15.85546875" style="158" customWidth="1"/>
    <col min="1792" max="1792" width="15" style="158" customWidth="1"/>
    <col min="1793" max="1793" width="18.140625" style="158" customWidth="1"/>
    <col min="1794" max="1794" width="22.42578125" style="158" customWidth="1"/>
    <col min="1795" max="1795" width="23.7109375" style="158" customWidth="1"/>
    <col min="1796" max="1796" width="14" style="158" customWidth="1"/>
    <col min="1797" max="1797" width="15" style="158" customWidth="1"/>
    <col min="1798" max="1798" width="21.28515625" style="158" customWidth="1"/>
    <col min="1799" max="1799" width="15.85546875" style="158" customWidth="1"/>
    <col min="1800" max="1800" width="18.28515625" style="158" customWidth="1"/>
    <col min="1801" max="1801" width="16.28515625" style="158" customWidth="1"/>
    <col min="1802" max="2006" width="11.42578125" style="158"/>
    <col min="2007" max="2018" width="2.7109375" style="158" customWidth="1"/>
    <col min="2019" max="2020" width="6.140625" style="158" customWidth="1"/>
    <col min="2021" max="2029" width="2.7109375" style="158" customWidth="1"/>
    <col min="2030" max="2030" width="14.7109375" style="158" customWidth="1"/>
    <col min="2031" max="2031" width="6.28515625" style="158" customWidth="1"/>
    <col min="2032" max="2042" width="2.7109375" style="158" customWidth="1"/>
    <col min="2043" max="2043" width="25.42578125" style="158" customWidth="1"/>
    <col min="2044" max="2044" width="17.85546875" style="158" customWidth="1"/>
    <col min="2045" max="2045" width="15.85546875" style="158" customWidth="1"/>
    <col min="2046" max="2046" width="14.7109375" style="158" customWidth="1"/>
    <col min="2047" max="2047" width="15.85546875" style="158" customWidth="1"/>
    <col min="2048" max="2048" width="15" style="158" customWidth="1"/>
    <col min="2049" max="2049" width="18.140625" style="158" customWidth="1"/>
    <col min="2050" max="2050" width="22.42578125" style="158" customWidth="1"/>
    <col min="2051" max="2051" width="23.7109375" style="158" customWidth="1"/>
    <col min="2052" max="2052" width="14" style="158" customWidth="1"/>
    <col min="2053" max="2053" width="15" style="158" customWidth="1"/>
    <col min="2054" max="2054" width="21.28515625" style="158" customWidth="1"/>
    <col min="2055" max="2055" width="15.85546875" style="158" customWidth="1"/>
    <col min="2056" max="2056" width="18.28515625" style="158" customWidth="1"/>
    <col min="2057" max="2057" width="16.28515625" style="158" customWidth="1"/>
    <col min="2058" max="2262" width="11.42578125" style="158"/>
    <col min="2263" max="2274" width="2.7109375" style="158" customWidth="1"/>
    <col min="2275" max="2276" width="6.140625" style="158" customWidth="1"/>
    <col min="2277" max="2285" width="2.7109375" style="158" customWidth="1"/>
    <col min="2286" max="2286" width="14.7109375" style="158" customWidth="1"/>
    <col min="2287" max="2287" width="6.28515625" style="158" customWidth="1"/>
    <col min="2288" max="2298" width="2.7109375" style="158" customWidth="1"/>
    <col min="2299" max="2299" width="25.42578125" style="158" customWidth="1"/>
    <col min="2300" max="2300" width="17.85546875" style="158" customWidth="1"/>
    <col min="2301" max="2301" width="15.85546875" style="158" customWidth="1"/>
    <col min="2302" max="2302" width="14.7109375" style="158" customWidth="1"/>
    <col min="2303" max="2303" width="15.85546875" style="158" customWidth="1"/>
    <col min="2304" max="2304" width="15" style="158" customWidth="1"/>
    <col min="2305" max="2305" width="18.140625" style="158" customWidth="1"/>
    <col min="2306" max="2306" width="22.42578125" style="158" customWidth="1"/>
    <col min="2307" max="2307" width="23.7109375" style="158" customWidth="1"/>
    <col min="2308" max="2308" width="14" style="158" customWidth="1"/>
    <col min="2309" max="2309" width="15" style="158" customWidth="1"/>
    <col min="2310" max="2310" width="21.28515625" style="158" customWidth="1"/>
    <col min="2311" max="2311" width="15.85546875" style="158" customWidth="1"/>
    <col min="2312" max="2312" width="18.28515625" style="158" customWidth="1"/>
    <col min="2313" max="2313" width="16.28515625" style="158" customWidth="1"/>
    <col min="2314" max="2518" width="11.42578125" style="158"/>
    <col min="2519" max="2530" width="2.7109375" style="158" customWidth="1"/>
    <col min="2531" max="2532" width="6.140625" style="158" customWidth="1"/>
    <col min="2533" max="2541" width="2.7109375" style="158" customWidth="1"/>
    <col min="2542" max="2542" width="14.7109375" style="158" customWidth="1"/>
    <col min="2543" max="2543" width="6.28515625" style="158" customWidth="1"/>
    <col min="2544" max="2554" width="2.7109375" style="158" customWidth="1"/>
    <col min="2555" max="2555" width="25.42578125" style="158" customWidth="1"/>
    <col min="2556" max="2556" width="17.85546875" style="158" customWidth="1"/>
    <col min="2557" max="2557" width="15.85546875" style="158" customWidth="1"/>
    <col min="2558" max="2558" width="14.7109375" style="158" customWidth="1"/>
    <col min="2559" max="2559" width="15.85546875" style="158" customWidth="1"/>
    <col min="2560" max="2560" width="15" style="158" customWidth="1"/>
    <col min="2561" max="2561" width="18.140625" style="158" customWidth="1"/>
    <col min="2562" max="2562" width="22.42578125" style="158" customWidth="1"/>
    <col min="2563" max="2563" width="23.7109375" style="158" customWidth="1"/>
    <col min="2564" max="2564" width="14" style="158" customWidth="1"/>
    <col min="2565" max="2565" width="15" style="158" customWidth="1"/>
    <col min="2566" max="2566" width="21.28515625" style="158" customWidth="1"/>
    <col min="2567" max="2567" width="15.85546875" style="158" customWidth="1"/>
    <col min="2568" max="2568" width="18.28515625" style="158" customWidth="1"/>
    <col min="2569" max="2569" width="16.28515625" style="158" customWidth="1"/>
    <col min="2570" max="2774" width="11.42578125" style="158"/>
    <col min="2775" max="2786" width="2.7109375" style="158" customWidth="1"/>
    <col min="2787" max="2788" width="6.140625" style="158" customWidth="1"/>
    <col min="2789" max="2797" width="2.7109375" style="158" customWidth="1"/>
    <col min="2798" max="2798" width="14.7109375" style="158" customWidth="1"/>
    <col min="2799" max="2799" width="6.28515625" style="158" customWidth="1"/>
    <col min="2800" max="2810" width="2.7109375" style="158" customWidth="1"/>
    <col min="2811" max="2811" width="25.42578125" style="158" customWidth="1"/>
    <col min="2812" max="2812" width="17.85546875" style="158" customWidth="1"/>
    <col min="2813" max="2813" width="15.85546875" style="158" customWidth="1"/>
    <col min="2814" max="2814" width="14.7109375" style="158" customWidth="1"/>
    <col min="2815" max="2815" width="15.85546875" style="158" customWidth="1"/>
    <col min="2816" max="2816" width="15" style="158" customWidth="1"/>
    <col min="2817" max="2817" width="18.140625" style="158" customWidth="1"/>
    <col min="2818" max="2818" width="22.42578125" style="158" customWidth="1"/>
    <col min="2819" max="2819" width="23.7109375" style="158" customWidth="1"/>
    <col min="2820" max="2820" width="14" style="158" customWidth="1"/>
    <col min="2821" max="2821" width="15" style="158" customWidth="1"/>
    <col min="2822" max="2822" width="21.28515625" style="158" customWidth="1"/>
    <col min="2823" max="2823" width="15.85546875" style="158" customWidth="1"/>
    <col min="2824" max="2824" width="18.28515625" style="158" customWidth="1"/>
    <col min="2825" max="2825" width="16.28515625" style="158" customWidth="1"/>
    <col min="2826" max="3030" width="11.42578125" style="158"/>
    <col min="3031" max="3042" width="2.7109375" style="158" customWidth="1"/>
    <col min="3043" max="3044" width="6.140625" style="158" customWidth="1"/>
    <col min="3045" max="3053" width="2.7109375" style="158" customWidth="1"/>
    <col min="3054" max="3054" width="14.7109375" style="158" customWidth="1"/>
    <col min="3055" max="3055" width="6.28515625" style="158" customWidth="1"/>
    <col min="3056" max="3066" width="2.7109375" style="158" customWidth="1"/>
    <col min="3067" max="3067" width="25.42578125" style="158" customWidth="1"/>
    <col min="3068" max="3068" width="17.85546875" style="158" customWidth="1"/>
    <col min="3069" max="3069" width="15.85546875" style="158" customWidth="1"/>
    <col min="3070" max="3070" width="14.7109375" style="158" customWidth="1"/>
    <col min="3071" max="3071" width="15.85546875" style="158" customWidth="1"/>
    <col min="3072" max="3072" width="15" style="158" customWidth="1"/>
    <col min="3073" max="3073" width="18.140625" style="158" customWidth="1"/>
    <col min="3074" max="3074" width="22.42578125" style="158" customWidth="1"/>
    <col min="3075" max="3075" width="23.7109375" style="158" customWidth="1"/>
    <col min="3076" max="3076" width="14" style="158" customWidth="1"/>
    <col min="3077" max="3077" width="15" style="158" customWidth="1"/>
    <col min="3078" max="3078" width="21.28515625" style="158" customWidth="1"/>
    <col min="3079" max="3079" width="15.85546875" style="158" customWidth="1"/>
    <col min="3080" max="3080" width="18.28515625" style="158" customWidth="1"/>
    <col min="3081" max="3081" width="16.28515625" style="158" customWidth="1"/>
    <col min="3082" max="3286" width="11.42578125" style="158"/>
    <col min="3287" max="3298" width="2.7109375" style="158" customWidth="1"/>
    <col min="3299" max="3300" width="6.140625" style="158" customWidth="1"/>
    <col min="3301" max="3309" width="2.7109375" style="158" customWidth="1"/>
    <col min="3310" max="3310" width="14.7109375" style="158" customWidth="1"/>
    <col min="3311" max="3311" width="6.28515625" style="158" customWidth="1"/>
    <col min="3312" max="3322" width="2.7109375" style="158" customWidth="1"/>
    <col min="3323" max="3323" width="25.42578125" style="158" customWidth="1"/>
    <col min="3324" max="3324" width="17.85546875" style="158" customWidth="1"/>
    <col min="3325" max="3325" width="15.85546875" style="158" customWidth="1"/>
    <col min="3326" max="3326" width="14.7109375" style="158" customWidth="1"/>
    <col min="3327" max="3327" width="15.85546875" style="158" customWidth="1"/>
    <col min="3328" max="3328" width="15" style="158" customWidth="1"/>
    <col min="3329" max="3329" width="18.140625" style="158" customWidth="1"/>
    <col min="3330" max="3330" width="22.42578125" style="158" customWidth="1"/>
    <col min="3331" max="3331" width="23.7109375" style="158" customWidth="1"/>
    <col min="3332" max="3332" width="14" style="158" customWidth="1"/>
    <col min="3333" max="3333" width="15" style="158" customWidth="1"/>
    <col min="3334" max="3334" width="21.28515625" style="158" customWidth="1"/>
    <col min="3335" max="3335" width="15.85546875" style="158" customWidth="1"/>
    <col min="3336" max="3336" width="18.28515625" style="158" customWidth="1"/>
    <col min="3337" max="3337" width="16.28515625" style="158" customWidth="1"/>
    <col min="3338" max="3542" width="11.42578125" style="158"/>
    <col min="3543" max="3554" width="2.7109375" style="158" customWidth="1"/>
    <col min="3555" max="3556" width="6.140625" style="158" customWidth="1"/>
    <col min="3557" max="3565" width="2.7109375" style="158" customWidth="1"/>
    <col min="3566" max="3566" width="14.7109375" style="158" customWidth="1"/>
    <col min="3567" max="3567" width="6.28515625" style="158" customWidth="1"/>
    <col min="3568" max="3578" width="2.7109375" style="158" customWidth="1"/>
    <col min="3579" max="3579" width="25.42578125" style="158" customWidth="1"/>
    <col min="3580" max="3580" width="17.85546875" style="158" customWidth="1"/>
    <col min="3581" max="3581" width="15.85546875" style="158" customWidth="1"/>
    <col min="3582" max="3582" width="14.7109375" style="158" customWidth="1"/>
    <col min="3583" max="3583" width="15.85546875" style="158" customWidth="1"/>
    <col min="3584" max="3584" width="15" style="158" customWidth="1"/>
    <col min="3585" max="3585" width="18.140625" style="158" customWidth="1"/>
    <col min="3586" max="3586" width="22.42578125" style="158" customWidth="1"/>
    <col min="3587" max="3587" width="23.7109375" style="158" customWidth="1"/>
    <col min="3588" max="3588" width="14" style="158" customWidth="1"/>
    <col min="3589" max="3589" width="15" style="158" customWidth="1"/>
    <col min="3590" max="3590" width="21.28515625" style="158" customWidth="1"/>
    <col min="3591" max="3591" width="15.85546875" style="158" customWidth="1"/>
    <col min="3592" max="3592" width="18.28515625" style="158" customWidth="1"/>
    <col min="3593" max="3593" width="16.28515625" style="158" customWidth="1"/>
    <col min="3594" max="3798" width="11.42578125" style="158"/>
    <col min="3799" max="3810" width="2.7109375" style="158" customWidth="1"/>
    <col min="3811" max="3812" width="6.140625" style="158" customWidth="1"/>
    <col min="3813" max="3821" width="2.7109375" style="158" customWidth="1"/>
    <col min="3822" max="3822" width="14.7109375" style="158" customWidth="1"/>
    <col min="3823" max="3823" width="6.28515625" style="158" customWidth="1"/>
    <col min="3824" max="3834" width="2.7109375" style="158" customWidth="1"/>
    <col min="3835" max="3835" width="25.42578125" style="158" customWidth="1"/>
    <col min="3836" max="3836" width="17.85546875" style="158" customWidth="1"/>
    <col min="3837" max="3837" width="15.85546875" style="158" customWidth="1"/>
    <col min="3838" max="3838" width="14.7109375" style="158" customWidth="1"/>
    <col min="3839" max="3839" width="15.85546875" style="158" customWidth="1"/>
    <col min="3840" max="3840" width="15" style="158" customWidth="1"/>
    <col min="3841" max="3841" width="18.140625" style="158" customWidth="1"/>
    <col min="3842" max="3842" width="22.42578125" style="158" customWidth="1"/>
    <col min="3843" max="3843" width="23.7109375" style="158" customWidth="1"/>
    <col min="3844" max="3844" width="14" style="158" customWidth="1"/>
    <col min="3845" max="3845" width="15" style="158" customWidth="1"/>
    <col min="3846" max="3846" width="21.28515625" style="158" customWidth="1"/>
    <col min="3847" max="3847" width="15.85546875" style="158" customWidth="1"/>
    <col min="3848" max="3848" width="18.28515625" style="158" customWidth="1"/>
    <col min="3849" max="3849" width="16.28515625" style="158" customWidth="1"/>
    <col min="3850" max="4054" width="11.42578125" style="158"/>
    <col min="4055" max="4066" width="2.7109375" style="158" customWidth="1"/>
    <col min="4067" max="4068" width="6.140625" style="158" customWidth="1"/>
    <col min="4069" max="4077" width="2.7109375" style="158" customWidth="1"/>
    <col min="4078" max="4078" width="14.7109375" style="158" customWidth="1"/>
    <col min="4079" max="4079" width="6.28515625" style="158" customWidth="1"/>
    <col min="4080" max="4090" width="2.7109375" style="158" customWidth="1"/>
    <col min="4091" max="4091" width="25.42578125" style="158" customWidth="1"/>
    <col min="4092" max="4092" width="17.85546875" style="158" customWidth="1"/>
    <col min="4093" max="4093" width="15.85546875" style="158" customWidth="1"/>
    <col min="4094" max="4094" width="14.7109375" style="158" customWidth="1"/>
    <col min="4095" max="4095" width="15.85546875" style="158" customWidth="1"/>
    <col min="4096" max="4096" width="15" style="158" customWidth="1"/>
    <col min="4097" max="4097" width="18.140625" style="158" customWidth="1"/>
    <col min="4098" max="4098" width="22.42578125" style="158" customWidth="1"/>
    <col min="4099" max="4099" width="23.7109375" style="158" customWidth="1"/>
    <col min="4100" max="4100" width="14" style="158" customWidth="1"/>
    <col min="4101" max="4101" width="15" style="158" customWidth="1"/>
    <col min="4102" max="4102" width="21.28515625" style="158" customWidth="1"/>
    <col min="4103" max="4103" width="15.85546875" style="158" customWidth="1"/>
    <col min="4104" max="4104" width="18.28515625" style="158" customWidth="1"/>
    <col min="4105" max="4105" width="16.28515625" style="158" customWidth="1"/>
    <col min="4106" max="4310" width="11.42578125" style="158"/>
    <col min="4311" max="4322" width="2.7109375" style="158" customWidth="1"/>
    <col min="4323" max="4324" width="6.140625" style="158" customWidth="1"/>
    <col min="4325" max="4333" width="2.7109375" style="158" customWidth="1"/>
    <col min="4334" max="4334" width="14.7109375" style="158" customWidth="1"/>
    <col min="4335" max="4335" width="6.28515625" style="158" customWidth="1"/>
    <col min="4336" max="4346" width="2.7109375" style="158" customWidth="1"/>
    <col min="4347" max="4347" width="25.42578125" style="158" customWidth="1"/>
    <col min="4348" max="4348" width="17.85546875" style="158" customWidth="1"/>
    <col min="4349" max="4349" width="15.85546875" style="158" customWidth="1"/>
    <col min="4350" max="4350" width="14.7109375" style="158" customWidth="1"/>
    <col min="4351" max="4351" width="15.85546875" style="158" customWidth="1"/>
    <col min="4352" max="4352" width="15" style="158" customWidth="1"/>
    <col min="4353" max="4353" width="18.140625" style="158" customWidth="1"/>
    <col min="4354" max="4354" width="22.42578125" style="158" customWidth="1"/>
    <col min="4355" max="4355" width="23.7109375" style="158" customWidth="1"/>
    <col min="4356" max="4356" width="14" style="158" customWidth="1"/>
    <col min="4357" max="4357" width="15" style="158" customWidth="1"/>
    <col min="4358" max="4358" width="21.28515625" style="158" customWidth="1"/>
    <col min="4359" max="4359" width="15.85546875" style="158" customWidth="1"/>
    <col min="4360" max="4360" width="18.28515625" style="158" customWidth="1"/>
    <col min="4361" max="4361" width="16.28515625" style="158" customWidth="1"/>
    <col min="4362" max="4566" width="11.42578125" style="158"/>
    <col min="4567" max="4578" width="2.7109375" style="158" customWidth="1"/>
    <col min="4579" max="4580" width="6.140625" style="158" customWidth="1"/>
    <col min="4581" max="4589" width="2.7109375" style="158" customWidth="1"/>
    <col min="4590" max="4590" width="14.7109375" style="158" customWidth="1"/>
    <col min="4591" max="4591" width="6.28515625" style="158" customWidth="1"/>
    <col min="4592" max="4602" width="2.7109375" style="158" customWidth="1"/>
    <col min="4603" max="4603" width="25.42578125" style="158" customWidth="1"/>
    <col min="4604" max="4604" width="17.85546875" style="158" customWidth="1"/>
    <col min="4605" max="4605" width="15.85546875" style="158" customWidth="1"/>
    <col min="4606" max="4606" width="14.7109375" style="158" customWidth="1"/>
    <col min="4607" max="4607" width="15.85546875" style="158" customWidth="1"/>
    <col min="4608" max="4608" width="15" style="158" customWidth="1"/>
    <col min="4609" max="4609" width="18.140625" style="158" customWidth="1"/>
    <col min="4610" max="4610" width="22.42578125" style="158" customWidth="1"/>
    <col min="4611" max="4611" width="23.7109375" style="158" customWidth="1"/>
    <col min="4612" max="4612" width="14" style="158" customWidth="1"/>
    <col min="4613" max="4613" width="15" style="158" customWidth="1"/>
    <col min="4614" max="4614" width="21.28515625" style="158" customWidth="1"/>
    <col min="4615" max="4615" width="15.85546875" style="158" customWidth="1"/>
    <col min="4616" max="4616" width="18.28515625" style="158" customWidth="1"/>
    <col min="4617" max="4617" width="16.28515625" style="158" customWidth="1"/>
    <col min="4618" max="4822" width="11.42578125" style="158"/>
    <col min="4823" max="4834" width="2.7109375" style="158" customWidth="1"/>
    <col min="4835" max="4836" width="6.140625" style="158" customWidth="1"/>
    <col min="4837" max="4845" width="2.7109375" style="158" customWidth="1"/>
    <col min="4846" max="4846" width="14.7109375" style="158" customWidth="1"/>
    <col min="4847" max="4847" width="6.28515625" style="158" customWidth="1"/>
    <col min="4848" max="4858" width="2.7109375" style="158" customWidth="1"/>
    <col min="4859" max="4859" width="25.42578125" style="158" customWidth="1"/>
    <col min="4860" max="4860" width="17.85546875" style="158" customWidth="1"/>
    <col min="4861" max="4861" width="15.85546875" style="158" customWidth="1"/>
    <col min="4862" max="4862" width="14.7109375" style="158" customWidth="1"/>
    <col min="4863" max="4863" width="15.85546875" style="158" customWidth="1"/>
    <col min="4864" max="4864" width="15" style="158" customWidth="1"/>
    <col min="4865" max="4865" width="18.140625" style="158" customWidth="1"/>
    <col min="4866" max="4866" width="22.42578125" style="158" customWidth="1"/>
    <col min="4867" max="4867" width="23.7109375" style="158" customWidth="1"/>
    <col min="4868" max="4868" width="14" style="158" customWidth="1"/>
    <col min="4869" max="4869" width="15" style="158" customWidth="1"/>
    <col min="4870" max="4870" width="21.28515625" style="158" customWidth="1"/>
    <col min="4871" max="4871" width="15.85546875" style="158" customWidth="1"/>
    <col min="4872" max="4872" width="18.28515625" style="158" customWidth="1"/>
    <col min="4873" max="4873" width="16.28515625" style="158" customWidth="1"/>
    <col min="4874" max="5078" width="11.42578125" style="158"/>
    <col min="5079" max="5090" width="2.7109375" style="158" customWidth="1"/>
    <col min="5091" max="5092" width="6.140625" style="158" customWidth="1"/>
    <col min="5093" max="5101" width="2.7109375" style="158" customWidth="1"/>
    <col min="5102" max="5102" width="14.7109375" style="158" customWidth="1"/>
    <col min="5103" max="5103" width="6.28515625" style="158" customWidth="1"/>
    <col min="5104" max="5114" width="2.7109375" style="158" customWidth="1"/>
    <col min="5115" max="5115" width="25.42578125" style="158" customWidth="1"/>
    <col min="5116" max="5116" width="17.85546875" style="158" customWidth="1"/>
    <col min="5117" max="5117" width="15.85546875" style="158" customWidth="1"/>
    <col min="5118" max="5118" width="14.7109375" style="158" customWidth="1"/>
    <col min="5119" max="5119" width="15.85546875" style="158" customWidth="1"/>
    <col min="5120" max="5120" width="15" style="158" customWidth="1"/>
    <col min="5121" max="5121" width="18.140625" style="158" customWidth="1"/>
    <col min="5122" max="5122" width="22.42578125" style="158" customWidth="1"/>
    <col min="5123" max="5123" width="23.7109375" style="158" customWidth="1"/>
    <col min="5124" max="5124" width="14" style="158" customWidth="1"/>
    <col min="5125" max="5125" width="15" style="158" customWidth="1"/>
    <col min="5126" max="5126" width="21.28515625" style="158" customWidth="1"/>
    <col min="5127" max="5127" width="15.85546875" style="158" customWidth="1"/>
    <col min="5128" max="5128" width="18.28515625" style="158" customWidth="1"/>
    <col min="5129" max="5129" width="16.28515625" style="158" customWidth="1"/>
    <col min="5130" max="5334" width="11.42578125" style="158"/>
    <col min="5335" max="5346" width="2.7109375" style="158" customWidth="1"/>
    <col min="5347" max="5348" width="6.140625" style="158" customWidth="1"/>
    <col min="5349" max="5357" width="2.7109375" style="158" customWidth="1"/>
    <col min="5358" max="5358" width="14.7109375" style="158" customWidth="1"/>
    <col min="5359" max="5359" width="6.28515625" style="158" customWidth="1"/>
    <col min="5360" max="5370" width="2.7109375" style="158" customWidth="1"/>
    <col min="5371" max="5371" width="25.42578125" style="158" customWidth="1"/>
    <col min="5372" max="5372" width="17.85546875" style="158" customWidth="1"/>
    <col min="5373" max="5373" width="15.85546875" style="158" customWidth="1"/>
    <col min="5374" max="5374" width="14.7109375" style="158" customWidth="1"/>
    <col min="5375" max="5375" width="15.85546875" style="158" customWidth="1"/>
    <col min="5376" max="5376" width="15" style="158" customWidth="1"/>
    <col min="5377" max="5377" width="18.140625" style="158" customWidth="1"/>
    <col min="5378" max="5378" width="22.42578125" style="158" customWidth="1"/>
    <col min="5379" max="5379" width="23.7109375" style="158" customWidth="1"/>
    <col min="5380" max="5380" width="14" style="158" customWidth="1"/>
    <col min="5381" max="5381" width="15" style="158" customWidth="1"/>
    <col min="5382" max="5382" width="21.28515625" style="158" customWidth="1"/>
    <col min="5383" max="5383" width="15.85546875" style="158" customWidth="1"/>
    <col min="5384" max="5384" width="18.28515625" style="158" customWidth="1"/>
    <col min="5385" max="5385" width="16.28515625" style="158" customWidth="1"/>
    <col min="5386" max="5590" width="11.42578125" style="158"/>
    <col min="5591" max="5602" width="2.7109375" style="158" customWidth="1"/>
    <col min="5603" max="5604" width="6.140625" style="158" customWidth="1"/>
    <col min="5605" max="5613" width="2.7109375" style="158" customWidth="1"/>
    <col min="5614" max="5614" width="14.7109375" style="158" customWidth="1"/>
    <col min="5615" max="5615" width="6.28515625" style="158" customWidth="1"/>
    <col min="5616" max="5626" width="2.7109375" style="158" customWidth="1"/>
    <col min="5627" max="5627" width="25.42578125" style="158" customWidth="1"/>
    <col min="5628" max="5628" width="17.85546875" style="158" customWidth="1"/>
    <col min="5629" max="5629" width="15.85546875" style="158" customWidth="1"/>
    <col min="5630" max="5630" width="14.7109375" style="158" customWidth="1"/>
    <col min="5631" max="5631" width="15.85546875" style="158" customWidth="1"/>
    <col min="5632" max="5632" width="15" style="158" customWidth="1"/>
    <col min="5633" max="5633" width="18.140625" style="158" customWidth="1"/>
    <col min="5634" max="5634" width="22.42578125" style="158" customWidth="1"/>
    <col min="5635" max="5635" width="23.7109375" style="158" customWidth="1"/>
    <col min="5636" max="5636" width="14" style="158" customWidth="1"/>
    <col min="5637" max="5637" width="15" style="158" customWidth="1"/>
    <col min="5638" max="5638" width="21.28515625" style="158" customWidth="1"/>
    <col min="5639" max="5639" width="15.85546875" style="158" customWidth="1"/>
    <col min="5640" max="5640" width="18.28515625" style="158" customWidth="1"/>
    <col min="5641" max="5641" width="16.28515625" style="158" customWidth="1"/>
    <col min="5642" max="5846" width="11.42578125" style="158"/>
    <col min="5847" max="5858" width="2.7109375" style="158" customWidth="1"/>
    <col min="5859" max="5860" width="6.140625" style="158" customWidth="1"/>
    <col min="5861" max="5869" width="2.7109375" style="158" customWidth="1"/>
    <col min="5870" max="5870" width="14.7109375" style="158" customWidth="1"/>
    <col min="5871" max="5871" width="6.28515625" style="158" customWidth="1"/>
    <col min="5872" max="5882" width="2.7109375" style="158" customWidth="1"/>
    <col min="5883" max="5883" width="25.42578125" style="158" customWidth="1"/>
    <col min="5884" max="5884" width="17.85546875" style="158" customWidth="1"/>
    <col min="5885" max="5885" width="15.85546875" style="158" customWidth="1"/>
    <col min="5886" max="5886" width="14.7109375" style="158" customWidth="1"/>
    <col min="5887" max="5887" width="15.85546875" style="158" customWidth="1"/>
    <col min="5888" max="5888" width="15" style="158" customWidth="1"/>
    <col min="5889" max="5889" width="18.140625" style="158" customWidth="1"/>
    <col min="5890" max="5890" width="22.42578125" style="158" customWidth="1"/>
    <col min="5891" max="5891" width="23.7109375" style="158" customWidth="1"/>
    <col min="5892" max="5892" width="14" style="158" customWidth="1"/>
    <col min="5893" max="5893" width="15" style="158" customWidth="1"/>
    <col min="5894" max="5894" width="21.28515625" style="158" customWidth="1"/>
    <col min="5895" max="5895" width="15.85546875" style="158" customWidth="1"/>
    <col min="5896" max="5896" width="18.28515625" style="158" customWidth="1"/>
    <col min="5897" max="5897" width="16.28515625" style="158" customWidth="1"/>
    <col min="5898" max="6102" width="11.42578125" style="158"/>
    <col min="6103" max="6114" width="2.7109375" style="158" customWidth="1"/>
    <col min="6115" max="6116" width="6.140625" style="158" customWidth="1"/>
    <col min="6117" max="6125" width="2.7109375" style="158" customWidth="1"/>
    <col min="6126" max="6126" width="14.7109375" style="158" customWidth="1"/>
    <col min="6127" max="6127" width="6.28515625" style="158" customWidth="1"/>
    <col min="6128" max="6138" width="2.7109375" style="158" customWidth="1"/>
    <col min="6139" max="6139" width="25.42578125" style="158" customWidth="1"/>
    <col min="6140" max="6140" width="17.85546875" style="158" customWidth="1"/>
    <col min="6141" max="6141" width="15.85546875" style="158" customWidth="1"/>
    <col min="6142" max="6142" width="14.7109375" style="158" customWidth="1"/>
    <col min="6143" max="6143" width="15.85546875" style="158" customWidth="1"/>
    <col min="6144" max="6144" width="15" style="158" customWidth="1"/>
    <col min="6145" max="6145" width="18.140625" style="158" customWidth="1"/>
    <col min="6146" max="6146" width="22.42578125" style="158" customWidth="1"/>
    <col min="6147" max="6147" width="23.7109375" style="158" customWidth="1"/>
    <col min="6148" max="6148" width="14" style="158" customWidth="1"/>
    <col min="6149" max="6149" width="15" style="158" customWidth="1"/>
    <col min="6150" max="6150" width="21.28515625" style="158" customWidth="1"/>
    <col min="6151" max="6151" width="15.85546875" style="158" customWidth="1"/>
    <col min="6152" max="6152" width="18.28515625" style="158" customWidth="1"/>
    <col min="6153" max="6153" width="16.28515625" style="158" customWidth="1"/>
    <col min="6154" max="6358" width="11.42578125" style="158"/>
    <col min="6359" max="6370" width="2.7109375" style="158" customWidth="1"/>
    <col min="6371" max="6372" width="6.140625" style="158" customWidth="1"/>
    <col min="6373" max="6381" width="2.7109375" style="158" customWidth="1"/>
    <col min="6382" max="6382" width="14.7109375" style="158" customWidth="1"/>
    <col min="6383" max="6383" width="6.28515625" style="158" customWidth="1"/>
    <col min="6384" max="6394" width="2.7109375" style="158" customWidth="1"/>
    <col min="6395" max="6395" width="25.42578125" style="158" customWidth="1"/>
    <col min="6396" max="6396" width="17.85546875" style="158" customWidth="1"/>
    <col min="6397" max="6397" width="15.85546875" style="158" customWidth="1"/>
    <col min="6398" max="6398" width="14.7109375" style="158" customWidth="1"/>
    <col min="6399" max="6399" width="15.85546875" style="158" customWidth="1"/>
    <col min="6400" max="6400" width="15" style="158" customWidth="1"/>
    <col min="6401" max="6401" width="18.140625" style="158" customWidth="1"/>
    <col min="6402" max="6402" width="22.42578125" style="158" customWidth="1"/>
    <col min="6403" max="6403" width="23.7109375" style="158" customWidth="1"/>
    <col min="6404" max="6404" width="14" style="158" customWidth="1"/>
    <col min="6405" max="6405" width="15" style="158" customWidth="1"/>
    <col min="6406" max="6406" width="21.28515625" style="158" customWidth="1"/>
    <col min="6407" max="6407" width="15.85546875" style="158" customWidth="1"/>
    <col min="6408" max="6408" width="18.28515625" style="158" customWidth="1"/>
    <col min="6409" max="6409" width="16.28515625" style="158" customWidth="1"/>
    <col min="6410" max="6614" width="11.42578125" style="158"/>
    <col min="6615" max="6626" width="2.7109375" style="158" customWidth="1"/>
    <col min="6627" max="6628" width="6.140625" style="158" customWidth="1"/>
    <col min="6629" max="6637" width="2.7109375" style="158" customWidth="1"/>
    <col min="6638" max="6638" width="14.7109375" style="158" customWidth="1"/>
    <col min="6639" max="6639" width="6.28515625" style="158" customWidth="1"/>
    <col min="6640" max="6650" width="2.7109375" style="158" customWidth="1"/>
    <col min="6651" max="6651" width="25.42578125" style="158" customWidth="1"/>
    <col min="6652" max="6652" width="17.85546875" style="158" customWidth="1"/>
    <col min="6653" max="6653" width="15.85546875" style="158" customWidth="1"/>
    <col min="6654" max="6654" width="14.7109375" style="158" customWidth="1"/>
    <col min="6655" max="6655" width="15.85546875" style="158" customWidth="1"/>
    <col min="6656" max="6656" width="15" style="158" customWidth="1"/>
    <col min="6657" max="6657" width="18.140625" style="158" customWidth="1"/>
    <col min="6658" max="6658" width="22.42578125" style="158" customWidth="1"/>
    <col min="6659" max="6659" width="23.7109375" style="158" customWidth="1"/>
    <col min="6660" max="6660" width="14" style="158" customWidth="1"/>
    <col min="6661" max="6661" width="15" style="158" customWidth="1"/>
    <col min="6662" max="6662" width="21.28515625" style="158" customWidth="1"/>
    <col min="6663" max="6663" width="15.85546875" style="158" customWidth="1"/>
    <col min="6664" max="6664" width="18.28515625" style="158" customWidth="1"/>
    <col min="6665" max="6665" width="16.28515625" style="158" customWidth="1"/>
    <col min="6666" max="6870" width="11.42578125" style="158"/>
    <col min="6871" max="6882" width="2.7109375" style="158" customWidth="1"/>
    <col min="6883" max="6884" width="6.140625" style="158" customWidth="1"/>
    <col min="6885" max="6893" width="2.7109375" style="158" customWidth="1"/>
    <col min="6894" max="6894" width="14.7109375" style="158" customWidth="1"/>
    <col min="6895" max="6895" width="6.28515625" style="158" customWidth="1"/>
    <col min="6896" max="6906" width="2.7109375" style="158" customWidth="1"/>
    <col min="6907" max="6907" width="25.42578125" style="158" customWidth="1"/>
    <col min="6908" max="6908" width="17.85546875" style="158" customWidth="1"/>
    <col min="6909" max="6909" width="15.85546875" style="158" customWidth="1"/>
    <col min="6910" max="6910" width="14.7109375" style="158" customWidth="1"/>
    <col min="6911" max="6911" width="15.85546875" style="158" customWidth="1"/>
    <col min="6912" max="6912" width="15" style="158" customWidth="1"/>
    <col min="6913" max="6913" width="18.140625" style="158" customWidth="1"/>
    <col min="6914" max="6914" width="22.42578125" style="158" customWidth="1"/>
    <col min="6915" max="6915" width="23.7109375" style="158" customWidth="1"/>
    <col min="6916" max="6916" width="14" style="158" customWidth="1"/>
    <col min="6917" max="6917" width="15" style="158" customWidth="1"/>
    <col min="6918" max="6918" width="21.28515625" style="158" customWidth="1"/>
    <col min="6919" max="6919" width="15.85546875" style="158" customWidth="1"/>
    <col min="6920" max="6920" width="18.28515625" style="158" customWidth="1"/>
    <col min="6921" max="6921" width="16.28515625" style="158" customWidth="1"/>
    <col min="6922" max="7126" width="11.42578125" style="158"/>
    <col min="7127" max="7138" width="2.7109375" style="158" customWidth="1"/>
    <col min="7139" max="7140" width="6.140625" style="158" customWidth="1"/>
    <col min="7141" max="7149" width="2.7109375" style="158" customWidth="1"/>
    <col min="7150" max="7150" width="14.7109375" style="158" customWidth="1"/>
    <col min="7151" max="7151" width="6.28515625" style="158" customWidth="1"/>
    <col min="7152" max="7162" width="2.7109375" style="158" customWidth="1"/>
    <col min="7163" max="7163" width="25.42578125" style="158" customWidth="1"/>
    <col min="7164" max="7164" width="17.85546875" style="158" customWidth="1"/>
    <col min="7165" max="7165" width="15.85546875" style="158" customWidth="1"/>
    <col min="7166" max="7166" width="14.7109375" style="158" customWidth="1"/>
    <col min="7167" max="7167" width="15.85546875" style="158" customWidth="1"/>
    <col min="7168" max="7168" width="15" style="158" customWidth="1"/>
    <col min="7169" max="7169" width="18.140625" style="158" customWidth="1"/>
    <col min="7170" max="7170" width="22.42578125" style="158" customWidth="1"/>
    <col min="7171" max="7171" width="23.7109375" style="158" customWidth="1"/>
    <col min="7172" max="7172" width="14" style="158" customWidth="1"/>
    <col min="7173" max="7173" width="15" style="158" customWidth="1"/>
    <col min="7174" max="7174" width="21.28515625" style="158" customWidth="1"/>
    <col min="7175" max="7175" width="15.85546875" style="158" customWidth="1"/>
    <col min="7176" max="7176" width="18.28515625" style="158" customWidth="1"/>
    <col min="7177" max="7177" width="16.28515625" style="158" customWidth="1"/>
    <col min="7178" max="7382" width="11.42578125" style="158"/>
    <col min="7383" max="7394" width="2.7109375" style="158" customWidth="1"/>
    <col min="7395" max="7396" width="6.140625" style="158" customWidth="1"/>
    <col min="7397" max="7405" width="2.7109375" style="158" customWidth="1"/>
    <col min="7406" max="7406" width="14.7109375" style="158" customWidth="1"/>
    <col min="7407" max="7407" width="6.28515625" style="158" customWidth="1"/>
    <col min="7408" max="7418" width="2.7109375" style="158" customWidth="1"/>
    <col min="7419" max="7419" width="25.42578125" style="158" customWidth="1"/>
    <col min="7420" max="7420" width="17.85546875" style="158" customWidth="1"/>
    <col min="7421" max="7421" width="15.85546875" style="158" customWidth="1"/>
    <col min="7422" max="7422" width="14.7109375" style="158" customWidth="1"/>
    <col min="7423" max="7423" width="15.85546875" style="158" customWidth="1"/>
    <col min="7424" max="7424" width="15" style="158" customWidth="1"/>
    <col min="7425" max="7425" width="18.140625" style="158" customWidth="1"/>
    <col min="7426" max="7426" width="22.42578125" style="158" customWidth="1"/>
    <col min="7427" max="7427" width="23.7109375" style="158" customWidth="1"/>
    <col min="7428" max="7428" width="14" style="158" customWidth="1"/>
    <col min="7429" max="7429" width="15" style="158" customWidth="1"/>
    <col min="7430" max="7430" width="21.28515625" style="158" customWidth="1"/>
    <col min="7431" max="7431" width="15.85546875" style="158" customWidth="1"/>
    <col min="7432" max="7432" width="18.28515625" style="158" customWidth="1"/>
    <col min="7433" max="7433" width="16.28515625" style="158" customWidth="1"/>
    <col min="7434" max="7638" width="11.42578125" style="158"/>
    <col min="7639" max="7650" width="2.7109375" style="158" customWidth="1"/>
    <col min="7651" max="7652" width="6.140625" style="158" customWidth="1"/>
    <col min="7653" max="7661" width="2.7109375" style="158" customWidth="1"/>
    <col min="7662" max="7662" width="14.7109375" style="158" customWidth="1"/>
    <col min="7663" max="7663" width="6.28515625" style="158" customWidth="1"/>
    <col min="7664" max="7674" width="2.7109375" style="158" customWidth="1"/>
    <col min="7675" max="7675" width="25.42578125" style="158" customWidth="1"/>
    <col min="7676" max="7676" width="17.85546875" style="158" customWidth="1"/>
    <col min="7677" max="7677" width="15.85546875" style="158" customWidth="1"/>
    <col min="7678" max="7678" width="14.7109375" style="158" customWidth="1"/>
    <col min="7679" max="7679" width="15.85546875" style="158" customWidth="1"/>
    <col min="7680" max="7680" width="15" style="158" customWidth="1"/>
    <col min="7681" max="7681" width="18.140625" style="158" customWidth="1"/>
    <col min="7682" max="7682" width="22.42578125" style="158" customWidth="1"/>
    <col min="7683" max="7683" width="23.7109375" style="158" customWidth="1"/>
    <col min="7684" max="7684" width="14" style="158" customWidth="1"/>
    <col min="7685" max="7685" width="15" style="158" customWidth="1"/>
    <col min="7686" max="7686" width="21.28515625" style="158" customWidth="1"/>
    <col min="7687" max="7687" width="15.85546875" style="158" customWidth="1"/>
    <col min="7688" max="7688" width="18.28515625" style="158" customWidth="1"/>
    <col min="7689" max="7689" width="16.28515625" style="158" customWidth="1"/>
    <col min="7690" max="7894" width="11.42578125" style="158"/>
    <col min="7895" max="7906" width="2.7109375" style="158" customWidth="1"/>
    <col min="7907" max="7908" width="6.140625" style="158" customWidth="1"/>
    <col min="7909" max="7917" width="2.7109375" style="158" customWidth="1"/>
    <col min="7918" max="7918" width="14.7109375" style="158" customWidth="1"/>
    <col min="7919" max="7919" width="6.28515625" style="158" customWidth="1"/>
    <col min="7920" max="7930" width="2.7109375" style="158" customWidth="1"/>
    <col min="7931" max="7931" width="25.42578125" style="158" customWidth="1"/>
    <col min="7932" max="7932" width="17.85546875" style="158" customWidth="1"/>
    <col min="7933" max="7933" width="15.85546875" style="158" customWidth="1"/>
    <col min="7934" max="7934" width="14.7109375" style="158" customWidth="1"/>
    <col min="7935" max="7935" width="15.85546875" style="158" customWidth="1"/>
    <col min="7936" max="7936" width="15" style="158" customWidth="1"/>
    <col min="7937" max="7937" width="18.140625" style="158" customWidth="1"/>
    <col min="7938" max="7938" width="22.42578125" style="158" customWidth="1"/>
    <col min="7939" max="7939" width="23.7109375" style="158" customWidth="1"/>
    <col min="7940" max="7940" width="14" style="158" customWidth="1"/>
    <col min="7941" max="7941" width="15" style="158" customWidth="1"/>
    <col min="7942" max="7942" width="21.28515625" style="158" customWidth="1"/>
    <col min="7943" max="7943" width="15.85546875" style="158" customWidth="1"/>
    <col min="7944" max="7944" width="18.28515625" style="158" customWidth="1"/>
    <col min="7945" max="7945" width="16.28515625" style="158" customWidth="1"/>
    <col min="7946" max="8150" width="11.42578125" style="158"/>
    <col min="8151" max="8162" width="2.7109375" style="158" customWidth="1"/>
    <col min="8163" max="8164" width="6.140625" style="158" customWidth="1"/>
    <col min="8165" max="8173" width="2.7109375" style="158" customWidth="1"/>
    <col min="8174" max="8174" width="14.7109375" style="158" customWidth="1"/>
    <col min="8175" max="8175" width="6.28515625" style="158" customWidth="1"/>
    <col min="8176" max="8186" width="2.7109375" style="158" customWidth="1"/>
    <col min="8187" max="8187" width="25.42578125" style="158" customWidth="1"/>
    <col min="8188" max="8188" width="17.85546875" style="158" customWidth="1"/>
    <col min="8189" max="8189" width="15.85546875" style="158" customWidth="1"/>
    <col min="8190" max="8190" width="14.7109375" style="158" customWidth="1"/>
    <col min="8191" max="8191" width="15.85546875" style="158" customWidth="1"/>
    <col min="8192" max="8192" width="15" style="158" customWidth="1"/>
    <col min="8193" max="8193" width="18.140625" style="158" customWidth="1"/>
    <col min="8194" max="8194" width="22.42578125" style="158" customWidth="1"/>
    <col min="8195" max="8195" width="23.7109375" style="158" customWidth="1"/>
    <col min="8196" max="8196" width="14" style="158" customWidth="1"/>
    <col min="8197" max="8197" width="15" style="158" customWidth="1"/>
    <col min="8198" max="8198" width="21.28515625" style="158" customWidth="1"/>
    <col min="8199" max="8199" width="15.85546875" style="158" customWidth="1"/>
    <col min="8200" max="8200" width="18.28515625" style="158" customWidth="1"/>
    <col min="8201" max="8201" width="16.28515625" style="158" customWidth="1"/>
    <col min="8202" max="8406" width="11.42578125" style="158"/>
    <col min="8407" max="8418" width="2.7109375" style="158" customWidth="1"/>
    <col min="8419" max="8420" width="6.140625" style="158" customWidth="1"/>
    <col min="8421" max="8429" width="2.7109375" style="158" customWidth="1"/>
    <col min="8430" max="8430" width="14.7109375" style="158" customWidth="1"/>
    <col min="8431" max="8431" width="6.28515625" style="158" customWidth="1"/>
    <col min="8432" max="8442" width="2.7109375" style="158" customWidth="1"/>
    <col min="8443" max="8443" width="25.42578125" style="158" customWidth="1"/>
    <col min="8444" max="8444" width="17.85546875" style="158" customWidth="1"/>
    <col min="8445" max="8445" width="15.85546875" style="158" customWidth="1"/>
    <col min="8446" max="8446" width="14.7109375" style="158" customWidth="1"/>
    <col min="8447" max="8447" width="15.85546875" style="158" customWidth="1"/>
    <col min="8448" max="8448" width="15" style="158" customWidth="1"/>
    <col min="8449" max="8449" width="18.140625" style="158" customWidth="1"/>
    <col min="8450" max="8450" width="22.42578125" style="158" customWidth="1"/>
    <col min="8451" max="8451" width="23.7109375" style="158" customWidth="1"/>
    <col min="8452" max="8452" width="14" style="158" customWidth="1"/>
    <col min="8453" max="8453" width="15" style="158" customWidth="1"/>
    <col min="8454" max="8454" width="21.28515625" style="158" customWidth="1"/>
    <col min="8455" max="8455" width="15.85546875" style="158" customWidth="1"/>
    <col min="8456" max="8456" width="18.28515625" style="158" customWidth="1"/>
    <col min="8457" max="8457" width="16.28515625" style="158" customWidth="1"/>
    <col min="8458" max="8662" width="11.42578125" style="158"/>
    <col min="8663" max="8674" width="2.7109375" style="158" customWidth="1"/>
    <col min="8675" max="8676" width="6.140625" style="158" customWidth="1"/>
    <col min="8677" max="8685" width="2.7109375" style="158" customWidth="1"/>
    <col min="8686" max="8686" width="14.7109375" style="158" customWidth="1"/>
    <col min="8687" max="8687" width="6.28515625" style="158" customWidth="1"/>
    <col min="8688" max="8698" width="2.7109375" style="158" customWidth="1"/>
    <col min="8699" max="8699" width="25.42578125" style="158" customWidth="1"/>
    <col min="8700" max="8700" width="17.85546875" style="158" customWidth="1"/>
    <col min="8701" max="8701" width="15.85546875" style="158" customWidth="1"/>
    <col min="8702" max="8702" width="14.7109375" style="158" customWidth="1"/>
    <col min="8703" max="8703" width="15.85546875" style="158" customWidth="1"/>
    <col min="8704" max="8704" width="15" style="158" customWidth="1"/>
    <col min="8705" max="8705" width="18.140625" style="158" customWidth="1"/>
    <col min="8706" max="8706" width="22.42578125" style="158" customWidth="1"/>
    <col min="8707" max="8707" width="23.7109375" style="158" customWidth="1"/>
    <col min="8708" max="8708" width="14" style="158" customWidth="1"/>
    <col min="8709" max="8709" width="15" style="158" customWidth="1"/>
    <col min="8710" max="8710" width="21.28515625" style="158" customWidth="1"/>
    <col min="8711" max="8711" width="15.85546875" style="158" customWidth="1"/>
    <col min="8712" max="8712" width="18.28515625" style="158" customWidth="1"/>
    <col min="8713" max="8713" width="16.28515625" style="158" customWidth="1"/>
    <col min="8714" max="8918" width="11.42578125" style="158"/>
    <col min="8919" max="8930" width="2.7109375" style="158" customWidth="1"/>
    <col min="8931" max="8932" width="6.140625" style="158" customWidth="1"/>
    <col min="8933" max="8941" width="2.7109375" style="158" customWidth="1"/>
    <col min="8942" max="8942" width="14.7109375" style="158" customWidth="1"/>
    <col min="8943" max="8943" width="6.28515625" style="158" customWidth="1"/>
    <col min="8944" max="8954" width="2.7109375" style="158" customWidth="1"/>
    <col min="8955" max="8955" width="25.42578125" style="158" customWidth="1"/>
    <col min="8956" max="8956" width="17.85546875" style="158" customWidth="1"/>
    <col min="8957" max="8957" width="15.85546875" style="158" customWidth="1"/>
    <col min="8958" max="8958" width="14.7109375" style="158" customWidth="1"/>
    <col min="8959" max="8959" width="15.85546875" style="158" customWidth="1"/>
    <col min="8960" max="8960" width="15" style="158" customWidth="1"/>
    <col min="8961" max="8961" width="18.140625" style="158" customWidth="1"/>
    <col min="8962" max="8962" width="22.42578125" style="158" customWidth="1"/>
    <col min="8963" max="8963" width="23.7109375" style="158" customWidth="1"/>
    <col min="8964" max="8964" width="14" style="158" customWidth="1"/>
    <col min="8965" max="8965" width="15" style="158" customWidth="1"/>
    <col min="8966" max="8966" width="21.28515625" style="158" customWidth="1"/>
    <col min="8967" max="8967" width="15.85546875" style="158" customWidth="1"/>
    <col min="8968" max="8968" width="18.28515625" style="158" customWidth="1"/>
    <col min="8969" max="8969" width="16.28515625" style="158" customWidth="1"/>
    <col min="8970" max="9174" width="11.42578125" style="158"/>
    <col min="9175" max="9186" width="2.7109375" style="158" customWidth="1"/>
    <col min="9187" max="9188" width="6.140625" style="158" customWidth="1"/>
    <col min="9189" max="9197" width="2.7109375" style="158" customWidth="1"/>
    <col min="9198" max="9198" width="14.7109375" style="158" customWidth="1"/>
    <col min="9199" max="9199" width="6.28515625" style="158" customWidth="1"/>
    <col min="9200" max="9210" width="2.7109375" style="158" customWidth="1"/>
    <col min="9211" max="9211" width="25.42578125" style="158" customWidth="1"/>
    <col min="9212" max="9212" width="17.85546875" style="158" customWidth="1"/>
    <col min="9213" max="9213" width="15.85546875" style="158" customWidth="1"/>
    <col min="9214" max="9214" width="14.7109375" style="158" customWidth="1"/>
    <col min="9215" max="9215" width="15.85546875" style="158" customWidth="1"/>
    <col min="9216" max="9216" width="15" style="158" customWidth="1"/>
    <col min="9217" max="9217" width="18.140625" style="158" customWidth="1"/>
    <col min="9218" max="9218" width="22.42578125" style="158" customWidth="1"/>
    <col min="9219" max="9219" width="23.7109375" style="158" customWidth="1"/>
    <col min="9220" max="9220" width="14" style="158" customWidth="1"/>
    <col min="9221" max="9221" width="15" style="158" customWidth="1"/>
    <col min="9222" max="9222" width="21.28515625" style="158" customWidth="1"/>
    <col min="9223" max="9223" width="15.85546875" style="158" customWidth="1"/>
    <col min="9224" max="9224" width="18.28515625" style="158" customWidth="1"/>
    <col min="9225" max="9225" width="16.28515625" style="158" customWidth="1"/>
    <col min="9226" max="9430" width="11.42578125" style="158"/>
    <col min="9431" max="9442" width="2.7109375" style="158" customWidth="1"/>
    <col min="9443" max="9444" width="6.140625" style="158" customWidth="1"/>
    <col min="9445" max="9453" width="2.7109375" style="158" customWidth="1"/>
    <col min="9454" max="9454" width="14.7109375" style="158" customWidth="1"/>
    <col min="9455" max="9455" width="6.28515625" style="158" customWidth="1"/>
    <col min="9456" max="9466" width="2.7109375" style="158" customWidth="1"/>
    <col min="9467" max="9467" width="25.42578125" style="158" customWidth="1"/>
    <col min="9468" max="9468" width="17.85546875" style="158" customWidth="1"/>
    <col min="9469" max="9469" width="15.85546875" style="158" customWidth="1"/>
    <col min="9470" max="9470" width="14.7109375" style="158" customWidth="1"/>
    <col min="9471" max="9471" width="15.85546875" style="158" customWidth="1"/>
    <col min="9472" max="9472" width="15" style="158" customWidth="1"/>
    <col min="9473" max="9473" width="18.140625" style="158" customWidth="1"/>
    <col min="9474" max="9474" width="22.42578125" style="158" customWidth="1"/>
    <col min="9475" max="9475" width="23.7109375" style="158" customWidth="1"/>
    <col min="9476" max="9476" width="14" style="158" customWidth="1"/>
    <col min="9477" max="9477" width="15" style="158" customWidth="1"/>
    <col min="9478" max="9478" width="21.28515625" style="158" customWidth="1"/>
    <col min="9479" max="9479" width="15.85546875" style="158" customWidth="1"/>
    <col min="9480" max="9480" width="18.28515625" style="158" customWidth="1"/>
    <col min="9481" max="9481" width="16.28515625" style="158" customWidth="1"/>
    <col min="9482" max="9686" width="11.42578125" style="158"/>
    <col min="9687" max="9698" width="2.7109375" style="158" customWidth="1"/>
    <col min="9699" max="9700" width="6.140625" style="158" customWidth="1"/>
    <col min="9701" max="9709" width="2.7109375" style="158" customWidth="1"/>
    <col min="9710" max="9710" width="14.7109375" style="158" customWidth="1"/>
    <col min="9711" max="9711" width="6.28515625" style="158" customWidth="1"/>
    <col min="9712" max="9722" width="2.7109375" style="158" customWidth="1"/>
    <col min="9723" max="9723" width="25.42578125" style="158" customWidth="1"/>
    <col min="9724" max="9724" width="17.85546875" style="158" customWidth="1"/>
    <col min="9725" max="9725" width="15.85546875" style="158" customWidth="1"/>
    <col min="9726" max="9726" width="14.7109375" style="158" customWidth="1"/>
    <col min="9727" max="9727" width="15.85546875" style="158" customWidth="1"/>
    <col min="9728" max="9728" width="15" style="158" customWidth="1"/>
    <col min="9729" max="9729" width="18.140625" style="158" customWidth="1"/>
    <col min="9730" max="9730" width="22.42578125" style="158" customWidth="1"/>
    <col min="9731" max="9731" width="23.7109375" style="158" customWidth="1"/>
    <col min="9732" max="9732" width="14" style="158" customWidth="1"/>
    <col min="9733" max="9733" width="15" style="158" customWidth="1"/>
    <col min="9734" max="9734" width="21.28515625" style="158" customWidth="1"/>
    <col min="9735" max="9735" width="15.85546875" style="158" customWidth="1"/>
    <col min="9736" max="9736" width="18.28515625" style="158" customWidth="1"/>
    <col min="9737" max="9737" width="16.28515625" style="158" customWidth="1"/>
    <col min="9738" max="9942" width="11.42578125" style="158"/>
    <col min="9943" max="9954" width="2.7109375" style="158" customWidth="1"/>
    <col min="9955" max="9956" width="6.140625" style="158" customWidth="1"/>
    <col min="9957" max="9965" width="2.7109375" style="158" customWidth="1"/>
    <col min="9966" max="9966" width="14.7109375" style="158" customWidth="1"/>
    <col min="9967" max="9967" width="6.28515625" style="158" customWidth="1"/>
    <col min="9968" max="9978" width="2.7109375" style="158" customWidth="1"/>
    <col min="9979" max="9979" width="25.42578125" style="158" customWidth="1"/>
    <col min="9980" max="9980" width="17.85546875" style="158" customWidth="1"/>
    <col min="9981" max="9981" width="15.85546875" style="158" customWidth="1"/>
    <col min="9982" max="9982" width="14.7109375" style="158" customWidth="1"/>
    <col min="9983" max="9983" width="15.85546875" style="158" customWidth="1"/>
    <col min="9984" max="9984" width="15" style="158" customWidth="1"/>
    <col min="9985" max="9985" width="18.140625" style="158" customWidth="1"/>
    <col min="9986" max="9986" width="22.42578125" style="158" customWidth="1"/>
    <col min="9987" max="9987" width="23.7109375" style="158" customWidth="1"/>
    <col min="9988" max="9988" width="14" style="158" customWidth="1"/>
    <col min="9989" max="9989" width="15" style="158" customWidth="1"/>
    <col min="9990" max="9990" width="21.28515625" style="158" customWidth="1"/>
    <col min="9991" max="9991" width="15.85546875" style="158" customWidth="1"/>
    <col min="9992" max="9992" width="18.28515625" style="158" customWidth="1"/>
    <col min="9993" max="9993" width="16.28515625" style="158" customWidth="1"/>
    <col min="9994" max="10198" width="11.42578125" style="158"/>
    <col min="10199" max="10210" width="2.7109375" style="158" customWidth="1"/>
    <col min="10211" max="10212" width="6.140625" style="158" customWidth="1"/>
    <col min="10213" max="10221" width="2.7109375" style="158" customWidth="1"/>
    <col min="10222" max="10222" width="14.7109375" style="158" customWidth="1"/>
    <col min="10223" max="10223" width="6.28515625" style="158" customWidth="1"/>
    <col min="10224" max="10234" width="2.7109375" style="158" customWidth="1"/>
    <col min="10235" max="10235" width="25.42578125" style="158" customWidth="1"/>
    <col min="10236" max="10236" width="17.85546875" style="158" customWidth="1"/>
    <col min="10237" max="10237" width="15.85546875" style="158" customWidth="1"/>
    <col min="10238" max="10238" width="14.7109375" style="158" customWidth="1"/>
    <col min="10239" max="10239" width="15.85546875" style="158" customWidth="1"/>
    <col min="10240" max="10240" width="15" style="158" customWidth="1"/>
    <col min="10241" max="10241" width="18.140625" style="158" customWidth="1"/>
    <col min="10242" max="10242" width="22.42578125" style="158" customWidth="1"/>
    <col min="10243" max="10243" width="23.7109375" style="158" customWidth="1"/>
    <col min="10244" max="10244" width="14" style="158" customWidth="1"/>
    <col min="10245" max="10245" width="15" style="158" customWidth="1"/>
    <col min="10246" max="10246" width="21.28515625" style="158" customWidth="1"/>
    <col min="10247" max="10247" width="15.85546875" style="158" customWidth="1"/>
    <col min="10248" max="10248" width="18.28515625" style="158" customWidth="1"/>
    <col min="10249" max="10249" width="16.28515625" style="158" customWidth="1"/>
    <col min="10250" max="10454" width="11.42578125" style="158"/>
    <col min="10455" max="10466" width="2.7109375" style="158" customWidth="1"/>
    <col min="10467" max="10468" width="6.140625" style="158" customWidth="1"/>
    <col min="10469" max="10477" width="2.7109375" style="158" customWidth="1"/>
    <col min="10478" max="10478" width="14.7109375" style="158" customWidth="1"/>
    <col min="10479" max="10479" width="6.28515625" style="158" customWidth="1"/>
    <col min="10480" max="10490" width="2.7109375" style="158" customWidth="1"/>
    <col min="10491" max="10491" width="25.42578125" style="158" customWidth="1"/>
    <col min="10492" max="10492" width="17.85546875" style="158" customWidth="1"/>
    <col min="10493" max="10493" width="15.85546875" style="158" customWidth="1"/>
    <col min="10494" max="10494" width="14.7109375" style="158" customWidth="1"/>
    <col min="10495" max="10495" width="15.85546875" style="158" customWidth="1"/>
    <col min="10496" max="10496" width="15" style="158" customWidth="1"/>
    <col min="10497" max="10497" width="18.140625" style="158" customWidth="1"/>
    <col min="10498" max="10498" width="22.42578125" style="158" customWidth="1"/>
    <col min="10499" max="10499" width="23.7109375" style="158" customWidth="1"/>
    <col min="10500" max="10500" width="14" style="158" customWidth="1"/>
    <col min="10501" max="10501" width="15" style="158" customWidth="1"/>
    <col min="10502" max="10502" width="21.28515625" style="158" customWidth="1"/>
    <col min="10503" max="10503" width="15.85546875" style="158" customWidth="1"/>
    <col min="10504" max="10504" width="18.28515625" style="158" customWidth="1"/>
    <col min="10505" max="10505" width="16.28515625" style="158" customWidth="1"/>
    <col min="10506" max="10710" width="11.42578125" style="158"/>
    <col min="10711" max="10722" width="2.7109375" style="158" customWidth="1"/>
    <col min="10723" max="10724" width="6.140625" style="158" customWidth="1"/>
    <col min="10725" max="10733" width="2.7109375" style="158" customWidth="1"/>
    <col min="10734" max="10734" width="14.7109375" style="158" customWidth="1"/>
    <col min="10735" max="10735" width="6.28515625" style="158" customWidth="1"/>
    <col min="10736" max="10746" width="2.7109375" style="158" customWidth="1"/>
    <col min="10747" max="10747" width="25.42578125" style="158" customWidth="1"/>
    <col min="10748" max="10748" width="17.85546875" style="158" customWidth="1"/>
    <col min="10749" max="10749" width="15.85546875" style="158" customWidth="1"/>
    <col min="10750" max="10750" width="14.7109375" style="158" customWidth="1"/>
    <col min="10751" max="10751" width="15.85546875" style="158" customWidth="1"/>
    <col min="10752" max="10752" width="15" style="158" customWidth="1"/>
    <col min="10753" max="10753" width="18.140625" style="158" customWidth="1"/>
    <col min="10754" max="10754" width="22.42578125" style="158" customWidth="1"/>
    <col min="10755" max="10755" width="23.7109375" style="158" customWidth="1"/>
    <col min="10756" max="10756" width="14" style="158" customWidth="1"/>
    <col min="10757" max="10757" width="15" style="158" customWidth="1"/>
    <col min="10758" max="10758" width="21.28515625" style="158" customWidth="1"/>
    <col min="10759" max="10759" width="15.85546875" style="158" customWidth="1"/>
    <col min="10760" max="10760" width="18.28515625" style="158" customWidth="1"/>
    <col min="10761" max="10761" width="16.28515625" style="158" customWidth="1"/>
    <col min="10762" max="10966" width="11.42578125" style="158"/>
    <col min="10967" max="10978" width="2.7109375" style="158" customWidth="1"/>
    <col min="10979" max="10980" width="6.140625" style="158" customWidth="1"/>
    <col min="10981" max="10989" width="2.7109375" style="158" customWidth="1"/>
    <col min="10990" max="10990" width="14.7109375" style="158" customWidth="1"/>
    <col min="10991" max="10991" width="6.28515625" style="158" customWidth="1"/>
    <col min="10992" max="11002" width="2.7109375" style="158" customWidth="1"/>
    <col min="11003" max="11003" width="25.42578125" style="158" customWidth="1"/>
    <col min="11004" max="11004" width="17.85546875" style="158" customWidth="1"/>
    <col min="11005" max="11005" width="15.85546875" style="158" customWidth="1"/>
    <col min="11006" max="11006" width="14.7109375" style="158" customWidth="1"/>
    <col min="11007" max="11007" width="15.85546875" style="158" customWidth="1"/>
    <col min="11008" max="11008" width="15" style="158" customWidth="1"/>
    <col min="11009" max="11009" width="18.140625" style="158" customWidth="1"/>
    <col min="11010" max="11010" width="22.42578125" style="158" customWidth="1"/>
    <col min="11011" max="11011" width="23.7109375" style="158" customWidth="1"/>
    <col min="11012" max="11012" width="14" style="158" customWidth="1"/>
    <col min="11013" max="11013" width="15" style="158" customWidth="1"/>
    <col min="11014" max="11014" width="21.28515625" style="158" customWidth="1"/>
    <col min="11015" max="11015" width="15.85546875" style="158" customWidth="1"/>
    <col min="11016" max="11016" width="18.28515625" style="158" customWidth="1"/>
    <col min="11017" max="11017" width="16.28515625" style="158" customWidth="1"/>
    <col min="11018" max="11222" width="11.42578125" style="158"/>
    <col min="11223" max="11234" width="2.7109375" style="158" customWidth="1"/>
    <col min="11235" max="11236" width="6.140625" style="158" customWidth="1"/>
    <col min="11237" max="11245" width="2.7109375" style="158" customWidth="1"/>
    <col min="11246" max="11246" width="14.7109375" style="158" customWidth="1"/>
    <col min="11247" max="11247" width="6.28515625" style="158" customWidth="1"/>
    <col min="11248" max="11258" width="2.7109375" style="158" customWidth="1"/>
    <col min="11259" max="11259" width="25.42578125" style="158" customWidth="1"/>
    <col min="11260" max="11260" width="17.85546875" style="158" customWidth="1"/>
    <col min="11261" max="11261" width="15.85546875" style="158" customWidth="1"/>
    <col min="11262" max="11262" width="14.7109375" style="158" customWidth="1"/>
    <col min="11263" max="11263" width="15.85546875" style="158" customWidth="1"/>
    <col min="11264" max="11264" width="15" style="158" customWidth="1"/>
    <col min="11265" max="11265" width="18.140625" style="158" customWidth="1"/>
    <col min="11266" max="11266" width="22.42578125" style="158" customWidth="1"/>
    <col min="11267" max="11267" width="23.7109375" style="158" customWidth="1"/>
    <col min="11268" max="11268" width="14" style="158" customWidth="1"/>
    <col min="11269" max="11269" width="15" style="158" customWidth="1"/>
    <col min="11270" max="11270" width="21.28515625" style="158" customWidth="1"/>
    <col min="11271" max="11271" width="15.85546875" style="158" customWidth="1"/>
    <col min="11272" max="11272" width="18.28515625" style="158" customWidth="1"/>
    <col min="11273" max="11273" width="16.28515625" style="158" customWidth="1"/>
    <col min="11274" max="11478" width="11.42578125" style="158"/>
    <col min="11479" max="11490" width="2.7109375" style="158" customWidth="1"/>
    <col min="11491" max="11492" width="6.140625" style="158" customWidth="1"/>
    <col min="11493" max="11501" width="2.7109375" style="158" customWidth="1"/>
    <col min="11502" max="11502" width="14.7109375" style="158" customWidth="1"/>
    <col min="11503" max="11503" width="6.28515625" style="158" customWidth="1"/>
    <col min="11504" max="11514" width="2.7109375" style="158" customWidth="1"/>
    <col min="11515" max="11515" width="25.42578125" style="158" customWidth="1"/>
    <col min="11516" max="11516" width="17.85546875" style="158" customWidth="1"/>
    <col min="11517" max="11517" width="15.85546875" style="158" customWidth="1"/>
    <col min="11518" max="11518" width="14.7109375" style="158" customWidth="1"/>
    <col min="11519" max="11519" width="15.85546875" style="158" customWidth="1"/>
    <col min="11520" max="11520" width="15" style="158" customWidth="1"/>
    <col min="11521" max="11521" width="18.140625" style="158" customWidth="1"/>
    <col min="11522" max="11522" width="22.42578125" style="158" customWidth="1"/>
    <col min="11523" max="11523" width="23.7109375" style="158" customWidth="1"/>
    <col min="11524" max="11524" width="14" style="158" customWidth="1"/>
    <col min="11525" max="11525" width="15" style="158" customWidth="1"/>
    <col min="11526" max="11526" width="21.28515625" style="158" customWidth="1"/>
    <col min="11527" max="11527" width="15.85546875" style="158" customWidth="1"/>
    <col min="11528" max="11528" width="18.28515625" style="158" customWidth="1"/>
    <col min="11529" max="11529" width="16.28515625" style="158" customWidth="1"/>
    <col min="11530" max="11734" width="11.42578125" style="158"/>
    <col min="11735" max="11746" width="2.7109375" style="158" customWidth="1"/>
    <col min="11747" max="11748" width="6.140625" style="158" customWidth="1"/>
    <col min="11749" max="11757" width="2.7109375" style="158" customWidth="1"/>
    <col min="11758" max="11758" width="14.7109375" style="158" customWidth="1"/>
    <col min="11759" max="11759" width="6.28515625" style="158" customWidth="1"/>
    <col min="11760" max="11770" width="2.7109375" style="158" customWidth="1"/>
    <col min="11771" max="11771" width="25.42578125" style="158" customWidth="1"/>
    <col min="11772" max="11772" width="17.85546875" style="158" customWidth="1"/>
    <col min="11773" max="11773" width="15.85546875" style="158" customWidth="1"/>
    <col min="11774" max="11774" width="14.7109375" style="158" customWidth="1"/>
    <col min="11775" max="11775" width="15.85546875" style="158" customWidth="1"/>
    <col min="11776" max="11776" width="15" style="158" customWidth="1"/>
    <col min="11777" max="11777" width="18.140625" style="158" customWidth="1"/>
    <col min="11778" max="11778" width="22.42578125" style="158" customWidth="1"/>
    <col min="11779" max="11779" width="23.7109375" style="158" customWidth="1"/>
    <col min="11780" max="11780" width="14" style="158" customWidth="1"/>
    <col min="11781" max="11781" width="15" style="158" customWidth="1"/>
    <col min="11782" max="11782" width="21.28515625" style="158" customWidth="1"/>
    <col min="11783" max="11783" width="15.85546875" style="158" customWidth="1"/>
    <col min="11784" max="11784" width="18.28515625" style="158" customWidth="1"/>
    <col min="11785" max="11785" width="16.28515625" style="158" customWidth="1"/>
    <col min="11786" max="11990" width="11.42578125" style="158"/>
    <col min="11991" max="12002" width="2.7109375" style="158" customWidth="1"/>
    <col min="12003" max="12004" width="6.140625" style="158" customWidth="1"/>
    <col min="12005" max="12013" width="2.7109375" style="158" customWidth="1"/>
    <col min="12014" max="12014" width="14.7109375" style="158" customWidth="1"/>
    <col min="12015" max="12015" width="6.28515625" style="158" customWidth="1"/>
    <col min="12016" max="12026" width="2.7109375" style="158" customWidth="1"/>
    <col min="12027" max="12027" width="25.42578125" style="158" customWidth="1"/>
    <col min="12028" max="12028" width="17.85546875" style="158" customWidth="1"/>
    <col min="12029" max="12029" width="15.85546875" style="158" customWidth="1"/>
    <col min="12030" max="12030" width="14.7109375" style="158" customWidth="1"/>
    <col min="12031" max="12031" width="15.85546875" style="158" customWidth="1"/>
    <col min="12032" max="12032" width="15" style="158" customWidth="1"/>
    <col min="12033" max="12033" width="18.140625" style="158" customWidth="1"/>
    <col min="12034" max="12034" width="22.42578125" style="158" customWidth="1"/>
    <col min="12035" max="12035" width="23.7109375" style="158" customWidth="1"/>
    <col min="12036" max="12036" width="14" style="158" customWidth="1"/>
    <col min="12037" max="12037" width="15" style="158" customWidth="1"/>
    <col min="12038" max="12038" width="21.28515625" style="158" customWidth="1"/>
    <col min="12039" max="12039" width="15.85546875" style="158" customWidth="1"/>
    <col min="12040" max="12040" width="18.28515625" style="158" customWidth="1"/>
    <col min="12041" max="12041" width="16.28515625" style="158" customWidth="1"/>
    <col min="12042" max="12246" width="11.42578125" style="158"/>
    <col min="12247" max="12258" width="2.7109375" style="158" customWidth="1"/>
    <col min="12259" max="12260" width="6.140625" style="158" customWidth="1"/>
    <col min="12261" max="12269" width="2.7109375" style="158" customWidth="1"/>
    <col min="12270" max="12270" width="14.7109375" style="158" customWidth="1"/>
    <col min="12271" max="12271" width="6.28515625" style="158" customWidth="1"/>
    <col min="12272" max="12282" width="2.7109375" style="158" customWidth="1"/>
    <col min="12283" max="12283" width="25.42578125" style="158" customWidth="1"/>
    <col min="12284" max="12284" width="17.85546875" style="158" customWidth="1"/>
    <col min="12285" max="12285" width="15.85546875" style="158" customWidth="1"/>
    <col min="12286" max="12286" width="14.7109375" style="158" customWidth="1"/>
    <col min="12287" max="12287" width="15.85546875" style="158" customWidth="1"/>
    <col min="12288" max="12288" width="15" style="158" customWidth="1"/>
    <col min="12289" max="12289" width="18.140625" style="158" customWidth="1"/>
    <col min="12290" max="12290" width="22.42578125" style="158" customWidth="1"/>
    <col min="12291" max="12291" width="23.7109375" style="158" customWidth="1"/>
    <col min="12292" max="12292" width="14" style="158" customWidth="1"/>
    <col min="12293" max="12293" width="15" style="158" customWidth="1"/>
    <col min="12294" max="12294" width="21.28515625" style="158" customWidth="1"/>
    <col min="12295" max="12295" width="15.85546875" style="158" customWidth="1"/>
    <col min="12296" max="12296" width="18.28515625" style="158" customWidth="1"/>
    <col min="12297" max="12297" width="16.28515625" style="158" customWidth="1"/>
    <col min="12298" max="12502" width="11.42578125" style="158"/>
    <col min="12503" max="12514" width="2.7109375" style="158" customWidth="1"/>
    <col min="12515" max="12516" width="6.140625" style="158" customWidth="1"/>
    <col min="12517" max="12525" width="2.7109375" style="158" customWidth="1"/>
    <col min="12526" max="12526" width="14.7109375" style="158" customWidth="1"/>
    <col min="12527" max="12527" width="6.28515625" style="158" customWidth="1"/>
    <col min="12528" max="12538" width="2.7109375" style="158" customWidth="1"/>
    <col min="12539" max="12539" width="25.42578125" style="158" customWidth="1"/>
    <col min="12540" max="12540" width="17.85546875" style="158" customWidth="1"/>
    <col min="12541" max="12541" width="15.85546875" style="158" customWidth="1"/>
    <col min="12542" max="12542" width="14.7109375" style="158" customWidth="1"/>
    <col min="12543" max="12543" width="15.85546875" style="158" customWidth="1"/>
    <col min="12544" max="12544" width="15" style="158" customWidth="1"/>
    <col min="12545" max="12545" width="18.140625" style="158" customWidth="1"/>
    <col min="12546" max="12546" width="22.42578125" style="158" customWidth="1"/>
    <col min="12547" max="12547" width="23.7109375" style="158" customWidth="1"/>
    <col min="12548" max="12548" width="14" style="158" customWidth="1"/>
    <col min="12549" max="12549" width="15" style="158" customWidth="1"/>
    <col min="12550" max="12550" width="21.28515625" style="158" customWidth="1"/>
    <col min="12551" max="12551" width="15.85546875" style="158" customWidth="1"/>
    <col min="12552" max="12552" width="18.28515625" style="158" customWidth="1"/>
    <col min="12553" max="12553" width="16.28515625" style="158" customWidth="1"/>
    <col min="12554" max="12758" width="11.42578125" style="158"/>
    <col min="12759" max="12770" width="2.7109375" style="158" customWidth="1"/>
    <col min="12771" max="12772" width="6.140625" style="158" customWidth="1"/>
    <col min="12773" max="12781" width="2.7109375" style="158" customWidth="1"/>
    <col min="12782" max="12782" width="14.7109375" style="158" customWidth="1"/>
    <col min="12783" max="12783" width="6.28515625" style="158" customWidth="1"/>
    <col min="12784" max="12794" width="2.7109375" style="158" customWidth="1"/>
    <col min="12795" max="12795" width="25.42578125" style="158" customWidth="1"/>
    <col min="12796" max="12796" width="17.85546875" style="158" customWidth="1"/>
    <col min="12797" max="12797" width="15.85546875" style="158" customWidth="1"/>
    <col min="12798" max="12798" width="14.7109375" style="158" customWidth="1"/>
    <col min="12799" max="12799" width="15.85546875" style="158" customWidth="1"/>
    <col min="12800" max="12800" width="15" style="158" customWidth="1"/>
    <col min="12801" max="12801" width="18.140625" style="158" customWidth="1"/>
    <col min="12802" max="12802" width="22.42578125" style="158" customWidth="1"/>
    <col min="12803" max="12803" width="23.7109375" style="158" customWidth="1"/>
    <col min="12804" max="12804" width="14" style="158" customWidth="1"/>
    <col min="12805" max="12805" width="15" style="158" customWidth="1"/>
    <col min="12806" max="12806" width="21.28515625" style="158" customWidth="1"/>
    <col min="12807" max="12807" width="15.85546875" style="158" customWidth="1"/>
    <col min="12808" max="12808" width="18.28515625" style="158" customWidth="1"/>
    <col min="12809" max="12809" width="16.28515625" style="158" customWidth="1"/>
    <col min="12810" max="13014" width="11.42578125" style="158"/>
    <col min="13015" max="13026" width="2.7109375" style="158" customWidth="1"/>
    <col min="13027" max="13028" width="6.140625" style="158" customWidth="1"/>
    <col min="13029" max="13037" width="2.7109375" style="158" customWidth="1"/>
    <col min="13038" max="13038" width="14.7109375" style="158" customWidth="1"/>
    <col min="13039" max="13039" width="6.28515625" style="158" customWidth="1"/>
    <col min="13040" max="13050" width="2.7109375" style="158" customWidth="1"/>
    <col min="13051" max="13051" width="25.42578125" style="158" customWidth="1"/>
    <col min="13052" max="13052" width="17.85546875" style="158" customWidth="1"/>
    <col min="13053" max="13053" width="15.85546875" style="158" customWidth="1"/>
    <col min="13054" max="13054" width="14.7109375" style="158" customWidth="1"/>
    <col min="13055" max="13055" width="15.85546875" style="158" customWidth="1"/>
    <col min="13056" max="13056" width="15" style="158" customWidth="1"/>
    <col min="13057" max="13057" width="18.140625" style="158" customWidth="1"/>
    <col min="13058" max="13058" width="22.42578125" style="158" customWidth="1"/>
    <col min="13059" max="13059" width="23.7109375" style="158" customWidth="1"/>
    <col min="13060" max="13060" width="14" style="158" customWidth="1"/>
    <col min="13061" max="13061" width="15" style="158" customWidth="1"/>
    <col min="13062" max="13062" width="21.28515625" style="158" customWidth="1"/>
    <col min="13063" max="13063" width="15.85546875" style="158" customWidth="1"/>
    <col min="13064" max="13064" width="18.28515625" style="158" customWidth="1"/>
    <col min="13065" max="13065" width="16.28515625" style="158" customWidth="1"/>
    <col min="13066" max="13270" width="11.42578125" style="158"/>
    <col min="13271" max="13282" width="2.7109375" style="158" customWidth="1"/>
    <col min="13283" max="13284" width="6.140625" style="158" customWidth="1"/>
    <col min="13285" max="13293" width="2.7109375" style="158" customWidth="1"/>
    <col min="13294" max="13294" width="14.7109375" style="158" customWidth="1"/>
    <col min="13295" max="13295" width="6.28515625" style="158" customWidth="1"/>
    <col min="13296" max="13306" width="2.7109375" style="158" customWidth="1"/>
    <col min="13307" max="13307" width="25.42578125" style="158" customWidth="1"/>
    <col min="13308" max="13308" width="17.85546875" style="158" customWidth="1"/>
    <col min="13309" max="13309" width="15.85546875" style="158" customWidth="1"/>
    <col min="13310" max="13310" width="14.7109375" style="158" customWidth="1"/>
    <col min="13311" max="13311" width="15.85546875" style="158" customWidth="1"/>
    <col min="13312" max="13312" width="15" style="158" customWidth="1"/>
    <col min="13313" max="13313" width="18.140625" style="158" customWidth="1"/>
    <col min="13314" max="13314" width="22.42578125" style="158" customWidth="1"/>
    <col min="13315" max="13315" width="23.7109375" style="158" customWidth="1"/>
    <col min="13316" max="13316" width="14" style="158" customWidth="1"/>
    <col min="13317" max="13317" width="15" style="158" customWidth="1"/>
    <col min="13318" max="13318" width="21.28515625" style="158" customWidth="1"/>
    <col min="13319" max="13319" width="15.85546875" style="158" customWidth="1"/>
    <col min="13320" max="13320" width="18.28515625" style="158" customWidth="1"/>
    <col min="13321" max="13321" width="16.28515625" style="158" customWidth="1"/>
    <col min="13322" max="13526" width="11.42578125" style="158"/>
    <col min="13527" max="13538" width="2.7109375" style="158" customWidth="1"/>
    <col min="13539" max="13540" width="6.140625" style="158" customWidth="1"/>
    <col min="13541" max="13549" width="2.7109375" style="158" customWidth="1"/>
    <col min="13550" max="13550" width="14.7109375" style="158" customWidth="1"/>
    <col min="13551" max="13551" width="6.28515625" style="158" customWidth="1"/>
    <col min="13552" max="13562" width="2.7109375" style="158" customWidth="1"/>
    <col min="13563" max="13563" width="25.42578125" style="158" customWidth="1"/>
    <col min="13564" max="13564" width="17.85546875" style="158" customWidth="1"/>
    <col min="13565" max="13565" width="15.85546875" style="158" customWidth="1"/>
    <col min="13566" max="13566" width="14.7109375" style="158" customWidth="1"/>
    <col min="13567" max="13567" width="15.85546875" style="158" customWidth="1"/>
    <col min="13568" max="13568" width="15" style="158" customWidth="1"/>
    <col min="13569" max="13569" width="18.140625" style="158" customWidth="1"/>
    <col min="13570" max="13570" width="22.42578125" style="158" customWidth="1"/>
    <col min="13571" max="13571" width="23.7109375" style="158" customWidth="1"/>
    <col min="13572" max="13572" width="14" style="158" customWidth="1"/>
    <col min="13573" max="13573" width="15" style="158" customWidth="1"/>
    <col min="13574" max="13574" width="21.28515625" style="158" customWidth="1"/>
    <col min="13575" max="13575" width="15.85546875" style="158" customWidth="1"/>
    <col min="13576" max="13576" width="18.28515625" style="158" customWidth="1"/>
    <col min="13577" max="13577" width="16.28515625" style="158" customWidth="1"/>
    <col min="13578" max="13782" width="11.42578125" style="158"/>
    <col min="13783" max="13794" width="2.7109375" style="158" customWidth="1"/>
    <col min="13795" max="13796" width="6.140625" style="158" customWidth="1"/>
    <col min="13797" max="13805" width="2.7109375" style="158" customWidth="1"/>
    <col min="13806" max="13806" width="14.7109375" style="158" customWidth="1"/>
    <col min="13807" max="13807" width="6.28515625" style="158" customWidth="1"/>
    <col min="13808" max="13818" width="2.7109375" style="158" customWidth="1"/>
    <col min="13819" max="13819" width="25.42578125" style="158" customWidth="1"/>
    <col min="13820" max="13820" width="17.85546875" style="158" customWidth="1"/>
    <col min="13821" max="13821" width="15.85546875" style="158" customWidth="1"/>
    <col min="13822" max="13822" width="14.7109375" style="158" customWidth="1"/>
    <col min="13823" max="13823" width="15.85546875" style="158" customWidth="1"/>
    <col min="13824" max="13824" width="15" style="158" customWidth="1"/>
    <col min="13825" max="13825" width="18.140625" style="158" customWidth="1"/>
    <col min="13826" max="13826" width="22.42578125" style="158" customWidth="1"/>
    <col min="13827" max="13827" width="23.7109375" style="158" customWidth="1"/>
    <col min="13828" max="13828" width="14" style="158" customWidth="1"/>
    <col min="13829" max="13829" width="15" style="158" customWidth="1"/>
    <col min="13830" max="13830" width="21.28515625" style="158" customWidth="1"/>
    <col min="13831" max="13831" width="15.85546875" style="158" customWidth="1"/>
    <col min="13832" max="13832" width="18.28515625" style="158" customWidth="1"/>
    <col min="13833" max="13833" width="16.28515625" style="158" customWidth="1"/>
    <col min="13834" max="14038" width="11.42578125" style="158"/>
    <col min="14039" max="14050" width="2.7109375" style="158" customWidth="1"/>
    <col min="14051" max="14052" width="6.140625" style="158" customWidth="1"/>
    <col min="14053" max="14061" width="2.7109375" style="158" customWidth="1"/>
    <col min="14062" max="14062" width="14.7109375" style="158" customWidth="1"/>
    <col min="14063" max="14063" width="6.28515625" style="158" customWidth="1"/>
    <col min="14064" max="14074" width="2.7109375" style="158" customWidth="1"/>
    <col min="14075" max="14075" width="25.42578125" style="158" customWidth="1"/>
    <col min="14076" max="14076" width="17.85546875" style="158" customWidth="1"/>
    <col min="14077" max="14077" width="15.85546875" style="158" customWidth="1"/>
    <col min="14078" max="14078" width="14.7109375" style="158" customWidth="1"/>
    <col min="14079" max="14079" width="15.85546875" style="158" customWidth="1"/>
    <col min="14080" max="14080" width="15" style="158" customWidth="1"/>
    <col min="14081" max="14081" width="18.140625" style="158" customWidth="1"/>
    <col min="14082" max="14082" width="22.42578125" style="158" customWidth="1"/>
    <col min="14083" max="14083" width="23.7109375" style="158" customWidth="1"/>
    <col min="14084" max="14084" width="14" style="158" customWidth="1"/>
    <col min="14085" max="14085" width="15" style="158" customWidth="1"/>
    <col min="14086" max="14086" width="21.28515625" style="158" customWidth="1"/>
    <col min="14087" max="14087" width="15.85546875" style="158" customWidth="1"/>
    <col min="14088" max="14088" width="18.28515625" style="158" customWidth="1"/>
    <col min="14089" max="14089" width="16.28515625" style="158" customWidth="1"/>
    <col min="14090" max="14294" width="11.42578125" style="158"/>
    <col min="14295" max="14306" width="2.7109375" style="158" customWidth="1"/>
    <col min="14307" max="14308" width="6.140625" style="158" customWidth="1"/>
    <col min="14309" max="14317" width="2.7109375" style="158" customWidth="1"/>
    <col min="14318" max="14318" width="14.7109375" style="158" customWidth="1"/>
    <col min="14319" max="14319" width="6.28515625" style="158" customWidth="1"/>
    <col min="14320" max="14330" width="2.7109375" style="158" customWidth="1"/>
    <col min="14331" max="14331" width="25.42578125" style="158" customWidth="1"/>
    <col min="14332" max="14332" width="17.85546875" style="158" customWidth="1"/>
    <col min="14333" max="14333" width="15.85546875" style="158" customWidth="1"/>
    <col min="14334" max="14334" width="14.7109375" style="158" customWidth="1"/>
    <col min="14335" max="14335" width="15.85546875" style="158" customWidth="1"/>
    <col min="14336" max="14336" width="15" style="158" customWidth="1"/>
    <col min="14337" max="14337" width="18.140625" style="158" customWidth="1"/>
    <col min="14338" max="14338" width="22.42578125" style="158" customWidth="1"/>
    <col min="14339" max="14339" width="23.7109375" style="158" customWidth="1"/>
    <col min="14340" max="14340" width="14" style="158" customWidth="1"/>
    <col min="14341" max="14341" width="15" style="158" customWidth="1"/>
    <col min="14342" max="14342" width="21.28515625" style="158" customWidth="1"/>
    <col min="14343" max="14343" width="15.85546875" style="158" customWidth="1"/>
    <col min="14344" max="14344" width="18.28515625" style="158" customWidth="1"/>
    <col min="14345" max="14345" width="16.28515625" style="158" customWidth="1"/>
    <col min="14346" max="14550" width="11.42578125" style="158"/>
    <col min="14551" max="14562" width="2.7109375" style="158" customWidth="1"/>
    <col min="14563" max="14564" width="6.140625" style="158" customWidth="1"/>
    <col min="14565" max="14573" width="2.7109375" style="158" customWidth="1"/>
    <col min="14574" max="14574" width="14.7109375" style="158" customWidth="1"/>
    <col min="14575" max="14575" width="6.28515625" style="158" customWidth="1"/>
    <col min="14576" max="14586" width="2.7109375" style="158" customWidth="1"/>
    <col min="14587" max="14587" width="25.42578125" style="158" customWidth="1"/>
    <col min="14588" max="14588" width="17.85546875" style="158" customWidth="1"/>
    <col min="14589" max="14589" width="15.85546875" style="158" customWidth="1"/>
    <col min="14590" max="14590" width="14.7109375" style="158" customWidth="1"/>
    <col min="14591" max="14591" width="15.85546875" style="158" customWidth="1"/>
    <col min="14592" max="14592" width="15" style="158" customWidth="1"/>
    <col min="14593" max="14593" width="18.140625" style="158" customWidth="1"/>
    <col min="14594" max="14594" width="22.42578125" style="158" customWidth="1"/>
    <col min="14595" max="14595" width="23.7109375" style="158" customWidth="1"/>
    <col min="14596" max="14596" width="14" style="158" customWidth="1"/>
    <col min="14597" max="14597" width="15" style="158" customWidth="1"/>
    <col min="14598" max="14598" width="21.28515625" style="158" customWidth="1"/>
    <col min="14599" max="14599" width="15.85546875" style="158" customWidth="1"/>
    <col min="14600" max="14600" width="18.28515625" style="158" customWidth="1"/>
    <col min="14601" max="14601" width="16.28515625" style="158" customWidth="1"/>
    <col min="14602" max="14806" width="11.42578125" style="158"/>
    <col min="14807" max="14818" width="2.7109375" style="158" customWidth="1"/>
    <col min="14819" max="14820" width="6.140625" style="158" customWidth="1"/>
    <col min="14821" max="14829" width="2.7109375" style="158" customWidth="1"/>
    <col min="14830" max="14830" width="14.7109375" style="158" customWidth="1"/>
    <col min="14831" max="14831" width="6.28515625" style="158" customWidth="1"/>
    <col min="14832" max="14842" width="2.7109375" style="158" customWidth="1"/>
    <col min="14843" max="14843" width="25.42578125" style="158" customWidth="1"/>
    <col min="14844" max="14844" width="17.85546875" style="158" customWidth="1"/>
    <col min="14845" max="14845" width="15.85546875" style="158" customWidth="1"/>
    <col min="14846" max="14846" width="14.7109375" style="158" customWidth="1"/>
    <col min="14847" max="14847" width="15.85546875" style="158" customWidth="1"/>
    <col min="14848" max="14848" width="15" style="158" customWidth="1"/>
    <col min="14849" max="14849" width="18.140625" style="158" customWidth="1"/>
    <col min="14850" max="14850" width="22.42578125" style="158" customWidth="1"/>
    <col min="14851" max="14851" width="23.7109375" style="158" customWidth="1"/>
    <col min="14852" max="14852" width="14" style="158" customWidth="1"/>
    <col min="14853" max="14853" width="15" style="158" customWidth="1"/>
    <col min="14854" max="14854" width="21.28515625" style="158" customWidth="1"/>
    <col min="14855" max="14855" width="15.85546875" style="158" customWidth="1"/>
    <col min="14856" max="14856" width="18.28515625" style="158" customWidth="1"/>
    <col min="14857" max="14857" width="16.28515625" style="158" customWidth="1"/>
    <col min="14858" max="15062" width="11.42578125" style="158"/>
    <col min="15063" max="15074" width="2.7109375" style="158" customWidth="1"/>
    <col min="15075" max="15076" width="6.140625" style="158" customWidth="1"/>
    <col min="15077" max="15085" width="2.7109375" style="158" customWidth="1"/>
    <col min="15086" max="15086" width="14.7109375" style="158" customWidth="1"/>
    <col min="15087" max="15087" width="6.28515625" style="158" customWidth="1"/>
    <col min="15088" max="15098" width="2.7109375" style="158" customWidth="1"/>
    <col min="15099" max="15099" width="25.42578125" style="158" customWidth="1"/>
    <col min="15100" max="15100" width="17.85546875" style="158" customWidth="1"/>
    <col min="15101" max="15101" width="15.85546875" style="158" customWidth="1"/>
    <col min="15102" max="15102" width="14.7109375" style="158" customWidth="1"/>
    <col min="15103" max="15103" width="15.85546875" style="158" customWidth="1"/>
    <col min="15104" max="15104" width="15" style="158" customWidth="1"/>
    <col min="15105" max="15105" width="18.140625" style="158" customWidth="1"/>
    <col min="15106" max="15106" width="22.42578125" style="158" customWidth="1"/>
    <col min="15107" max="15107" width="23.7109375" style="158" customWidth="1"/>
    <col min="15108" max="15108" width="14" style="158" customWidth="1"/>
    <col min="15109" max="15109" width="15" style="158" customWidth="1"/>
    <col min="15110" max="15110" width="21.28515625" style="158" customWidth="1"/>
    <col min="15111" max="15111" width="15.85546875" style="158" customWidth="1"/>
    <col min="15112" max="15112" width="18.28515625" style="158" customWidth="1"/>
    <col min="15113" max="15113" width="16.28515625" style="158" customWidth="1"/>
    <col min="15114" max="15318" width="11.42578125" style="158"/>
    <col min="15319" max="15330" width="2.7109375" style="158" customWidth="1"/>
    <col min="15331" max="15332" width="6.140625" style="158" customWidth="1"/>
    <col min="15333" max="15341" width="2.7109375" style="158" customWidth="1"/>
    <col min="15342" max="15342" width="14.7109375" style="158" customWidth="1"/>
    <col min="15343" max="15343" width="6.28515625" style="158" customWidth="1"/>
    <col min="15344" max="15354" width="2.7109375" style="158" customWidth="1"/>
    <col min="15355" max="15355" width="25.42578125" style="158" customWidth="1"/>
    <col min="15356" max="15356" width="17.85546875" style="158" customWidth="1"/>
    <col min="15357" max="15357" width="15.85546875" style="158" customWidth="1"/>
    <col min="15358" max="15358" width="14.7109375" style="158" customWidth="1"/>
    <col min="15359" max="15359" width="15.85546875" style="158" customWidth="1"/>
    <col min="15360" max="15360" width="15" style="158" customWidth="1"/>
    <col min="15361" max="15361" width="18.140625" style="158" customWidth="1"/>
    <col min="15362" max="15362" width="22.42578125" style="158" customWidth="1"/>
    <col min="15363" max="15363" width="23.7109375" style="158" customWidth="1"/>
    <col min="15364" max="15364" width="14" style="158" customWidth="1"/>
    <col min="15365" max="15365" width="15" style="158" customWidth="1"/>
    <col min="15366" max="15366" width="21.28515625" style="158" customWidth="1"/>
    <col min="15367" max="15367" width="15.85546875" style="158" customWidth="1"/>
    <col min="15368" max="15368" width="18.28515625" style="158" customWidth="1"/>
    <col min="15369" max="15369" width="16.28515625" style="158" customWidth="1"/>
    <col min="15370" max="15574" width="11.42578125" style="158"/>
    <col min="15575" max="15586" width="2.7109375" style="158" customWidth="1"/>
    <col min="15587" max="15588" width="6.140625" style="158" customWidth="1"/>
    <col min="15589" max="15597" width="2.7109375" style="158" customWidth="1"/>
    <col min="15598" max="15598" width="14.7109375" style="158" customWidth="1"/>
    <col min="15599" max="15599" width="6.28515625" style="158" customWidth="1"/>
    <col min="15600" max="15610" width="2.7109375" style="158" customWidth="1"/>
    <col min="15611" max="15611" width="25.42578125" style="158" customWidth="1"/>
    <col min="15612" max="15612" width="17.85546875" style="158" customWidth="1"/>
    <col min="15613" max="15613" width="15.85546875" style="158" customWidth="1"/>
    <col min="15614" max="15614" width="14.7109375" style="158" customWidth="1"/>
    <col min="15615" max="15615" width="15.85546875" style="158" customWidth="1"/>
    <col min="15616" max="15616" width="15" style="158" customWidth="1"/>
    <col min="15617" max="15617" width="18.140625" style="158" customWidth="1"/>
    <col min="15618" max="15618" width="22.42578125" style="158" customWidth="1"/>
    <col min="15619" max="15619" width="23.7109375" style="158" customWidth="1"/>
    <col min="15620" max="15620" width="14" style="158" customWidth="1"/>
    <col min="15621" max="15621" width="15" style="158" customWidth="1"/>
    <col min="15622" max="15622" width="21.28515625" style="158" customWidth="1"/>
    <col min="15623" max="15623" width="15.85546875" style="158" customWidth="1"/>
    <col min="15624" max="15624" width="18.28515625" style="158" customWidth="1"/>
    <col min="15625" max="15625" width="16.28515625" style="158" customWidth="1"/>
    <col min="15626" max="15830" width="11.42578125" style="158"/>
    <col min="15831" max="15842" width="2.7109375" style="158" customWidth="1"/>
    <col min="15843" max="15844" width="6.140625" style="158" customWidth="1"/>
    <col min="15845" max="15853" width="2.7109375" style="158" customWidth="1"/>
    <col min="15854" max="15854" width="14.7109375" style="158" customWidth="1"/>
    <col min="15855" max="15855" width="6.28515625" style="158" customWidth="1"/>
    <col min="15856" max="15866" width="2.7109375" style="158" customWidth="1"/>
    <col min="15867" max="15867" width="25.42578125" style="158" customWidth="1"/>
    <col min="15868" max="15868" width="17.85546875" style="158" customWidth="1"/>
    <col min="15869" max="15869" width="15.85546875" style="158" customWidth="1"/>
    <col min="15870" max="15870" width="14.7109375" style="158" customWidth="1"/>
    <col min="15871" max="15871" width="15.85546875" style="158" customWidth="1"/>
    <col min="15872" max="15872" width="15" style="158" customWidth="1"/>
    <col min="15873" max="15873" width="18.140625" style="158" customWidth="1"/>
    <col min="15874" max="15874" width="22.42578125" style="158" customWidth="1"/>
    <col min="15875" max="15875" width="23.7109375" style="158" customWidth="1"/>
    <col min="15876" max="15876" width="14" style="158" customWidth="1"/>
    <col min="15877" max="15877" width="15" style="158" customWidth="1"/>
    <col min="15878" max="15878" width="21.28515625" style="158" customWidth="1"/>
    <col min="15879" max="15879" width="15.85546875" style="158" customWidth="1"/>
    <col min="15880" max="15880" width="18.28515625" style="158" customWidth="1"/>
    <col min="15881" max="15881" width="16.28515625" style="158" customWidth="1"/>
    <col min="15882" max="16086" width="11.42578125" style="158"/>
    <col min="16087" max="16098" width="2.7109375" style="158" customWidth="1"/>
    <col min="16099" max="16100" width="6.140625" style="158" customWidth="1"/>
    <col min="16101" max="16109" width="2.7109375" style="158" customWidth="1"/>
    <col min="16110" max="16110" width="14.7109375" style="158" customWidth="1"/>
    <col min="16111" max="16111" width="6.28515625" style="158" customWidth="1"/>
    <col min="16112" max="16122" width="2.7109375" style="158" customWidth="1"/>
    <col min="16123" max="16123" width="25.42578125" style="158" customWidth="1"/>
    <col min="16124" max="16124" width="17.85546875" style="158" customWidth="1"/>
    <col min="16125" max="16125" width="15.85546875" style="158" customWidth="1"/>
    <col min="16126" max="16126" width="14.7109375" style="158" customWidth="1"/>
    <col min="16127" max="16127" width="15.85546875" style="158" customWidth="1"/>
    <col min="16128" max="16128" width="15" style="158" customWidth="1"/>
    <col min="16129" max="16129" width="18.140625" style="158" customWidth="1"/>
    <col min="16130" max="16130" width="22.42578125" style="158" customWidth="1"/>
    <col min="16131" max="16131" width="23.7109375" style="158" customWidth="1"/>
    <col min="16132" max="16132" width="14" style="158" customWidth="1"/>
    <col min="16133" max="16133" width="15" style="158" customWidth="1"/>
    <col min="16134" max="16134" width="21.28515625" style="158" customWidth="1"/>
    <col min="16135" max="16135" width="15.85546875" style="158" customWidth="1"/>
    <col min="16136" max="16136" width="18.28515625" style="158" customWidth="1"/>
    <col min="16137" max="16137" width="16.28515625" style="158" customWidth="1"/>
    <col min="16138" max="16384" width="11.42578125" style="158"/>
  </cols>
  <sheetData>
    <row r="1" spans="1:22" s="1652" customFormat="1" ht="15" customHeight="1">
      <c r="A1" s="3474"/>
      <c r="B1" s="3433" t="s">
        <v>642</v>
      </c>
      <c r="C1" s="3434"/>
      <c r="D1" s="3434"/>
      <c r="E1" s="3434"/>
      <c r="F1" s="3434"/>
      <c r="G1" s="3434"/>
      <c r="H1" s="3435"/>
    </row>
    <row r="2" spans="1:22" s="1652" customFormat="1" ht="15" customHeight="1">
      <c r="A2" s="3666"/>
      <c r="B2" s="2247"/>
      <c r="C2" s="3668"/>
      <c r="D2" s="3668"/>
      <c r="E2" s="3668"/>
      <c r="F2" s="3668"/>
      <c r="G2" s="3668"/>
      <c r="H2" s="2249"/>
    </row>
    <row r="3" spans="1:22" s="1652" customFormat="1" ht="15" customHeight="1">
      <c r="A3" s="3666"/>
      <c r="B3" s="2250" t="s">
        <v>640</v>
      </c>
      <c r="C3" s="2251"/>
      <c r="D3" s="2251"/>
      <c r="E3" s="2251"/>
      <c r="F3" s="2252"/>
      <c r="G3" s="2250" t="s">
        <v>509</v>
      </c>
      <c r="H3" s="2252"/>
      <c r="L3" s="1745"/>
      <c r="M3" s="1745"/>
      <c r="N3" s="1745"/>
      <c r="O3" s="1745"/>
      <c r="P3" s="1745"/>
      <c r="Q3" s="1745"/>
      <c r="R3" s="1745"/>
      <c r="S3" s="1745"/>
      <c r="T3" s="1745"/>
      <c r="U3" s="1745"/>
      <c r="V3" s="1745"/>
    </row>
    <row r="4" spans="1:22" s="1652" customFormat="1" ht="15" customHeight="1">
      <c r="A4" s="3667"/>
      <c r="B4" s="2250" t="s">
        <v>862</v>
      </c>
      <c r="C4" s="2251"/>
      <c r="D4" s="2251"/>
      <c r="E4" s="2251"/>
      <c r="F4" s="2251"/>
      <c r="G4" s="2251"/>
      <c r="H4" s="2252"/>
    </row>
    <row r="5" spans="1:22" s="1652" customFormat="1" ht="12" customHeight="1">
      <c r="A5" s="23"/>
      <c r="B5" s="16"/>
      <c r="C5" s="16"/>
      <c r="D5" s="16"/>
      <c r="E5" s="16"/>
      <c r="F5" s="252"/>
      <c r="G5" s="252"/>
      <c r="H5" s="1746"/>
      <c r="I5" s="1747" t="s">
        <v>314</v>
      </c>
    </row>
    <row r="6" spans="1:22" s="1652" customFormat="1" ht="12" customHeight="1">
      <c r="A6" s="23"/>
      <c r="B6" s="16"/>
      <c r="C6" s="1195"/>
      <c r="D6" s="16"/>
      <c r="E6" s="1047" t="s">
        <v>9</v>
      </c>
      <c r="F6" s="2195" t="str">
        <f>+IF('1. Encabezado'!T7="","",'1. Encabezado'!T7)</f>
        <v/>
      </c>
      <c r="G6" s="2195"/>
      <c r="H6" s="24"/>
      <c r="I6" s="1049" t="s">
        <v>315</v>
      </c>
    </row>
    <row r="7" spans="1:22" s="1652" customFormat="1" ht="12" customHeight="1">
      <c r="A7" s="23"/>
      <c r="B7" s="327"/>
      <c r="C7" s="479"/>
      <c r="D7" s="1197"/>
      <c r="F7" s="2222" t="str">
        <f>IF(F6="",I10,CONCATENATE(I6," ",I7," ",I8," ", I9))</f>
        <v>Pagina xx de xx</v>
      </c>
      <c r="G7" s="2222"/>
      <c r="H7" s="24"/>
      <c r="I7" s="1198">
        <v>17</v>
      </c>
    </row>
    <row r="8" spans="1:22" s="1652" customFormat="1" ht="12" customHeight="1">
      <c r="A8" s="213"/>
      <c r="B8" s="1199"/>
      <c r="C8" s="1199"/>
      <c r="D8" s="1199"/>
      <c r="E8" s="1199"/>
      <c r="F8" s="257"/>
      <c r="G8" s="256"/>
      <c r="H8" s="24"/>
      <c r="I8" s="1636" t="s">
        <v>316</v>
      </c>
    </row>
    <row r="9" spans="1:22" s="1652" customFormat="1" ht="12.95" customHeight="1">
      <c r="A9" s="3674" t="s">
        <v>783</v>
      </c>
      <c r="B9" s="3675"/>
      <c r="C9" s="3675"/>
      <c r="D9" s="3675"/>
      <c r="E9" s="3675"/>
      <c r="F9" s="1583">
        <f>+' CBR 1'!B12</f>
        <v>56</v>
      </c>
      <c r="G9" s="1651">
        <f>+' CBR 1'!D12</f>
        <v>25</v>
      </c>
      <c r="H9" s="1583">
        <f>+' CBR 1'!F12</f>
        <v>10</v>
      </c>
      <c r="I9" s="1200">
        <f>IF('1. Encabezado'!AB10="","",'1. Encabezado'!AB10)</f>
        <v>17</v>
      </c>
    </row>
    <row r="10" spans="1:22" s="1652" customFormat="1" ht="12.95" customHeight="1">
      <c r="A10" s="3676" t="s">
        <v>779</v>
      </c>
      <c r="B10" s="3677"/>
      <c r="C10" s="3677"/>
      <c r="D10" s="1550"/>
      <c r="E10" s="1552" t="s">
        <v>70</v>
      </c>
      <c r="F10" s="1551" t="str">
        <f>+IF(' CBR 1'!W2="","",' CBR 1'!W2)</f>
        <v/>
      </c>
      <c r="G10" s="1551" t="str">
        <f>IF(' CBR 1'!AB2="","",' CBR 1'!AB2)</f>
        <v/>
      </c>
      <c r="H10" s="1551" t="str">
        <f>+IF(' CBR 1'!AG2="","",' CBR 1'!AG2)</f>
        <v/>
      </c>
      <c r="I10" s="1669" t="s">
        <v>317</v>
      </c>
    </row>
    <row r="11" spans="1:22" s="1652" customFormat="1" ht="12.95" customHeight="1">
      <c r="A11" s="3669" t="s">
        <v>112</v>
      </c>
      <c r="B11" s="3670"/>
      <c r="C11" s="3670"/>
      <c r="D11" s="233"/>
      <c r="E11" s="1568" t="s">
        <v>807</v>
      </c>
      <c r="F11" s="251" t="str">
        <f>IF(' CBR 1'!AR3="","",' CBR 1'!AR3/1000)</f>
        <v/>
      </c>
      <c r="G11" s="234" t="str">
        <f>IF(' CBR 1'!AS3="","",' CBR 1'!AS3/1000)</f>
        <v/>
      </c>
      <c r="H11" s="251" t="str">
        <f>IF(' CBR 1'!AT3="","",' CBR 1'!AT3/1000)</f>
        <v/>
      </c>
    </row>
    <row r="12" spans="1:22" s="1652" customFormat="1" ht="12.95" customHeight="1">
      <c r="A12" s="3669" t="s">
        <v>103</v>
      </c>
      <c r="B12" s="3670"/>
      <c r="C12" s="3670"/>
      <c r="D12" s="233"/>
      <c r="E12" s="1572" t="s">
        <v>104</v>
      </c>
      <c r="F12" s="1584" t="str">
        <f>IF(' CBR 1'!W5="","",' CBR 1'!W5)</f>
        <v/>
      </c>
      <c r="G12" s="1566" t="str">
        <f>IF(' CBR 1'!AB5="","",' CBR 1'!AB5)</f>
        <v/>
      </c>
      <c r="H12" s="1565" t="str">
        <f>IF(' CBR 1'!AG5="","",' CBR 1'!AG5)</f>
        <v/>
      </c>
    </row>
    <row r="13" spans="1:22" s="1652" customFormat="1" ht="12.95" customHeight="1">
      <c r="A13" s="3671" t="s">
        <v>643</v>
      </c>
      <c r="B13" s="3672"/>
      <c r="C13" s="3672"/>
      <c r="D13" s="3672"/>
      <c r="E13" s="3672"/>
      <c r="F13" s="3672"/>
      <c r="G13" s="3672"/>
      <c r="H13" s="3673"/>
    </row>
    <row r="14" spans="1:22" s="1652" customFormat="1" ht="12.95" customHeight="1">
      <c r="A14" s="2583" t="s">
        <v>780</v>
      </c>
      <c r="B14" s="2584"/>
      <c r="C14" s="2584"/>
      <c r="D14" s="235"/>
      <c r="E14" s="1570" t="s">
        <v>807</v>
      </c>
      <c r="F14" s="1573" t="str">
        <f>IF(' CBR 1'!AR9="","",' CBR 1'!AR9/1000)</f>
        <v/>
      </c>
      <c r="G14" s="1574" t="str">
        <f>IF(' CBR 1'!AS9="","",' CBR 1'!AS9/1000)</f>
        <v/>
      </c>
      <c r="H14" s="1575" t="str">
        <f>IF(' CBR 1'!AT9="","",' CBR 1'!AT9/1000)</f>
        <v/>
      </c>
      <c r="I14" s="3686" t="e">
        <f>IF(OR(F17&lt;' CBR 1'!$AX$34,F17&gt;' CBR 1'!$AY$34,G17&lt;' CBR 1'!$AX$34,G17&gt;' CBR 1'!$AY$34,H17&lt;' CBR 1'!$AX$34,H17&gt;' CBR 1'!$AY$34),"La humedad NO esta ±0,5°C de la humedad optima del proctor","")</f>
        <v>#VALUE!</v>
      </c>
    </row>
    <row r="15" spans="1:22" s="1652" customFormat="1" ht="12.95" customHeight="1">
      <c r="A15" s="3669" t="s">
        <v>778</v>
      </c>
      <c r="B15" s="3670"/>
      <c r="C15" s="3670"/>
      <c r="D15" s="233"/>
      <c r="E15" s="1571" t="s">
        <v>807</v>
      </c>
      <c r="F15" s="1576" t="str">
        <f>IF(' CBR 1'!AR10="","",' CBR 1'!AR10/1000)</f>
        <v/>
      </c>
      <c r="G15" s="1577" t="str">
        <f>IF(' CBR 1'!AS10="","",' CBR 1'!AS10/1000)</f>
        <v/>
      </c>
      <c r="H15" s="1578" t="str">
        <f>IF(' CBR 1'!AT10="","",' CBR 1'!AT10/1000)</f>
        <v/>
      </c>
      <c r="I15" s="3686"/>
    </row>
    <row r="16" spans="1:22" s="1652" customFormat="1" ht="12.95" customHeight="1">
      <c r="A16" s="3669" t="s">
        <v>538</v>
      </c>
      <c r="B16" s="3670"/>
      <c r="C16" s="3670"/>
      <c r="D16" s="233"/>
      <c r="E16" s="1571" t="s">
        <v>807</v>
      </c>
      <c r="F16" s="1576" t="str">
        <f>IF(' CBR 1'!AR12="","",' CBR 1'!AR12/1000)</f>
        <v/>
      </c>
      <c r="G16" s="1577" t="str">
        <f>IF(' CBR 1'!AS12="","",' CBR 1'!AS12/1000)</f>
        <v/>
      </c>
      <c r="H16" s="1578" t="str">
        <f>IF(' CBR 1'!AT12="","",' CBR 1'!AT12/1000)</f>
        <v/>
      </c>
      <c r="I16" s="3686"/>
    </row>
    <row r="17" spans="1:15" s="1652" customFormat="1" ht="12.95" customHeight="1">
      <c r="A17" s="3678" t="s">
        <v>781</v>
      </c>
      <c r="B17" s="2574"/>
      <c r="C17" s="2574"/>
      <c r="D17" s="11"/>
      <c r="E17" s="141" t="s">
        <v>62</v>
      </c>
      <c r="F17" s="1579" t="str">
        <f>IF(' CBR 1'!AR14="","",' CBR 1'!AR14)</f>
        <v/>
      </c>
      <c r="G17" s="1580" t="str">
        <f>IF(' CBR 1'!AS14="","",' CBR 1'!AS14)</f>
        <v/>
      </c>
      <c r="H17" s="1581" t="str">
        <f>IF(' CBR 1'!AT14="","",' CBR 1'!AT14)</f>
        <v/>
      </c>
      <c r="I17" s="3686"/>
    </row>
    <row r="18" spans="1:15" s="1652" customFormat="1" ht="12.95" customHeight="1">
      <c r="A18" s="3671" t="s">
        <v>782</v>
      </c>
      <c r="B18" s="3672"/>
      <c r="C18" s="3672"/>
      <c r="D18" s="3672"/>
      <c r="E18" s="3672"/>
      <c r="F18" s="3672"/>
      <c r="G18" s="3672"/>
      <c r="H18" s="3673"/>
    </row>
    <row r="19" spans="1:15" s="1652" customFormat="1" ht="12.95" customHeight="1">
      <c r="A19" s="2583" t="s">
        <v>780</v>
      </c>
      <c r="B19" s="2584"/>
      <c r="C19" s="2584"/>
      <c r="D19" s="235"/>
      <c r="E19" s="1570" t="s">
        <v>807</v>
      </c>
      <c r="F19" s="1573" t="str">
        <f>IF(' CBR 1'!W37="","",' CBR 1'!W37/1000)</f>
        <v/>
      </c>
      <c r="G19" s="1574" t="str">
        <f>IF(' CBR 1'!AB37="","",' CBR 1'!AB37/1000)</f>
        <v/>
      </c>
      <c r="H19" s="1575" t="str">
        <f>+IF(' CBR 1'!AG37="","",' CBR 1'!AG37/1000)</f>
        <v/>
      </c>
    </row>
    <row r="20" spans="1:15" ht="12.95" customHeight="1">
      <c r="A20" s="3669" t="s">
        <v>778</v>
      </c>
      <c r="B20" s="3670"/>
      <c r="C20" s="3670"/>
      <c r="D20" s="233"/>
      <c r="E20" s="1571" t="s">
        <v>807</v>
      </c>
      <c r="F20" s="1576" t="str">
        <f>IF(' CBR 1'!W38="","",' CBR 1'!W38/1000)</f>
        <v/>
      </c>
      <c r="G20" s="1577" t="str">
        <f>IF(' CBR 1'!AB38="","",' CBR 1'!AB38/1000)</f>
        <v/>
      </c>
      <c r="H20" s="1578" t="str">
        <f>+IF(' CBR 1'!AG38="","",' CBR 1'!AG38/1000)</f>
        <v/>
      </c>
    </row>
    <row r="21" spans="1:15" s="1285" customFormat="1" ht="12.95" customHeight="1">
      <c r="A21" s="3669" t="s">
        <v>538</v>
      </c>
      <c r="B21" s="3670"/>
      <c r="C21" s="3670"/>
      <c r="D21" s="233"/>
      <c r="E21" s="1571" t="s">
        <v>807</v>
      </c>
      <c r="F21" s="1576" t="str">
        <f>IF(' CBR 1'!W39="","",' CBR 1'!W39/1000)</f>
        <v/>
      </c>
      <c r="G21" s="1577" t="str">
        <f>+IF(' CBR 1'!AB39="","",' CBR 1'!AB39/1000)</f>
        <v/>
      </c>
      <c r="H21" s="1578" t="str">
        <f>+IF(' CBR 1'!AG39="","",' CBR 1'!AG39/1000)</f>
        <v/>
      </c>
      <c r="I21" s="1748"/>
    </row>
    <row r="22" spans="1:15" s="1436" customFormat="1" ht="12.95" customHeight="1">
      <c r="A22" s="3678" t="s">
        <v>781</v>
      </c>
      <c r="B22" s="2574"/>
      <c r="C22" s="2574"/>
      <c r="D22" s="11"/>
      <c r="E22" s="141" t="s">
        <v>62</v>
      </c>
      <c r="F22" s="1579" t="str">
        <f>IF(' CBR 1'!W37="","",100*(' CBR 1'!W37-' CBR 1'!W38)/(' CBR 1'!W38-' CBR 1'!W39))</f>
        <v/>
      </c>
      <c r="G22" s="1580" t="str">
        <f>IF(' CBR 1'!AB37="","",100*(' CBR 1'!AB37-' CBR 1'!AB38)/(' CBR 1'!AB38-' CBR 1'!AB39))</f>
        <v/>
      </c>
      <c r="H22" s="1581" t="str">
        <f>IF(' CBR 1'!AG37="","",100*(' CBR 1'!AG37-' CBR 1'!AG38)/(' CBR 1'!AG38-' CBR 1'!AG39))</f>
        <v/>
      </c>
      <c r="I22" s="1553"/>
      <c r="J22" s="1749"/>
      <c r="K22" s="1554"/>
      <c r="L22" s="1749"/>
      <c r="M22" s="1554"/>
      <c r="N22" s="1749"/>
      <c r="O22" s="1554"/>
    </row>
    <row r="23" spans="1:15" ht="12.95" customHeight="1">
      <c r="A23" s="2558" t="str">
        <f>+' CBR 1'!AM15</f>
        <v>DENSIDADES Y PESOS UNITARIOS</v>
      </c>
      <c r="B23" s="2559"/>
      <c r="C23" s="2559"/>
      <c r="D23" s="2559"/>
      <c r="E23" s="2559"/>
      <c r="F23" s="2559"/>
      <c r="G23" s="2559"/>
      <c r="H23" s="2560"/>
      <c r="I23" s="158"/>
    </row>
    <row r="24" spans="1:15" ht="12.95" customHeight="1">
      <c r="A24" s="3701" t="s">
        <v>787</v>
      </c>
      <c r="B24" s="3702"/>
      <c r="C24" s="3702"/>
      <c r="D24" s="3702"/>
      <c r="E24" s="1568" t="s">
        <v>807</v>
      </c>
      <c r="F24" s="1582" t="str">
        <f>IF(' CBR 1'!AR2="","",(' CBR 1'!AR2/1000))</f>
        <v/>
      </c>
      <c r="G24" s="1577" t="str">
        <f>IF(' CBR 1'!AS2="","",' CBR 1'!AS2/1000)</f>
        <v/>
      </c>
      <c r="H24" s="1582" t="str">
        <f>IF(' CBR 1'!AT2="","",' CBR 1'!AT2/1000)</f>
        <v/>
      </c>
      <c r="I24" s="158"/>
    </row>
    <row r="25" spans="1:15" ht="12.95" customHeight="1">
      <c r="A25" s="3703" t="s">
        <v>788</v>
      </c>
      <c r="B25" s="3704"/>
      <c r="C25" s="3704"/>
      <c r="D25" s="3704"/>
      <c r="E25" s="1569" t="s">
        <v>106</v>
      </c>
      <c r="F25" s="236" t="str">
        <f>IF(' CBR 1'!AR7="","",' CBR 1'!AR7)</f>
        <v/>
      </c>
      <c r="G25" s="237" t="str">
        <f>IF(' CBR 1'!AS7="","",' CBR 1'!AS7)</f>
        <v/>
      </c>
      <c r="H25" s="1567" t="str">
        <f>IF(' CBR 1'!AT7="","",' CBR 1'!AT7)</f>
        <v/>
      </c>
      <c r="I25" s="158"/>
    </row>
    <row r="26" spans="1:15" ht="12.95" customHeight="1">
      <c r="A26" s="3697" t="s">
        <v>789</v>
      </c>
      <c r="B26" s="3698"/>
      <c r="C26" s="3698"/>
      <c r="D26" s="3698"/>
      <c r="E26" s="1569" t="s">
        <v>106</v>
      </c>
      <c r="F26" s="1759" t="e">
        <f>IF(' CBR 1'!AR16="","",' CBR 1'!AR16)</f>
        <v>#VALUE!</v>
      </c>
      <c r="G26" s="1760" t="e">
        <f>IF(' CBR 1'!AS16="","",' CBR 1'!AS16)</f>
        <v>#VALUE!</v>
      </c>
      <c r="H26" s="1761" t="e">
        <f>IF(' CBR 1'!AT16="","",' CBR 1'!AT16)</f>
        <v>#VALUE!</v>
      </c>
      <c r="I26" s="158"/>
    </row>
    <row r="27" spans="1:15" ht="12.95" customHeight="1">
      <c r="A27" s="3699" t="str">
        <f>+' CBR 1'!AM17</f>
        <v>Peso unitario seco</v>
      </c>
      <c r="B27" s="3700"/>
      <c r="C27" s="3700"/>
      <c r="D27" s="3700"/>
      <c r="E27" s="1569" t="str">
        <f>+' CBR 1'!AQ17</f>
        <v>kN/m³</v>
      </c>
      <c r="F27" s="1759" t="e">
        <f>IF(' CBR 1'!AR17="","",' CBR 1'!AR17)</f>
        <v>#VALUE!</v>
      </c>
      <c r="G27" s="1759" t="e">
        <f>+IF(' CBR 1'!AS17="","",' CBR 1'!AS17)</f>
        <v>#VALUE!</v>
      </c>
      <c r="H27" s="1759" t="e">
        <f>+IF(' CBR 1'!AT17="","",' CBR 1'!AT17)</f>
        <v>#VALUE!</v>
      </c>
      <c r="I27" s="158"/>
    </row>
    <row r="28" spans="1:15" ht="12.95" customHeight="1">
      <c r="A28" s="3690"/>
      <c r="B28" s="3691"/>
      <c r="C28" s="3691"/>
      <c r="D28" s="3691"/>
      <c r="E28" s="1569" t="str">
        <f>+' CBR 1'!AQ18</f>
        <v>lb/ft³</v>
      </c>
      <c r="F28" s="1759" t="e">
        <f>IF(' CBR 1'!AR18="","",' CBR 1'!AR18)</f>
        <v>#VALUE!</v>
      </c>
      <c r="G28" s="1760" t="e">
        <f>IF(' CBR 1'!AS18="","",' CBR 1'!AS18)</f>
        <v>#VALUE!</v>
      </c>
      <c r="H28" s="1761" t="e">
        <f>IF(' CBR 1'!AT18="","",' CBR 1'!AT18)</f>
        <v>#VALUE!</v>
      </c>
      <c r="I28" s="158"/>
    </row>
    <row r="29" spans="1:15" ht="15">
      <c r="A29" s="2589" t="s">
        <v>809</v>
      </c>
      <c r="B29" s="2590"/>
      <c r="C29" s="2590"/>
      <c r="D29" s="1597"/>
      <c r="E29" s="1598" t="s">
        <v>62</v>
      </c>
      <c r="F29" s="1762">
        <f>IF(' CBR 1'!AR22="","",' CBR 1'!AR22)</f>
        <v>0</v>
      </c>
      <c r="G29" s="1763">
        <f>IF(' CBR 1'!AS22="","",' CBR 1'!AS22)</f>
        <v>0</v>
      </c>
      <c r="H29" s="1764">
        <f>IF(' CBR 1'!AT22="","",' CBR 1'!AT22)</f>
        <v>0</v>
      </c>
      <c r="I29" s="158"/>
      <c r="J29" s="1737"/>
      <c r="K29" s="1737"/>
      <c r="L29" s="1737"/>
    </row>
    <row r="30" spans="1:15" ht="15" customHeight="1">
      <c r="A30" s="3688" t="s">
        <v>821</v>
      </c>
      <c r="B30" s="3689"/>
      <c r="C30" s="3689"/>
      <c r="D30" s="3689"/>
      <c r="E30" s="1638" t="s">
        <v>62</v>
      </c>
      <c r="F30" s="1611">
        <f>IF(' CBR 1'!AM27="","",' CBR 1'!AM27)</f>
        <v>100</v>
      </c>
      <c r="G30" s="1611">
        <f>IF(' CBR 1'!AM28="","",' CBR 1'!AM28)</f>
        <v>98</v>
      </c>
      <c r="H30" s="1612">
        <f>IF(' CBR 1'!AM29="","",' CBR 1'!AM29)</f>
        <v>95</v>
      </c>
      <c r="I30" s="3687" t="e">
        <f>IF(' CBR 1'!AR35&lt;=0.95,"El grado de el polinomio no corresponde, revisar con el auxiliar de acreditación","")</f>
        <v>#VALUE!</v>
      </c>
      <c r="J30" s="1750"/>
      <c r="K30" s="1743"/>
      <c r="L30" s="1737"/>
    </row>
    <row r="31" spans="1:15" ht="15">
      <c r="A31" s="3690" t="s">
        <v>122</v>
      </c>
      <c r="B31" s="3691"/>
      <c r="C31" s="3691"/>
      <c r="D31" s="3691"/>
      <c r="E31" s="1608" t="s">
        <v>861</v>
      </c>
      <c r="F31" s="1639" t="str">
        <f>IF(' CBR 1'!AN27="","",' CBR 1'!AN27)</f>
        <v/>
      </c>
      <c r="G31" s="1609" t="str">
        <f>IF(' CBR 1'!AN28="","",' CBR 1'!AN28)</f>
        <v/>
      </c>
      <c r="H31" s="1610" t="str">
        <f>IF(' CBR 1'!AN29="","",' CBR 1'!AN29)</f>
        <v/>
      </c>
      <c r="I31" s="3687"/>
      <c r="J31" s="1750"/>
      <c r="K31" s="1743"/>
      <c r="L31" s="1737"/>
    </row>
    <row r="32" spans="1:15" ht="15">
      <c r="A32" s="3692" t="s">
        <v>123</v>
      </c>
      <c r="B32" s="3693"/>
      <c r="C32" s="3693"/>
      <c r="D32" s="3693"/>
      <c r="E32" s="1607" t="s">
        <v>62</v>
      </c>
      <c r="F32" s="1613" t="str">
        <f>IF(' CBR 1'!AP27="","",' CBR 1'!AP27)</f>
        <v/>
      </c>
      <c r="G32" s="1614" t="str">
        <f>IF(' CBR 1'!AP28="","",' CBR 1'!AP28)</f>
        <v/>
      </c>
      <c r="H32" s="1615" t="str">
        <f>IF(' CBR 1'!AP29="","",' CBR 1'!AP29)</f>
        <v/>
      </c>
      <c r="I32" s="3687"/>
      <c r="J32" s="1750"/>
      <c r="K32" s="1743"/>
      <c r="L32" s="1737"/>
    </row>
    <row r="33" spans="1:14" ht="15">
      <c r="A33" s="2483"/>
      <c r="B33" s="3694"/>
      <c r="C33" s="3694"/>
      <c r="D33" s="3695"/>
      <c r="E33" s="1751"/>
      <c r="F33" s="1751"/>
      <c r="G33" s="1751"/>
      <c r="H33" s="1752"/>
      <c r="I33" s="3687"/>
      <c r="J33" s="1750"/>
      <c r="K33" s="1743"/>
      <c r="L33" s="1737"/>
    </row>
    <row r="34" spans="1:14" ht="15">
      <c r="A34" s="2486"/>
      <c r="B34" s="2487"/>
      <c r="C34" s="2487"/>
      <c r="D34" s="2488"/>
      <c r="E34" s="1751"/>
      <c r="F34" s="1751"/>
      <c r="G34" s="1751"/>
      <c r="H34" s="1752"/>
      <c r="I34" s="158"/>
      <c r="J34" s="1737"/>
      <c r="K34" s="1737"/>
      <c r="L34" s="1737"/>
    </row>
    <row r="35" spans="1:14" ht="15">
      <c r="A35" s="2486"/>
      <c r="B35" s="2487"/>
      <c r="C35" s="2487"/>
      <c r="D35" s="2488"/>
      <c r="E35" s="1751"/>
      <c r="F35" s="1751"/>
      <c r="G35" s="1751"/>
      <c r="H35" s="1752"/>
      <c r="I35" s="158"/>
      <c r="J35" s="1737"/>
      <c r="K35" s="1737"/>
      <c r="L35" s="1737"/>
    </row>
    <row r="36" spans="1:14" ht="15">
      <c r="A36" s="2486"/>
      <c r="B36" s="2487"/>
      <c r="C36" s="2487"/>
      <c r="D36" s="2488"/>
      <c r="E36" s="1751"/>
      <c r="F36" s="1751"/>
      <c r="G36" s="1751"/>
      <c r="H36" s="1752"/>
      <c r="I36" s="158"/>
      <c r="J36" s="1753"/>
      <c r="K36" s="1753"/>
      <c r="L36" s="1753"/>
      <c r="M36" s="1"/>
      <c r="N36" s="1"/>
    </row>
    <row r="37" spans="1:14" ht="15">
      <c r="A37" s="2486"/>
      <c r="B37" s="2487"/>
      <c r="C37" s="2487"/>
      <c r="D37" s="2488"/>
      <c r="E37" s="1751"/>
      <c r="F37" s="1751"/>
      <c r="G37" s="1751"/>
      <c r="H37" s="1752"/>
      <c r="I37" s="1596"/>
      <c r="J37" s="1737"/>
      <c r="K37" s="1737"/>
      <c r="L37" s="1737"/>
    </row>
    <row r="38" spans="1:14" s="1717" customFormat="1" ht="15">
      <c r="A38" s="2486"/>
      <c r="B38" s="2487"/>
      <c r="C38" s="2487"/>
      <c r="D38" s="2488"/>
      <c r="E38" s="1751"/>
      <c r="F38" s="1751"/>
      <c r="G38" s="1751"/>
      <c r="H38" s="1752"/>
      <c r="I38" s="1596"/>
      <c r="J38" s="1737"/>
      <c r="K38" s="1737"/>
      <c r="L38" s="1737"/>
      <c r="M38" s="1606"/>
    </row>
    <row r="39" spans="1:14" ht="15">
      <c r="A39" s="2486"/>
      <c r="B39" s="2487"/>
      <c r="C39" s="2487"/>
      <c r="D39" s="2488"/>
      <c r="E39" s="1751"/>
      <c r="F39" s="1751"/>
      <c r="G39" s="1751"/>
      <c r="H39" s="1752"/>
      <c r="I39" s="1"/>
      <c r="J39" s="1737"/>
      <c r="K39" s="1737"/>
      <c r="L39" s="1737"/>
      <c r="M39" s="1606"/>
    </row>
    <row r="40" spans="1:14" ht="15">
      <c r="A40" s="2486"/>
      <c r="B40" s="2487"/>
      <c r="C40" s="2487"/>
      <c r="D40" s="2488"/>
      <c r="E40" s="1751"/>
      <c r="F40" s="1751"/>
      <c r="G40" s="1751"/>
      <c r="H40" s="1752"/>
      <c r="I40" s="158"/>
      <c r="J40" s="1737"/>
      <c r="K40" s="1737"/>
      <c r="L40" s="1737"/>
      <c r="M40" s="1202"/>
    </row>
    <row r="41" spans="1:14" ht="15">
      <c r="A41" s="2486"/>
      <c r="B41" s="2487"/>
      <c r="C41" s="2487"/>
      <c r="D41" s="2488"/>
      <c r="E41" s="1751"/>
      <c r="F41" s="1751"/>
      <c r="G41" s="1751"/>
      <c r="H41" s="1752"/>
      <c r="I41" s="158"/>
      <c r="J41" s="1737"/>
      <c r="K41" s="1737"/>
      <c r="L41" s="1737"/>
      <c r="M41" s="1"/>
    </row>
    <row r="42" spans="1:14" ht="15">
      <c r="A42" s="2486"/>
      <c r="B42" s="2487"/>
      <c r="C42" s="2487"/>
      <c r="D42" s="2488"/>
      <c r="E42" s="1751"/>
      <c r="F42" s="1751"/>
      <c r="G42" s="1751"/>
      <c r="H42" s="1752"/>
      <c r="I42" s="158"/>
      <c r="J42" s="1737"/>
      <c r="K42" s="1737"/>
      <c r="L42" s="1737"/>
      <c r="M42" s="1"/>
    </row>
    <row r="43" spans="1:14" ht="15">
      <c r="A43" s="2486"/>
      <c r="B43" s="2487"/>
      <c r="C43" s="2487"/>
      <c r="D43" s="2488"/>
      <c r="E43" s="1751"/>
      <c r="F43" s="1751"/>
      <c r="G43" s="1751"/>
      <c r="H43" s="1752"/>
      <c r="I43" s="158"/>
      <c r="J43" s="1737"/>
      <c r="K43" s="1737"/>
      <c r="L43" s="1737"/>
      <c r="M43" s="1"/>
    </row>
    <row r="44" spans="1:14" ht="15">
      <c r="A44" s="2486"/>
      <c r="B44" s="2487"/>
      <c r="C44" s="2487"/>
      <c r="D44" s="2488"/>
      <c r="E44" s="1751"/>
      <c r="F44" s="1751"/>
      <c r="G44" s="1751"/>
      <c r="H44" s="1752"/>
      <c r="I44" s="158"/>
      <c r="J44" s="1737"/>
      <c r="K44" s="1737"/>
      <c r="L44" s="1737"/>
    </row>
    <row r="45" spans="1:14" ht="15">
      <c r="A45" s="2486"/>
      <c r="B45" s="2487"/>
      <c r="C45" s="2487"/>
      <c r="D45" s="2488"/>
      <c r="E45" s="1751"/>
      <c r="F45" s="1751"/>
      <c r="G45" s="1751"/>
      <c r="H45" s="1752"/>
      <c r="I45" s="158"/>
      <c r="J45" s="1737"/>
      <c r="K45" s="1737"/>
      <c r="L45" s="1737"/>
    </row>
    <row r="46" spans="1:14" ht="15">
      <c r="A46" s="2486"/>
      <c r="B46" s="2487"/>
      <c r="C46" s="2487"/>
      <c r="D46" s="2488"/>
      <c r="E46" s="1751"/>
      <c r="F46" s="1751"/>
      <c r="G46" s="1751"/>
      <c r="H46" s="1752"/>
      <c r="I46" s="158"/>
      <c r="J46" s="1737"/>
      <c r="K46" s="1737"/>
      <c r="L46" s="1737"/>
    </row>
    <row r="47" spans="1:14" ht="15" customHeight="1">
      <c r="A47" s="2489"/>
      <c r="B47" s="3696"/>
      <c r="C47" s="3696"/>
      <c r="D47" s="2491"/>
      <c r="E47" s="1754"/>
      <c r="F47" s="1754"/>
      <c r="G47" s="1754"/>
      <c r="H47" s="1755"/>
      <c r="I47" s="158"/>
    </row>
    <row r="48" spans="1:14" ht="12" customHeight="1">
      <c r="A48" s="1756"/>
      <c r="B48" s="208"/>
      <c r="C48" s="208"/>
      <c r="D48" s="208"/>
      <c r="E48" s="208"/>
      <c r="F48" s="208"/>
      <c r="G48" s="208"/>
      <c r="H48" s="214"/>
      <c r="I48" s="158"/>
    </row>
    <row r="49" spans="1:9" ht="12" customHeight="1">
      <c r="A49" s="3684" t="s">
        <v>633</v>
      </c>
      <c r="B49" s="3685"/>
      <c r="C49" s="1765"/>
      <c r="D49" s="1633"/>
      <c r="E49" s="1506" t="str">
        <f>IF(D49="","","al")</f>
        <v/>
      </c>
      <c r="F49" s="1633"/>
      <c r="G49" s="208"/>
      <c r="H49" s="214"/>
      <c r="I49" s="158"/>
    </row>
    <row r="50" spans="1:9" ht="12" customHeight="1">
      <c r="A50" s="1738"/>
      <c r="B50" s="210"/>
      <c r="C50" s="210"/>
      <c r="D50" s="210"/>
      <c r="E50" s="209"/>
      <c r="F50" s="209"/>
      <c r="G50" s="210"/>
      <c r="H50" s="215"/>
      <c r="I50" s="158"/>
    </row>
    <row r="51" spans="1:9" ht="12.95" customHeight="1">
      <c r="A51" s="3679" t="s">
        <v>10</v>
      </c>
      <c r="B51" s="3680"/>
      <c r="C51" s="1757"/>
      <c r="D51" s="1757"/>
      <c r="E51" s="1757"/>
      <c r="F51" s="1757"/>
      <c r="G51" s="1757"/>
      <c r="H51" s="1758"/>
      <c r="I51" s="158"/>
    </row>
    <row r="52" spans="1:9" ht="12.95" customHeight="1" thickBot="1">
      <c r="A52" s="3681"/>
      <c r="B52" s="3682"/>
      <c r="C52" s="3682"/>
      <c r="D52" s="3682"/>
      <c r="E52" s="3682"/>
      <c r="F52" s="3682"/>
      <c r="G52" s="3682"/>
      <c r="H52" s="3683"/>
      <c r="I52" s="158"/>
    </row>
    <row r="53" spans="1:9" ht="15" customHeight="1" thickTop="1" thickBot="1">
      <c r="A53" s="3367" t="s">
        <v>13</v>
      </c>
      <c r="B53" s="3367"/>
      <c r="C53" s="3367"/>
      <c r="D53" s="3367"/>
      <c r="E53" s="3367"/>
      <c r="F53" s="3367"/>
      <c r="G53" s="3367"/>
      <c r="H53" s="3367"/>
      <c r="I53" s="158"/>
    </row>
    <row r="54" spans="1:9" ht="15" customHeight="1" thickTop="1">
      <c r="A54" s="2737" t="s">
        <v>306</v>
      </c>
      <c r="B54" s="2737"/>
      <c r="C54" s="2737"/>
      <c r="D54" s="2737"/>
      <c r="E54" s="2737"/>
      <c r="F54" s="2737"/>
      <c r="G54" s="2737"/>
      <c r="H54" s="2737"/>
      <c r="I54" s="158"/>
    </row>
    <row r="55" spans="1:9" ht="15" customHeight="1">
      <c r="A55" s="2737"/>
      <c r="B55" s="2737"/>
      <c r="C55" s="2737"/>
      <c r="D55" s="2737"/>
      <c r="E55" s="2737"/>
      <c r="F55" s="2737"/>
      <c r="G55" s="2737"/>
      <c r="H55" s="2737"/>
      <c r="I55" s="158"/>
    </row>
    <row r="56" spans="1:9" ht="12" customHeight="1">
      <c r="I56" s="158"/>
    </row>
    <row r="57" spans="1:9" ht="12" customHeight="1">
      <c r="I57" s="158"/>
    </row>
    <row r="58" spans="1:9" ht="12" customHeight="1">
      <c r="I58" s="1"/>
    </row>
    <row r="59" spans="1:9" ht="18" customHeight="1">
      <c r="I59" s="158"/>
    </row>
    <row r="60" spans="1:9" ht="27.95" customHeight="1">
      <c r="I60" s="158"/>
    </row>
    <row r="61" spans="1:9" s="1" customFormat="1" ht="54" customHeight="1">
      <c r="A61" s="158"/>
      <c r="B61" s="143"/>
      <c r="C61" s="143"/>
      <c r="D61" s="143"/>
      <c r="E61" s="143"/>
      <c r="F61" s="143"/>
      <c r="G61" s="143"/>
      <c r="H61" s="143"/>
      <c r="I61" s="201"/>
    </row>
    <row r="62" spans="1:9" s="1" customFormat="1">
      <c r="A62" s="158"/>
      <c r="B62" s="143"/>
      <c r="C62" s="143"/>
      <c r="D62" s="143"/>
      <c r="E62" s="143"/>
      <c r="F62" s="143"/>
      <c r="G62" s="143"/>
      <c r="H62" s="143"/>
      <c r="I62" s="201"/>
    </row>
    <row r="63" spans="1:9" s="1" customFormat="1" ht="14.45" customHeight="1">
      <c r="A63" s="158"/>
      <c r="B63" s="143"/>
      <c r="C63" s="143"/>
      <c r="D63" s="143"/>
      <c r="E63" s="143"/>
      <c r="F63" s="143"/>
      <c r="G63" s="143"/>
      <c r="H63" s="143"/>
      <c r="I63" s="201"/>
    </row>
    <row r="64" spans="1:9" s="1" customFormat="1" ht="15.75" customHeight="1">
      <c r="A64" s="158"/>
      <c r="B64" s="143"/>
      <c r="C64" s="143"/>
      <c r="D64" s="143"/>
      <c r="E64" s="143"/>
      <c r="F64" s="143"/>
      <c r="G64" s="143"/>
      <c r="H64" s="143"/>
      <c r="I64" s="201"/>
    </row>
    <row r="65" spans="1:9" s="1" customFormat="1" ht="9.75" customHeight="1">
      <c r="A65" s="158"/>
      <c r="B65" s="143"/>
      <c r="C65" s="143"/>
      <c r="D65" s="143"/>
      <c r="E65" s="143"/>
      <c r="F65" s="143"/>
      <c r="G65" s="143"/>
      <c r="H65" s="143"/>
      <c r="I65" s="201"/>
    </row>
    <row r="66" spans="1:9" s="1" customFormat="1" ht="18.75" customHeight="1">
      <c r="A66" s="158"/>
      <c r="B66" s="143"/>
      <c r="C66" s="143"/>
      <c r="D66" s="143"/>
      <c r="E66" s="143"/>
      <c r="F66" s="143"/>
      <c r="G66" s="143"/>
      <c r="H66" s="143"/>
      <c r="I66" s="201"/>
    </row>
    <row r="67" spans="1:9" s="1" customFormat="1" ht="30" customHeight="1">
      <c r="A67" s="158"/>
      <c r="B67" s="143"/>
      <c r="C67" s="143"/>
      <c r="D67" s="143"/>
      <c r="E67" s="143"/>
      <c r="F67" s="143"/>
      <c r="G67" s="143"/>
      <c r="H67" s="143"/>
      <c r="I67" s="201"/>
    </row>
    <row r="68" spans="1:9" s="1" customFormat="1" ht="33" customHeight="1">
      <c r="A68" s="158"/>
      <c r="B68" s="143"/>
      <c r="C68" s="143"/>
      <c r="D68" s="143"/>
      <c r="E68" s="143"/>
      <c r="F68" s="143"/>
      <c r="G68" s="143"/>
      <c r="H68" s="143"/>
      <c r="I68" s="201"/>
    </row>
    <row r="69" spans="1:9" s="1" customFormat="1">
      <c r="A69" s="158"/>
      <c r="B69" s="143"/>
      <c r="C69" s="143"/>
      <c r="D69" s="143"/>
      <c r="E69" s="143"/>
      <c r="F69" s="143"/>
      <c r="G69" s="143"/>
      <c r="H69" s="143"/>
      <c r="I69" s="201"/>
    </row>
    <row r="70" spans="1:9" ht="10.5" customHeight="1">
      <c r="I70" s="201"/>
    </row>
    <row r="71" spans="1:9" ht="9" customHeight="1">
      <c r="I71" s="201"/>
    </row>
    <row r="72" spans="1:9" ht="0.6" customHeight="1">
      <c r="I72" s="201"/>
    </row>
    <row r="73" spans="1:9" ht="6" customHeight="1">
      <c r="I73" s="201"/>
    </row>
    <row r="74" spans="1:9" ht="13.5" customHeight="1">
      <c r="I74" s="201"/>
    </row>
    <row r="75" spans="1:9">
      <c r="I75" s="201"/>
    </row>
    <row r="76" spans="1:9">
      <c r="I76" s="201"/>
    </row>
    <row r="77" spans="1:9" ht="12.75" customHeight="1">
      <c r="I77" s="201"/>
    </row>
    <row r="78" spans="1:9">
      <c r="I78" s="201"/>
    </row>
    <row r="79" spans="1:9">
      <c r="I79" s="201"/>
    </row>
    <row r="80" spans="1:9">
      <c r="I80" s="201"/>
    </row>
    <row r="81" spans="2:9">
      <c r="I81" s="201"/>
    </row>
    <row r="82" spans="2:9">
      <c r="I82" s="201"/>
    </row>
    <row r="83" spans="2:9">
      <c r="I83" s="201"/>
    </row>
    <row r="84" spans="2:9">
      <c r="I84" s="201"/>
    </row>
    <row r="85" spans="2:9">
      <c r="I85" s="201"/>
    </row>
    <row r="86" spans="2:9">
      <c r="I86" s="201"/>
    </row>
    <row r="87" spans="2:9">
      <c r="I87" s="201"/>
    </row>
    <row r="88" spans="2:9">
      <c r="I88" s="201"/>
    </row>
    <row r="89" spans="2:9">
      <c r="I89" s="201"/>
    </row>
    <row r="90" spans="2:9">
      <c r="I90" s="201"/>
    </row>
    <row r="91" spans="2:9">
      <c r="I91" s="201"/>
    </row>
    <row r="92" spans="2:9">
      <c r="I92" s="201"/>
    </row>
    <row r="93" spans="2:9">
      <c r="B93" s="206"/>
      <c r="C93" s="206"/>
      <c r="D93" s="206"/>
      <c r="E93" s="206"/>
      <c r="F93" s="206"/>
      <c r="G93" s="206"/>
      <c r="H93" s="206"/>
      <c r="I93" s="201"/>
    </row>
    <row r="94" spans="2:9">
      <c r="B94" s="206"/>
      <c r="C94" s="206"/>
      <c r="D94" s="206"/>
      <c r="E94" s="206"/>
      <c r="F94" s="206"/>
      <c r="G94" s="206"/>
      <c r="H94" s="206"/>
      <c r="I94" s="201"/>
    </row>
    <row r="95" spans="2:9">
      <c r="B95" s="206"/>
      <c r="C95" s="206"/>
      <c r="D95" s="206"/>
      <c r="E95" s="206"/>
      <c r="F95" s="206"/>
      <c r="G95" s="206"/>
      <c r="H95" s="206"/>
      <c r="I95" s="201"/>
    </row>
    <row r="96" spans="2:9">
      <c r="B96" s="206"/>
      <c r="C96" s="206"/>
      <c r="D96" s="206"/>
      <c r="E96" s="206"/>
      <c r="F96" s="206"/>
      <c r="G96" s="206"/>
      <c r="H96" s="206"/>
      <c r="I96" s="201"/>
    </row>
    <row r="97" spans="2:9">
      <c r="B97" s="201"/>
      <c r="C97" s="201"/>
      <c r="D97" s="201"/>
      <c r="E97" s="201"/>
      <c r="F97" s="201"/>
      <c r="G97" s="201"/>
      <c r="H97" s="201"/>
      <c r="I97" s="201"/>
    </row>
    <row r="98" spans="2:9">
      <c r="B98" s="201"/>
      <c r="C98" s="201"/>
      <c r="D98" s="201"/>
      <c r="E98" s="201"/>
      <c r="F98" s="201"/>
      <c r="G98" s="201"/>
      <c r="H98" s="201"/>
      <c r="I98" s="201"/>
    </row>
    <row r="99" spans="2:9">
      <c r="B99" s="201"/>
      <c r="C99" s="201"/>
      <c r="D99" s="201"/>
      <c r="E99" s="201"/>
      <c r="F99" s="201"/>
      <c r="G99" s="201"/>
      <c r="H99" s="201"/>
      <c r="I99" s="201"/>
    </row>
    <row r="100" spans="2:9">
      <c r="B100" s="201"/>
      <c r="C100" s="201"/>
      <c r="D100" s="201"/>
      <c r="E100" s="201"/>
      <c r="F100" s="201"/>
      <c r="G100" s="201"/>
      <c r="H100" s="201"/>
      <c r="I100" s="201"/>
    </row>
    <row r="101" spans="2:9">
      <c r="B101" s="201"/>
      <c r="C101" s="201"/>
      <c r="D101" s="201"/>
      <c r="E101" s="201"/>
      <c r="F101" s="201"/>
      <c r="G101" s="201"/>
      <c r="H101" s="201"/>
      <c r="I101" s="201"/>
    </row>
    <row r="102" spans="2:9">
      <c r="B102" s="201"/>
      <c r="C102" s="201"/>
      <c r="D102" s="201"/>
      <c r="E102" s="201"/>
      <c r="F102" s="201"/>
      <c r="G102" s="201"/>
      <c r="H102" s="201"/>
      <c r="I102" s="201"/>
    </row>
    <row r="103" spans="2:9">
      <c r="B103" s="201"/>
      <c r="C103" s="201"/>
      <c r="D103" s="201"/>
      <c r="E103" s="201"/>
      <c r="F103" s="201"/>
      <c r="G103" s="201"/>
      <c r="H103" s="201"/>
      <c r="I103" s="201"/>
    </row>
    <row r="104" spans="2:9">
      <c r="B104" s="201"/>
      <c r="C104" s="201"/>
      <c r="D104" s="201"/>
      <c r="E104" s="201"/>
      <c r="F104" s="201"/>
      <c r="G104" s="201"/>
      <c r="H104" s="201"/>
      <c r="I104" s="201"/>
    </row>
    <row r="105" spans="2:9">
      <c r="B105" s="201"/>
      <c r="C105" s="201"/>
      <c r="D105" s="201"/>
      <c r="E105" s="201"/>
      <c r="F105" s="201"/>
      <c r="G105" s="201"/>
      <c r="H105" s="201"/>
      <c r="I105" s="201"/>
    </row>
    <row r="106" spans="2:9">
      <c r="B106" s="201"/>
      <c r="C106" s="201"/>
      <c r="D106" s="201"/>
      <c r="E106" s="201"/>
      <c r="F106" s="201"/>
      <c r="G106" s="201"/>
      <c r="H106" s="201"/>
      <c r="I106" s="201"/>
    </row>
    <row r="107" spans="2:9">
      <c r="I107" s="201"/>
    </row>
    <row r="108" spans="2:9">
      <c r="I108" s="201"/>
    </row>
    <row r="109" spans="2:9">
      <c r="I109" s="201"/>
    </row>
    <row r="110" spans="2:9">
      <c r="I110" s="201"/>
    </row>
    <row r="111" spans="2:9">
      <c r="I111" s="201"/>
    </row>
    <row r="112" spans="2:9">
      <c r="I112" s="201"/>
    </row>
    <row r="113" spans="9:9">
      <c r="I113" s="201"/>
    </row>
    <row r="114" spans="9:9">
      <c r="I114" s="201"/>
    </row>
  </sheetData>
  <sheetProtection password="B39D" sheet="1" formatCells="0" formatColumns="0" formatRows="0"/>
  <mergeCells count="38">
    <mergeCell ref="I14:I17"/>
    <mergeCell ref="I30:I33"/>
    <mergeCell ref="A30:D30"/>
    <mergeCell ref="A31:D31"/>
    <mergeCell ref="A32:D32"/>
    <mergeCell ref="A33:D47"/>
    <mergeCell ref="A23:H23"/>
    <mergeCell ref="A29:C29"/>
    <mergeCell ref="A18:H18"/>
    <mergeCell ref="A19:C19"/>
    <mergeCell ref="A22:C22"/>
    <mergeCell ref="A21:C21"/>
    <mergeCell ref="A26:D26"/>
    <mergeCell ref="A27:D28"/>
    <mergeCell ref="A24:D24"/>
    <mergeCell ref="A25:D25"/>
    <mergeCell ref="A54:H55"/>
    <mergeCell ref="A51:B51"/>
    <mergeCell ref="A52:H52"/>
    <mergeCell ref="A53:H53"/>
    <mergeCell ref="A49:B49"/>
    <mergeCell ref="A14:C14"/>
    <mergeCell ref="F7:G7"/>
    <mergeCell ref="A11:C11"/>
    <mergeCell ref="A20:C20"/>
    <mergeCell ref="A12:C12"/>
    <mergeCell ref="A13:H13"/>
    <mergeCell ref="A9:E9"/>
    <mergeCell ref="A10:C10"/>
    <mergeCell ref="A15:C15"/>
    <mergeCell ref="A16:C16"/>
    <mergeCell ref="A17:C17"/>
    <mergeCell ref="F6:G6"/>
    <mergeCell ref="A1:A4"/>
    <mergeCell ref="B1:H2"/>
    <mergeCell ref="B3:F3"/>
    <mergeCell ref="G3:H3"/>
    <mergeCell ref="B4:H4"/>
  </mergeCells>
  <conditionalFormatting sqref="F17">
    <cfRule type="cellIs" dxfId="7" priority="8" operator="between">
      <formula>9</formula>
      <formula>9</formula>
    </cfRule>
  </conditionalFormatting>
  <conditionalFormatting sqref="F49">
    <cfRule type="cellIs" dxfId="6" priority="1" operator="equal">
      <formula>$D$49</formula>
    </cfRule>
  </conditionalFormatting>
  <printOptions horizontalCentered="1"/>
  <pageMargins left="0.59055118110236227" right="0.39370078740157483" top="0.39370078740157483" bottom="0.39370078740157483" header="0" footer="0.19685039370078741"/>
  <pageSetup orientation="portrait" copies="2" r:id="rId1"/>
  <headerFooter scaleWithDoc="0">
    <oddHeader xml:space="preserve">&amp;L&amp;"Eurostile Extended,Regular Negrita"&amp;16
</oddHeader>
    <oddFooter>&amp;L&amp;6Calle 26 No. 57-41 Torre 8 Piso 8 CEMSA - CP: 1113111            
Pbx: 3779555  - Información: Línea 195     
www.umv.gov.co111311&amp;C&amp;6Página 2 de 2</oddFooter>
  </headerFooter>
  <ignoredErrors>
    <ignoredError sqref="I9 I14 I30" unlockedFormula="1"/>
  </ignoredErrors>
  <drawing r:id="rId2"/>
  <extLst>
    <ext xmlns:x14="http://schemas.microsoft.com/office/spreadsheetml/2009/9/main" uri="{78C0D931-6437-407d-A8EE-F0AAD7539E65}">
      <x14:conditionalFormattings>
        <x14:conditionalFormatting xmlns:xm="http://schemas.microsoft.com/office/excel/2006/main">
          <x14:cfRule type="cellIs" priority="6" operator="greaterThan" id="{F184EA11-281C-431C-9CF0-B1A623F264E8}">
            <xm:f>' CBR 1'!$AX$30:$AX$31+0.5</xm:f>
            <x14:dxf>
              <font>
                <color rgb="FFFF0000"/>
              </font>
            </x14:dxf>
          </x14:cfRule>
          <x14:cfRule type="cellIs" priority="7" operator="lessThan" id="{EB0C1DD3-7B1A-43AF-9245-DBDC2B9864BD}">
            <xm:f>' CBR 1'!$AX$30:$AX$31-0.5</xm:f>
            <x14:dxf>
              <font>
                <color rgb="FFFF0000"/>
              </font>
            </x14:dxf>
          </x14:cfRule>
          <xm:sqref>F17</xm:sqref>
        </x14:conditionalFormatting>
        <x14:conditionalFormatting xmlns:xm="http://schemas.microsoft.com/office/excel/2006/main">
          <x14:cfRule type="cellIs" priority="4" operator="lessThan" id="{5AB4D8FD-0D49-405B-BFFC-C3D2E4151D4B}">
            <xm:f>' CBR 1'!$AX$30:$AX$31-0.5</xm:f>
            <x14:dxf>
              <font>
                <color rgb="FFFF0000"/>
              </font>
            </x14:dxf>
          </x14:cfRule>
          <x14:cfRule type="cellIs" priority="5" operator="greaterThan" id="{F9CC707F-BD54-45A1-B0EB-3C72D9CC4DC6}">
            <xm:f>' CBR 1'!$AX$30:$AX$31+0.5</xm:f>
            <x14:dxf>
              <font>
                <color rgb="FFFF0000"/>
              </font>
            </x14:dxf>
          </x14:cfRule>
          <xm:sqref>G17</xm:sqref>
        </x14:conditionalFormatting>
        <x14:conditionalFormatting xmlns:xm="http://schemas.microsoft.com/office/excel/2006/main">
          <x14:cfRule type="cellIs" priority="2" operator="lessThan" id="{1918AC35-D128-4437-8D0B-F89E868DED38}">
            <xm:f>' CBR 1'!$AX$30:$AX$31-0.5</xm:f>
            <x14:dxf>
              <font>
                <color rgb="FFFF0000"/>
              </font>
            </x14:dxf>
          </x14:cfRule>
          <x14:cfRule type="cellIs" priority="3" operator="greaterThan" id="{E2765DF2-EF58-4FCE-B660-E5958D0384E3}">
            <xm:f>' CBR 1'!$AX$30:$AX$31+0.5</xm:f>
            <x14:dxf>
              <font>
                <color rgb="FFFF0000"/>
              </font>
            </x14:dxf>
          </x14:cfRule>
          <xm:sqref>H17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H307"/>
  <sheetViews>
    <sheetView showGridLines="0" view="pageBreakPreview" topLeftCell="A28" zoomScaleSheetLayoutView="100" workbookViewId="0">
      <selection activeCell="Y13" sqref="Y13"/>
    </sheetView>
  </sheetViews>
  <sheetFormatPr baseColWidth="10" defaultColWidth="11.5703125" defaultRowHeight="12"/>
  <cols>
    <col min="1" max="1" width="3.28515625" style="641" customWidth="1"/>
    <col min="2" max="2" width="3.140625" style="641" customWidth="1"/>
    <col min="3" max="3" width="4" style="641" customWidth="1"/>
    <col min="4" max="4" width="4.42578125" style="641" customWidth="1"/>
    <col min="5" max="5" width="4.28515625" style="641" customWidth="1"/>
    <col min="6" max="6" width="3.42578125" style="641" customWidth="1"/>
    <col min="7" max="7" width="3" style="641" customWidth="1"/>
    <col min="8" max="8" width="1.85546875" style="641" customWidth="1"/>
    <col min="9" max="12" width="3" style="641" customWidth="1"/>
    <col min="13" max="13" width="1.5703125" style="641" customWidth="1"/>
    <col min="14" max="14" width="2" style="641" customWidth="1"/>
    <col min="15" max="15" width="3" style="641" customWidth="1"/>
    <col min="16" max="16" width="2.28515625" style="641" customWidth="1"/>
    <col min="17" max="17" width="3.5703125" style="641" customWidth="1"/>
    <col min="18" max="18" width="4.42578125" style="641" customWidth="1"/>
    <col min="19" max="19" width="4.85546875" style="641" customWidth="1"/>
    <col min="20" max="20" width="2.28515625" style="641" customWidth="1"/>
    <col min="21" max="21" width="6.85546875" style="641" customWidth="1"/>
    <col min="22" max="22" width="5" style="641" customWidth="1"/>
    <col min="23" max="23" width="6.140625" style="641" customWidth="1"/>
    <col min="24" max="24" width="13.7109375" style="746" customWidth="1"/>
    <col min="25" max="25" width="12.28515625" style="750" customWidth="1"/>
    <col min="26" max="26" width="11.5703125" style="641" customWidth="1"/>
    <col min="27" max="27" width="17.85546875" style="746" customWidth="1"/>
    <col min="28" max="28" width="21.42578125" style="746" customWidth="1"/>
    <col min="29" max="29" width="16.5703125" style="746" customWidth="1"/>
    <col min="30" max="30" width="17.85546875" style="746" customWidth="1"/>
    <col min="31" max="31" width="21.42578125" style="746" customWidth="1"/>
    <col min="32" max="33" width="16.5703125" style="746" customWidth="1"/>
    <col min="34" max="258" width="11.5703125" style="641"/>
    <col min="259" max="263" width="3.28515625" style="641" customWidth="1"/>
    <col min="264" max="275" width="3" style="641" customWidth="1"/>
    <col min="276" max="276" width="4.140625" style="641" customWidth="1"/>
    <col min="277" max="277" width="4.85546875" style="641" customWidth="1"/>
    <col min="278" max="281" width="3.28515625" style="641" customWidth="1"/>
    <col min="282" max="282" width="8" style="641" customWidth="1"/>
    <col min="283" max="284" width="10.140625" style="641" customWidth="1"/>
    <col min="285" max="514" width="11.5703125" style="641"/>
    <col min="515" max="519" width="3.28515625" style="641" customWidth="1"/>
    <col min="520" max="531" width="3" style="641" customWidth="1"/>
    <col min="532" max="532" width="4.140625" style="641" customWidth="1"/>
    <col min="533" max="533" width="4.85546875" style="641" customWidth="1"/>
    <col min="534" max="537" width="3.28515625" style="641" customWidth="1"/>
    <col min="538" max="538" width="8" style="641" customWidth="1"/>
    <col min="539" max="540" width="10.140625" style="641" customWidth="1"/>
    <col min="541" max="770" width="11.5703125" style="641"/>
    <col min="771" max="775" width="3.28515625" style="641" customWidth="1"/>
    <col min="776" max="787" width="3" style="641" customWidth="1"/>
    <col min="788" max="788" width="4.140625" style="641" customWidth="1"/>
    <col min="789" max="789" width="4.85546875" style="641" customWidth="1"/>
    <col min="790" max="793" width="3.28515625" style="641" customWidth="1"/>
    <col min="794" max="794" width="8" style="641" customWidth="1"/>
    <col min="795" max="796" width="10.140625" style="641" customWidth="1"/>
    <col min="797" max="1026" width="11.5703125" style="641"/>
    <col min="1027" max="1031" width="3.28515625" style="641" customWidth="1"/>
    <col min="1032" max="1043" width="3" style="641" customWidth="1"/>
    <col min="1044" max="1044" width="4.140625" style="641" customWidth="1"/>
    <col min="1045" max="1045" width="4.85546875" style="641" customWidth="1"/>
    <col min="1046" max="1049" width="3.28515625" style="641" customWidth="1"/>
    <col min="1050" max="1050" width="8" style="641" customWidth="1"/>
    <col min="1051" max="1052" width="10.140625" style="641" customWidth="1"/>
    <col min="1053" max="1282" width="11.5703125" style="641"/>
    <col min="1283" max="1287" width="3.28515625" style="641" customWidth="1"/>
    <col min="1288" max="1299" width="3" style="641" customWidth="1"/>
    <col min="1300" max="1300" width="4.140625" style="641" customWidth="1"/>
    <col min="1301" max="1301" width="4.85546875" style="641" customWidth="1"/>
    <col min="1302" max="1305" width="3.28515625" style="641" customWidth="1"/>
    <col min="1306" max="1306" width="8" style="641" customWidth="1"/>
    <col min="1307" max="1308" width="10.140625" style="641" customWidth="1"/>
    <col min="1309" max="1538" width="11.5703125" style="641"/>
    <col min="1539" max="1543" width="3.28515625" style="641" customWidth="1"/>
    <col min="1544" max="1555" width="3" style="641" customWidth="1"/>
    <col min="1556" max="1556" width="4.140625" style="641" customWidth="1"/>
    <col min="1557" max="1557" width="4.85546875" style="641" customWidth="1"/>
    <col min="1558" max="1561" width="3.28515625" style="641" customWidth="1"/>
    <col min="1562" max="1562" width="8" style="641" customWidth="1"/>
    <col min="1563" max="1564" width="10.140625" style="641" customWidth="1"/>
    <col min="1565" max="1794" width="11.5703125" style="641"/>
    <col min="1795" max="1799" width="3.28515625" style="641" customWidth="1"/>
    <col min="1800" max="1811" width="3" style="641" customWidth="1"/>
    <col min="1812" max="1812" width="4.140625" style="641" customWidth="1"/>
    <col min="1813" max="1813" width="4.85546875" style="641" customWidth="1"/>
    <col min="1814" max="1817" width="3.28515625" style="641" customWidth="1"/>
    <col min="1818" max="1818" width="8" style="641" customWidth="1"/>
    <col min="1819" max="1820" width="10.140625" style="641" customWidth="1"/>
    <col min="1821" max="2050" width="11.5703125" style="641"/>
    <col min="2051" max="2055" width="3.28515625" style="641" customWidth="1"/>
    <col min="2056" max="2067" width="3" style="641" customWidth="1"/>
    <col min="2068" max="2068" width="4.140625" style="641" customWidth="1"/>
    <col min="2069" max="2069" width="4.85546875" style="641" customWidth="1"/>
    <col min="2070" max="2073" width="3.28515625" style="641" customWidth="1"/>
    <col min="2074" max="2074" width="8" style="641" customWidth="1"/>
    <col min="2075" max="2076" width="10.140625" style="641" customWidth="1"/>
    <col min="2077" max="2306" width="11.5703125" style="641"/>
    <col min="2307" max="2311" width="3.28515625" style="641" customWidth="1"/>
    <col min="2312" max="2323" width="3" style="641" customWidth="1"/>
    <col min="2324" max="2324" width="4.140625" style="641" customWidth="1"/>
    <col min="2325" max="2325" width="4.85546875" style="641" customWidth="1"/>
    <col min="2326" max="2329" width="3.28515625" style="641" customWidth="1"/>
    <col min="2330" max="2330" width="8" style="641" customWidth="1"/>
    <col min="2331" max="2332" width="10.140625" style="641" customWidth="1"/>
    <col min="2333" max="2562" width="11.5703125" style="641"/>
    <col min="2563" max="2567" width="3.28515625" style="641" customWidth="1"/>
    <col min="2568" max="2579" width="3" style="641" customWidth="1"/>
    <col min="2580" max="2580" width="4.140625" style="641" customWidth="1"/>
    <col min="2581" max="2581" width="4.85546875" style="641" customWidth="1"/>
    <col min="2582" max="2585" width="3.28515625" style="641" customWidth="1"/>
    <col min="2586" max="2586" width="8" style="641" customWidth="1"/>
    <col min="2587" max="2588" width="10.140625" style="641" customWidth="1"/>
    <col min="2589" max="2818" width="11.5703125" style="641"/>
    <col min="2819" max="2823" width="3.28515625" style="641" customWidth="1"/>
    <col min="2824" max="2835" width="3" style="641" customWidth="1"/>
    <col min="2836" max="2836" width="4.140625" style="641" customWidth="1"/>
    <col min="2837" max="2837" width="4.85546875" style="641" customWidth="1"/>
    <col min="2838" max="2841" width="3.28515625" style="641" customWidth="1"/>
    <col min="2842" max="2842" width="8" style="641" customWidth="1"/>
    <col min="2843" max="2844" width="10.140625" style="641" customWidth="1"/>
    <col min="2845" max="3074" width="11.5703125" style="641"/>
    <col min="3075" max="3079" width="3.28515625" style="641" customWidth="1"/>
    <col min="3080" max="3091" width="3" style="641" customWidth="1"/>
    <col min="3092" max="3092" width="4.140625" style="641" customWidth="1"/>
    <col min="3093" max="3093" width="4.85546875" style="641" customWidth="1"/>
    <col min="3094" max="3097" width="3.28515625" style="641" customWidth="1"/>
    <col min="3098" max="3098" width="8" style="641" customWidth="1"/>
    <col min="3099" max="3100" width="10.140625" style="641" customWidth="1"/>
    <col min="3101" max="3330" width="11.5703125" style="641"/>
    <col min="3331" max="3335" width="3.28515625" style="641" customWidth="1"/>
    <col min="3336" max="3347" width="3" style="641" customWidth="1"/>
    <col min="3348" max="3348" width="4.140625" style="641" customWidth="1"/>
    <col min="3349" max="3349" width="4.85546875" style="641" customWidth="1"/>
    <col min="3350" max="3353" width="3.28515625" style="641" customWidth="1"/>
    <col min="3354" max="3354" width="8" style="641" customWidth="1"/>
    <col min="3355" max="3356" width="10.140625" style="641" customWidth="1"/>
    <col min="3357" max="3586" width="11.5703125" style="641"/>
    <col min="3587" max="3591" width="3.28515625" style="641" customWidth="1"/>
    <col min="3592" max="3603" width="3" style="641" customWidth="1"/>
    <col min="3604" max="3604" width="4.140625" style="641" customWidth="1"/>
    <col min="3605" max="3605" width="4.85546875" style="641" customWidth="1"/>
    <col min="3606" max="3609" width="3.28515625" style="641" customWidth="1"/>
    <col min="3610" max="3610" width="8" style="641" customWidth="1"/>
    <col min="3611" max="3612" width="10.140625" style="641" customWidth="1"/>
    <col min="3613" max="3842" width="11.5703125" style="641"/>
    <col min="3843" max="3847" width="3.28515625" style="641" customWidth="1"/>
    <col min="3848" max="3859" width="3" style="641" customWidth="1"/>
    <col min="3860" max="3860" width="4.140625" style="641" customWidth="1"/>
    <col min="3861" max="3861" width="4.85546875" style="641" customWidth="1"/>
    <col min="3862" max="3865" width="3.28515625" style="641" customWidth="1"/>
    <col min="3866" max="3866" width="8" style="641" customWidth="1"/>
    <col min="3867" max="3868" width="10.140625" style="641" customWidth="1"/>
    <col min="3869" max="4098" width="11.5703125" style="641"/>
    <col min="4099" max="4103" width="3.28515625" style="641" customWidth="1"/>
    <col min="4104" max="4115" width="3" style="641" customWidth="1"/>
    <col min="4116" max="4116" width="4.140625" style="641" customWidth="1"/>
    <col min="4117" max="4117" width="4.85546875" style="641" customWidth="1"/>
    <col min="4118" max="4121" width="3.28515625" style="641" customWidth="1"/>
    <col min="4122" max="4122" width="8" style="641" customWidth="1"/>
    <col min="4123" max="4124" width="10.140625" style="641" customWidth="1"/>
    <col min="4125" max="4354" width="11.5703125" style="641"/>
    <col min="4355" max="4359" width="3.28515625" style="641" customWidth="1"/>
    <col min="4360" max="4371" width="3" style="641" customWidth="1"/>
    <col min="4372" max="4372" width="4.140625" style="641" customWidth="1"/>
    <col min="4373" max="4373" width="4.85546875" style="641" customWidth="1"/>
    <col min="4374" max="4377" width="3.28515625" style="641" customWidth="1"/>
    <col min="4378" max="4378" width="8" style="641" customWidth="1"/>
    <col min="4379" max="4380" width="10.140625" style="641" customWidth="1"/>
    <col min="4381" max="4610" width="11.5703125" style="641"/>
    <col min="4611" max="4615" width="3.28515625" style="641" customWidth="1"/>
    <col min="4616" max="4627" width="3" style="641" customWidth="1"/>
    <col min="4628" max="4628" width="4.140625" style="641" customWidth="1"/>
    <col min="4629" max="4629" width="4.85546875" style="641" customWidth="1"/>
    <col min="4630" max="4633" width="3.28515625" style="641" customWidth="1"/>
    <col min="4634" max="4634" width="8" style="641" customWidth="1"/>
    <col min="4635" max="4636" width="10.140625" style="641" customWidth="1"/>
    <col min="4637" max="4866" width="11.5703125" style="641"/>
    <col min="4867" max="4871" width="3.28515625" style="641" customWidth="1"/>
    <col min="4872" max="4883" width="3" style="641" customWidth="1"/>
    <col min="4884" max="4884" width="4.140625" style="641" customWidth="1"/>
    <col min="4885" max="4885" width="4.85546875" style="641" customWidth="1"/>
    <col min="4886" max="4889" width="3.28515625" style="641" customWidth="1"/>
    <col min="4890" max="4890" width="8" style="641" customWidth="1"/>
    <col min="4891" max="4892" width="10.140625" style="641" customWidth="1"/>
    <col min="4893" max="5122" width="11.5703125" style="641"/>
    <col min="5123" max="5127" width="3.28515625" style="641" customWidth="1"/>
    <col min="5128" max="5139" width="3" style="641" customWidth="1"/>
    <col min="5140" max="5140" width="4.140625" style="641" customWidth="1"/>
    <col min="5141" max="5141" width="4.85546875" style="641" customWidth="1"/>
    <col min="5142" max="5145" width="3.28515625" style="641" customWidth="1"/>
    <col min="5146" max="5146" width="8" style="641" customWidth="1"/>
    <col min="5147" max="5148" width="10.140625" style="641" customWidth="1"/>
    <col min="5149" max="5378" width="11.5703125" style="641"/>
    <col min="5379" max="5383" width="3.28515625" style="641" customWidth="1"/>
    <col min="5384" max="5395" width="3" style="641" customWidth="1"/>
    <col min="5396" max="5396" width="4.140625" style="641" customWidth="1"/>
    <col min="5397" max="5397" width="4.85546875" style="641" customWidth="1"/>
    <col min="5398" max="5401" width="3.28515625" style="641" customWidth="1"/>
    <col min="5402" max="5402" width="8" style="641" customWidth="1"/>
    <col min="5403" max="5404" width="10.140625" style="641" customWidth="1"/>
    <col min="5405" max="5634" width="11.5703125" style="641"/>
    <col min="5635" max="5639" width="3.28515625" style="641" customWidth="1"/>
    <col min="5640" max="5651" width="3" style="641" customWidth="1"/>
    <col min="5652" max="5652" width="4.140625" style="641" customWidth="1"/>
    <col min="5653" max="5653" width="4.85546875" style="641" customWidth="1"/>
    <col min="5654" max="5657" width="3.28515625" style="641" customWidth="1"/>
    <col min="5658" max="5658" width="8" style="641" customWidth="1"/>
    <col min="5659" max="5660" width="10.140625" style="641" customWidth="1"/>
    <col min="5661" max="5890" width="11.5703125" style="641"/>
    <col min="5891" max="5895" width="3.28515625" style="641" customWidth="1"/>
    <col min="5896" max="5907" width="3" style="641" customWidth="1"/>
    <col min="5908" max="5908" width="4.140625" style="641" customWidth="1"/>
    <col min="5909" max="5909" width="4.85546875" style="641" customWidth="1"/>
    <col min="5910" max="5913" width="3.28515625" style="641" customWidth="1"/>
    <col min="5914" max="5914" width="8" style="641" customWidth="1"/>
    <col min="5915" max="5916" width="10.140625" style="641" customWidth="1"/>
    <col min="5917" max="6146" width="11.5703125" style="641"/>
    <col min="6147" max="6151" width="3.28515625" style="641" customWidth="1"/>
    <col min="6152" max="6163" width="3" style="641" customWidth="1"/>
    <col min="6164" max="6164" width="4.140625" style="641" customWidth="1"/>
    <col min="6165" max="6165" width="4.85546875" style="641" customWidth="1"/>
    <col min="6166" max="6169" width="3.28515625" style="641" customWidth="1"/>
    <col min="6170" max="6170" width="8" style="641" customWidth="1"/>
    <col min="6171" max="6172" width="10.140625" style="641" customWidth="1"/>
    <col min="6173" max="6402" width="11.5703125" style="641"/>
    <col min="6403" max="6407" width="3.28515625" style="641" customWidth="1"/>
    <col min="6408" max="6419" width="3" style="641" customWidth="1"/>
    <col min="6420" max="6420" width="4.140625" style="641" customWidth="1"/>
    <col min="6421" max="6421" width="4.85546875" style="641" customWidth="1"/>
    <col min="6422" max="6425" width="3.28515625" style="641" customWidth="1"/>
    <col min="6426" max="6426" width="8" style="641" customWidth="1"/>
    <col min="6427" max="6428" width="10.140625" style="641" customWidth="1"/>
    <col min="6429" max="6658" width="11.5703125" style="641"/>
    <col min="6659" max="6663" width="3.28515625" style="641" customWidth="1"/>
    <col min="6664" max="6675" width="3" style="641" customWidth="1"/>
    <col min="6676" max="6676" width="4.140625" style="641" customWidth="1"/>
    <col min="6677" max="6677" width="4.85546875" style="641" customWidth="1"/>
    <col min="6678" max="6681" width="3.28515625" style="641" customWidth="1"/>
    <col min="6682" max="6682" width="8" style="641" customWidth="1"/>
    <col min="6683" max="6684" width="10.140625" style="641" customWidth="1"/>
    <col min="6685" max="6914" width="11.5703125" style="641"/>
    <col min="6915" max="6919" width="3.28515625" style="641" customWidth="1"/>
    <col min="6920" max="6931" width="3" style="641" customWidth="1"/>
    <col min="6932" max="6932" width="4.140625" style="641" customWidth="1"/>
    <col min="6933" max="6933" width="4.85546875" style="641" customWidth="1"/>
    <col min="6934" max="6937" width="3.28515625" style="641" customWidth="1"/>
    <col min="6938" max="6938" width="8" style="641" customWidth="1"/>
    <col min="6939" max="6940" width="10.140625" style="641" customWidth="1"/>
    <col min="6941" max="7170" width="11.5703125" style="641"/>
    <col min="7171" max="7175" width="3.28515625" style="641" customWidth="1"/>
    <col min="7176" max="7187" width="3" style="641" customWidth="1"/>
    <col min="7188" max="7188" width="4.140625" style="641" customWidth="1"/>
    <col min="7189" max="7189" width="4.85546875" style="641" customWidth="1"/>
    <col min="7190" max="7193" width="3.28515625" style="641" customWidth="1"/>
    <col min="7194" max="7194" width="8" style="641" customWidth="1"/>
    <col min="7195" max="7196" width="10.140625" style="641" customWidth="1"/>
    <col min="7197" max="7426" width="11.5703125" style="641"/>
    <col min="7427" max="7431" width="3.28515625" style="641" customWidth="1"/>
    <col min="7432" max="7443" width="3" style="641" customWidth="1"/>
    <col min="7444" max="7444" width="4.140625" style="641" customWidth="1"/>
    <col min="7445" max="7445" width="4.85546875" style="641" customWidth="1"/>
    <col min="7446" max="7449" width="3.28515625" style="641" customWidth="1"/>
    <col min="7450" max="7450" width="8" style="641" customWidth="1"/>
    <col min="7451" max="7452" width="10.140625" style="641" customWidth="1"/>
    <col min="7453" max="7682" width="11.5703125" style="641"/>
    <col min="7683" max="7687" width="3.28515625" style="641" customWidth="1"/>
    <col min="7688" max="7699" width="3" style="641" customWidth="1"/>
    <col min="7700" max="7700" width="4.140625" style="641" customWidth="1"/>
    <col min="7701" max="7701" width="4.85546875" style="641" customWidth="1"/>
    <col min="7702" max="7705" width="3.28515625" style="641" customWidth="1"/>
    <col min="7706" max="7706" width="8" style="641" customWidth="1"/>
    <col min="7707" max="7708" width="10.140625" style="641" customWidth="1"/>
    <col min="7709" max="7938" width="11.5703125" style="641"/>
    <col min="7939" max="7943" width="3.28515625" style="641" customWidth="1"/>
    <col min="7944" max="7955" width="3" style="641" customWidth="1"/>
    <col min="7956" max="7956" width="4.140625" style="641" customWidth="1"/>
    <col min="7957" max="7957" width="4.85546875" style="641" customWidth="1"/>
    <col min="7958" max="7961" width="3.28515625" style="641" customWidth="1"/>
    <col min="7962" max="7962" width="8" style="641" customWidth="1"/>
    <col min="7963" max="7964" width="10.140625" style="641" customWidth="1"/>
    <col min="7965" max="8194" width="11.5703125" style="641"/>
    <col min="8195" max="8199" width="3.28515625" style="641" customWidth="1"/>
    <col min="8200" max="8211" width="3" style="641" customWidth="1"/>
    <col min="8212" max="8212" width="4.140625" style="641" customWidth="1"/>
    <col min="8213" max="8213" width="4.85546875" style="641" customWidth="1"/>
    <col min="8214" max="8217" width="3.28515625" style="641" customWidth="1"/>
    <col min="8218" max="8218" width="8" style="641" customWidth="1"/>
    <col min="8219" max="8220" width="10.140625" style="641" customWidth="1"/>
    <col min="8221" max="8450" width="11.5703125" style="641"/>
    <col min="8451" max="8455" width="3.28515625" style="641" customWidth="1"/>
    <col min="8456" max="8467" width="3" style="641" customWidth="1"/>
    <col min="8468" max="8468" width="4.140625" style="641" customWidth="1"/>
    <col min="8469" max="8469" width="4.85546875" style="641" customWidth="1"/>
    <col min="8470" max="8473" width="3.28515625" style="641" customWidth="1"/>
    <col min="8474" max="8474" width="8" style="641" customWidth="1"/>
    <col min="8475" max="8476" width="10.140625" style="641" customWidth="1"/>
    <col min="8477" max="8706" width="11.5703125" style="641"/>
    <col min="8707" max="8711" width="3.28515625" style="641" customWidth="1"/>
    <col min="8712" max="8723" width="3" style="641" customWidth="1"/>
    <col min="8724" max="8724" width="4.140625" style="641" customWidth="1"/>
    <col min="8725" max="8725" width="4.85546875" style="641" customWidth="1"/>
    <col min="8726" max="8729" width="3.28515625" style="641" customWidth="1"/>
    <col min="8730" max="8730" width="8" style="641" customWidth="1"/>
    <col min="8731" max="8732" width="10.140625" style="641" customWidth="1"/>
    <col min="8733" max="8962" width="11.5703125" style="641"/>
    <col min="8963" max="8967" width="3.28515625" style="641" customWidth="1"/>
    <col min="8968" max="8979" width="3" style="641" customWidth="1"/>
    <col min="8980" max="8980" width="4.140625" style="641" customWidth="1"/>
    <col min="8981" max="8981" width="4.85546875" style="641" customWidth="1"/>
    <col min="8982" max="8985" width="3.28515625" style="641" customWidth="1"/>
    <col min="8986" max="8986" width="8" style="641" customWidth="1"/>
    <col min="8987" max="8988" width="10.140625" style="641" customWidth="1"/>
    <col min="8989" max="9218" width="11.5703125" style="641"/>
    <col min="9219" max="9223" width="3.28515625" style="641" customWidth="1"/>
    <col min="9224" max="9235" width="3" style="641" customWidth="1"/>
    <col min="9236" max="9236" width="4.140625" style="641" customWidth="1"/>
    <col min="9237" max="9237" width="4.85546875" style="641" customWidth="1"/>
    <col min="9238" max="9241" width="3.28515625" style="641" customWidth="1"/>
    <col min="9242" max="9242" width="8" style="641" customWidth="1"/>
    <col min="9243" max="9244" width="10.140625" style="641" customWidth="1"/>
    <col min="9245" max="9474" width="11.5703125" style="641"/>
    <col min="9475" max="9479" width="3.28515625" style="641" customWidth="1"/>
    <col min="9480" max="9491" width="3" style="641" customWidth="1"/>
    <col min="9492" max="9492" width="4.140625" style="641" customWidth="1"/>
    <col min="9493" max="9493" width="4.85546875" style="641" customWidth="1"/>
    <col min="9494" max="9497" width="3.28515625" style="641" customWidth="1"/>
    <col min="9498" max="9498" width="8" style="641" customWidth="1"/>
    <col min="9499" max="9500" width="10.140625" style="641" customWidth="1"/>
    <col min="9501" max="9730" width="11.5703125" style="641"/>
    <col min="9731" max="9735" width="3.28515625" style="641" customWidth="1"/>
    <col min="9736" max="9747" width="3" style="641" customWidth="1"/>
    <col min="9748" max="9748" width="4.140625" style="641" customWidth="1"/>
    <col min="9749" max="9749" width="4.85546875" style="641" customWidth="1"/>
    <col min="9750" max="9753" width="3.28515625" style="641" customWidth="1"/>
    <col min="9754" max="9754" width="8" style="641" customWidth="1"/>
    <col min="9755" max="9756" width="10.140625" style="641" customWidth="1"/>
    <col min="9757" max="9986" width="11.5703125" style="641"/>
    <col min="9987" max="9991" width="3.28515625" style="641" customWidth="1"/>
    <col min="9992" max="10003" width="3" style="641" customWidth="1"/>
    <col min="10004" max="10004" width="4.140625" style="641" customWidth="1"/>
    <col min="10005" max="10005" width="4.85546875" style="641" customWidth="1"/>
    <col min="10006" max="10009" width="3.28515625" style="641" customWidth="1"/>
    <col min="10010" max="10010" width="8" style="641" customWidth="1"/>
    <col min="10011" max="10012" width="10.140625" style="641" customWidth="1"/>
    <col min="10013" max="10242" width="11.5703125" style="641"/>
    <col min="10243" max="10247" width="3.28515625" style="641" customWidth="1"/>
    <col min="10248" max="10259" width="3" style="641" customWidth="1"/>
    <col min="10260" max="10260" width="4.140625" style="641" customWidth="1"/>
    <col min="10261" max="10261" width="4.85546875" style="641" customWidth="1"/>
    <col min="10262" max="10265" width="3.28515625" style="641" customWidth="1"/>
    <col min="10266" max="10266" width="8" style="641" customWidth="1"/>
    <col min="10267" max="10268" width="10.140625" style="641" customWidth="1"/>
    <col min="10269" max="10498" width="11.5703125" style="641"/>
    <col min="10499" max="10503" width="3.28515625" style="641" customWidth="1"/>
    <col min="10504" max="10515" width="3" style="641" customWidth="1"/>
    <col min="10516" max="10516" width="4.140625" style="641" customWidth="1"/>
    <col min="10517" max="10517" width="4.85546875" style="641" customWidth="1"/>
    <col min="10518" max="10521" width="3.28515625" style="641" customWidth="1"/>
    <col min="10522" max="10522" width="8" style="641" customWidth="1"/>
    <col min="10523" max="10524" width="10.140625" style="641" customWidth="1"/>
    <col min="10525" max="10754" width="11.5703125" style="641"/>
    <col min="10755" max="10759" width="3.28515625" style="641" customWidth="1"/>
    <col min="10760" max="10771" width="3" style="641" customWidth="1"/>
    <col min="10772" max="10772" width="4.140625" style="641" customWidth="1"/>
    <col min="10773" max="10773" width="4.85546875" style="641" customWidth="1"/>
    <col min="10774" max="10777" width="3.28515625" style="641" customWidth="1"/>
    <col min="10778" max="10778" width="8" style="641" customWidth="1"/>
    <col min="10779" max="10780" width="10.140625" style="641" customWidth="1"/>
    <col min="10781" max="11010" width="11.5703125" style="641"/>
    <col min="11011" max="11015" width="3.28515625" style="641" customWidth="1"/>
    <col min="11016" max="11027" width="3" style="641" customWidth="1"/>
    <col min="11028" max="11028" width="4.140625" style="641" customWidth="1"/>
    <col min="11029" max="11029" width="4.85546875" style="641" customWidth="1"/>
    <col min="11030" max="11033" width="3.28515625" style="641" customWidth="1"/>
    <col min="11034" max="11034" width="8" style="641" customWidth="1"/>
    <col min="11035" max="11036" width="10.140625" style="641" customWidth="1"/>
    <col min="11037" max="11266" width="11.5703125" style="641"/>
    <col min="11267" max="11271" width="3.28515625" style="641" customWidth="1"/>
    <col min="11272" max="11283" width="3" style="641" customWidth="1"/>
    <col min="11284" max="11284" width="4.140625" style="641" customWidth="1"/>
    <col min="11285" max="11285" width="4.85546875" style="641" customWidth="1"/>
    <col min="11286" max="11289" width="3.28515625" style="641" customWidth="1"/>
    <col min="11290" max="11290" width="8" style="641" customWidth="1"/>
    <col min="11291" max="11292" width="10.140625" style="641" customWidth="1"/>
    <col min="11293" max="11522" width="11.5703125" style="641"/>
    <col min="11523" max="11527" width="3.28515625" style="641" customWidth="1"/>
    <col min="11528" max="11539" width="3" style="641" customWidth="1"/>
    <col min="11540" max="11540" width="4.140625" style="641" customWidth="1"/>
    <col min="11541" max="11541" width="4.85546875" style="641" customWidth="1"/>
    <col min="11542" max="11545" width="3.28515625" style="641" customWidth="1"/>
    <col min="11546" max="11546" width="8" style="641" customWidth="1"/>
    <col min="11547" max="11548" width="10.140625" style="641" customWidth="1"/>
    <col min="11549" max="11778" width="11.5703125" style="641"/>
    <col min="11779" max="11783" width="3.28515625" style="641" customWidth="1"/>
    <col min="11784" max="11795" width="3" style="641" customWidth="1"/>
    <col min="11796" max="11796" width="4.140625" style="641" customWidth="1"/>
    <col min="11797" max="11797" width="4.85546875" style="641" customWidth="1"/>
    <col min="11798" max="11801" width="3.28515625" style="641" customWidth="1"/>
    <col min="11802" max="11802" width="8" style="641" customWidth="1"/>
    <col min="11803" max="11804" width="10.140625" style="641" customWidth="1"/>
    <col min="11805" max="12034" width="11.5703125" style="641"/>
    <col min="12035" max="12039" width="3.28515625" style="641" customWidth="1"/>
    <col min="12040" max="12051" width="3" style="641" customWidth="1"/>
    <col min="12052" max="12052" width="4.140625" style="641" customWidth="1"/>
    <col min="12053" max="12053" width="4.85546875" style="641" customWidth="1"/>
    <col min="12054" max="12057" width="3.28515625" style="641" customWidth="1"/>
    <col min="12058" max="12058" width="8" style="641" customWidth="1"/>
    <col min="12059" max="12060" width="10.140625" style="641" customWidth="1"/>
    <col min="12061" max="12290" width="11.5703125" style="641"/>
    <col min="12291" max="12295" width="3.28515625" style="641" customWidth="1"/>
    <col min="12296" max="12307" width="3" style="641" customWidth="1"/>
    <col min="12308" max="12308" width="4.140625" style="641" customWidth="1"/>
    <col min="12309" max="12309" width="4.85546875" style="641" customWidth="1"/>
    <col min="12310" max="12313" width="3.28515625" style="641" customWidth="1"/>
    <col min="12314" max="12314" width="8" style="641" customWidth="1"/>
    <col min="12315" max="12316" width="10.140625" style="641" customWidth="1"/>
    <col min="12317" max="12546" width="11.5703125" style="641"/>
    <col min="12547" max="12551" width="3.28515625" style="641" customWidth="1"/>
    <col min="12552" max="12563" width="3" style="641" customWidth="1"/>
    <col min="12564" max="12564" width="4.140625" style="641" customWidth="1"/>
    <col min="12565" max="12565" width="4.85546875" style="641" customWidth="1"/>
    <col min="12566" max="12569" width="3.28515625" style="641" customWidth="1"/>
    <col min="12570" max="12570" width="8" style="641" customWidth="1"/>
    <col min="12571" max="12572" width="10.140625" style="641" customWidth="1"/>
    <col min="12573" max="12802" width="11.5703125" style="641"/>
    <col min="12803" max="12807" width="3.28515625" style="641" customWidth="1"/>
    <col min="12808" max="12819" width="3" style="641" customWidth="1"/>
    <col min="12820" max="12820" width="4.140625" style="641" customWidth="1"/>
    <col min="12821" max="12821" width="4.85546875" style="641" customWidth="1"/>
    <col min="12822" max="12825" width="3.28515625" style="641" customWidth="1"/>
    <col min="12826" max="12826" width="8" style="641" customWidth="1"/>
    <col min="12827" max="12828" width="10.140625" style="641" customWidth="1"/>
    <col min="12829" max="13058" width="11.5703125" style="641"/>
    <col min="13059" max="13063" width="3.28515625" style="641" customWidth="1"/>
    <col min="13064" max="13075" width="3" style="641" customWidth="1"/>
    <col min="13076" max="13076" width="4.140625" style="641" customWidth="1"/>
    <col min="13077" max="13077" width="4.85546875" style="641" customWidth="1"/>
    <col min="13078" max="13081" width="3.28515625" style="641" customWidth="1"/>
    <col min="13082" max="13082" width="8" style="641" customWidth="1"/>
    <col min="13083" max="13084" width="10.140625" style="641" customWidth="1"/>
    <col min="13085" max="13314" width="11.5703125" style="641"/>
    <col min="13315" max="13319" width="3.28515625" style="641" customWidth="1"/>
    <col min="13320" max="13331" width="3" style="641" customWidth="1"/>
    <col min="13332" max="13332" width="4.140625" style="641" customWidth="1"/>
    <col min="13333" max="13333" width="4.85546875" style="641" customWidth="1"/>
    <col min="13334" max="13337" width="3.28515625" style="641" customWidth="1"/>
    <col min="13338" max="13338" width="8" style="641" customWidth="1"/>
    <col min="13339" max="13340" width="10.140625" style="641" customWidth="1"/>
    <col min="13341" max="13570" width="11.5703125" style="641"/>
    <col min="13571" max="13575" width="3.28515625" style="641" customWidth="1"/>
    <col min="13576" max="13587" width="3" style="641" customWidth="1"/>
    <col min="13588" max="13588" width="4.140625" style="641" customWidth="1"/>
    <col min="13589" max="13589" width="4.85546875" style="641" customWidth="1"/>
    <col min="13590" max="13593" width="3.28515625" style="641" customWidth="1"/>
    <col min="13594" max="13594" width="8" style="641" customWidth="1"/>
    <col min="13595" max="13596" width="10.140625" style="641" customWidth="1"/>
    <col min="13597" max="13826" width="11.5703125" style="641"/>
    <col min="13827" max="13831" width="3.28515625" style="641" customWidth="1"/>
    <col min="13832" max="13843" width="3" style="641" customWidth="1"/>
    <col min="13844" max="13844" width="4.140625" style="641" customWidth="1"/>
    <col min="13845" max="13845" width="4.85546875" style="641" customWidth="1"/>
    <col min="13846" max="13849" width="3.28515625" style="641" customWidth="1"/>
    <col min="13850" max="13850" width="8" style="641" customWidth="1"/>
    <col min="13851" max="13852" width="10.140625" style="641" customWidth="1"/>
    <col min="13853" max="14082" width="11.5703125" style="641"/>
    <col min="14083" max="14087" width="3.28515625" style="641" customWidth="1"/>
    <col min="14088" max="14099" width="3" style="641" customWidth="1"/>
    <col min="14100" max="14100" width="4.140625" style="641" customWidth="1"/>
    <col min="14101" max="14101" width="4.85546875" style="641" customWidth="1"/>
    <col min="14102" max="14105" width="3.28515625" style="641" customWidth="1"/>
    <col min="14106" max="14106" width="8" style="641" customWidth="1"/>
    <col min="14107" max="14108" width="10.140625" style="641" customWidth="1"/>
    <col min="14109" max="14338" width="11.5703125" style="641"/>
    <col min="14339" max="14343" width="3.28515625" style="641" customWidth="1"/>
    <col min="14344" max="14355" width="3" style="641" customWidth="1"/>
    <col min="14356" max="14356" width="4.140625" style="641" customWidth="1"/>
    <col min="14357" max="14357" width="4.85546875" style="641" customWidth="1"/>
    <col min="14358" max="14361" width="3.28515625" style="641" customWidth="1"/>
    <col min="14362" max="14362" width="8" style="641" customWidth="1"/>
    <col min="14363" max="14364" width="10.140625" style="641" customWidth="1"/>
    <col min="14365" max="14594" width="11.5703125" style="641"/>
    <col min="14595" max="14599" width="3.28515625" style="641" customWidth="1"/>
    <col min="14600" max="14611" width="3" style="641" customWidth="1"/>
    <col min="14612" max="14612" width="4.140625" style="641" customWidth="1"/>
    <col min="14613" max="14613" width="4.85546875" style="641" customWidth="1"/>
    <col min="14614" max="14617" width="3.28515625" style="641" customWidth="1"/>
    <col min="14618" max="14618" width="8" style="641" customWidth="1"/>
    <col min="14619" max="14620" width="10.140625" style="641" customWidth="1"/>
    <col min="14621" max="14850" width="11.5703125" style="641"/>
    <col min="14851" max="14855" width="3.28515625" style="641" customWidth="1"/>
    <col min="14856" max="14867" width="3" style="641" customWidth="1"/>
    <col min="14868" max="14868" width="4.140625" style="641" customWidth="1"/>
    <col min="14869" max="14869" width="4.85546875" style="641" customWidth="1"/>
    <col min="14870" max="14873" width="3.28515625" style="641" customWidth="1"/>
    <col min="14874" max="14874" width="8" style="641" customWidth="1"/>
    <col min="14875" max="14876" width="10.140625" style="641" customWidth="1"/>
    <col min="14877" max="15106" width="11.5703125" style="641"/>
    <col min="15107" max="15111" width="3.28515625" style="641" customWidth="1"/>
    <col min="15112" max="15123" width="3" style="641" customWidth="1"/>
    <col min="15124" max="15124" width="4.140625" style="641" customWidth="1"/>
    <col min="15125" max="15125" width="4.85546875" style="641" customWidth="1"/>
    <col min="15126" max="15129" width="3.28515625" style="641" customWidth="1"/>
    <col min="15130" max="15130" width="8" style="641" customWidth="1"/>
    <col min="15131" max="15132" width="10.140625" style="641" customWidth="1"/>
    <col min="15133" max="15362" width="11.5703125" style="641"/>
    <col min="15363" max="15367" width="3.28515625" style="641" customWidth="1"/>
    <col min="15368" max="15379" width="3" style="641" customWidth="1"/>
    <col min="15380" max="15380" width="4.140625" style="641" customWidth="1"/>
    <col min="15381" max="15381" width="4.85546875" style="641" customWidth="1"/>
    <col min="15382" max="15385" width="3.28515625" style="641" customWidth="1"/>
    <col min="15386" max="15386" width="8" style="641" customWidth="1"/>
    <col min="15387" max="15388" width="10.140625" style="641" customWidth="1"/>
    <col min="15389" max="15618" width="11.5703125" style="641"/>
    <col min="15619" max="15623" width="3.28515625" style="641" customWidth="1"/>
    <col min="15624" max="15635" width="3" style="641" customWidth="1"/>
    <col min="15636" max="15636" width="4.140625" style="641" customWidth="1"/>
    <col min="15637" max="15637" width="4.85546875" style="641" customWidth="1"/>
    <col min="15638" max="15641" width="3.28515625" style="641" customWidth="1"/>
    <col min="15642" max="15642" width="8" style="641" customWidth="1"/>
    <col min="15643" max="15644" width="10.140625" style="641" customWidth="1"/>
    <col min="15645" max="15874" width="11.5703125" style="641"/>
    <col min="15875" max="15879" width="3.28515625" style="641" customWidth="1"/>
    <col min="15880" max="15891" width="3" style="641" customWidth="1"/>
    <col min="15892" max="15892" width="4.140625" style="641" customWidth="1"/>
    <col min="15893" max="15893" width="4.85546875" style="641" customWidth="1"/>
    <col min="15894" max="15897" width="3.28515625" style="641" customWidth="1"/>
    <col min="15898" max="15898" width="8" style="641" customWidth="1"/>
    <col min="15899" max="15900" width="10.140625" style="641" customWidth="1"/>
    <col min="15901" max="16130" width="11.5703125" style="641"/>
    <col min="16131" max="16135" width="3.28515625" style="641" customWidth="1"/>
    <col min="16136" max="16147" width="3" style="641" customWidth="1"/>
    <col min="16148" max="16148" width="4.140625" style="641" customWidth="1"/>
    <col min="16149" max="16149" width="4.85546875" style="641" customWidth="1"/>
    <col min="16150" max="16153" width="3.28515625" style="641" customWidth="1"/>
    <col min="16154" max="16154" width="8" style="641" customWidth="1"/>
    <col min="16155" max="16156" width="10.140625" style="641" customWidth="1"/>
    <col min="16157" max="16384" width="11.5703125" style="641"/>
  </cols>
  <sheetData>
    <row r="1" spans="1:33" ht="15" customHeight="1">
      <c r="A1" s="1844"/>
      <c r="B1" s="1845"/>
      <c r="C1" s="1845"/>
      <c r="D1" s="1846"/>
      <c r="E1" s="1853" t="s">
        <v>436</v>
      </c>
      <c r="F1" s="1853"/>
      <c r="G1" s="1853"/>
      <c r="H1" s="1853"/>
      <c r="I1" s="1853"/>
      <c r="J1" s="1853"/>
      <c r="K1" s="1853"/>
      <c r="L1" s="1853"/>
      <c r="M1" s="1853"/>
      <c r="N1" s="1853"/>
      <c r="O1" s="1853"/>
      <c r="P1" s="1853"/>
      <c r="Q1" s="1853"/>
      <c r="R1" s="1853"/>
      <c r="S1" s="1853"/>
      <c r="T1" s="1853"/>
      <c r="U1" s="1853"/>
      <c r="V1" s="1853"/>
      <c r="W1" s="1853"/>
      <c r="X1" s="1853"/>
      <c r="Y1" s="640"/>
      <c r="AA1" s="641" t="s">
        <v>228</v>
      </c>
      <c r="AB1" s="641"/>
      <c r="AC1" s="641"/>
      <c r="AD1" s="641"/>
      <c r="AE1" s="641"/>
      <c r="AF1" s="641"/>
      <c r="AG1" s="641"/>
    </row>
    <row r="2" spans="1:33" ht="15" customHeight="1">
      <c r="A2" s="1847"/>
      <c r="B2" s="1848"/>
      <c r="C2" s="1848"/>
      <c r="D2" s="1849"/>
      <c r="E2" s="1853"/>
      <c r="F2" s="1853"/>
      <c r="G2" s="1853"/>
      <c r="H2" s="1853"/>
      <c r="I2" s="1853"/>
      <c r="J2" s="1853"/>
      <c r="K2" s="1853"/>
      <c r="L2" s="1853"/>
      <c r="M2" s="1853"/>
      <c r="N2" s="1853"/>
      <c r="O2" s="1853"/>
      <c r="P2" s="1853"/>
      <c r="Q2" s="1853"/>
      <c r="R2" s="1853"/>
      <c r="S2" s="1853"/>
      <c r="T2" s="1853"/>
      <c r="U2" s="1853"/>
      <c r="V2" s="1853"/>
      <c r="W2" s="1853"/>
      <c r="X2" s="1853"/>
      <c r="Y2" s="640"/>
      <c r="AA2" s="641" t="s">
        <v>187</v>
      </c>
      <c r="AB2" s="641" t="s">
        <v>437</v>
      </c>
      <c r="AC2" s="641"/>
      <c r="AD2" s="641"/>
      <c r="AE2" s="641"/>
      <c r="AF2" s="641"/>
      <c r="AG2" s="641"/>
    </row>
    <row r="3" spans="1:33" ht="17.25" customHeight="1">
      <c r="A3" s="1847"/>
      <c r="B3" s="1848"/>
      <c r="C3" s="1848"/>
      <c r="D3" s="1849"/>
      <c r="E3" s="1854" t="s">
        <v>438</v>
      </c>
      <c r="F3" s="1854"/>
      <c r="G3" s="1854"/>
      <c r="H3" s="1854"/>
      <c r="I3" s="1854"/>
      <c r="J3" s="1854"/>
      <c r="K3" s="1854"/>
      <c r="L3" s="1854"/>
      <c r="M3" s="1854"/>
      <c r="N3" s="1854"/>
      <c r="O3" s="1854"/>
      <c r="P3" s="1854"/>
      <c r="Q3" s="1854"/>
      <c r="R3" s="1854"/>
      <c r="S3" s="1854"/>
      <c r="T3" s="1854"/>
      <c r="U3" s="1855" t="s">
        <v>325</v>
      </c>
      <c r="V3" s="1856"/>
      <c r="W3" s="1856"/>
      <c r="X3" s="1857"/>
      <c r="Y3" s="640"/>
      <c r="AA3" s="641" t="s">
        <v>15</v>
      </c>
      <c r="AB3" s="641" t="s">
        <v>439</v>
      </c>
      <c r="AC3" s="641"/>
      <c r="AD3" s="641"/>
      <c r="AE3" s="641"/>
      <c r="AF3" s="641"/>
      <c r="AG3" s="641"/>
    </row>
    <row r="4" spans="1:33" ht="17.25" customHeight="1">
      <c r="A4" s="1850"/>
      <c r="B4" s="1851"/>
      <c r="C4" s="1851"/>
      <c r="D4" s="1852"/>
      <c r="E4" s="1855" t="s">
        <v>440</v>
      </c>
      <c r="F4" s="1856"/>
      <c r="G4" s="1856"/>
      <c r="H4" s="1856"/>
      <c r="I4" s="1856"/>
      <c r="J4" s="1856"/>
      <c r="K4" s="1856"/>
      <c r="L4" s="1856"/>
      <c r="M4" s="1856"/>
      <c r="N4" s="1856"/>
      <c r="O4" s="1856"/>
      <c r="P4" s="1856"/>
      <c r="Q4" s="1856"/>
      <c r="R4" s="1856"/>
      <c r="S4" s="1856"/>
      <c r="T4" s="1856"/>
      <c r="U4" s="1856"/>
      <c r="V4" s="1856"/>
      <c r="W4" s="1856"/>
      <c r="X4" s="1857"/>
      <c r="Y4" s="640"/>
      <c r="Z4" s="642"/>
      <c r="AA4" s="641" t="s">
        <v>14</v>
      </c>
      <c r="AB4" s="643" t="s">
        <v>441</v>
      </c>
      <c r="AC4" s="644"/>
      <c r="AD4" s="644"/>
      <c r="AE4" s="644"/>
      <c r="AF4" s="644"/>
      <c r="AG4" s="644"/>
    </row>
    <row r="5" spans="1:33" ht="15" customHeight="1">
      <c r="A5" s="381"/>
      <c r="B5" s="382"/>
      <c r="C5" s="382"/>
      <c r="D5" s="645"/>
      <c r="E5" s="645"/>
      <c r="F5" s="645"/>
      <c r="G5" s="645"/>
      <c r="H5" s="645"/>
      <c r="I5" s="645"/>
      <c r="J5" s="645"/>
      <c r="K5" s="645"/>
      <c r="L5" s="645"/>
      <c r="M5" s="645"/>
      <c r="N5" s="645"/>
      <c r="O5" s="645"/>
      <c r="P5" s="645"/>
      <c r="Q5" s="645"/>
      <c r="R5" s="645"/>
      <c r="S5" s="645"/>
      <c r="T5" s="645"/>
      <c r="U5" s="382"/>
      <c r="V5" s="382"/>
      <c r="W5" s="382"/>
      <c r="X5" s="646"/>
      <c r="Y5" s="392" t="s">
        <v>314</v>
      </c>
      <c r="Z5" s="642"/>
      <c r="AA5" s="641" t="s">
        <v>188</v>
      </c>
      <c r="AB5" s="644"/>
      <c r="AC5" s="644"/>
      <c r="AD5" s="644"/>
      <c r="AE5" s="644"/>
      <c r="AF5" s="644"/>
      <c r="AG5" s="644"/>
    </row>
    <row r="6" spans="1:33" ht="15" customHeight="1">
      <c r="A6" s="384"/>
      <c r="B6" s="385"/>
      <c r="C6" s="385"/>
      <c r="E6" s="409"/>
      <c r="F6" s="409"/>
      <c r="G6" s="409"/>
      <c r="H6" s="409"/>
      <c r="I6" s="409"/>
      <c r="J6" s="647"/>
      <c r="K6" s="647"/>
      <c r="L6" s="647"/>
      <c r="M6" s="647"/>
      <c r="N6" s="648"/>
      <c r="O6" s="648"/>
      <c r="P6" s="648"/>
      <c r="Q6" s="648"/>
      <c r="R6" s="1842" t="s">
        <v>9</v>
      </c>
      <c r="S6" s="1842"/>
      <c r="T6" s="1843" t="str">
        <f>IF('1. Encabezado'!T7="","",'1. Encabezado'!T7)</f>
        <v/>
      </c>
      <c r="U6" s="1843"/>
      <c r="V6" s="1843"/>
      <c r="W6" s="1843"/>
      <c r="X6" s="649"/>
      <c r="Y6" s="393" t="s">
        <v>315</v>
      </c>
      <c r="Z6" s="642"/>
      <c r="AA6" s="641" t="s">
        <v>189</v>
      </c>
      <c r="AB6" s="650"/>
      <c r="AC6" s="650"/>
      <c r="AD6" s="650"/>
      <c r="AE6" s="650"/>
      <c r="AF6" s="650"/>
      <c r="AG6" s="650"/>
    </row>
    <row r="7" spans="1:33" s="657" customFormat="1" ht="15" customHeight="1">
      <c r="A7" s="384"/>
      <c r="B7" s="385"/>
      <c r="C7" s="385"/>
      <c r="D7" s="648"/>
      <c r="E7" s="648"/>
      <c r="F7" s="648"/>
      <c r="G7" s="648"/>
      <c r="H7" s="648"/>
      <c r="I7" s="648"/>
      <c r="J7" s="647"/>
      <c r="K7" s="647"/>
      <c r="L7" s="647"/>
      <c r="M7" s="647"/>
      <c r="N7" s="648"/>
      <c r="O7" s="648"/>
      <c r="P7" s="648"/>
      <c r="Q7" s="648"/>
      <c r="R7" s="651"/>
      <c r="S7" s="651"/>
      <c r="T7" s="1860" t="str">
        <f>IF(T6="",Y10,CONCATENATE(Y6," ",Y7," ",Y8," ", Y9))</f>
        <v>Pagina xx de xx</v>
      </c>
      <c r="U7" s="1860"/>
      <c r="V7" s="1860"/>
      <c r="W7" s="1860"/>
      <c r="X7" s="652"/>
      <c r="Y7" s="653" t="str">
        <f>IF(T6="","",2)</f>
        <v/>
      </c>
      <c r="Z7" s="654"/>
      <c r="AA7" s="641" t="s">
        <v>190</v>
      </c>
      <c r="AB7" s="655"/>
      <c r="AC7" s="656"/>
      <c r="AD7" s="656"/>
      <c r="AE7" s="655"/>
      <c r="AF7" s="656"/>
      <c r="AG7" s="656"/>
    </row>
    <row r="8" spans="1:33" s="657" customFormat="1" ht="15" customHeight="1">
      <c r="A8" s="658"/>
      <c r="B8" s="659"/>
      <c r="C8" s="659"/>
      <c r="D8" s="660"/>
      <c r="E8" s="660"/>
      <c r="F8" s="660"/>
      <c r="G8" s="660"/>
      <c r="H8" s="660"/>
      <c r="I8" s="660"/>
      <c r="J8" s="660"/>
      <c r="K8" s="660"/>
      <c r="L8" s="660"/>
      <c r="M8" s="660"/>
      <c r="N8" s="660"/>
      <c r="O8" s="660"/>
      <c r="P8" s="660"/>
      <c r="Q8" s="660"/>
      <c r="R8" s="660"/>
      <c r="S8" s="660"/>
      <c r="T8" s="660"/>
      <c r="U8" s="661"/>
      <c r="V8" s="661"/>
      <c r="W8" s="661"/>
      <c r="X8" s="662"/>
      <c r="Y8" s="394" t="s">
        <v>316</v>
      </c>
      <c r="Z8" s="654"/>
      <c r="AA8" s="641" t="s">
        <v>229</v>
      </c>
      <c r="AB8" s="655"/>
      <c r="AC8" s="656"/>
      <c r="AD8" s="656"/>
      <c r="AE8" s="655"/>
      <c r="AF8" s="656"/>
      <c r="AG8" s="656"/>
    </row>
    <row r="9" spans="1:33" s="657" customFormat="1" ht="30" customHeight="1">
      <c r="A9" s="1861" t="s">
        <v>442</v>
      </c>
      <c r="B9" s="1862"/>
      <c r="C9" s="1862"/>
      <c r="D9" s="1862"/>
      <c r="E9" s="1862"/>
      <c r="F9" s="1862"/>
      <c r="G9" s="1862"/>
      <c r="H9" s="1862"/>
      <c r="I9" s="1862"/>
      <c r="J9" s="1862"/>
      <c r="K9" s="1862"/>
      <c r="L9" s="1862"/>
      <c r="M9" s="1862"/>
      <c r="N9" s="1862"/>
      <c r="O9" s="1862"/>
      <c r="P9" s="1862"/>
      <c r="Q9" s="1862"/>
      <c r="R9" s="1862"/>
      <c r="S9" s="1862"/>
      <c r="T9" s="1862"/>
      <c r="U9" s="1862"/>
      <c r="V9" s="1862"/>
      <c r="W9" s="1862"/>
      <c r="X9" s="663" t="s">
        <v>437</v>
      </c>
      <c r="Y9" s="394">
        <f>IF('1. Encabezado'!AB10="","",'1. Encabezado'!AB10)</f>
        <v>17</v>
      </c>
      <c r="Z9" s="654"/>
      <c r="AA9" s="656"/>
      <c r="AB9" s="655"/>
      <c r="AC9" s="656"/>
      <c r="AD9" s="656"/>
      <c r="AE9" s="655"/>
      <c r="AF9" s="656"/>
      <c r="AG9" s="656"/>
    </row>
    <row r="10" spans="1:33" s="665" customFormat="1" ht="15" customHeight="1">
      <c r="A10" s="1863" t="s">
        <v>443</v>
      </c>
      <c r="B10" s="1864"/>
      <c r="C10" s="1864"/>
      <c r="D10" s="1864"/>
      <c r="E10" s="1864"/>
      <c r="F10" s="1864"/>
      <c r="G10" s="1864"/>
      <c r="H10" s="1864"/>
      <c r="I10" s="1864"/>
      <c r="J10" s="1864"/>
      <c r="K10" s="1864"/>
      <c r="L10" s="1864"/>
      <c r="M10" s="1864"/>
      <c r="N10" s="1864"/>
      <c r="O10" s="1864"/>
      <c r="P10" s="1864"/>
      <c r="Q10" s="1864"/>
      <c r="R10" s="1867" t="s">
        <v>444</v>
      </c>
      <c r="S10" s="1867"/>
      <c r="T10" s="1864" t="s">
        <v>445</v>
      </c>
      <c r="U10" s="1864"/>
      <c r="V10" s="1864"/>
      <c r="W10" s="1864"/>
      <c r="X10" s="1877" t="s">
        <v>446</v>
      </c>
      <c r="Y10" s="395" t="s">
        <v>317</v>
      </c>
      <c r="Z10" s="655"/>
      <c r="AA10" s="655" t="s">
        <v>447</v>
      </c>
      <c r="AB10" s="664"/>
      <c r="AC10" s="656"/>
      <c r="AD10" s="655"/>
      <c r="AE10" s="664"/>
      <c r="AF10" s="656"/>
      <c r="AG10" s="656"/>
    </row>
    <row r="11" spans="1:33" s="666" customFormat="1" ht="15" customHeight="1">
      <c r="A11" s="1865"/>
      <c r="B11" s="1866"/>
      <c r="C11" s="1866"/>
      <c r="D11" s="1866"/>
      <c r="E11" s="1866"/>
      <c r="F11" s="1866"/>
      <c r="G11" s="1866"/>
      <c r="H11" s="1866"/>
      <c r="I11" s="1866"/>
      <c r="J11" s="1866"/>
      <c r="K11" s="1866"/>
      <c r="L11" s="1866"/>
      <c r="M11" s="1866"/>
      <c r="N11" s="1866"/>
      <c r="O11" s="1866"/>
      <c r="P11" s="1866"/>
      <c r="Q11" s="1866"/>
      <c r="R11" s="1868"/>
      <c r="S11" s="1868"/>
      <c r="T11" s="1866"/>
      <c r="U11" s="1866"/>
      <c r="V11" s="1866"/>
      <c r="W11" s="1866"/>
      <c r="X11" s="1878"/>
      <c r="Y11" s="409"/>
      <c r="AA11" s="667"/>
      <c r="AB11" s="668"/>
      <c r="AC11" s="668"/>
      <c r="AD11" s="667"/>
      <c r="AE11" s="668"/>
      <c r="AF11" s="668"/>
      <c r="AG11" s="668"/>
    </row>
    <row r="12" spans="1:33" s="671" customFormat="1" ht="15" customHeight="1">
      <c r="A12" s="1858" t="s">
        <v>448</v>
      </c>
      <c r="B12" s="1859"/>
      <c r="C12" s="1859"/>
      <c r="D12" s="1859"/>
      <c r="E12" s="1859"/>
      <c r="F12" s="1859"/>
      <c r="G12" s="1859"/>
      <c r="H12" s="1859"/>
      <c r="I12" s="1859"/>
      <c r="J12" s="1859"/>
      <c r="K12" s="1859"/>
      <c r="L12" s="1859"/>
      <c r="M12" s="1859"/>
      <c r="N12" s="1859"/>
      <c r="O12" s="1859"/>
      <c r="P12" s="1859"/>
      <c r="Q12" s="1859"/>
      <c r="R12" s="669"/>
      <c r="S12" s="669"/>
      <c r="T12" s="669"/>
      <c r="U12" s="1859"/>
      <c r="V12" s="1859"/>
      <c r="W12" s="1859"/>
      <c r="X12" s="1869"/>
      <c r="Y12" s="670"/>
    </row>
    <row r="13" spans="1:33" s="674" customFormat="1" ht="30" customHeight="1">
      <c r="A13" s="1870" t="s">
        <v>449</v>
      </c>
      <c r="B13" s="1871"/>
      <c r="C13" s="1871"/>
      <c r="D13" s="1871"/>
      <c r="E13" s="1871"/>
      <c r="F13" s="1871"/>
      <c r="G13" s="1871"/>
      <c r="H13" s="1871"/>
      <c r="I13" s="1871"/>
      <c r="J13" s="1871"/>
      <c r="K13" s="1871"/>
      <c r="L13" s="1871"/>
      <c r="M13" s="1871"/>
      <c r="N13" s="1871"/>
      <c r="O13" s="1871"/>
      <c r="P13" s="1871"/>
      <c r="Q13" s="1871"/>
      <c r="R13" s="1872">
        <v>213</v>
      </c>
      <c r="S13" s="1873"/>
      <c r="T13" s="1874" t="str">
        <f>IF(T6="","","VER GRÁFICA")</f>
        <v/>
      </c>
      <c r="U13" s="1875"/>
      <c r="V13" s="1875"/>
      <c r="W13" s="1876"/>
      <c r="X13" s="672" t="str">
        <f>IF(T6="","",'Gradacion '!G11)</f>
        <v/>
      </c>
      <c r="Y13" s="673"/>
    </row>
    <row r="14" spans="1:33" s="674" customFormat="1" ht="17.100000000000001" customHeight="1">
      <c r="A14" s="1858" t="s">
        <v>450</v>
      </c>
      <c r="B14" s="1859"/>
      <c r="C14" s="1859"/>
      <c r="D14" s="1859"/>
      <c r="E14" s="1859"/>
      <c r="F14" s="1859"/>
      <c r="G14" s="1859"/>
      <c r="H14" s="1859"/>
      <c r="I14" s="1859"/>
      <c r="J14" s="1859"/>
      <c r="K14" s="1859"/>
      <c r="L14" s="1859"/>
      <c r="M14" s="1859"/>
      <c r="N14" s="1859"/>
      <c r="O14" s="1859"/>
      <c r="P14" s="1859"/>
      <c r="Q14" s="1859"/>
      <c r="R14" s="669"/>
      <c r="S14" s="669"/>
      <c r="T14" s="669"/>
      <c r="U14" s="669"/>
      <c r="V14" s="669"/>
      <c r="W14" s="669"/>
      <c r="X14" s="675"/>
      <c r="Y14" s="676"/>
      <c r="Z14" s="677"/>
      <c r="AA14" s="678"/>
      <c r="AB14" s="679"/>
      <c r="AC14" s="679"/>
      <c r="AD14" s="680"/>
      <c r="AE14" s="679"/>
      <c r="AF14" s="679"/>
      <c r="AG14" s="681"/>
    </row>
    <row r="15" spans="1:33" s="671" customFormat="1" ht="41.25" customHeight="1">
      <c r="A15" s="1889" t="s">
        <v>451</v>
      </c>
      <c r="B15" s="1890"/>
      <c r="C15" s="1890"/>
      <c r="D15" s="1890"/>
      <c r="E15" s="1890"/>
      <c r="F15" s="1890"/>
      <c r="G15" s="1890"/>
      <c r="H15" s="1890"/>
      <c r="I15" s="1890"/>
      <c r="J15" s="1890"/>
      <c r="K15" s="1890"/>
      <c r="L15" s="1890"/>
      <c r="M15" s="1890"/>
      <c r="N15" s="1890"/>
      <c r="O15" s="1891" t="s">
        <v>452</v>
      </c>
      <c r="P15" s="1891"/>
      <c r="Q15" s="1892"/>
      <c r="R15" s="1893">
        <v>218</v>
      </c>
      <c r="S15" s="1894"/>
      <c r="T15" s="1895" t="str">
        <f>IF(OR(X9="QUINCENAL ",X9="SEMANAL"),"N/A",IF(Desgaste!O18="","",Desgaste!O18))</f>
        <v/>
      </c>
      <c r="U15" s="1896"/>
      <c r="V15" s="1896"/>
      <c r="W15" s="1897"/>
      <c r="X15" s="682" t="str">
        <f>IF(Y11="","",HLOOKUP($Y$11,$AA$15:$AG$37,Y17,0))</f>
        <v/>
      </c>
      <c r="Y15" s="683"/>
      <c r="Z15" s="684"/>
      <c r="AA15" s="685" t="s">
        <v>187</v>
      </c>
      <c r="AB15" s="686" t="s">
        <v>15</v>
      </c>
      <c r="AC15" s="687" t="s">
        <v>14</v>
      </c>
      <c r="AD15" s="688" t="s">
        <v>188</v>
      </c>
      <c r="AE15" s="686" t="s">
        <v>189</v>
      </c>
      <c r="AF15" s="687" t="s">
        <v>190</v>
      </c>
      <c r="AG15" s="689" t="s">
        <v>229</v>
      </c>
    </row>
    <row r="16" spans="1:33" s="657" customFormat="1" ht="17.100000000000001" customHeight="1">
      <c r="A16" s="1898" t="s">
        <v>453</v>
      </c>
      <c r="B16" s="1899"/>
      <c r="C16" s="1899"/>
      <c r="D16" s="1899"/>
      <c r="E16" s="1899"/>
      <c r="F16" s="1899"/>
      <c r="G16" s="1899"/>
      <c r="H16" s="1899"/>
      <c r="I16" s="1899"/>
      <c r="J16" s="1899"/>
      <c r="K16" s="1899"/>
      <c r="L16" s="1899"/>
      <c r="M16" s="1899"/>
      <c r="N16" s="1899"/>
      <c r="O16" s="1900" t="s">
        <v>452</v>
      </c>
      <c r="P16" s="1900"/>
      <c r="Q16" s="1901"/>
      <c r="R16" s="1902">
        <v>238</v>
      </c>
      <c r="S16" s="1903"/>
      <c r="T16" s="1904" t="str">
        <f>IF(X9="SEMANAL","N/A",IF('Microdeval '!Y16="","",+'Microdeval '!Y16))</f>
        <v/>
      </c>
      <c r="U16" s="1905"/>
      <c r="V16" s="1905"/>
      <c r="W16" s="1906"/>
      <c r="X16" s="690" t="str">
        <f>IF(Y11="","",HLOOKUP($Y$11,$AA$15:$AG$37,Y18,0))</f>
        <v/>
      </c>
      <c r="Y16" s="691"/>
      <c r="Z16" s="692"/>
      <c r="AA16" s="693"/>
      <c r="AB16" s="694"/>
      <c r="AC16" s="694"/>
      <c r="AD16" s="695"/>
      <c r="AE16" s="694"/>
      <c r="AF16" s="694"/>
      <c r="AG16" s="696"/>
    </row>
    <row r="17" spans="1:34" s="671" customFormat="1" ht="15.95" customHeight="1">
      <c r="A17" s="1907" t="s">
        <v>454</v>
      </c>
      <c r="B17" s="1908"/>
      <c r="C17" s="1908"/>
      <c r="D17" s="1909"/>
      <c r="E17" s="1913" t="s">
        <v>455</v>
      </c>
      <c r="F17" s="1913"/>
      <c r="G17" s="1913"/>
      <c r="H17" s="1913"/>
      <c r="I17" s="1913"/>
      <c r="J17" s="1913"/>
      <c r="K17" s="1913"/>
      <c r="L17" s="1913"/>
      <c r="M17" s="1913"/>
      <c r="N17" s="1913"/>
      <c r="O17" s="1914" t="s">
        <v>456</v>
      </c>
      <c r="P17" s="1914"/>
      <c r="Q17" s="1915"/>
      <c r="R17" s="1916">
        <v>224</v>
      </c>
      <c r="S17" s="1917"/>
      <c r="T17" s="1879" t="str">
        <f>IF(X9="SEMANAL","N/A",IF('10% De Finos (2)'!I17="","",'10% De Finos (2)'!I17))</f>
        <v/>
      </c>
      <c r="U17" s="1880"/>
      <c r="V17" s="1880"/>
      <c r="W17" s="1881"/>
      <c r="X17" s="697" t="str">
        <f>IF(Y11="","",HLOOKUP($Y$11,$AA$15:$AG$37,Y19,0))</f>
        <v/>
      </c>
      <c r="Y17" s="683">
        <v>3</v>
      </c>
      <c r="Z17" s="684"/>
      <c r="AA17" s="698">
        <v>35</v>
      </c>
      <c r="AB17" s="699">
        <v>40</v>
      </c>
      <c r="AC17" s="700">
        <v>40</v>
      </c>
      <c r="AD17" s="701">
        <v>40</v>
      </c>
      <c r="AE17" s="699">
        <v>40</v>
      </c>
      <c r="AF17" s="700">
        <v>45</v>
      </c>
      <c r="AG17" s="702">
        <v>50</v>
      </c>
    </row>
    <row r="18" spans="1:34" s="671" customFormat="1" ht="15.95" customHeight="1">
      <c r="A18" s="1910"/>
      <c r="B18" s="1911"/>
      <c r="C18" s="1911"/>
      <c r="D18" s="1912"/>
      <c r="E18" s="1882" t="s">
        <v>457</v>
      </c>
      <c r="F18" s="1883"/>
      <c r="G18" s="1883"/>
      <c r="H18" s="1883"/>
      <c r="I18" s="1883"/>
      <c r="J18" s="1883"/>
      <c r="K18" s="1883"/>
      <c r="L18" s="1883"/>
      <c r="M18" s="1883"/>
      <c r="N18" s="1883"/>
      <c r="O18" s="1884" t="s">
        <v>458</v>
      </c>
      <c r="P18" s="1884"/>
      <c r="Q18" s="1885"/>
      <c r="R18" s="1918"/>
      <c r="S18" s="1919"/>
      <c r="T18" s="1886" t="str">
        <f>IF(X9="SEMANAL","N/A",IF('10% De Finos (2)'!I18="","",'10% De Finos (2)'!I18))</f>
        <v/>
      </c>
      <c r="U18" s="1887"/>
      <c r="V18" s="1887"/>
      <c r="W18" s="1888"/>
      <c r="X18" s="703" t="str">
        <f>IF(Y11="","",HLOOKUP($Y$11,$AA$15:$AG$37,Y20,0))</f>
        <v/>
      </c>
      <c r="Y18" s="691">
        <v>4</v>
      </c>
      <c r="Z18" s="684"/>
      <c r="AA18" s="704">
        <v>20</v>
      </c>
      <c r="AB18" s="705">
        <v>25</v>
      </c>
      <c r="AC18" s="706">
        <v>30</v>
      </c>
      <c r="AD18" s="707">
        <v>30</v>
      </c>
      <c r="AE18" s="705">
        <v>35</v>
      </c>
      <c r="AF18" s="706">
        <v>35</v>
      </c>
      <c r="AG18" s="708" t="s">
        <v>459</v>
      </c>
    </row>
    <row r="19" spans="1:34" s="671" customFormat="1" ht="15.95" customHeight="1">
      <c r="A19" s="1858" t="s">
        <v>460</v>
      </c>
      <c r="B19" s="1859"/>
      <c r="C19" s="1859"/>
      <c r="D19" s="1859"/>
      <c r="E19" s="1859"/>
      <c r="F19" s="1859"/>
      <c r="G19" s="1859"/>
      <c r="H19" s="1859"/>
      <c r="I19" s="1859"/>
      <c r="J19" s="1859"/>
      <c r="K19" s="1859"/>
      <c r="L19" s="1859"/>
      <c r="M19" s="1859"/>
      <c r="N19" s="1859"/>
      <c r="O19" s="1859"/>
      <c r="P19" s="1859"/>
      <c r="Q19" s="1859"/>
      <c r="R19" s="669"/>
      <c r="S19" s="669"/>
      <c r="T19" s="669"/>
      <c r="U19" s="669"/>
      <c r="V19" s="669"/>
      <c r="W19" s="669"/>
      <c r="X19" s="709"/>
      <c r="Y19" s="683">
        <v>5</v>
      </c>
      <c r="Z19" s="684"/>
      <c r="AA19" s="704">
        <v>100</v>
      </c>
      <c r="AB19" s="705">
        <v>75</v>
      </c>
      <c r="AC19" s="706">
        <v>60</v>
      </c>
      <c r="AD19" s="707">
        <v>60</v>
      </c>
      <c r="AE19" s="705">
        <v>50</v>
      </c>
      <c r="AF19" s="706">
        <v>40</v>
      </c>
      <c r="AG19" s="708" t="s">
        <v>459</v>
      </c>
    </row>
    <row r="20" spans="1:34" s="671" customFormat="1" ht="15.95" customHeight="1">
      <c r="A20" s="1922" t="s">
        <v>461</v>
      </c>
      <c r="B20" s="1923"/>
      <c r="C20" s="1923"/>
      <c r="D20" s="1923"/>
      <c r="E20" s="1923"/>
      <c r="F20" s="1923"/>
      <c r="G20" s="1923"/>
      <c r="H20" s="1923"/>
      <c r="I20" s="1923"/>
      <c r="J20" s="1923"/>
      <c r="K20" s="1923"/>
      <c r="L20" s="1923"/>
      <c r="M20" s="1923"/>
      <c r="N20" s="1923"/>
      <c r="O20" s="1924" t="s">
        <v>462</v>
      </c>
      <c r="P20" s="1924"/>
      <c r="Q20" s="1924"/>
      <c r="R20" s="1872">
        <v>220</v>
      </c>
      <c r="S20" s="1873"/>
      <c r="T20" s="1920">
        <f>IF(OR(X9="QUINCENAL ",X9="SEMANAL"),"N/A",IF(Solidez!U27="","",MAX(Solidez!U27,Solidez!U36)))</f>
        <v>0</v>
      </c>
      <c r="U20" s="1921"/>
      <c r="V20" s="1921"/>
      <c r="W20" s="1921"/>
      <c r="X20" s="710" t="str">
        <f>IF(Y11="","",HLOOKUP($Y$11,$AA$15:$AG$37,Y22,0))</f>
        <v/>
      </c>
      <c r="Y20" s="691">
        <v>6</v>
      </c>
      <c r="Z20" s="684"/>
      <c r="AA20" s="711">
        <v>75</v>
      </c>
      <c r="AB20" s="712">
        <v>75</v>
      </c>
      <c r="AC20" s="713">
        <v>75</v>
      </c>
      <c r="AD20" s="714">
        <v>75</v>
      </c>
      <c r="AE20" s="712">
        <v>70</v>
      </c>
      <c r="AF20" s="713">
        <v>65</v>
      </c>
      <c r="AG20" s="708" t="s">
        <v>459</v>
      </c>
    </row>
    <row r="21" spans="1:34" s="657" customFormat="1" ht="17.100000000000001" customHeight="1">
      <c r="A21" s="1858" t="s">
        <v>463</v>
      </c>
      <c r="B21" s="1859"/>
      <c r="C21" s="1859"/>
      <c r="D21" s="1859"/>
      <c r="E21" s="1859"/>
      <c r="F21" s="1859"/>
      <c r="G21" s="1859"/>
      <c r="H21" s="1859"/>
      <c r="I21" s="1859"/>
      <c r="J21" s="1859"/>
      <c r="K21" s="1859"/>
      <c r="L21" s="1859"/>
      <c r="M21" s="1859"/>
      <c r="N21" s="1859"/>
      <c r="O21" s="1859"/>
      <c r="P21" s="1859"/>
      <c r="Q21" s="1859"/>
      <c r="R21" s="669"/>
      <c r="S21" s="669"/>
      <c r="T21" s="669"/>
      <c r="U21" s="669"/>
      <c r="V21" s="669"/>
      <c r="W21" s="669"/>
      <c r="X21" s="709"/>
      <c r="Y21" s="683">
        <v>7</v>
      </c>
      <c r="Z21" s="692"/>
      <c r="AA21" s="693"/>
      <c r="AB21" s="694"/>
      <c r="AC21" s="694"/>
      <c r="AD21" s="695"/>
      <c r="AE21" s="694"/>
      <c r="AF21" s="694"/>
      <c r="AG21" s="696"/>
    </row>
    <row r="22" spans="1:34" s="671" customFormat="1" ht="15.95" customHeight="1">
      <c r="A22" s="1889" t="s">
        <v>464</v>
      </c>
      <c r="B22" s="1890"/>
      <c r="C22" s="1890"/>
      <c r="D22" s="1890"/>
      <c r="E22" s="1890"/>
      <c r="F22" s="1890"/>
      <c r="G22" s="1890"/>
      <c r="H22" s="1890"/>
      <c r="I22" s="1890"/>
      <c r="J22" s="1890"/>
      <c r="K22" s="1890"/>
      <c r="L22" s="1890"/>
      <c r="M22" s="1890"/>
      <c r="N22" s="1890"/>
      <c r="O22" s="1891" t="s">
        <v>452</v>
      </c>
      <c r="P22" s="1891"/>
      <c r="Q22" s="1892"/>
      <c r="R22" s="1893">
        <v>125</v>
      </c>
      <c r="S22" s="1894"/>
      <c r="T22" s="1895" t="str">
        <f>IF(T6="","",'5. Limites M1'!N21)</f>
        <v/>
      </c>
      <c r="U22" s="1896"/>
      <c r="V22" s="1896"/>
      <c r="W22" s="1897"/>
      <c r="X22" s="682" t="str">
        <f>IF(Y11="","",HLOOKUP($Y$11,$AA$15:$AG$37,Y24,0))</f>
        <v/>
      </c>
      <c r="Y22" s="691">
        <v>8</v>
      </c>
      <c r="Z22" s="684"/>
      <c r="AA22" s="685">
        <v>18</v>
      </c>
      <c r="AB22" s="686">
        <v>18</v>
      </c>
      <c r="AC22" s="687">
        <v>18</v>
      </c>
      <c r="AD22" s="688">
        <v>18</v>
      </c>
      <c r="AE22" s="686">
        <v>18</v>
      </c>
      <c r="AF22" s="687">
        <v>18</v>
      </c>
      <c r="AG22" s="689">
        <v>18</v>
      </c>
    </row>
    <row r="23" spans="1:34" s="657" customFormat="1" ht="17.100000000000001" customHeight="1">
      <c r="A23" s="1898" t="s">
        <v>465</v>
      </c>
      <c r="B23" s="1899"/>
      <c r="C23" s="1899"/>
      <c r="D23" s="1899"/>
      <c r="E23" s="1899"/>
      <c r="F23" s="1899"/>
      <c r="G23" s="1899"/>
      <c r="H23" s="1899"/>
      <c r="I23" s="1899"/>
      <c r="J23" s="1899"/>
      <c r="K23" s="1899"/>
      <c r="L23" s="1899"/>
      <c r="M23" s="1899"/>
      <c r="N23" s="1899"/>
      <c r="O23" s="1925" t="s">
        <v>452</v>
      </c>
      <c r="P23" s="1925"/>
      <c r="Q23" s="1926"/>
      <c r="R23" s="1902">
        <v>126</v>
      </c>
      <c r="S23" s="1903"/>
      <c r="T23" s="1927" t="str">
        <f>IF('5. Limites M1'!N23="","",'5. Limites M1'!N23)</f>
        <v/>
      </c>
      <c r="U23" s="1928"/>
      <c r="V23" s="1928"/>
      <c r="W23" s="1929"/>
      <c r="X23" s="715" t="str">
        <f>IF(Y11="","",HLOOKUP($Y$11,$AA$15:$AG$37,Y25,0))</f>
        <v/>
      </c>
      <c r="Y23" s="683">
        <v>9</v>
      </c>
      <c r="Z23" s="692"/>
      <c r="AA23" s="693"/>
      <c r="AB23" s="694"/>
      <c r="AC23" s="694"/>
      <c r="AD23" s="695"/>
      <c r="AE23" s="694"/>
      <c r="AF23" s="694"/>
      <c r="AG23" s="696"/>
    </row>
    <row r="24" spans="1:34" s="671" customFormat="1" ht="15.95" customHeight="1">
      <c r="A24" s="1930" t="s">
        <v>697</v>
      </c>
      <c r="B24" s="1931"/>
      <c r="C24" s="1931"/>
      <c r="D24" s="1931"/>
      <c r="E24" s="1931"/>
      <c r="F24" s="1931"/>
      <c r="G24" s="1931"/>
      <c r="H24" s="1931"/>
      <c r="I24" s="1931"/>
      <c r="J24" s="1931"/>
      <c r="K24" s="1931"/>
      <c r="L24" s="1931"/>
      <c r="M24" s="1931"/>
      <c r="N24" s="1931"/>
      <c r="O24" s="1932" t="s">
        <v>458</v>
      </c>
      <c r="P24" s="1932"/>
      <c r="Q24" s="1933"/>
      <c r="R24" s="1934">
        <v>133</v>
      </c>
      <c r="S24" s="1935"/>
      <c r="T24" s="1927" t="str">
        <f>+IF('7. E.A. M1'!H23="","",'7. E.A. M1'!H23)</f>
        <v/>
      </c>
      <c r="U24" s="1928"/>
      <c r="V24" s="1928"/>
      <c r="W24" s="1929"/>
      <c r="X24" s="715" t="str">
        <f>IF(Y11="","",HLOOKUP($Y$11,$AA$15:$AG$37,Y26,0))</f>
        <v/>
      </c>
      <c r="Y24" s="691">
        <v>10</v>
      </c>
      <c r="Z24" s="684"/>
      <c r="AA24" s="698">
        <v>25</v>
      </c>
      <c r="AB24" s="717">
        <v>25</v>
      </c>
      <c r="AC24" s="718">
        <v>25</v>
      </c>
      <c r="AD24" s="701">
        <v>25</v>
      </c>
      <c r="AE24" s="717">
        <v>25</v>
      </c>
      <c r="AF24" s="718">
        <v>25</v>
      </c>
      <c r="AG24" s="702">
        <v>40</v>
      </c>
    </row>
    <row r="25" spans="1:34" s="671" customFormat="1" ht="15.95" customHeight="1">
      <c r="A25" s="1930" t="s">
        <v>466</v>
      </c>
      <c r="B25" s="1931"/>
      <c r="C25" s="1931"/>
      <c r="D25" s="1931"/>
      <c r="E25" s="1931"/>
      <c r="F25" s="1931"/>
      <c r="G25" s="1931"/>
      <c r="H25" s="1931"/>
      <c r="I25" s="1931"/>
      <c r="J25" s="1931"/>
      <c r="K25" s="1931"/>
      <c r="L25" s="1931"/>
      <c r="M25" s="1931"/>
      <c r="N25" s="1931"/>
      <c r="O25" s="1932"/>
      <c r="P25" s="1932"/>
      <c r="Q25" s="1933"/>
      <c r="R25" s="1934">
        <v>214</v>
      </c>
      <c r="S25" s="1935"/>
      <c r="T25" s="1937" t="str">
        <f>+IF('Lavado tamiz N°200 '!I18="","",'Lavado tamiz N°200 '!I18)</f>
        <v/>
      </c>
      <c r="U25" s="1938"/>
      <c r="V25" s="1938"/>
      <c r="W25" s="1939"/>
      <c r="X25" s="716" t="str">
        <f>IF(Y11="","",HLOOKUP($Y$11,$AA$15:$AG$37,Y27,0))</f>
        <v/>
      </c>
      <c r="Y25" s="691">
        <v>11</v>
      </c>
      <c r="Z25" s="684"/>
      <c r="AA25" s="704" t="s">
        <v>468</v>
      </c>
      <c r="AB25" s="719" t="s">
        <v>468</v>
      </c>
      <c r="AC25" s="720">
        <v>3</v>
      </c>
      <c r="AD25" s="707">
        <v>3</v>
      </c>
      <c r="AE25" s="719">
        <v>3</v>
      </c>
      <c r="AF25" s="720">
        <v>6</v>
      </c>
      <c r="AG25" s="708">
        <v>10</v>
      </c>
    </row>
    <row r="26" spans="1:34" s="671" customFormat="1" ht="15.95" customHeight="1">
      <c r="A26" s="1940" t="s">
        <v>467</v>
      </c>
      <c r="B26" s="1883"/>
      <c r="C26" s="1883"/>
      <c r="D26" s="1883"/>
      <c r="E26" s="1883"/>
      <c r="F26" s="1883"/>
      <c r="G26" s="1883"/>
      <c r="H26" s="1883"/>
      <c r="I26" s="1883"/>
      <c r="J26" s="1883"/>
      <c r="K26" s="1883"/>
      <c r="L26" s="1883"/>
      <c r="M26" s="1883"/>
      <c r="N26" s="1883"/>
      <c r="O26" s="1884" t="s">
        <v>452</v>
      </c>
      <c r="P26" s="1884"/>
      <c r="Q26" s="1885"/>
      <c r="R26" s="1941">
        <v>211</v>
      </c>
      <c r="S26" s="1942"/>
      <c r="T26" s="1943" t="str">
        <f>+IF('TERRONES DE ARCILLA (2)'!J22="","",'TERRONES DE ARCILLA (2)'!J22)</f>
        <v/>
      </c>
      <c r="U26" s="1944"/>
      <c r="V26" s="1944"/>
      <c r="W26" s="1945"/>
      <c r="X26" s="703" t="str">
        <f>IF(Y11="","",HLOOKUP($Y$11,$AA$15:$AG$37,Y28,0))</f>
        <v/>
      </c>
      <c r="Y26" s="683">
        <v>12</v>
      </c>
      <c r="Z26" s="684"/>
      <c r="AA26" s="704">
        <v>20</v>
      </c>
      <c r="AB26" s="704">
        <v>20</v>
      </c>
      <c r="AC26" s="704">
        <v>20</v>
      </c>
      <c r="AD26" s="704">
        <v>20</v>
      </c>
      <c r="AE26" s="704">
        <v>18</v>
      </c>
      <c r="AF26" s="704">
        <v>18</v>
      </c>
      <c r="AG26" s="704"/>
    </row>
    <row r="27" spans="1:34" s="671" customFormat="1" ht="15.95" customHeight="1">
      <c r="A27" s="1858" t="s">
        <v>469</v>
      </c>
      <c r="B27" s="1859"/>
      <c r="C27" s="1859"/>
      <c r="D27" s="1859"/>
      <c r="E27" s="1859"/>
      <c r="F27" s="1859"/>
      <c r="G27" s="1859"/>
      <c r="H27" s="1859"/>
      <c r="I27" s="1859"/>
      <c r="J27" s="1859"/>
      <c r="K27" s="1859"/>
      <c r="L27" s="1859"/>
      <c r="M27" s="1859"/>
      <c r="N27" s="1859"/>
      <c r="O27" s="1859"/>
      <c r="P27" s="1859"/>
      <c r="Q27" s="1859"/>
      <c r="R27" s="669"/>
      <c r="S27" s="669"/>
      <c r="T27" s="669"/>
      <c r="U27" s="669"/>
      <c r="V27" s="669"/>
      <c r="W27" s="669"/>
      <c r="X27" s="709"/>
      <c r="Y27" s="691">
        <v>13</v>
      </c>
      <c r="Z27" s="684"/>
      <c r="AA27" s="704" t="s">
        <v>470</v>
      </c>
      <c r="AB27" s="704" t="s">
        <v>470</v>
      </c>
      <c r="AC27" s="704" t="s">
        <v>470</v>
      </c>
      <c r="AD27" s="704" t="s">
        <v>470</v>
      </c>
      <c r="AE27" s="704" t="s">
        <v>470</v>
      </c>
      <c r="AF27" s="704" t="s">
        <v>470</v>
      </c>
      <c r="AG27" s="704" t="s">
        <v>470</v>
      </c>
    </row>
    <row r="28" spans="1:34" s="657" customFormat="1" ht="17.100000000000001" customHeight="1">
      <c r="A28" s="1946" t="s">
        <v>471</v>
      </c>
      <c r="B28" s="1947"/>
      <c r="C28" s="1947"/>
      <c r="D28" s="1947"/>
      <c r="E28" s="1947"/>
      <c r="F28" s="1947"/>
      <c r="G28" s="1947"/>
      <c r="H28" s="1947"/>
      <c r="I28" s="1947"/>
      <c r="J28" s="1948"/>
      <c r="K28" s="1952" t="s">
        <v>472</v>
      </c>
      <c r="L28" s="1952"/>
      <c r="M28" s="1952"/>
      <c r="N28" s="1952"/>
      <c r="O28" s="1953" t="s">
        <v>458</v>
      </c>
      <c r="P28" s="1953"/>
      <c r="Q28" s="1954"/>
      <c r="R28" s="1955">
        <v>227</v>
      </c>
      <c r="S28" s="1956"/>
      <c r="T28" s="1895" t="str">
        <f>+IF('CF - IF '!I20="","",'CF - IF '!I20)</f>
        <v/>
      </c>
      <c r="U28" s="1896"/>
      <c r="V28" s="1896"/>
      <c r="W28" s="1897"/>
      <c r="X28" s="682" t="str">
        <f>IF(Y11="","",HLOOKUP($Y$11,$AA$15:$AG$37,Y30,0))</f>
        <v/>
      </c>
      <c r="Y28" s="691">
        <v>14</v>
      </c>
      <c r="Z28" s="684"/>
      <c r="AA28" s="711">
        <v>2</v>
      </c>
      <c r="AB28" s="721">
        <v>2</v>
      </c>
      <c r="AC28" s="722">
        <v>2</v>
      </c>
      <c r="AD28" s="714">
        <v>2</v>
      </c>
      <c r="AE28" s="721">
        <v>2</v>
      </c>
      <c r="AF28" s="722">
        <v>2</v>
      </c>
      <c r="AG28" s="723" t="s">
        <v>459</v>
      </c>
      <c r="AH28" s="671"/>
    </row>
    <row r="29" spans="1:34" s="671" customFormat="1" ht="15.95" customHeight="1">
      <c r="A29" s="1949"/>
      <c r="B29" s="1950"/>
      <c r="C29" s="1950"/>
      <c r="D29" s="1950"/>
      <c r="E29" s="1950"/>
      <c r="F29" s="1950"/>
      <c r="G29" s="1950"/>
      <c r="H29" s="1950"/>
      <c r="I29" s="1950"/>
      <c r="J29" s="1951"/>
      <c r="K29" s="1936" t="s">
        <v>473</v>
      </c>
      <c r="L29" s="1899"/>
      <c r="M29" s="1899"/>
      <c r="N29" s="1899"/>
      <c r="O29" s="1925" t="s">
        <v>458</v>
      </c>
      <c r="P29" s="1925"/>
      <c r="Q29" s="1926"/>
      <c r="R29" s="1957"/>
      <c r="S29" s="1935"/>
      <c r="T29" s="1879" t="str">
        <f>+IF('CF - IF '!R20="","",'CF - IF '!R20)</f>
        <v/>
      </c>
      <c r="U29" s="1880"/>
      <c r="V29" s="1880"/>
      <c r="W29" s="1881"/>
      <c r="X29" s="697" t="str">
        <f>IF(Y11="","",HLOOKUP($Y$11,$AA$15:$AG$37,Y31,0))</f>
        <v/>
      </c>
      <c r="Y29" s="683">
        <v>15</v>
      </c>
      <c r="Z29" s="692"/>
      <c r="AA29" s="693"/>
      <c r="AB29" s="694"/>
      <c r="AC29" s="694"/>
      <c r="AD29" s="695"/>
      <c r="AE29" s="694"/>
      <c r="AF29" s="694"/>
      <c r="AG29" s="696"/>
      <c r="AH29" s="657"/>
    </row>
    <row r="30" spans="1:34" s="671" customFormat="1" ht="15.95" customHeight="1">
      <c r="A30" s="1958" t="s">
        <v>474</v>
      </c>
      <c r="B30" s="1959"/>
      <c r="C30" s="1959"/>
      <c r="D30" s="1959"/>
      <c r="E30" s="1959"/>
      <c r="F30" s="1959"/>
      <c r="G30" s="1959"/>
      <c r="H30" s="1959"/>
      <c r="I30" s="1959"/>
      <c r="J30" s="1959"/>
      <c r="K30" s="1959"/>
      <c r="L30" s="1959"/>
      <c r="M30" s="1959"/>
      <c r="N30" s="1959"/>
      <c r="O30" s="1960" t="s">
        <v>452</v>
      </c>
      <c r="P30" s="1960"/>
      <c r="Q30" s="1961"/>
      <c r="R30" s="1962">
        <v>230</v>
      </c>
      <c r="S30" s="1963"/>
      <c r="T30" s="1879" t="str">
        <f>IF(Y11="","",IF(OR(Y11=AA15,Y11=AB15,Y11=AC15),'CF - IF '!J38,"N/A"))</f>
        <v/>
      </c>
      <c r="U30" s="1880"/>
      <c r="V30" s="1880"/>
      <c r="W30" s="1881"/>
      <c r="X30" s="724" t="str">
        <f>IF(Y11="","",HLOOKUP($Y$11,$AA$15:$AG$37,Y32,0))</f>
        <v/>
      </c>
      <c r="Y30" s="691">
        <v>16</v>
      </c>
      <c r="Z30" s="684"/>
      <c r="AA30" s="698">
        <v>85</v>
      </c>
      <c r="AB30" s="717">
        <v>85</v>
      </c>
      <c r="AC30" s="718">
        <v>60</v>
      </c>
      <c r="AD30" s="701">
        <v>50</v>
      </c>
      <c r="AE30" s="717" t="s">
        <v>459</v>
      </c>
      <c r="AF30" s="718" t="s">
        <v>459</v>
      </c>
      <c r="AG30" s="702" t="s">
        <v>459</v>
      </c>
    </row>
    <row r="31" spans="1:34" s="671" customFormat="1" ht="15.95" customHeight="1">
      <c r="A31" s="1966" t="s">
        <v>475</v>
      </c>
      <c r="B31" s="1967"/>
      <c r="C31" s="1967"/>
      <c r="D31" s="1967"/>
      <c r="E31" s="1967"/>
      <c r="F31" s="1967"/>
      <c r="G31" s="1967"/>
      <c r="H31" s="1967"/>
      <c r="I31" s="1967"/>
      <c r="J31" s="1967"/>
      <c r="K31" s="1967"/>
      <c r="L31" s="1967"/>
      <c r="M31" s="1967"/>
      <c r="N31" s="1967"/>
      <c r="O31" s="1968" t="s">
        <v>452</v>
      </c>
      <c r="P31" s="1968"/>
      <c r="Q31" s="1969"/>
      <c r="R31" s="1964"/>
      <c r="S31" s="1965"/>
      <c r="T31" s="1879" t="str">
        <f>IF(Y11="","",IF(OR(Y11=AA15,Y11=AB15,Y11=AC15),'CF - IF '!AE38,"N/A"))</f>
        <v/>
      </c>
      <c r="U31" s="1880"/>
      <c r="V31" s="1880"/>
      <c r="W31" s="1881"/>
      <c r="X31" s="724" t="str">
        <f>IF(Y11="","",HLOOKUP($Y$11,$AA$15:$AG$37,Y33,0))</f>
        <v/>
      </c>
      <c r="Y31" s="683">
        <v>17</v>
      </c>
      <c r="Z31" s="684"/>
      <c r="AA31" s="704">
        <v>60</v>
      </c>
      <c r="AB31" s="719">
        <v>60</v>
      </c>
      <c r="AC31" s="720">
        <v>40</v>
      </c>
      <c r="AD31" s="707">
        <v>30</v>
      </c>
      <c r="AE31" s="719" t="s">
        <v>459</v>
      </c>
      <c r="AF31" s="720" t="s">
        <v>459</v>
      </c>
      <c r="AG31" s="708" t="s">
        <v>459</v>
      </c>
    </row>
    <row r="32" spans="1:34" s="671" customFormat="1" ht="15.95" customHeight="1">
      <c r="A32" s="1970" t="s">
        <v>476</v>
      </c>
      <c r="B32" s="1971"/>
      <c r="C32" s="1971"/>
      <c r="D32" s="1971"/>
      <c r="E32" s="1971"/>
      <c r="F32" s="1971"/>
      <c r="G32" s="1971"/>
      <c r="H32" s="1971"/>
      <c r="I32" s="1971"/>
      <c r="J32" s="1971"/>
      <c r="K32" s="1971"/>
      <c r="L32" s="1971"/>
      <c r="M32" s="1971"/>
      <c r="N32" s="1971"/>
      <c r="O32" s="1884" t="s">
        <v>458</v>
      </c>
      <c r="P32" s="1884"/>
      <c r="Q32" s="1885"/>
      <c r="R32" s="1972">
        <v>239</v>
      </c>
      <c r="S32" s="1919"/>
      <c r="T32" s="1886" t="str">
        <f>IF(Y11="","",IF(OR(Y11=AA15,Y11=AB15,Y11=AC15),ANGULARIDAD!Q26,"N/A"))</f>
        <v/>
      </c>
      <c r="U32" s="1887"/>
      <c r="V32" s="1887"/>
      <c r="W32" s="1888"/>
      <c r="X32" s="725" t="str">
        <f>IF(Y11="","",HLOOKUP($Y$11,$AA$15:$AG$37,Y34,0))</f>
        <v/>
      </c>
      <c r="Y32" s="691">
        <v>18</v>
      </c>
      <c r="Z32" s="684"/>
      <c r="AA32" s="704">
        <v>35</v>
      </c>
      <c r="AB32" s="719">
        <v>35</v>
      </c>
      <c r="AC32" s="720">
        <v>35</v>
      </c>
      <c r="AD32" s="707" t="s">
        <v>459</v>
      </c>
      <c r="AE32" s="719" t="s">
        <v>459</v>
      </c>
      <c r="AF32" s="720" t="s">
        <v>459</v>
      </c>
      <c r="AG32" s="708" t="s">
        <v>459</v>
      </c>
    </row>
    <row r="33" spans="1:34" s="671" customFormat="1" ht="15.95" customHeight="1">
      <c r="A33" s="1858" t="s">
        <v>477</v>
      </c>
      <c r="B33" s="1859"/>
      <c r="C33" s="1859"/>
      <c r="D33" s="1859"/>
      <c r="E33" s="1859"/>
      <c r="F33" s="1859"/>
      <c r="G33" s="1859"/>
      <c r="H33" s="1859"/>
      <c r="I33" s="1859"/>
      <c r="J33" s="1859"/>
      <c r="K33" s="1859"/>
      <c r="L33" s="1859"/>
      <c r="M33" s="1859"/>
      <c r="N33" s="1859"/>
      <c r="O33" s="1859"/>
      <c r="P33" s="1859"/>
      <c r="Q33" s="1859"/>
      <c r="R33" s="669"/>
      <c r="S33" s="669"/>
      <c r="T33" s="669"/>
      <c r="U33" s="669"/>
      <c r="V33" s="669"/>
      <c r="W33" s="669"/>
      <c r="X33" s="726"/>
      <c r="Y33" s="683">
        <v>19</v>
      </c>
      <c r="Z33" s="684"/>
      <c r="AA33" s="704">
        <v>35</v>
      </c>
      <c r="AB33" s="719">
        <v>35</v>
      </c>
      <c r="AC33" s="720">
        <v>35</v>
      </c>
      <c r="AD33" s="707" t="s">
        <v>459</v>
      </c>
      <c r="AE33" s="719" t="s">
        <v>459</v>
      </c>
      <c r="AF33" s="720" t="s">
        <v>459</v>
      </c>
      <c r="AG33" s="708" t="s">
        <v>459</v>
      </c>
    </row>
    <row r="34" spans="1:34" s="657" customFormat="1" ht="17.100000000000001" customHeight="1">
      <c r="A34" s="1889" t="s">
        <v>478</v>
      </c>
      <c r="B34" s="1890"/>
      <c r="C34" s="1890"/>
      <c r="D34" s="1890"/>
      <c r="E34" s="1890"/>
      <c r="F34" s="1890"/>
      <c r="G34" s="1890"/>
      <c r="H34" s="1890"/>
      <c r="I34" s="1890"/>
      <c r="J34" s="1890"/>
      <c r="K34" s="1890"/>
      <c r="L34" s="1890"/>
      <c r="M34" s="1890"/>
      <c r="N34" s="1890"/>
      <c r="O34" s="1891" t="s">
        <v>479</v>
      </c>
      <c r="P34" s="1891"/>
      <c r="Q34" s="1892"/>
      <c r="R34" s="1893">
        <v>142</v>
      </c>
      <c r="S34" s="1894"/>
      <c r="T34" s="1895" t="str">
        <f>IF(OR(X9="QUINCENAL ",X9="SEMANAL"),"N/A",IF(PROCTOR!J33="","",PROCTOR!J33))</f>
        <v/>
      </c>
      <c r="U34" s="1896"/>
      <c r="V34" s="1896"/>
      <c r="W34" s="1897"/>
      <c r="X34" s="727" t="str">
        <f>IF(Y11="","",HLOOKUP($Y$11,$AA$15:$AG$37,Y36,0))</f>
        <v/>
      </c>
      <c r="Y34" s="728">
        <v>20</v>
      </c>
      <c r="Z34" s="684"/>
      <c r="AA34" s="704">
        <v>35</v>
      </c>
      <c r="AB34" s="719">
        <v>35</v>
      </c>
      <c r="AC34" s="720">
        <v>35</v>
      </c>
      <c r="AD34" s="707" t="s">
        <v>459</v>
      </c>
      <c r="AE34" s="719" t="s">
        <v>459</v>
      </c>
      <c r="AF34" s="720" t="s">
        <v>459</v>
      </c>
      <c r="AG34" s="708" t="s">
        <v>459</v>
      </c>
      <c r="AH34" s="671"/>
    </row>
    <row r="35" spans="1:34" s="671" customFormat="1" ht="15" customHeight="1">
      <c r="A35" s="729" t="s">
        <v>123</v>
      </c>
      <c r="B35" s="730"/>
      <c r="C35" s="730"/>
      <c r="D35" s="1978" t="str">
        <f>+IF(Y11="","",HLOOKUP(Y11,AA15:AG42,Y42,0))</f>
        <v/>
      </c>
      <c r="E35" s="1978"/>
      <c r="F35" s="1978"/>
      <c r="G35" s="1978"/>
      <c r="H35" s="1978"/>
      <c r="I35" s="1978"/>
      <c r="J35" s="1978"/>
      <c r="K35" s="1978"/>
      <c r="L35" s="1978"/>
      <c r="M35" s="1978"/>
      <c r="N35" s="1978"/>
      <c r="O35" s="1979" t="s">
        <v>458</v>
      </c>
      <c r="P35" s="1979"/>
      <c r="Q35" s="1980"/>
      <c r="R35" s="1972">
        <v>148</v>
      </c>
      <c r="S35" s="1919"/>
      <c r="T35" s="1981" t="str">
        <f>+' CBR (2)'!G32</f>
        <v/>
      </c>
      <c r="U35" s="1982"/>
      <c r="V35" s="1982"/>
      <c r="W35" s="1983"/>
      <c r="X35" s="731" t="str">
        <f>IF(Y11="","",HLOOKUP($Y$11,$AA$15:$AG$37,Y37,0))</f>
        <v/>
      </c>
      <c r="Y35" s="683">
        <v>21</v>
      </c>
      <c r="Z35" s="692"/>
      <c r="AA35" s="693"/>
      <c r="AB35" s="694"/>
      <c r="AC35" s="694"/>
      <c r="AD35" s="695"/>
      <c r="AE35" s="694"/>
      <c r="AF35" s="694"/>
      <c r="AG35" s="696"/>
      <c r="AH35" s="657"/>
    </row>
    <row r="36" spans="1:34" s="671" customFormat="1" ht="15" customHeight="1">
      <c r="A36" s="1984" t="s">
        <v>10</v>
      </c>
      <c r="B36" s="1985"/>
      <c r="C36" s="1985"/>
      <c r="D36" s="1985"/>
      <c r="E36" s="1986"/>
      <c r="F36" s="1986"/>
      <c r="G36" s="1986"/>
      <c r="H36" s="1986"/>
      <c r="I36" s="1986"/>
      <c r="J36" s="1986"/>
      <c r="K36" s="1986"/>
      <c r="L36" s="1986"/>
      <c r="M36" s="1986"/>
      <c r="N36" s="1986"/>
      <c r="O36" s="1986"/>
      <c r="P36" s="1986"/>
      <c r="Q36" s="1986"/>
      <c r="R36" s="1986"/>
      <c r="S36" s="1986"/>
      <c r="T36" s="1986"/>
      <c r="U36" s="1986"/>
      <c r="V36" s="1986"/>
      <c r="W36" s="1986"/>
      <c r="X36" s="1987"/>
      <c r="Y36" s="691">
        <v>22</v>
      </c>
      <c r="Z36" s="684"/>
      <c r="AA36" s="685" t="s">
        <v>480</v>
      </c>
      <c r="AB36" s="686" t="s">
        <v>480</v>
      </c>
      <c r="AC36" s="687" t="s">
        <v>480</v>
      </c>
      <c r="AD36" s="688" t="s">
        <v>480</v>
      </c>
      <c r="AE36" s="686" t="s">
        <v>480</v>
      </c>
      <c r="AF36" s="687" t="s">
        <v>480</v>
      </c>
      <c r="AG36" s="689" t="s">
        <v>480</v>
      </c>
    </row>
    <row r="37" spans="1:34" s="740" customFormat="1" ht="15" customHeight="1">
      <c r="A37" s="732"/>
      <c r="B37" s="1973"/>
      <c r="C37" s="1973"/>
      <c r="D37" s="1973"/>
      <c r="E37" s="1973"/>
      <c r="F37" s="1973"/>
      <c r="G37" s="1973"/>
      <c r="H37" s="1973"/>
      <c r="I37" s="1973"/>
      <c r="J37" s="1973"/>
      <c r="K37" s="1973"/>
      <c r="L37" s="1973"/>
      <c r="M37" s="1973"/>
      <c r="N37" s="1973"/>
      <c r="O37" s="1973"/>
      <c r="P37" s="1973"/>
      <c r="Q37" s="1973"/>
      <c r="R37" s="1973"/>
      <c r="S37" s="1973"/>
      <c r="T37" s="1973"/>
      <c r="U37" s="1973"/>
      <c r="V37" s="1973"/>
      <c r="W37" s="1973"/>
      <c r="X37" s="1974"/>
      <c r="Y37" s="733">
        <v>23</v>
      </c>
      <c r="Z37" s="684"/>
      <c r="AA37" s="734">
        <v>100</v>
      </c>
      <c r="AB37" s="735">
        <v>100</v>
      </c>
      <c r="AC37" s="736">
        <v>80</v>
      </c>
      <c r="AD37" s="737">
        <v>60</v>
      </c>
      <c r="AE37" s="735">
        <v>40</v>
      </c>
      <c r="AF37" s="736">
        <v>30</v>
      </c>
      <c r="AG37" s="738">
        <v>20</v>
      </c>
      <c r="AH37" s="671"/>
    </row>
    <row r="38" spans="1:34" s="740" customFormat="1" ht="15" customHeight="1">
      <c r="A38" s="732"/>
      <c r="B38" s="1973"/>
      <c r="C38" s="1973"/>
      <c r="D38" s="1973"/>
      <c r="E38" s="1973"/>
      <c r="F38" s="1973"/>
      <c r="G38" s="1973"/>
      <c r="H38" s="1973"/>
      <c r="I38" s="1973"/>
      <c r="J38" s="1973"/>
      <c r="K38" s="1973"/>
      <c r="L38" s="1973"/>
      <c r="M38" s="1973"/>
      <c r="N38" s="1973"/>
      <c r="O38" s="1973"/>
      <c r="P38" s="1973"/>
      <c r="Q38" s="1973"/>
      <c r="R38" s="1973"/>
      <c r="S38" s="1973"/>
      <c r="T38" s="1973"/>
      <c r="U38" s="1973"/>
      <c r="V38" s="1973"/>
      <c r="W38" s="1973"/>
      <c r="X38" s="1974"/>
      <c r="Y38" s="739">
        <v>24</v>
      </c>
      <c r="AA38" s="741"/>
      <c r="AB38" s="741"/>
      <c r="AC38" s="741"/>
      <c r="AD38" s="741"/>
      <c r="AE38" s="741"/>
      <c r="AF38" s="741"/>
      <c r="AG38" s="741"/>
    </row>
    <row r="39" spans="1:34" s="740" customFormat="1" ht="15" customHeight="1">
      <c r="A39" s="732"/>
      <c r="B39" s="1973"/>
      <c r="C39" s="1973"/>
      <c r="D39" s="1973"/>
      <c r="E39" s="1973"/>
      <c r="F39" s="1973"/>
      <c r="G39" s="1973"/>
      <c r="H39" s="1973"/>
      <c r="I39" s="1973"/>
      <c r="J39" s="1973"/>
      <c r="K39" s="1973"/>
      <c r="L39" s="1973"/>
      <c r="M39" s="1973"/>
      <c r="N39" s="1973"/>
      <c r="O39" s="1973"/>
      <c r="P39" s="1973"/>
      <c r="Q39" s="1973"/>
      <c r="R39" s="1973"/>
      <c r="S39" s="1973"/>
      <c r="T39" s="1973"/>
      <c r="U39" s="1973"/>
      <c r="V39" s="1973"/>
      <c r="W39" s="1973"/>
      <c r="X39" s="1974"/>
      <c r="Y39" s="739"/>
      <c r="AA39" s="741"/>
      <c r="AB39" s="741"/>
      <c r="AC39" s="741"/>
      <c r="AD39" s="741"/>
      <c r="AE39" s="741"/>
      <c r="AF39" s="741"/>
      <c r="AG39" s="741"/>
    </row>
    <row r="40" spans="1:34" s="740" customFormat="1" ht="15" customHeight="1">
      <c r="A40" s="742"/>
      <c r="B40" s="1975"/>
      <c r="C40" s="1975"/>
      <c r="D40" s="1975"/>
      <c r="E40" s="1975"/>
      <c r="F40" s="1975"/>
      <c r="G40" s="1975"/>
      <c r="H40" s="1975"/>
      <c r="I40" s="1975"/>
      <c r="J40" s="1975"/>
      <c r="K40" s="1975"/>
      <c r="L40" s="1975"/>
      <c r="M40" s="1975"/>
      <c r="N40" s="1975"/>
      <c r="O40" s="1975"/>
      <c r="P40" s="1975"/>
      <c r="Q40" s="1975"/>
      <c r="R40" s="1975"/>
      <c r="S40" s="1975"/>
      <c r="T40" s="1975"/>
      <c r="U40" s="1975"/>
      <c r="V40" s="1975"/>
      <c r="W40" s="1975"/>
      <c r="X40" s="1976"/>
      <c r="Y40" s="739">
        <v>25</v>
      </c>
      <c r="AA40" s="741" t="str">
        <f>+' CBR (2)'!$F$32</f>
        <v/>
      </c>
      <c r="AB40" s="741" t="str">
        <f>+' CBR (2)'!$F$32</f>
        <v/>
      </c>
      <c r="AC40" s="741" t="str">
        <f>+' CBR (2)'!$F$32</f>
        <v/>
      </c>
      <c r="AD40" s="741" t="str">
        <f>+' CBR (2)'!$H$32</f>
        <v/>
      </c>
      <c r="AE40" s="741" t="str">
        <f>+' CBR (2)'!$H$32</f>
        <v/>
      </c>
      <c r="AF40" s="741" t="str">
        <f>+' CBR (2)'!$H$32</f>
        <v/>
      </c>
      <c r="AG40" s="741" t="str">
        <f>+' CBR (2)'!$H$32</f>
        <v/>
      </c>
    </row>
    <row r="41" spans="1:34" s="740" customFormat="1" ht="15" customHeight="1">
      <c r="A41" s="743"/>
      <c r="B41" s="743"/>
      <c r="C41" s="743"/>
      <c r="D41" s="743"/>
      <c r="E41" s="743"/>
      <c r="F41" s="743"/>
      <c r="G41" s="743"/>
      <c r="H41" s="743"/>
      <c r="I41" s="743"/>
      <c r="J41" s="743"/>
      <c r="K41" s="743"/>
      <c r="L41" s="743"/>
      <c r="M41" s="743"/>
      <c r="N41" s="743"/>
      <c r="O41" s="743"/>
      <c r="P41" s="743"/>
      <c r="Q41" s="743"/>
      <c r="R41" s="743"/>
      <c r="S41" s="743"/>
      <c r="T41" s="743"/>
      <c r="U41" s="743"/>
      <c r="V41" s="743"/>
      <c r="W41" s="743"/>
      <c r="X41" s="743"/>
      <c r="Y41" s="739">
        <v>26</v>
      </c>
      <c r="AA41" s="744" t="s">
        <v>481</v>
      </c>
      <c r="AB41" s="744" t="s">
        <v>481</v>
      </c>
      <c r="AC41" s="744" t="s">
        <v>481</v>
      </c>
      <c r="AD41" s="744" t="s">
        <v>482</v>
      </c>
      <c r="AE41" s="744" t="s">
        <v>482</v>
      </c>
      <c r="AF41" s="744" t="s">
        <v>482</v>
      </c>
      <c r="AG41" s="744" t="s">
        <v>483</v>
      </c>
    </row>
    <row r="42" spans="1:34" s="740" customFormat="1" ht="15" customHeight="1">
      <c r="A42" s="1977" t="s">
        <v>306</v>
      </c>
      <c r="B42" s="1977"/>
      <c r="C42" s="1977"/>
      <c r="D42" s="1977"/>
      <c r="E42" s="1977"/>
      <c r="F42" s="1977"/>
      <c r="G42" s="1977"/>
      <c r="H42" s="1977"/>
      <c r="I42" s="1977"/>
      <c r="J42" s="1977"/>
      <c r="K42" s="1977"/>
      <c r="L42" s="1977"/>
      <c r="M42" s="1977"/>
      <c r="N42" s="1977"/>
      <c r="O42" s="1977"/>
      <c r="P42" s="1977"/>
      <c r="Q42" s="1977"/>
      <c r="R42" s="1977"/>
      <c r="S42" s="1977"/>
      <c r="T42" s="1977"/>
      <c r="U42" s="1977"/>
      <c r="V42" s="1977"/>
      <c r="W42" s="1977"/>
      <c r="X42" s="1977"/>
      <c r="Y42" s="739">
        <v>27</v>
      </c>
      <c r="Z42" s="641"/>
      <c r="AA42" s="745"/>
      <c r="AB42" s="745"/>
      <c r="AC42" s="745"/>
      <c r="AD42" s="745"/>
      <c r="AE42" s="745"/>
      <c r="AF42" s="745"/>
      <c r="AG42" s="745"/>
    </row>
    <row r="43" spans="1:34" s="747" customFormat="1" ht="12.95" customHeight="1">
      <c r="A43" s="1977"/>
      <c r="B43" s="1977"/>
      <c r="C43" s="1977"/>
      <c r="D43" s="1977"/>
      <c r="E43" s="1977"/>
      <c r="F43" s="1977"/>
      <c r="G43" s="1977"/>
      <c r="H43" s="1977"/>
      <c r="I43" s="1977"/>
      <c r="J43" s="1977"/>
      <c r="K43" s="1977"/>
      <c r="L43" s="1977"/>
      <c r="M43" s="1977"/>
      <c r="N43" s="1977"/>
      <c r="O43" s="1977"/>
      <c r="P43" s="1977"/>
      <c r="Q43" s="1977"/>
      <c r="R43" s="1977"/>
      <c r="S43" s="1977"/>
      <c r="T43" s="1977"/>
      <c r="U43" s="1977"/>
      <c r="V43" s="1977"/>
      <c r="W43" s="1977"/>
      <c r="X43" s="1977"/>
      <c r="Y43" s="640"/>
      <c r="Z43" s="640"/>
      <c r="AA43" s="745"/>
      <c r="AB43" s="745"/>
      <c r="AC43" s="745"/>
      <c r="AD43" s="745"/>
      <c r="AE43" s="745"/>
      <c r="AF43" s="745"/>
      <c r="AG43" s="745"/>
      <c r="AH43" s="740"/>
    </row>
    <row r="44" spans="1:34" s="26" customFormat="1" ht="12.95" customHeight="1">
      <c r="A44" s="641"/>
      <c r="B44" s="641"/>
      <c r="C44" s="641"/>
      <c r="D44" s="641"/>
      <c r="E44" s="641"/>
      <c r="F44" s="641"/>
      <c r="G44" s="641"/>
      <c r="H44" s="641"/>
      <c r="I44" s="641"/>
      <c r="J44" s="641"/>
      <c r="K44" s="641"/>
      <c r="L44" s="641"/>
      <c r="M44" s="641"/>
      <c r="N44" s="641"/>
      <c r="O44" s="641"/>
      <c r="P44" s="641"/>
      <c r="Q44" s="641"/>
      <c r="R44" s="641"/>
      <c r="S44" s="641"/>
      <c r="T44" s="641"/>
      <c r="U44" s="641"/>
      <c r="V44" s="641"/>
      <c r="W44" s="641"/>
      <c r="X44" s="746"/>
      <c r="Y44" s="640"/>
      <c r="Z44" s="640"/>
      <c r="AA44" s="745"/>
      <c r="AB44" s="745"/>
      <c r="AC44" s="745"/>
      <c r="AD44" s="745"/>
      <c r="AE44" s="745"/>
      <c r="AF44" s="745"/>
      <c r="AG44" s="745"/>
      <c r="AH44" s="747"/>
    </row>
    <row r="45" spans="1:34" s="26" customFormat="1" ht="18" customHeight="1">
      <c r="A45" s="641"/>
      <c r="B45" s="641"/>
      <c r="C45" s="641"/>
      <c r="D45" s="641"/>
      <c r="E45" s="641"/>
      <c r="F45" s="641"/>
      <c r="G45" s="641"/>
      <c r="H45" s="641"/>
      <c r="I45" s="641"/>
      <c r="J45" s="641"/>
      <c r="K45" s="641"/>
      <c r="L45" s="641"/>
      <c r="M45" s="641"/>
      <c r="N45" s="641"/>
      <c r="O45" s="641"/>
      <c r="P45" s="641"/>
      <c r="Q45" s="641"/>
      <c r="R45" s="641"/>
      <c r="S45" s="641"/>
      <c r="T45" s="641"/>
      <c r="U45" s="641"/>
      <c r="V45" s="641"/>
      <c r="W45" s="641"/>
      <c r="X45" s="748"/>
      <c r="Y45" s="640"/>
      <c r="Z45" s="640"/>
      <c r="AA45" s="749"/>
      <c r="AB45" s="749"/>
      <c r="AC45" s="749"/>
      <c r="AD45" s="749"/>
      <c r="AE45" s="749"/>
      <c r="AF45" s="749"/>
      <c r="AG45" s="749"/>
    </row>
    <row r="46" spans="1:34" ht="27.95" customHeight="1">
      <c r="X46" s="748"/>
      <c r="Y46" s="640"/>
      <c r="Z46" s="640"/>
      <c r="AA46" s="27"/>
      <c r="AB46" s="27"/>
      <c r="AC46" s="27"/>
      <c r="AD46" s="27"/>
      <c r="AE46" s="27"/>
      <c r="AF46" s="27"/>
      <c r="AG46" s="27"/>
      <c r="AH46" s="26"/>
    </row>
    <row r="47" spans="1:34">
      <c r="X47" s="748"/>
      <c r="Y47" s="640"/>
      <c r="Z47" s="640"/>
      <c r="AA47" s="748"/>
    </row>
    <row r="48" spans="1:34">
      <c r="X48" s="748"/>
      <c r="Y48" s="640"/>
      <c r="Z48" s="640"/>
      <c r="AA48" s="748"/>
    </row>
    <row r="49" spans="24:27">
      <c r="X49" s="748"/>
      <c r="Y49" s="640"/>
      <c r="Z49" s="640"/>
      <c r="AA49" s="748"/>
    </row>
    <row r="50" spans="24:27">
      <c r="X50" s="748"/>
      <c r="Y50" s="640"/>
      <c r="Z50" s="640"/>
      <c r="AA50" s="748"/>
    </row>
    <row r="51" spans="24:27">
      <c r="X51" s="748"/>
      <c r="Y51" s="640"/>
      <c r="Z51" s="640"/>
      <c r="AA51" s="748"/>
    </row>
    <row r="52" spans="24:27">
      <c r="X52" s="748"/>
      <c r="Y52" s="640"/>
      <c r="Z52" s="640"/>
      <c r="AA52" s="748"/>
    </row>
    <row r="53" spans="24:27">
      <c r="X53" s="748"/>
      <c r="Y53" s="640"/>
      <c r="Z53" s="640"/>
      <c r="AA53" s="748"/>
    </row>
    <row r="54" spans="24:27">
      <c r="X54" s="748"/>
      <c r="Y54" s="640"/>
      <c r="Z54" s="640"/>
      <c r="AA54" s="748"/>
    </row>
    <row r="55" spans="24:27">
      <c r="X55" s="748"/>
      <c r="Y55" s="640"/>
      <c r="Z55" s="640"/>
      <c r="AA55" s="748"/>
    </row>
    <row r="56" spans="24:27">
      <c r="X56" s="748"/>
      <c r="Y56" s="640"/>
      <c r="Z56" s="640"/>
      <c r="AA56" s="748"/>
    </row>
    <row r="57" spans="24:27">
      <c r="X57" s="748"/>
      <c r="Y57" s="640"/>
      <c r="Z57" s="640"/>
      <c r="AA57" s="748"/>
    </row>
    <row r="58" spans="24:27">
      <c r="X58" s="748"/>
      <c r="Y58" s="640"/>
      <c r="Z58" s="640"/>
      <c r="AA58" s="748"/>
    </row>
    <row r="59" spans="24:27">
      <c r="X59" s="748"/>
      <c r="Y59" s="640"/>
      <c r="Z59" s="640"/>
      <c r="AA59" s="748"/>
    </row>
    <row r="60" spans="24:27">
      <c r="X60" s="748"/>
      <c r="Y60" s="640"/>
      <c r="Z60" s="640"/>
      <c r="AA60" s="748"/>
    </row>
    <row r="61" spans="24:27">
      <c r="X61" s="748"/>
      <c r="Y61" s="640"/>
      <c r="Z61" s="640"/>
      <c r="AA61" s="748"/>
    </row>
    <row r="62" spans="24:27">
      <c r="X62" s="748"/>
      <c r="Y62" s="640"/>
      <c r="Z62" s="640"/>
      <c r="AA62" s="748"/>
    </row>
    <row r="63" spans="24:27">
      <c r="X63" s="748"/>
      <c r="Y63" s="640"/>
      <c r="Z63" s="640"/>
      <c r="AA63" s="748"/>
    </row>
    <row r="64" spans="24:27">
      <c r="X64" s="748"/>
      <c r="Y64" s="640"/>
      <c r="Z64" s="640"/>
      <c r="AA64" s="748"/>
    </row>
    <row r="65" spans="24:27">
      <c r="X65" s="748"/>
      <c r="Y65" s="640"/>
      <c r="Z65" s="640"/>
      <c r="AA65" s="748"/>
    </row>
    <row r="66" spans="24:27">
      <c r="X66" s="748"/>
      <c r="Y66" s="640"/>
      <c r="Z66" s="640"/>
      <c r="AA66" s="748"/>
    </row>
    <row r="67" spans="24:27">
      <c r="X67" s="748"/>
      <c r="Y67" s="640"/>
      <c r="Z67" s="640"/>
      <c r="AA67" s="748"/>
    </row>
    <row r="68" spans="24:27">
      <c r="X68" s="748"/>
      <c r="Y68" s="640"/>
      <c r="Z68" s="640"/>
      <c r="AA68" s="748"/>
    </row>
    <row r="69" spans="24:27">
      <c r="X69" s="748"/>
      <c r="Y69" s="640"/>
      <c r="Z69" s="640"/>
      <c r="AA69" s="748"/>
    </row>
    <row r="70" spans="24:27">
      <c r="X70" s="748"/>
      <c r="Y70" s="640"/>
      <c r="Z70" s="640"/>
      <c r="AA70" s="748"/>
    </row>
    <row r="71" spans="24:27">
      <c r="X71" s="748"/>
      <c r="Y71" s="640"/>
      <c r="Z71" s="640"/>
      <c r="AA71" s="748"/>
    </row>
    <row r="72" spans="24:27">
      <c r="X72" s="748"/>
      <c r="Y72" s="640"/>
      <c r="Z72" s="640"/>
      <c r="AA72" s="748"/>
    </row>
    <row r="73" spans="24:27">
      <c r="X73" s="748"/>
      <c r="Y73" s="640"/>
      <c r="Z73" s="640"/>
      <c r="AA73" s="748"/>
    </row>
    <row r="74" spans="24:27">
      <c r="X74" s="748"/>
      <c r="Y74" s="640"/>
      <c r="Z74" s="640"/>
      <c r="AA74" s="748"/>
    </row>
    <row r="75" spans="24:27">
      <c r="X75" s="748"/>
      <c r="Y75" s="640"/>
      <c r="Z75" s="640"/>
      <c r="AA75" s="748"/>
    </row>
    <row r="76" spans="24:27">
      <c r="X76" s="748"/>
      <c r="Y76" s="640"/>
      <c r="Z76" s="640"/>
      <c r="AA76" s="748"/>
    </row>
    <row r="77" spans="24:27">
      <c r="X77" s="748"/>
      <c r="Y77" s="640"/>
      <c r="Z77" s="640"/>
      <c r="AA77" s="748"/>
    </row>
    <row r="78" spans="24:27">
      <c r="X78" s="748"/>
      <c r="Y78" s="640"/>
      <c r="Z78" s="640"/>
      <c r="AA78" s="748"/>
    </row>
    <row r="79" spans="24:27">
      <c r="X79" s="748"/>
      <c r="Y79" s="640"/>
      <c r="Z79" s="640"/>
      <c r="AA79" s="748"/>
    </row>
    <row r="80" spans="24:27">
      <c r="X80" s="748"/>
      <c r="Y80" s="640"/>
      <c r="Z80" s="640"/>
      <c r="AA80" s="748"/>
    </row>
    <row r="81" spans="24:27">
      <c r="X81" s="748"/>
      <c r="Y81" s="640"/>
      <c r="Z81" s="640"/>
      <c r="AA81" s="748"/>
    </row>
    <row r="82" spans="24:27">
      <c r="X82" s="748"/>
      <c r="Y82" s="640"/>
      <c r="Z82" s="640"/>
      <c r="AA82" s="748"/>
    </row>
    <row r="83" spans="24:27">
      <c r="X83" s="748"/>
      <c r="Y83" s="640"/>
      <c r="Z83" s="640"/>
      <c r="AA83" s="748"/>
    </row>
    <row r="84" spans="24:27">
      <c r="X84" s="748"/>
      <c r="Y84" s="640"/>
      <c r="Z84" s="640"/>
      <c r="AA84" s="748"/>
    </row>
    <row r="85" spans="24:27">
      <c r="X85" s="748"/>
      <c r="Y85" s="640"/>
      <c r="Z85" s="640"/>
      <c r="AA85" s="748"/>
    </row>
    <row r="86" spans="24:27">
      <c r="X86" s="748"/>
      <c r="Y86" s="640"/>
      <c r="Z86" s="640"/>
      <c r="AA86" s="748"/>
    </row>
    <row r="87" spans="24:27">
      <c r="X87" s="748"/>
      <c r="Y87" s="640"/>
      <c r="Z87" s="640"/>
      <c r="AA87" s="748"/>
    </row>
    <row r="88" spans="24:27">
      <c r="X88" s="748"/>
      <c r="Y88" s="640"/>
      <c r="Z88" s="640"/>
      <c r="AA88" s="748"/>
    </row>
    <row r="89" spans="24:27">
      <c r="X89" s="748"/>
      <c r="Y89" s="640"/>
      <c r="Z89" s="640"/>
      <c r="AA89" s="748"/>
    </row>
    <row r="90" spans="24:27">
      <c r="X90" s="748"/>
      <c r="Y90" s="640"/>
      <c r="Z90" s="640"/>
      <c r="AA90" s="748"/>
    </row>
    <row r="91" spans="24:27">
      <c r="X91" s="748"/>
      <c r="Y91" s="640"/>
      <c r="Z91" s="640"/>
      <c r="AA91" s="748"/>
    </row>
    <row r="92" spans="24:27">
      <c r="X92" s="748"/>
      <c r="Y92" s="640"/>
      <c r="Z92" s="640"/>
      <c r="AA92" s="748"/>
    </row>
    <row r="93" spans="24:27">
      <c r="X93" s="748"/>
      <c r="Y93" s="640"/>
      <c r="Z93" s="640"/>
      <c r="AA93" s="748"/>
    </row>
    <row r="94" spans="24:27">
      <c r="X94" s="748"/>
      <c r="Y94" s="640"/>
      <c r="Z94" s="640"/>
      <c r="AA94" s="748"/>
    </row>
    <row r="95" spans="24:27">
      <c r="X95" s="748"/>
      <c r="Y95" s="640"/>
      <c r="Z95" s="640"/>
      <c r="AA95" s="748"/>
    </row>
    <row r="96" spans="24:27">
      <c r="X96" s="748"/>
      <c r="Y96" s="640"/>
      <c r="Z96" s="640"/>
      <c r="AA96" s="748"/>
    </row>
    <row r="97" spans="24:27">
      <c r="X97" s="748"/>
      <c r="Y97" s="640"/>
      <c r="Z97" s="640"/>
      <c r="AA97" s="748"/>
    </row>
    <row r="98" spans="24:27">
      <c r="X98" s="748"/>
      <c r="Y98" s="640"/>
      <c r="Z98" s="640"/>
      <c r="AA98" s="748"/>
    </row>
    <row r="99" spans="24:27">
      <c r="X99" s="748"/>
      <c r="Y99" s="640"/>
      <c r="Z99" s="640"/>
      <c r="AA99" s="748"/>
    </row>
    <row r="100" spans="24:27">
      <c r="X100" s="748"/>
      <c r="Y100" s="640"/>
      <c r="Z100" s="640"/>
      <c r="AA100" s="748"/>
    </row>
    <row r="101" spans="24:27">
      <c r="X101" s="748"/>
      <c r="Y101" s="640"/>
      <c r="Z101" s="640"/>
      <c r="AA101" s="748"/>
    </row>
    <row r="102" spans="24:27">
      <c r="X102" s="748"/>
      <c r="Y102" s="640"/>
      <c r="Z102" s="640"/>
      <c r="AA102" s="748"/>
    </row>
    <row r="103" spans="24:27">
      <c r="X103" s="748"/>
      <c r="Y103" s="640"/>
      <c r="Z103" s="640"/>
      <c r="AA103" s="748"/>
    </row>
    <row r="104" spans="24:27">
      <c r="X104" s="748"/>
      <c r="Y104" s="640"/>
      <c r="Z104" s="640"/>
      <c r="AA104" s="748"/>
    </row>
    <row r="105" spans="24:27">
      <c r="X105" s="748"/>
      <c r="Y105" s="640"/>
      <c r="Z105" s="640"/>
      <c r="AA105" s="748"/>
    </row>
    <row r="106" spans="24:27">
      <c r="X106" s="748"/>
      <c r="Y106" s="640"/>
      <c r="Z106" s="640"/>
      <c r="AA106" s="748"/>
    </row>
    <row r="107" spans="24:27">
      <c r="X107" s="748"/>
      <c r="Y107" s="640"/>
      <c r="Z107" s="640"/>
      <c r="AA107" s="748"/>
    </row>
    <row r="108" spans="24:27">
      <c r="X108" s="748"/>
      <c r="Y108" s="640"/>
      <c r="Z108" s="640"/>
      <c r="AA108" s="748"/>
    </row>
    <row r="109" spans="24:27">
      <c r="X109" s="748"/>
      <c r="Y109" s="640"/>
      <c r="Z109" s="640"/>
      <c r="AA109" s="748"/>
    </row>
    <row r="110" spans="24:27">
      <c r="X110" s="748"/>
      <c r="Y110" s="640"/>
      <c r="Z110" s="640"/>
      <c r="AA110" s="748"/>
    </row>
    <row r="111" spans="24:27">
      <c r="X111" s="748"/>
      <c r="Y111" s="640"/>
      <c r="Z111" s="640"/>
      <c r="AA111" s="748"/>
    </row>
    <row r="112" spans="24:27">
      <c r="X112" s="748"/>
      <c r="Y112" s="640"/>
      <c r="Z112" s="640"/>
      <c r="AA112" s="748"/>
    </row>
    <row r="113" spans="24:27">
      <c r="X113" s="748"/>
      <c r="Y113" s="640"/>
      <c r="Z113" s="640"/>
      <c r="AA113" s="748"/>
    </row>
    <row r="114" spans="24:27">
      <c r="X114" s="748"/>
      <c r="Y114" s="640"/>
      <c r="Z114" s="640"/>
      <c r="AA114" s="748"/>
    </row>
    <row r="115" spans="24:27">
      <c r="X115" s="748"/>
      <c r="Y115" s="640"/>
      <c r="Z115" s="640"/>
      <c r="AA115" s="748"/>
    </row>
    <row r="116" spans="24:27">
      <c r="X116" s="748"/>
      <c r="Y116" s="640"/>
      <c r="Z116" s="640"/>
      <c r="AA116" s="748"/>
    </row>
    <row r="117" spans="24:27">
      <c r="X117" s="748"/>
      <c r="Y117" s="640"/>
      <c r="Z117" s="640"/>
      <c r="AA117" s="748"/>
    </row>
    <row r="118" spans="24:27">
      <c r="X118" s="748"/>
      <c r="Y118" s="640"/>
      <c r="Z118" s="640"/>
      <c r="AA118" s="748"/>
    </row>
    <row r="119" spans="24:27">
      <c r="X119" s="748"/>
      <c r="Y119" s="640"/>
      <c r="Z119" s="640"/>
      <c r="AA119" s="748"/>
    </row>
    <row r="120" spans="24:27">
      <c r="X120" s="748"/>
      <c r="Y120" s="640"/>
      <c r="Z120" s="640"/>
      <c r="AA120" s="748"/>
    </row>
    <row r="121" spans="24:27">
      <c r="X121" s="748"/>
      <c r="Y121" s="640"/>
      <c r="Z121" s="640"/>
      <c r="AA121" s="748"/>
    </row>
    <row r="122" spans="24:27">
      <c r="X122" s="748"/>
      <c r="Y122" s="640"/>
      <c r="Z122" s="640"/>
      <c r="AA122" s="748"/>
    </row>
    <row r="123" spans="24:27">
      <c r="X123" s="748"/>
      <c r="Y123" s="640"/>
      <c r="Z123" s="640"/>
      <c r="AA123" s="748"/>
    </row>
    <row r="124" spans="24:27">
      <c r="X124" s="748"/>
      <c r="Y124" s="640"/>
      <c r="Z124" s="640"/>
      <c r="AA124" s="748"/>
    </row>
    <row r="125" spans="24:27">
      <c r="X125" s="748"/>
      <c r="Y125" s="640"/>
      <c r="Z125" s="640"/>
      <c r="AA125" s="748"/>
    </row>
    <row r="126" spans="24:27">
      <c r="X126" s="748"/>
      <c r="Y126" s="640"/>
      <c r="Z126" s="640"/>
      <c r="AA126" s="748"/>
    </row>
    <row r="127" spans="24:27">
      <c r="X127" s="748"/>
      <c r="Y127" s="640"/>
      <c r="Z127" s="640"/>
      <c r="AA127" s="748"/>
    </row>
    <row r="128" spans="24:27">
      <c r="X128" s="748"/>
      <c r="Y128" s="640"/>
      <c r="Z128" s="640"/>
      <c r="AA128" s="748"/>
    </row>
    <row r="129" spans="24:27">
      <c r="X129" s="748"/>
      <c r="Y129" s="640"/>
      <c r="Z129" s="640"/>
      <c r="AA129" s="748"/>
    </row>
    <row r="130" spans="24:27">
      <c r="X130" s="748"/>
      <c r="Y130" s="640"/>
      <c r="Z130" s="640"/>
      <c r="AA130" s="748"/>
    </row>
    <row r="131" spans="24:27">
      <c r="X131" s="748"/>
      <c r="Y131" s="640"/>
      <c r="Z131" s="640"/>
      <c r="AA131" s="748"/>
    </row>
    <row r="132" spans="24:27">
      <c r="X132" s="748"/>
      <c r="Y132" s="640"/>
      <c r="Z132" s="640"/>
      <c r="AA132" s="748"/>
    </row>
    <row r="133" spans="24:27">
      <c r="X133" s="748"/>
      <c r="Y133" s="640"/>
      <c r="Z133" s="640"/>
      <c r="AA133" s="748"/>
    </row>
    <row r="134" spans="24:27">
      <c r="X134" s="748"/>
      <c r="Y134" s="640"/>
      <c r="Z134" s="640"/>
      <c r="AA134" s="748"/>
    </row>
    <row r="135" spans="24:27">
      <c r="X135" s="748"/>
      <c r="Y135" s="640"/>
      <c r="Z135" s="640"/>
      <c r="AA135" s="748"/>
    </row>
    <row r="136" spans="24:27">
      <c r="X136" s="748"/>
      <c r="Y136" s="640"/>
      <c r="Z136" s="640"/>
      <c r="AA136" s="748"/>
    </row>
    <row r="137" spans="24:27">
      <c r="X137" s="748"/>
      <c r="Y137" s="640"/>
      <c r="Z137" s="640"/>
      <c r="AA137" s="748"/>
    </row>
    <row r="138" spans="24:27">
      <c r="X138" s="748"/>
      <c r="Y138" s="640"/>
      <c r="Z138" s="640"/>
      <c r="AA138" s="748"/>
    </row>
    <row r="139" spans="24:27">
      <c r="X139" s="748"/>
      <c r="Y139" s="640"/>
      <c r="Z139" s="640"/>
      <c r="AA139" s="748"/>
    </row>
    <row r="140" spans="24:27">
      <c r="X140" s="748"/>
      <c r="Y140" s="640"/>
      <c r="Z140" s="640"/>
      <c r="AA140" s="748"/>
    </row>
    <row r="141" spans="24:27">
      <c r="X141" s="748"/>
      <c r="Y141" s="640"/>
      <c r="Z141" s="640"/>
      <c r="AA141" s="748"/>
    </row>
    <row r="142" spans="24:27">
      <c r="X142" s="748"/>
      <c r="Y142" s="640"/>
      <c r="Z142" s="640"/>
      <c r="AA142" s="748"/>
    </row>
    <row r="143" spans="24:27">
      <c r="X143" s="748"/>
      <c r="Y143" s="640"/>
      <c r="Z143" s="640"/>
      <c r="AA143" s="748"/>
    </row>
    <row r="144" spans="24:27">
      <c r="X144" s="748"/>
      <c r="Y144" s="640"/>
      <c r="Z144" s="640"/>
      <c r="AA144" s="748"/>
    </row>
    <row r="145" spans="24:27">
      <c r="X145" s="748"/>
      <c r="Y145" s="640"/>
      <c r="Z145" s="640"/>
      <c r="AA145" s="748"/>
    </row>
    <row r="146" spans="24:27">
      <c r="X146" s="748"/>
      <c r="Y146" s="640"/>
      <c r="Z146" s="640"/>
      <c r="AA146" s="748"/>
    </row>
    <row r="147" spans="24:27">
      <c r="X147" s="748"/>
      <c r="Y147" s="640"/>
      <c r="Z147" s="640"/>
      <c r="AA147" s="748"/>
    </row>
    <row r="148" spans="24:27">
      <c r="X148" s="748"/>
      <c r="Y148" s="640"/>
      <c r="Z148" s="640"/>
      <c r="AA148" s="748"/>
    </row>
    <row r="149" spans="24:27">
      <c r="X149" s="748"/>
      <c r="Y149" s="640"/>
      <c r="Z149" s="640"/>
      <c r="AA149" s="748"/>
    </row>
    <row r="150" spans="24:27">
      <c r="X150" s="748"/>
      <c r="Y150" s="640"/>
      <c r="Z150" s="640"/>
      <c r="AA150" s="748"/>
    </row>
    <row r="151" spans="24:27">
      <c r="X151" s="748"/>
      <c r="Y151" s="640"/>
      <c r="Z151" s="640"/>
      <c r="AA151" s="748"/>
    </row>
    <row r="152" spans="24:27">
      <c r="X152" s="748"/>
      <c r="Y152" s="640"/>
      <c r="Z152" s="640"/>
      <c r="AA152" s="748"/>
    </row>
    <row r="153" spans="24:27">
      <c r="X153" s="748"/>
      <c r="Y153" s="640"/>
      <c r="Z153" s="640"/>
      <c r="AA153" s="748"/>
    </row>
    <row r="154" spans="24:27">
      <c r="X154" s="748"/>
      <c r="Y154" s="640"/>
      <c r="Z154" s="640"/>
      <c r="AA154" s="748"/>
    </row>
    <row r="155" spans="24:27">
      <c r="X155" s="748"/>
      <c r="Y155" s="640"/>
      <c r="Z155" s="640"/>
      <c r="AA155" s="748"/>
    </row>
    <row r="156" spans="24:27">
      <c r="X156" s="748"/>
      <c r="Y156" s="640"/>
      <c r="Z156" s="640"/>
      <c r="AA156" s="748"/>
    </row>
    <row r="157" spans="24:27">
      <c r="X157" s="748"/>
      <c r="Y157" s="640"/>
      <c r="Z157" s="640"/>
      <c r="AA157" s="748"/>
    </row>
    <row r="158" spans="24:27">
      <c r="X158" s="748"/>
      <c r="Y158" s="640"/>
      <c r="Z158" s="640"/>
      <c r="AA158" s="748"/>
    </row>
    <row r="159" spans="24:27">
      <c r="X159" s="748"/>
      <c r="Y159" s="640"/>
      <c r="Z159" s="640"/>
      <c r="AA159" s="748"/>
    </row>
    <row r="160" spans="24:27">
      <c r="X160" s="748"/>
      <c r="Y160" s="640"/>
      <c r="Z160" s="640"/>
      <c r="AA160" s="748"/>
    </row>
    <row r="161" spans="24:27">
      <c r="X161" s="748"/>
      <c r="Y161" s="640"/>
      <c r="Z161" s="640"/>
      <c r="AA161" s="748"/>
    </row>
    <row r="162" spans="24:27">
      <c r="X162" s="748"/>
      <c r="Y162" s="640"/>
      <c r="Z162" s="640"/>
      <c r="AA162" s="748"/>
    </row>
    <row r="163" spans="24:27">
      <c r="X163" s="748"/>
      <c r="Y163" s="640"/>
      <c r="Z163" s="640"/>
      <c r="AA163" s="748"/>
    </row>
    <row r="164" spans="24:27">
      <c r="X164" s="748"/>
      <c r="Y164" s="640"/>
      <c r="Z164" s="640"/>
      <c r="AA164" s="748"/>
    </row>
    <row r="165" spans="24:27">
      <c r="X165" s="748"/>
      <c r="Y165" s="640"/>
      <c r="Z165" s="640"/>
      <c r="AA165" s="748"/>
    </row>
    <row r="166" spans="24:27">
      <c r="X166" s="748"/>
      <c r="Y166" s="640"/>
      <c r="Z166" s="640"/>
      <c r="AA166" s="748"/>
    </row>
    <row r="167" spans="24:27">
      <c r="X167" s="748"/>
      <c r="Y167" s="640"/>
      <c r="Z167" s="640"/>
      <c r="AA167" s="748"/>
    </row>
    <row r="168" spans="24:27">
      <c r="X168" s="748"/>
      <c r="Y168" s="640"/>
      <c r="Z168" s="640"/>
      <c r="AA168" s="748"/>
    </row>
    <row r="169" spans="24:27">
      <c r="X169" s="748"/>
      <c r="Y169" s="640"/>
      <c r="Z169" s="640"/>
      <c r="AA169" s="748"/>
    </row>
    <row r="170" spans="24:27">
      <c r="X170" s="748"/>
      <c r="Y170" s="640"/>
      <c r="Z170" s="640"/>
      <c r="AA170" s="748"/>
    </row>
    <row r="171" spans="24:27">
      <c r="X171" s="748"/>
      <c r="Y171" s="640"/>
      <c r="Z171" s="640"/>
      <c r="AA171" s="748"/>
    </row>
    <row r="172" spans="24:27">
      <c r="X172" s="748"/>
      <c r="Y172" s="640"/>
      <c r="Z172" s="640"/>
      <c r="AA172" s="748"/>
    </row>
    <row r="173" spans="24:27">
      <c r="X173" s="748"/>
      <c r="Y173" s="640"/>
      <c r="Z173" s="640"/>
      <c r="AA173" s="748"/>
    </row>
    <row r="174" spans="24:27">
      <c r="X174" s="748"/>
      <c r="Y174" s="640"/>
      <c r="Z174" s="640"/>
      <c r="AA174" s="748"/>
    </row>
    <row r="175" spans="24:27">
      <c r="X175" s="748"/>
      <c r="Y175" s="640"/>
      <c r="Z175" s="640"/>
      <c r="AA175" s="748"/>
    </row>
    <row r="176" spans="24:27">
      <c r="X176" s="748"/>
      <c r="Y176" s="640"/>
      <c r="Z176" s="640"/>
      <c r="AA176" s="748"/>
    </row>
    <row r="177" spans="24:27">
      <c r="X177" s="748"/>
      <c r="Y177" s="640"/>
      <c r="Z177" s="640"/>
      <c r="AA177" s="748"/>
    </row>
    <row r="178" spans="24:27">
      <c r="X178" s="748"/>
      <c r="Y178" s="640"/>
      <c r="Z178" s="640"/>
      <c r="AA178" s="748"/>
    </row>
    <row r="179" spans="24:27">
      <c r="X179" s="748"/>
      <c r="Y179" s="640"/>
      <c r="Z179" s="640"/>
      <c r="AA179" s="748"/>
    </row>
    <row r="180" spans="24:27">
      <c r="X180" s="748"/>
      <c r="Y180" s="640"/>
      <c r="Z180" s="640"/>
      <c r="AA180" s="748"/>
    </row>
    <row r="181" spans="24:27">
      <c r="X181" s="748"/>
      <c r="Y181" s="640"/>
      <c r="Z181" s="640"/>
      <c r="AA181" s="748"/>
    </row>
    <row r="182" spans="24:27">
      <c r="X182" s="748"/>
      <c r="Y182" s="640"/>
      <c r="Z182" s="640"/>
      <c r="AA182" s="748"/>
    </row>
    <row r="183" spans="24:27">
      <c r="X183" s="748"/>
      <c r="Y183" s="640"/>
      <c r="Z183" s="640"/>
      <c r="AA183" s="748"/>
    </row>
    <row r="184" spans="24:27">
      <c r="X184" s="748"/>
      <c r="Y184" s="640"/>
      <c r="Z184" s="640"/>
      <c r="AA184" s="748"/>
    </row>
    <row r="185" spans="24:27">
      <c r="X185" s="748"/>
      <c r="Y185" s="640"/>
      <c r="Z185" s="640"/>
      <c r="AA185" s="748"/>
    </row>
    <row r="186" spans="24:27">
      <c r="X186" s="748"/>
      <c r="Y186" s="640"/>
      <c r="Z186" s="640"/>
      <c r="AA186" s="748"/>
    </row>
    <row r="187" spans="24:27">
      <c r="X187" s="748"/>
      <c r="Y187" s="640"/>
      <c r="Z187" s="640"/>
      <c r="AA187" s="748"/>
    </row>
    <row r="188" spans="24:27">
      <c r="X188" s="748"/>
      <c r="Y188" s="640"/>
      <c r="Z188" s="640"/>
      <c r="AA188" s="748"/>
    </row>
    <row r="189" spans="24:27">
      <c r="X189" s="748"/>
      <c r="Y189" s="640"/>
      <c r="Z189" s="640"/>
      <c r="AA189" s="748"/>
    </row>
    <row r="190" spans="24:27">
      <c r="X190" s="748"/>
      <c r="Y190" s="640"/>
      <c r="Z190" s="640"/>
      <c r="AA190" s="748"/>
    </row>
    <row r="191" spans="24:27">
      <c r="X191" s="748"/>
      <c r="Y191" s="640"/>
      <c r="Z191" s="640"/>
      <c r="AA191" s="748"/>
    </row>
    <row r="192" spans="24:27">
      <c r="X192" s="748"/>
      <c r="Y192" s="640"/>
      <c r="Z192" s="640"/>
      <c r="AA192" s="748"/>
    </row>
    <row r="193" spans="24:27">
      <c r="X193" s="748"/>
      <c r="Y193" s="640"/>
      <c r="Z193" s="640"/>
      <c r="AA193" s="748"/>
    </row>
    <row r="194" spans="24:27">
      <c r="X194" s="748"/>
      <c r="Y194" s="640"/>
      <c r="Z194" s="640"/>
      <c r="AA194" s="748"/>
    </row>
    <row r="195" spans="24:27">
      <c r="X195" s="748"/>
      <c r="Y195" s="640"/>
      <c r="Z195" s="640"/>
      <c r="AA195" s="748"/>
    </row>
    <row r="196" spans="24:27">
      <c r="X196" s="748"/>
      <c r="Y196" s="640"/>
      <c r="Z196" s="640"/>
      <c r="AA196" s="748"/>
    </row>
    <row r="197" spans="24:27">
      <c r="X197" s="748"/>
      <c r="Y197" s="640"/>
      <c r="Z197" s="640"/>
      <c r="AA197" s="748"/>
    </row>
    <row r="198" spans="24:27">
      <c r="X198" s="748"/>
      <c r="Y198" s="640"/>
      <c r="Z198" s="640"/>
      <c r="AA198" s="748"/>
    </row>
    <row r="199" spans="24:27">
      <c r="X199" s="748"/>
      <c r="Y199" s="640"/>
      <c r="Z199" s="640"/>
      <c r="AA199" s="748"/>
    </row>
    <row r="200" spans="24:27">
      <c r="X200" s="748"/>
      <c r="Y200" s="640"/>
      <c r="Z200" s="640"/>
      <c r="AA200" s="748"/>
    </row>
    <row r="201" spans="24:27">
      <c r="X201" s="748"/>
      <c r="Y201" s="640"/>
      <c r="Z201" s="640"/>
      <c r="AA201" s="748"/>
    </row>
    <row r="202" spans="24:27">
      <c r="X202" s="748"/>
      <c r="Y202" s="640"/>
      <c r="Z202" s="640"/>
      <c r="AA202" s="748"/>
    </row>
    <row r="203" spans="24:27">
      <c r="X203" s="748"/>
      <c r="Y203" s="640"/>
      <c r="Z203" s="640"/>
      <c r="AA203" s="748"/>
    </row>
    <row r="204" spans="24:27">
      <c r="X204" s="748"/>
      <c r="Y204" s="640"/>
      <c r="Z204" s="640"/>
      <c r="AA204" s="748"/>
    </row>
    <row r="205" spans="24:27">
      <c r="X205" s="748"/>
      <c r="Y205" s="640"/>
      <c r="Z205" s="640"/>
      <c r="AA205" s="748"/>
    </row>
    <row r="206" spans="24:27">
      <c r="X206" s="748"/>
      <c r="Y206" s="640"/>
      <c r="Z206" s="640"/>
      <c r="AA206" s="748"/>
    </row>
    <row r="207" spans="24:27">
      <c r="X207" s="748"/>
      <c r="Y207" s="640"/>
      <c r="Z207" s="640"/>
      <c r="AA207" s="748"/>
    </row>
    <row r="208" spans="24:27">
      <c r="X208" s="748"/>
      <c r="Y208" s="640"/>
      <c r="Z208" s="640"/>
      <c r="AA208" s="748"/>
    </row>
    <row r="209" spans="24:27">
      <c r="X209" s="748"/>
      <c r="Y209" s="640"/>
      <c r="Z209" s="640"/>
      <c r="AA209" s="748"/>
    </row>
    <row r="210" spans="24:27">
      <c r="X210" s="748"/>
      <c r="Y210" s="640"/>
      <c r="Z210" s="640"/>
      <c r="AA210" s="748"/>
    </row>
    <row r="211" spans="24:27">
      <c r="X211" s="748"/>
      <c r="Y211" s="640"/>
      <c r="Z211" s="640"/>
      <c r="AA211" s="748"/>
    </row>
    <row r="212" spans="24:27">
      <c r="X212" s="748"/>
      <c r="Y212" s="640"/>
      <c r="Z212" s="640"/>
      <c r="AA212" s="748"/>
    </row>
    <row r="213" spans="24:27">
      <c r="X213" s="748"/>
      <c r="Y213" s="640"/>
      <c r="Z213" s="640"/>
      <c r="AA213" s="748"/>
    </row>
    <row r="214" spans="24:27">
      <c r="X214" s="748"/>
      <c r="Y214" s="640"/>
      <c r="Z214" s="640"/>
      <c r="AA214" s="748"/>
    </row>
    <row r="215" spans="24:27">
      <c r="X215" s="748"/>
      <c r="Y215" s="640"/>
      <c r="Z215" s="640"/>
      <c r="AA215" s="748"/>
    </row>
    <row r="216" spans="24:27">
      <c r="X216" s="748"/>
      <c r="Y216" s="640"/>
      <c r="Z216" s="640"/>
      <c r="AA216" s="748"/>
    </row>
    <row r="217" spans="24:27">
      <c r="X217" s="748"/>
      <c r="Y217" s="640"/>
      <c r="Z217" s="640"/>
      <c r="AA217" s="748"/>
    </row>
    <row r="218" spans="24:27">
      <c r="X218" s="748"/>
      <c r="Y218" s="640"/>
      <c r="Z218" s="640"/>
      <c r="AA218" s="748"/>
    </row>
    <row r="219" spans="24:27">
      <c r="X219" s="748"/>
      <c r="Y219" s="640"/>
      <c r="Z219" s="640"/>
      <c r="AA219" s="748"/>
    </row>
    <row r="220" spans="24:27">
      <c r="X220" s="748"/>
      <c r="Y220" s="640"/>
      <c r="Z220" s="640"/>
      <c r="AA220" s="748"/>
    </row>
    <row r="221" spans="24:27">
      <c r="X221" s="748"/>
      <c r="Y221" s="640"/>
      <c r="Z221" s="640"/>
      <c r="AA221" s="748"/>
    </row>
    <row r="222" spans="24:27">
      <c r="X222" s="748"/>
      <c r="Y222" s="640"/>
      <c r="Z222" s="640"/>
      <c r="AA222" s="748"/>
    </row>
    <row r="223" spans="24:27">
      <c r="X223" s="748"/>
      <c r="Y223" s="640"/>
      <c r="Z223" s="640"/>
      <c r="AA223" s="748"/>
    </row>
    <row r="224" spans="24:27">
      <c r="X224" s="748"/>
      <c r="Y224" s="640"/>
      <c r="Z224" s="640"/>
      <c r="AA224" s="748"/>
    </row>
    <row r="225" spans="24:27">
      <c r="X225" s="748"/>
      <c r="Y225" s="640"/>
      <c r="Z225" s="640"/>
      <c r="AA225" s="748"/>
    </row>
    <row r="226" spans="24:27">
      <c r="X226" s="748"/>
      <c r="Y226" s="640"/>
      <c r="Z226" s="640"/>
      <c r="AA226" s="748"/>
    </row>
    <row r="227" spans="24:27">
      <c r="X227" s="748"/>
      <c r="Y227" s="640"/>
      <c r="Z227" s="640"/>
      <c r="AA227" s="748"/>
    </row>
    <row r="228" spans="24:27">
      <c r="X228" s="748"/>
      <c r="Y228" s="640"/>
      <c r="Z228" s="640"/>
      <c r="AA228" s="748"/>
    </row>
    <row r="229" spans="24:27">
      <c r="X229" s="748"/>
      <c r="Y229" s="640"/>
      <c r="Z229" s="640"/>
      <c r="AA229" s="748"/>
    </row>
    <row r="230" spans="24:27">
      <c r="X230" s="748"/>
      <c r="Y230" s="640"/>
      <c r="Z230" s="640"/>
      <c r="AA230" s="748"/>
    </row>
    <row r="231" spans="24:27">
      <c r="X231" s="748"/>
      <c r="Y231" s="640"/>
      <c r="Z231" s="640"/>
      <c r="AA231" s="748"/>
    </row>
    <row r="232" spans="24:27">
      <c r="X232" s="748"/>
      <c r="Y232" s="640"/>
      <c r="Z232" s="640"/>
      <c r="AA232" s="748"/>
    </row>
    <row r="233" spans="24:27">
      <c r="X233" s="748"/>
      <c r="Y233" s="640"/>
      <c r="Z233" s="640"/>
      <c r="AA233" s="748"/>
    </row>
    <row r="234" spans="24:27">
      <c r="X234" s="748"/>
      <c r="Y234" s="640"/>
      <c r="Z234" s="640"/>
      <c r="AA234" s="748"/>
    </row>
    <row r="235" spans="24:27">
      <c r="X235" s="748"/>
      <c r="Y235" s="640"/>
      <c r="Z235" s="640"/>
      <c r="AA235" s="748"/>
    </row>
    <row r="236" spans="24:27">
      <c r="X236" s="748"/>
      <c r="Y236" s="640"/>
      <c r="Z236" s="640"/>
      <c r="AA236" s="748"/>
    </row>
    <row r="237" spans="24:27">
      <c r="X237" s="748"/>
      <c r="Y237" s="640"/>
      <c r="Z237" s="640"/>
      <c r="AA237" s="748"/>
    </row>
    <row r="238" spans="24:27">
      <c r="X238" s="748"/>
      <c r="Y238" s="640"/>
      <c r="Z238" s="640"/>
      <c r="AA238" s="748"/>
    </row>
    <row r="239" spans="24:27">
      <c r="X239" s="748"/>
      <c r="Y239" s="640"/>
      <c r="Z239" s="640"/>
      <c r="AA239" s="748"/>
    </row>
    <row r="240" spans="24:27">
      <c r="X240" s="748"/>
      <c r="Y240" s="640"/>
      <c r="Z240" s="640"/>
      <c r="AA240" s="748"/>
    </row>
    <row r="241" spans="24:27">
      <c r="X241" s="748"/>
      <c r="Y241" s="640"/>
      <c r="Z241" s="640"/>
      <c r="AA241" s="748"/>
    </row>
    <row r="242" spans="24:27">
      <c r="X242" s="748"/>
      <c r="Y242" s="640"/>
      <c r="Z242" s="640"/>
      <c r="AA242" s="748"/>
    </row>
    <row r="243" spans="24:27">
      <c r="X243" s="748"/>
      <c r="Y243" s="640"/>
      <c r="Z243" s="640"/>
      <c r="AA243" s="748"/>
    </row>
    <row r="244" spans="24:27">
      <c r="X244" s="748"/>
      <c r="Y244" s="640"/>
      <c r="Z244" s="640"/>
      <c r="AA244" s="748"/>
    </row>
    <row r="245" spans="24:27">
      <c r="X245" s="748"/>
      <c r="Y245" s="640"/>
      <c r="Z245" s="640"/>
      <c r="AA245" s="748"/>
    </row>
    <row r="246" spans="24:27">
      <c r="X246" s="748"/>
      <c r="Y246" s="640"/>
      <c r="Z246" s="640"/>
      <c r="AA246" s="748"/>
    </row>
    <row r="247" spans="24:27">
      <c r="X247" s="748"/>
      <c r="Y247" s="640"/>
      <c r="Z247" s="640"/>
      <c r="AA247" s="748"/>
    </row>
    <row r="248" spans="24:27">
      <c r="X248" s="748"/>
      <c r="Y248" s="640"/>
      <c r="Z248" s="640"/>
      <c r="AA248" s="748"/>
    </row>
    <row r="249" spans="24:27">
      <c r="X249" s="748"/>
      <c r="Y249" s="640"/>
      <c r="Z249" s="640"/>
      <c r="AA249" s="748"/>
    </row>
    <row r="250" spans="24:27">
      <c r="X250" s="748"/>
      <c r="Y250" s="640"/>
      <c r="Z250" s="640"/>
      <c r="AA250" s="748"/>
    </row>
    <row r="251" spans="24:27">
      <c r="X251" s="748"/>
      <c r="Y251" s="640"/>
      <c r="Z251" s="640"/>
      <c r="AA251" s="748"/>
    </row>
    <row r="252" spans="24:27">
      <c r="X252" s="748"/>
      <c r="Y252" s="640"/>
      <c r="Z252" s="640"/>
      <c r="AA252" s="748"/>
    </row>
    <row r="253" spans="24:27">
      <c r="X253" s="748"/>
      <c r="Y253" s="640"/>
      <c r="Z253" s="640"/>
      <c r="AA253" s="748"/>
    </row>
    <row r="254" spans="24:27">
      <c r="X254" s="748"/>
      <c r="Y254" s="640"/>
      <c r="Z254" s="640"/>
      <c r="AA254" s="748"/>
    </row>
    <row r="255" spans="24:27">
      <c r="X255" s="748"/>
      <c r="Y255" s="640"/>
      <c r="Z255" s="640"/>
      <c r="AA255" s="748"/>
    </row>
    <row r="256" spans="24:27">
      <c r="X256" s="748"/>
      <c r="Y256" s="640"/>
      <c r="Z256" s="640"/>
      <c r="AA256" s="748"/>
    </row>
    <row r="257" spans="24:27">
      <c r="X257" s="748"/>
      <c r="Y257" s="640"/>
      <c r="Z257" s="640"/>
      <c r="AA257" s="748"/>
    </row>
    <row r="258" spans="24:27">
      <c r="X258" s="748"/>
      <c r="Y258" s="640"/>
      <c r="Z258" s="640"/>
      <c r="AA258" s="748"/>
    </row>
    <row r="259" spans="24:27">
      <c r="X259" s="748"/>
      <c r="Y259" s="640"/>
      <c r="Z259" s="640"/>
      <c r="AA259" s="748"/>
    </row>
    <row r="260" spans="24:27">
      <c r="X260" s="748"/>
      <c r="Y260" s="640"/>
      <c r="Z260" s="640"/>
      <c r="AA260" s="748"/>
    </row>
    <row r="261" spans="24:27">
      <c r="X261" s="748"/>
      <c r="Y261" s="640"/>
      <c r="Z261" s="640"/>
      <c r="AA261" s="748"/>
    </row>
    <row r="262" spans="24:27">
      <c r="X262" s="748"/>
      <c r="Y262" s="640"/>
      <c r="Z262" s="640"/>
      <c r="AA262" s="748"/>
    </row>
    <row r="263" spans="24:27">
      <c r="X263" s="748"/>
      <c r="Y263" s="640"/>
      <c r="Z263" s="640"/>
      <c r="AA263" s="748"/>
    </row>
    <row r="264" spans="24:27">
      <c r="X264" s="748"/>
      <c r="Y264" s="640"/>
      <c r="Z264" s="640"/>
      <c r="AA264" s="748"/>
    </row>
    <row r="265" spans="24:27">
      <c r="X265" s="748"/>
      <c r="Y265" s="640"/>
      <c r="Z265" s="640"/>
      <c r="AA265" s="748"/>
    </row>
    <row r="266" spans="24:27">
      <c r="X266" s="748"/>
      <c r="Y266" s="640"/>
      <c r="Z266" s="640"/>
      <c r="AA266" s="748"/>
    </row>
    <row r="267" spans="24:27">
      <c r="X267" s="748"/>
      <c r="Y267" s="640"/>
      <c r="Z267" s="640"/>
      <c r="AA267" s="748"/>
    </row>
    <row r="268" spans="24:27">
      <c r="X268" s="748"/>
      <c r="Y268" s="640"/>
      <c r="Z268" s="640"/>
      <c r="AA268" s="748"/>
    </row>
    <row r="269" spans="24:27">
      <c r="X269" s="748"/>
      <c r="Y269" s="640"/>
      <c r="Z269" s="640"/>
      <c r="AA269" s="748"/>
    </row>
    <row r="270" spans="24:27">
      <c r="X270" s="748"/>
      <c r="Y270" s="640"/>
      <c r="Z270" s="640"/>
      <c r="AA270" s="748"/>
    </row>
    <row r="271" spans="24:27">
      <c r="X271" s="748"/>
      <c r="Y271" s="640"/>
      <c r="Z271" s="640"/>
      <c r="AA271" s="748"/>
    </row>
    <row r="272" spans="24:27">
      <c r="X272" s="748"/>
      <c r="Y272" s="640"/>
      <c r="Z272" s="640"/>
      <c r="AA272" s="748"/>
    </row>
    <row r="273" spans="24:27">
      <c r="X273" s="748"/>
      <c r="Y273" s="640"/>
      <c r="Z273" s="640"/>
      <c r="AA273" s="748"/>
    </row>
    <row r="274" spans="24:27">
      <c r="X274" s="748"/>
      <c r="Y274" s="640"/>
      <c r="Z274" s="640"/>
      <c r="AA274" s="748"/>
    </row>
    <row r="275" spans="24:27">
      <c r="X275" s="748"/>
      <c r="Y275" s="640"/>
      <c r="Z275" s="640"/>
      <c r="AA275" s="748"/>
    </row>
    <row r="276" spans="24:27">
      <c r="X276" s="748"/>
      <c r="Y276" s="640"/>
      <c r="Z276" s="640"/>
      <c r="AA276" s="748"/>
    </row>
    <row r="277" spans="24:27">
      <c r="X277" s="748"/>
      <c r="Y277" s="640"/>
      <c r="Z277" s="640"/>
      <c r="AA277" s="748"/>
    </row>
    <row r="278" spans="24:27">
      <c r="X278" s="748"/>
      <c r="Y278" s="640"/>
      <c r="Z278" s="640"/>
      <c r="AA278" s="748"/>
    </row>
    <row r="279" spans="24:27">
      <c r="X279" s="748"/>
      <c r="Y279" s="640"/>
      <c r="Z279" s="640"/>
      <c r="AA279" s="748"/>
    </row>
    <row r="280" spans="24:27">
      <c r="X280" s="748"/>
      <c r="Y280" s="640"/>
      <c r="Z280" s="640"/>
      <c r="AA280" s="748"/>
    </row>
    <row r="281" spans="24:27">
      <c r="X281" s="748"/>
      <c r="Y281" s="640"/>
      <c r="Z281" s="640"/>
      <c r="AA281" s="748"/>
    </row>
    <row r="282" spans="24:27">
      <c r="X282" s="748"/>
      <c r="Y282" s="640"/>
      <c r="Z282" s="640"/>
      <c r="AA282" s="748"/>
    </row>
    <row r="283" spans="24:27">
      <c r="X283" s="748"/>
      <c r="Y283" s="640"/>
      <c r="Z283" s="640"/>
      <c r="AA283" s="748"/>
    </row>
    <row r="284" spans="24:27">
      <c r="X284" s="748"/>
      <c r="Y284" s="640"/>
      <c r="Z284" s="640"/>
      <c r="AA284" s="748"/>
    </row>
    <row r="285" spans="24:27">
      <c r="X285" s="748"/>
      <c r="Y285" s="640"/>
      <c r="Z285" s="640"/>
      <c r="AA285" s="748"/>
    </row>
    <row r="286" spans="24:27">
      <c r="X286" s="748"/>
      <c r="Y286" s="640"/>
      <c r="Z286" s="640"/>
      <c r="AA286" s="748"/>
    </row>
    <row r="287" spans="24:27">
      <c r="X287" s="748"/>
      <c r="Y287" s="640"/>
      <c r="Z287" s="640"/>
      <c r="AA287" s="748"/>
    </row>
    <row r="288" spans="24:27">
      <c r="X288" s="748"/>
      <c r="Y288" s="640"/>
      <c r="Z288" s="640"/>
      <c r="AA288" s="748"/>
    </row>
    <row r="289" spans="24:27">
      <c r="X289" s="748"/>
      <c r="Y289" s="640"/>
      <c r="Z289" s="640"/>
      <c r="AA289" s="748"/>
    </row>
    <row r="290" spans="24:27">
      <c r="X290" s="748"/>
      <c r="Y290" s="640"/>
      <c r="Z290" s="640"/>
      <c r="AA290" s="748"/>
    </row>
    <row r="291" spans="24:27">
      <c r="X291" s="748"/>
      <c r="Y291" s="640"/>
      <c r="Z291" s="640"/>
      <c r="AA291" s="748"/>
    </row>
    <row r="292" spans="24:27">
      <c r="X292" s="748"/>
      <c r="Y292" s="640"/>
      <c r="Z292" s="640"/>
      <c r="AA292" s="748"/>
    </row>
    <row r="293" spans="24:27">
      <c r="X293" s="748"/>
      <c r="Y293" s="640"/>
      <c r="Z293" s="640"/>
      <c r="AA293" s="748"/>
    </row>
    <row r="294" spans="24:27">
      <c r="X294" s="748"/>
      <c r="Y294" s="640"/>
      <c r="Z294" s="640"/>
      <c r="AA294" s="748"/>
    </row>
    <row r="295" spans="24:27">
      <c r="X295" s="748"/>
      <c r="Y295" s="640"/>
      <c r="Z295" s="640"/>
      <c r="AA295" s="748"/>
    </row>
    <row r="296" spans="24:27">
      <c r="X296" s="748"/>
      <c r="Y296" s="640"/>
      <c r="Z296" s="640"/>
      <c r="AA296" s="748"/>
    </row>
    <row r="297" spans="24:27">
      <c r="X297" s="748"/>
      <c r="Y297" s="640"/>
      <c r="Z297" s="640"/>
      <c r="AA297" s="748"/>
    </row>
    <row r="298" spans="24:27">
      <c r="X298" s="748"/>
      <c r="Y298" s="640"/>
      <c r="Z298" s="640"/>
      <c r="AA298" s="748"/>
    </row>
    <row r="299" spans="24:27">
      <c r="X299" s="748"/>
      <c r="Y299" s="640"/>
      <c r="Z299" s="640"/>
      <c r="AA299" s="748"/>
    </row>
    <row r="300" spans="24:27">
      <c r="X300" s="748"/>
      <c r="Y300" s="640"/>
      <c r="Z300" s="640"/>
      <c r="AA300" s="748"/>
    </row>
    <row r="301" spans="24:27">
      <c r="X301" s="748"/>
      <c r="Y301" s="640"/>
      <c r="Z301" s="640"/>
      <c r="AA301" s="748"/>
    </row>
    <row r="302" spans="24:27">
      <c r="X302" s="748"/>
      <c r="Y302" s="640"/>
      <c r="Z302" s="640"/>
      <c r="AA302" s="748"/>
    </row>
    <row r="303" spans="24:27">
      <c r="X303" s="748"/>
      <c r="Y303" s="640"/>
      <c r="Z303" s="640"/>
      <c r="AA303" s="748"/>
    </row>
    <row r="304" spans="24:27">
      <c r="X304" s="748"/>
      <c r="Y304" s="640"/>
      <c r="Z304" s="640"/>
      <c r="AA304" s="748"/>
    </row>
    <row r="305" spans="24:27">
      <c r="X305" s="748"/>
      <c r="Y305" s="640"/>
      <c r="Z305" s="640"/>
      <c r="AA305" s="748"/>
    </row>
    <row r="306" spans="24:27">
      <c r="X306" s="748"/>
    </row>
    <row r="307" spans="24:27">
      <c r="X307" s="748"/>
    </row>
  </sheetData>
  <sheetProtection algorithmName="SHA-512" hashValue="rzBVnSty4fld/ekpuSpbIf55dbR/pLLaz3V/mlDmW+GWTkNe+yFpMP78xV+fp8Pw62rEG4VgEndiIC6+3cIjhw==" saltValue="4O0njUwWG9wHQ5REhrsZww==" spinCount="100000" sheet="1" objects="1" scenarios="1" formatCells="0" formatColumns="0" formatRows="0"/>
  <mergeCells count="94">
    <mergeCell ref="B37:X40"/>
    <mergeCell ref="A42:X43"/>
    <mergeCell ref="D35:N35"/>
    <mergeCell ref="O35:Q35"/>
    <mergeCell ref="R35:S35"/>
    <mergeCell ref="T35:W35"/>
    <mergeCell ref="A36:D36"/>
    <mergeCell ref="E36:X36"/>
    <mergeCell ref="A34:N34"/>
    <mergeCell ref="O34:Q34"/>
    <mergeCell ref="R34:S34"/>
    <mergeCell ref="T34:W34"/>
    <mergeCell ref="A30:N30"/>
    <mergeCell ref="O30:Q30"/>
    <mergeCell ref="R30:S31"/>
    <mergeCell ref="T30:W30"/>
    <mergeCell ref="A31:N31"/>
    <mergeCell ref="O31:Q31"/>
    <mergeCell ref="T31:W31"/>
    <mergeCell ref="A32:N32"/>
    <mergeCell ref="O32:Q32"/>
    <mergeCell ref="R32:S32"/>
    <mergeCell ref="T32:W32"/>
    <mergeCell ref="A33:Q33"/>
    <mergeCell ref="K29:N29"/>
    <mergeCell ref="O29:Q29"/>
    <mergeCell ref="T29:W29"/>
    <mergeCell ref="A25:N25"/>
    <mergeCell ref="O25:Q25"/>
    <mergeCell ref="R25:S25"/>
    <mergeCell ref="T25:W25"/>
    <mergeCell ref="A26:N26"/>
    <mergeCell ref="O26:Q26"/>
    <mergeCell ref="R26:S26"/>
    <mergeCell ref="T26:W26"/>
    <mergeCell ref="A27:Q27"/>
    <mergeCell ref="A28:J29"/>
    <mergeCell ref="K28:N28"/>
    <mergeCell ref="O28:Q28"/>
    <mergeCell ref="R28:S29"/>
    <mergeCell ref="A23:N23"/>
    <mergeCell ref="O23:Q23"/>
    <mergeCell ref="R23:S23"/>
    <mergeCell ref="T23:W23"/>
    <mergeCell ref="T28:W28"/>
    <mergeCell ref="A24:N24"/>
    <mergeCell ref="O24:Q24"/>
    <mergeCell ref="R24:S24"/>
    <mergeCell ref="T24:W24"/>
    <mergeCell ref="A19:Q19"/>
    <mergeCell ref="T20:W20"/>
    <mergeCell ref="A22:N22"/>
    <mergeCell ref="O22:Q22"/>
    <mergeCell ref="R22:S22"/>
    <mergeCell ref="T22:W22"/>
    <mergeCell ref="A21:Q21"/>
    <mergeCell ref="A20:N20"/>
    <mergeCell ref="O20:Q20"/>
    <mergeCell ref="R20:S20"/>
    <mergeCell ref="T17:W17"/>
    <mergeCell ref="E18:N18"/>
    <mergeCell ref="O18:Q18"/>
    <mergeCell ref="T18:W18"/>
    <mergeCell ref="A15:N15"/>
    <mergeCell ref="O15:Q15"/>
    <mergeCell ref="R15:S15"/>
    <mergeCell ref="T15:W15"/>
    <mergeCell ref="A16:N16"/>
    <mergeCell ref="O16:Q16"/>
    <mergeCell ref="R16:S16"/>
    <mergeCell ref="T16:W16"/>
    <mergeCell ref="A17:D18"/>
    <mergeCell ref="E17:N17"/>
    <mergeCell ref="O17:Q17"/>
    <mergeCell ref="R17:S18"/>
    <mergeCell ref="A14:Q14"/>
    <mergeCell ref="T7:W7"/>
    <mergeCell ref="A9:W9"/>
    <mergeCell ref="A10:Q11"/>
    <mergeCell ref="R10:S11"/>
    <mergeCell ref="T10:W11"/>
    <mergeCell ref="A12:Q12"/>
    <mergeCell ref="U12:X12"/>
    <mergeCell ref="A13:Q13"/>
    <mergeCell ref="R13:S13"/>
    <mergeCell ref="T13:W13"/>
    <mergeCell ref="X10:X11"/>
    <mergeCell ref="R6:S6"/>
    <mergeCell ref="T6:W6"/>
    <mergeCell ref="A1:D4"/>
    <mergeCell ref="E1:X2"/>
    <mergeCell ref="E3:T3"/>
    <mergeCell ref="U3:X3"/>
    <mergeCell ref="E4:X4"/>
  </mergeCells>
  <dataValidations count="2">
    <dataValidation type="list" allowBlank="1" showInputMessage="1" showErrorMessage="1" sqref="X9">
      <formula1>$AB$2:$AB$4</formula1>
    </dataValidation>
    <dataValidation type="list" allowBlank="1" showInputMessage="1" showErrorMessage="1" sqref="E6:I6 Y11">
      <formula1>$AA$2:$AA$8</formula1>
    </dataValidation>
  </dataValidations>
  <printOptions horizontalCentered="1"/>
  <pageMargins left="0.59055118110236227" right="0.39370078740157483" top="0.59055118110236227" bottom="0.59055118110236227" header="0" footer="0.19685039370078741"/>
  <pageSetup orientation="portrait" copies="2"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T81"/>
  <sheetViews>
    <sheetView showGridLines="0" showZeros="0" view="pageBreakPreview" zoomScaleNormal="100" zoomScaleSheetLayoutView="100" workbookViewId="0">
      <selection activeCell="AE12" sqref="AE12"/>
    </sheetView>
  </sheetViews>
  <sheetFormatPr baseColWidth="10" defaultRowHeight="12.75"/>
  <cols>
    <col min="1" max="8" width="2.7109375" style="331" customWidth="1"/>
    <col min="9" max="10" width="4" style="331" customWidth="1"/>
    <col min="11" max="11" width="3" style="331" customWidth="1"/>
    <col min="12" max="12" width="2" style="115" customWidth="1"/>
    <col min="13" max="13" width="3.28515625" style="331" customWidth="1"/>
    <col min="14" max="14" width="2.85546875" style="331" customWidth="1"/>
    <col min="15" max="16" width="1.42578125" style="331" customWidth="1"/>
    <col min="17" max="24" width="3" style="331" hidden="1" customWidth="1"/>
    <col min="25" max="33" width="3" style="331" customWidth="1"/>
    <col min="34" max="34" width="4" style="331" customWidth="1"/>
    <col min="35" max="35" width="3.85546875" style="331" customWidth="1"/>
    <col min="36" max="36" width="2.85546875" style="331" customWidth="1"/>
    <col min="37" max="37" width="3.140625" style="331" customWidth="1"/>
    <col min="38" max="38" width="3.28515625" style="331" customWidth="1"/>
    <col min="39" max="39" width="2.5703125" style="331" customWidth="1"/>
    <col min="40" max="40" width="2.28515625" style="331" customWidth="1"/>
    <col min="41" max="41" width="11.5703125" style="331" customWidth="1"/>
    <col min="42" max="42" width="15.7109375" style="33" customWidth="1"/>
    <col min="43" max="43" width="6.7109375" style="33" customWidth="1"/>
    <col min="44" max="44" width="6.5703125" style="33" customWidth="1"/>
    <col min="45" max="45" width="7.5703125" style="33" customWidth="1"/>
    <col min="46" max="72" width="6.7109375" style="33" customWidth="1"/>
    <col min="73" max="97" width="6.7109375" style="99" customWidth="1"/>
    <col min="98" max="124" width="6.7109375" style="263" customWidth="1"/>
    <col min="125" max="126" width="11.42578125" style="331"/>
    <col min="127" max="163" width="11.42578125" style="331" customWidth="1"/>
    <col min="164" max="322" width="11.42578125" style="331"/>
    <col min="323" max="329" width="2.7109375" style="331" customWidth="1"/>
    <col min="330" max="330" width="2.85546875" style="331" customWidth="1"/>
    <col min="331" max="331" width="2.7109375" style="331" customWidth="1"/>
    <col min="332" max="332" width="3" style="331" customWidth="1"/>
    <col min="333" max="348" width="2.7109375" style="331" customWidth="1"/>
    <col min="349" max="349" width="4" style="331" customWidth="1"/>
    <col min="350" max="355" width="2.7109375" style="331" customWidth="1"/>
    <col min="356" max="366" width="7.28515625" style="331" customWidth="1"/>
    <col min="367" max="578" width="11.42578125" style="331"/>
    <col min="579" max="585" width="2.7109375" style="331" customWidth="1"/>
    <col min="586" max="586" width="2.85546875" style="331" customWidth="1"/>
    <col min="587" max="587" width="2.7109375" style="331" customWidth="1"/>
    <col min="588" max="588" width="3" style="331" customWidth="1"/>
    <col min="589" max="604" width="2.7109375" style="331" customWidth="1"/>
    <col min="605" max="605" width="4" style="331" customWidth="1"/>
    <col min="606" max="611" width="2.7109375" style="331" customWidth="1"/>
    <col min="612" max="622" width="7.28515625" style="331" customWidth="1"/>
    <col min="623" max="834" width="11.42578125" style="331"/>
    <col min="835" max="841" width="2.7109375" style="331" customWidth="1"/>
    <col min="842" max="842" width="2.85546875" style="331" customWidth="1"/>
    <col min="843" max="843" width="2.7109375" style="331" customWidth="1"/>
    <col min="844" max="844" width="3" style="331" customWidth="1"/>
    <col min="845" max="860" width="2.7109375" style="331" customWidth="1"/>
    <col min="861" max="861" width="4" style="331" customWidth="1"/>
    <col min="862" max="867" width="2.7109375" style="331" customWidth="1"/>
    <col min="868" max="878" width="7.28515625" style="331" customWidth="1"/>
    <col min="879" max="1090" width="11.42578125" style="331"/>
    <col min="1091" max="1097" width="2.7109375" style="331" customWidth="1"/>
    <col min="1098" max="1098" width="2.85546875" style="331" customWidth="1"/>
    <col min="1099" max="1099" width="2.7109375" style="331" customWidth="1"/>
    <col min="1100" max="1100" width="3" style="331" customWidth="1"/>
    <col min="1101" max="1116" width="2.7109375" style="331" customWidth="1"/>
    <col min="1117" max="1117" width="4" style="331" customWidth="1"/>
    <col min="1118" max="1123" width="2.7109375" style="331" customWidth="1"/>
    <col min="1124" max="1134" width="7.28515625" style="331" customWidth="1"/>
    <col min="1135" max="1346" width="11.42578125" style="331"/>
    <col min="1347" max="1353" width="2.7109375" style="331" customWidth="1"/>
    <col min="1354" max="1354" width="2.85546875" style="331" customWidth="1"/>
    <col min="1355" max="1355" width="2.7109375" style="331" customWidth="1"/>
    <col min="1356" max="1356" width="3" style="331" customWidth="1"/>
    <col min="1357" max="1372" width="2.7109375" style="331" customWidth="1"/>
    <col min="1373" max="1373" width="4" style="331" customWidth="1"/>
    <col min="1374" max="1379" width="2.7109375" style="331" customWidth="1"/>
    <col min="1380" max="1390" width="7.28515625" style="331" customWidth="1"/>
    <col min="1391" max="1602" width="11.42578125" style="331"/>
    <col min="1603" max="1609" width="2.7109375" style="331" customWidth="1"/>
    <col min="1610" max="1610" width="2.85546875" style="331" customWidth="1"/>
    <col min="1611" max="1611" width="2.7109375" style="331" customWidth="1"/>
    <col min="1612" max="1612" width="3" style="331" customWidth="1"/>
    <col min="1613" max="1628" width="2.7109375" style="331" customWidth="1"/>
    <col min="1629" max="1629" width="4" style="331" customWidth="1"/>
    <col min="1630" max="1635" width="2.7109375" style="331" customWidth="1"/>
    <col min="1636" max="1646" width="7.28515625" style="331" customWidth="1"/>
    <col min="1647" max="1858" width="11.42578125" style="331"/>
    <col min="1859" max="1865" width="2.7109375" style="331" customWidth="1"/>
    <col min="1866" max="1866" width="2.85546875" style="331" customWidth="1"/>
    <col min="1867" max="1867" width="2.7109375" style="331" customWidth="1"/>
    <col min="1868" max="1868" width="3" style="331" customWidth="1"/>
    <col min="1869" max="1884" width="2.7109375" style="331" customWidth="1"/>
    <col min="1885" max="1885" width="4" style="331" customWidth="1"/>
    <col min="1886" max="1891" width="2.7109375" style="331" customWidth="1"/>
    <col min="1892" max="1902" width="7.28515625" style="331" customWidth="1"/>
    <col min="1903" max="2114" width="11.42578125" style="331"/>
    <col min="2115" max="2121" width="2.7109375" style="331" customWidth="1"/>
    <col min="2122" max="2122" width="2.85546875" style="331" customWidth="1"/>
    <col min="2123" max="2123" width="2.7109375" style="331" customWidth="1"/>
    <col min="2124" max="2124" width="3" style="331" customWidth="1"/>
    <col min="2125" max="2140" width="2.7109375" style="331" customWidth="1"/>
    <col min="2141" max="2141" width="4" style="331" customWidth="1"/>
    <col min="2142" max="2147" width="2.7109375" style="331" customWidth="1"/>
    <col min="2148" max="2158" width="7.28515625" style="331" customWidth="1"/>
    <col min="2159" max="2370" width="11.42578125" style="331"/>
    <col min="2371" max="2377" width="2.7109375" style="331" customWidth="1"/>
    <col min="2378" max="2378" width="2.85546875" style="331" customWidth="1"/>
    <col min="2379" max="2379" width="2.7109375" style="331" customWidth="1"/>
    <col min="2380" max="2380" width="3" style="331" customWidth="1"/>
    <col min="2381" max="2396" width="2.7109375" style="331" customWidth="1"/>
    <col min="2397" max="2397" width="4" style="331" customWidth="1"/>
    <col min="2398" max="2403" width="2.7109375" style="331" customWidth="1"/>
    <col min="2404" max="2414" width="7.28515625" style="331" customWidth="1"/>
    <col min="2415" max="2626" width="11.42578125" style="331"/>
    <col min="2627" max="2633" width="2.7109375" style="331" customWidth="1"/>
    <col min="2634" max="2634" width="2.85546875" style="331" customWidth="1"/>
    <col min="2635" max="2635" width="2.7109375" style="331" customWidth="1"/>
    <col min="2636" max="2636" width="3" style="331" customWidth="1"/>
    <col min="2637" max="2652" width="2.7109375" style="331" customWidth="1"/>
    <col min="2653" max="2653" width="4" style="331" customWidth="1"/>
    <col min="2654" max="2659" width="2.7109375" style="331" customWidth="1"/>
    <col min="2660" max="2670" width="7.28515625" style="331" customWidth="1"/>
    <col min="2671" max="2882" width="11.42578125" style="331"/>
    <col min="2883" max="2889" width="2.7109375" style="331" customWidth="1"/>
    <col min="2890" max="2890" width="2.85546875" style="331" customWidth="1"/>
    <col min="2891" max="2891" width="2.7109375" style="331" customWidth="1"/>
    <col min="2892" max="2892" width="3" style="331" customWidth="1"/>
    <col min="2893" max="2908" width="2.7109375" style="331" customWidth="1"/>
    <col min="2909" max="2909" width="4" style="331" customWidth="1"/>
    <col min="2910" max="2915" width="2.7109375" style="331" customWidth="1"/>
    <col min="2916" max="2926" width="7.28515625" style="331" customWidth="1"/>
    <col min="2927" max="3138" width="11.42578125" style="331"/>
    <col min="3139" max="3145" width="2.7109375" style="331" customWidth="1"/>
    <col min="3146" max="3146" width="2.85546875" style="331" customWidth="1"/>
    <col min="3147" max="3147" width="2.7109375" style="331" customWidth="1"/>
    <col min="3148" max="3148" width="3" style="331" customWidth="1"/>
    <col min="3149" max="3164" width="2.7109375" style="331" customWidth="1"/>
    <col min="3165" max="3165" width="4" style="331" customWidth="1"/>
    <col min="3166" max="3171" width="2.7109375" style="331" customWidth="1"/>
    <col min="3172" max="3182" width="7.28515625" style="331" customWidth="1"/>
    <col min="3183" max="3394" width="11.42578125" style="331"/>
    <col min="3395" max="3401" width="2.7109375" style="331" customWidth="1"/>
    <col min="3402" max="3402" width="2.85546875" style="331" customWidth="1"/>
    <col min="3403" max="3403" width="2.7109375" style="331" customWidth="1"/>
    <col min="3404" max="3404" width="3" style="331" customWidth="1"/>
    <col min="3405" max="3420" width="2.7109375" style="331" customWidth="1"/>
    <col min="3421" max="3421" width="4" style="331" customWidth="1"/>
    <col min="3422" max="3427" width="2.7109375" style="331" customWidth="1"/>
    <col min="3428" max="3438" width="7.28515625" style="331" customWidth="1"/>
    <col min="3439" max="3650" width="11.42578125" style="331"/>
    <col min="3651" max="3657" width="2.7109375" style="331" customWidth="1"/>
    <col min="3658" max="3658" width="2.85546875" style="331" customWidth="1"/>
    <col min="3659" max="3659" width="2.7109375" style="331" customWidth="1"/>
    <col min="3660" max="3660" width="3" style="331" customWidth="1"/>
    <col min="3661" max="3676" width="2.7109375" style="331" customWidth="1"/>
    <col min="3677" max="3677" width="4" style="331" customWidth="1"/>
    <col min="3678" max="3683" width="2.7109375" style="331" customWidth="1"/>
    <col min="3684" max="3694" width="7.28515625" style="331" customWidth="1"/>
    <col min="3695" max="3906" width="11.42578125" style="331"/>
    <col min="3907" max="3913" width="2.7109375" style="331" customWidth="1"/>
    <col min="3914" max="3914" width="2.85546875" style="331" customWidth="1"/>
    <col min="3915" max="3915" width="2.7109375" style="331" customWidth="1"/>
    <col min="3916" max="3916" width="3" style="331" customWidth="1"/>
    <col min="3917" max="3932" width="2.7109375" style="331" customWidth="1"/>
    <col min="3933" max="3933" width="4" style="331" customWidth="1"/>
    <col min="3934" max="3939" width="2.7109375" style="331" customWidth="1"/>
    <col min="3940" max="3950" width="7.28515625" style="331" customWidth="1"/>
    <col min="3951" max="4162" width="11.42578125" style="331"/>
    <col min="4163" max="4169" width="2.7109375" style="331" customWidth="1"/>
    <col min="4170" max="4170" width="2.85546875" style="331" customWidth="1"/>
    <col min="4171" max="4171" width="2.7109375" style="331" customWidth="1"/>
    <col min="4172" max="4172" width="3" style="331" customWidth="1"/>
    <col min="4173" max="4188" width="2.7109375" style="331" customWidth="1"/>
    <col min="4189" max="4189" width="4" style="331" customWidth="1"/>
    <col min="4190" max="4195" width="2.7109375" style="331" customWidth="1"/>
    <col min="4196" max="4206" width="7.28515625" style="331" customWidth="1"/>
    <col min="4207" max="4418" width="11.42578125" style="331"/>
    <col min="4419" max="4425" width="2.7109375" style="331" customWidth="1"/>
    <col min="4426" max="4426" width="2.85546875" style="331" customWidth="1"/>
    <col min="4427" max="4427" width="2.7109375" style="331" customWidth="1"/>
    <col min="4428" max="4428" width="3" style="331" customWidth="1"/>
    <col min="4429" max="4444" width="2.7109375" style="331" customWidth="1"/>
    <col min="4445" max="4445" width="4" style="331" customWidth="1"/>
    <col min="4446" max="4451" width="2.7109375" style="331" customWidth="1"/>
    <col min="4452" max="4462" width="7.28515625" style="331" customWidth="1"/>
    <col min="4463" max="4674" width="11.42578125" style="331"/>
    <col min="4675" max="4681" width="2.7109375" style="331" customWidth="1"/>
    <col min="4682" max="4682" width="2.85546875" style="331" customWidth="1"/>
    <col min="4683" max="4683" width="2.7109375" style="331" customWidth="1"/>
    <col min="4684" max="4684" width="3" style="331" customWidth="1"/>
    <col min="4685" max="4700" width="2.7109375" style="331" customWidth="1"/>
    <col min="4701" max="4701" width="4" style="331" customWidth="1"/>
    <col min="4702" max="4707" width="2.7109375" style="331" customWidth="1"/>
    <col min="4708" max="4718" width="7.28515625" style="331" customWidth="1"/>
    <col min="4719" max="4930" width="11.42578125" style="331"/>
    <col min="4931" max="4937" width="2.7109375" style="331" customWidth="1"/>
    <col min="4938" max="4938" width="2.85546875" style="331" customWidth="1"/>
    <col min="4939" max="4939" width="2.7109375" style="331" customWidth="1"/>
    <col min="4940" max="4940" width="3" style="331" customWidth="1"/>
    <col min="4941" max="4956" width="2.7109375" style="331" customWidth="1"/>
    <col min="4957" max="4957" width="4" style="331" customWidth="1"/>
    <col min="4958" max="4963" width="2.7109375" style="331" customWidth="1"/>
    <col min="4964" max="4974" width="7.28515625" style="331" customWidth="1"/>
    <col min="4975" max="5186" width="11.42578125" style="331"/>
    <col min="5187" max="5193" width="2.7109375" style="331" customWidth="1"/>
    <col min="5194" max="5194" width="2.85546875" style="331" customWidth="1"/>
    <col min="5195" max="5195" width="2.7109375" style="331" customWidth="1"/>
    <col min="5196" max="5196" width="3" style="331" customWidth="1"/>
    <col min="5197" max="5212" width="2.7109375" style="331" customWidth="1"/>
    <col min="5213" max="5213" width="4" style="331" customWidth="1"/>
    <col min="5214" max="5219" width="2.7109375" style="331" customWidth="1"/>
    <col min="5220" max="5230" width="7.28515625" style="331" customWidth="1"/>
    <col min="5231" max="5442" width="11.42578125" style="331"/>
    <col min="5443" max="5449" width="2.7109375" style="331" customWidth="1"/>
    <col min="5450" max="5450" width="2.85546875" style="331" customWidth="1"/>
    <col min="5451" max="5451" width="2.7109375" style="331" customWidth="1"/>
    <col min="5452" max="5452" width="3" style="331" customWidth="1"/>
    <col min="5453" max="5468" width="2.7109375" style="331" customWidth="1"/>
    <col min="5469" max="5469" width="4" style="331" customWidth="1"/>
    <col min="5470" max="5475" width="2.7109375" style="331" customWidth="1"/>
    <col min="5476" max="5486" width="7.28515625" style="331" customWidth="1"/>
    <col min="5487" max="5698" width="11.42578125" style="331"/>
    <col min="5699" max="5705" width="2.7109375" style="331" customWidth="1"/>
    <col min="5706" max="5706" width="2.85546875" style="331" customWidth="1"/>
    <col min="5707" max="5707" width="2.7109375" style="331" customWidth="1"/>
    <col min="5708" max="5708" width="3" style="331" customWidth="1"/>
    <col min="5709" max="5724" width="2.7109375" style="331" customWidth="1"/>
    <col min="5725" max="5725" width="4" style="331" customWidth="1"/>
    <col min="5726" max="5731" width="2.7109375" style="331" customWidth="1"/>
    <col min="5732" max="5742" width="7.28515625" style="331" customWidth="1"/>
    <col min="5743" max="5954" width="11.42578125" style="331"/>
    <col min="5955" max="5961" width="2.7109375" style="331" customWidth="1"/>
    <col min="5962" max="5962" width="2.85546875" style="331" customWidth="1"/>
    <col min="5963" max="5963" width="2.7109375" style="331" customWidth="1"/>
    <col min="5964" max="5964" width="3" style="331" customWidth="1"/>
    <col min="5965" max="5980" width="2.7109375" style="331" customWidth="1"/>
    <col min="5981" max="5981" width="4" style="331" customWidth="1"/>
    <col min="5982" max="5987" width="2.7109375" style="331" customWidth="1"/>
    <col min="5988" max="5998" width="7.28515625" style="331" customWidth="1"/>
    <col min="5999" max="6210" width="11.42578125" style="331"/>
    <col min="6211" max="6217" width="2.7109375" style="331" customWidth="1"/>
    <col min="6218" max="6218" width="2.85546875" style="331" customWidth="1"/>
    <col min="6219" max="6219" width="2.7109375" style="331" customWidth="1"/>
    <col min="6220" max="6220" width="3" style="331" customWidth="1"/>
    <col min="6221" max="6236" width="2.7109375" style="331" customWidth="1"/>
    <col min="6237" max="6237" width="4" style="331" customWidth="1"/>
    <col min="6238" max="6243" width="2.7109375" style="331" customWidth="1"/>
    <col min="6244" max="6254" width="7.28515625" style="331" customWidth="1"/>
    <col min="6255" max="6466" width="11.42578125" style="331"/>
    <col min="6467" max="6473" width="2.7109375" style="331" customWidth="1"/>
    <col min="6474" max="6474" width="2.85546875" style="331" customWidth="1"/>
    <col min="6475" max="6475" width="2.7109375" style="331" customWidth="1"/>
    <col min="6476" max="6476" width="3" style="331" customWidth="1"/>
    <col min="6477" max="6492" width="2.7109375" style="331" customWidth="1"/>
    <col min="6493" max="6493" width="4" style="331" customWidth="1"/>
    <col min="6494" max="6499" width="2.7109375" style="331" customWidth="1"/>
    <col min="6500" max="6510" width="7.28515625" style="331" customWidth="1"/>
    <col min="6511" max="6722" width="11.42578125" style="331"/>
    <col min="6723" max="6729" width="2.7109375" style="331" customWidth="1"/>
    <col min="6730" max="6730" width="2.85546875" style="331" customWidth="1"/>
    <col min="6731" max="6731" width="2.7109375" style="331" customWidth="1"/>
    <col min="6732" max="6732" width="3" style="331" customWidth="1"/>
    <col min="6733" max="6748" width="2.7109375" style="331" customWidth="1"/>
    <col min="6749" max="6749" width="4" style="331" customWidth="1"/>
    <col min="6750" max="6755" width="2.7109375" style="331" customWidth="1"/>
    <col min="6756" max="6766" width="7.28515625" style="331" customWidth="1"/>
    <col min="6767" max="6978" width="11.42578125" style="331"/>
    <col min="6979" max="6985" width="2.7109375" style="331" customWidth="1"/>
    <col min="6986" max="6986" width="2.85546875" style="331" customWidth="1"/>
    <col min="6987" max="6987" width="2.7109375" style="331" customWidth="1"/>
    <col min="6988" max="6988" width="3" style="331" customWidth="1"/>
    <col min="6989" max="7004" width="2.7109375" style="331" customWidth="1"/>
    <col min="7005" max="7005" width="4" style="331" customWidth="1"/>
    <col min="7006" max="7011" width="2.7109375" style="331" customWidth="1"/>
    <col min="7012" max="7022" width="7.28515625" style="331" customWidth="1"/>
    <col min="7023" max="7234" width="11.42578125" style="331"/>
    <col min="7235" max="7241" width="2.7109375" style="331" customWidth="1"/>
    <col min="7242" max="7242" width="2.85546875" style="331" customWidth="1"/>
    <col min="7243" max="7243" width="2.7109375" style="331" customWidth="1"/>
    <col min="7244" max="7244" width="3" style="331" customWidth="1"/>
    <col min="7245" max="7260" width="2.7109375" style="331" customWidth="1"/>
    <col min="7261" max="7261" width="4" style="331" customWidth="1"/>
    <col min="7262" max="7267" width="2.7109375" style="331" customWidth="1"/>
    <col min="7268" max="7278" width="7.28515625" style="331" customWidth="1"/>
    <col min="7279" max="7490" width="11.42578125" style="331"/>
    <col min="7491" max="7497" width="2.7109375" style="331" customWidth="1"/>
    <col min="7498" max="7498" width="2.85546875" style="331" customWidth="1"/>
    <col min="7499" max="7499" width="2.7109375" style="331" customWidth="1"/>
    <col min="7500" max="7500" width="3" style="331" customWidth="1"/>
    <col min="7501" max="7516" width="2.7109375" style="331" customWidth="1"/>
    <col min="7517" max="7517" width="4" style="331" customWidth="1"/>
    <col min="7518" max="7523" width="2.7109375" style="331" customWidth="1"/>
    <col min="7524" max="7534" width="7.28515625" style="331" customWidth="1"/>
    <col min="7535" max="7746" width="11.42578125" style="331"/>
    <col min="7747" max="7753" width="2.7109375" style="331" customWidth="1"/>
    <col min="7754" max="7754" width="2.85546875" style="331" customWidth="1"/>
    <col min="7755" max="7755" width="2.7109375" style="331" customWidth="1"/>
    <col min="7756" max="7756" width="3" style="331" customWidth="1"/>
    <col min="7757" max="7772" width="2.7109375" style="331" customWidth="1"/>
    <col min="7773" max="7773" width="4" style="331" customWidth="1"/>
    <col min="7774" max="7779" width="2.7109375" style="331" customWidth="1"/>
    <col min="7780" max="7790" width="7.28515625" style="331" customWidth="1"/>
    <col min="7791" max="8002" width="11.42578125" style="331"/>
    <col min="8003" max="8009" width="2.7109375" style="331" customWidth="1"/>
    <col min="8010" max="8010" width="2.85546875" style="331" customWidth="1"/>
    <col min="8011" max="8011" width="2.7109375" style="331" customWidth="1"/>
    <col min="8012" max="8012" width="3" style="331" customWidth="1"/>
    <col min="8013" max="8028" width="2.7109375" style="331" customWidth="1"/>
    <col min="8029" max="8029" width="4" style="331" customWidth="1"/>
    <col min="8030" max="8035" width="2.7109375" style="331" customWidth="1"/>
    <col min="8036" max="8046" width="7.28515625" style="331" customWidth="1"/>
    <col min="8047" max="8258" width="11.42578125" style="331"/>
    <col min="8259" max="8265" width="2.7109375" style="331" customWidth="1"/>
    <col min="8266" max="8266" width="2.85546875" style="331" customWidth="1"/>
    <col min="8267" max="8267" width="2.7109375" style="331" customWidth="1"/>
    <col min="8268" max="8268" width="3" style="331" customWidth="1"/>
    <col min="8269" max="8284" width="2.7109375" style="331" customWidth="1"/>
    <col min="8285" max="8285" width="4" style="331" customWidth="1"/>
    <col min="8286" max="8291" width="2.7109375" style="331" customWidth="1"/>
    <col min="8292" max="8302" width="7.28515625" style="331" customWidth="1"/>
    <col min="8303" max="8514" width="11.42578125" style="331"/>
    <col min="8515" max="8521" width="2.7109375" style="331" customWidth="1"/>
    <col min="8522" max="8522" width="2.85546875" style="331" customWidth="1"/>
    <col min="8523" max="8523" width="2.7109375" style="331" customWidth="1"/>
    <col min="8524" max="8524" width="3" style="331" customWidth="1"/>
    <col min="8525" max="8540" width="2.7109375" style="331" customWidth="1"/>
    <col min="8541" max="8541" width="4" style="331" customWidth="1"/>
    <col min="8542" max="8547" width="2.7109375" style="331" customWidth="1"/>
    <col min="8548" max="8558" width="7.28515625" style="331" customWidth="1"/>
    <col min="8559" max="8770" width="11.42578125" style="331"/>
    <col min="8771" max="8777" width="2.7109375" style="331" customWidth="1"/>
    <col min="8778" max="8778" width="2.85546875" style="331" customWidth="1"/>
    <col min="8779" max="8779" width="2.7109375" style="331" customWidth="1"/>
    <col min="8780" max="8780" width="3" style="331" customWidth="1"/>
    <col min="8781" max="8796" width="2.7109375" style="331" customWidth="1"/>
    <col min="8797" max="8797" width="4" style="331" customWidth="1"/>
    <col min="8798" max="8803" width="2.7109375" style="331" customWidth="1"/>
    <col min="8804" max="8814" width="7.28515625" style="331" customWidth="1"/>
    <col min="8815" max="9026" width="11.42578125" style="331"/>
    <col min="9027" max="9033" width="2.7109375" style="331" customWidth="1"/>
    <col min="9034" max="9034" width="2.85546875" style="331" customWidth="1"/>
    <col min="9035" max="9035" width="2.7109375" style="331" customWidth="1"/>
    <col min="9036" max="9036" width="3" style="331" customWidth="1"/>
    <col min="9037" max="9052" width="2.7109375" style="331" customWidth="1"/>
    <col min="9053" max="9053" width="4" style="331" customWidth="1"/>
    <col min="9054" max="9059" width="2.7109375" style="331" customWidth="1"/>
    <col min="9060" max="9070" width="7.28515625" style="331" customWidth="1"/>
    <col min="9071" max="9282" width="11.42578125" style="331"/>
    <col min="9283" max="9289" width="2.7109375" style="331" customWidth="1"/>
    <col min="9290" max="9290" width="2.85546875" style="331" customWidth="1"/>
    <col min="9291" max="9291" width="2.7109375" style="331" customWidth="1"/>
    <col min="9292" max="9292" width="3" style="331" customWidth="1"/>
    <col min="9293" max="9308" width="2.7109375" style="331" customWidth="1"/>
    <col min="9309" max="9309" width="4" style="331" customWidth="1"/>
    <col min="9310" max="9315" width="2.7109375" style="331" customWidth="1"/>
    <col min="9316" max="9326" width="7.28515625" style="331" customWidth="1"/>
    <col min="9327" max="9538" width="11.42578125" style="331"/>
    <col min="9539" max="9545" width="2.7109375" style="331" customWidth="1"/>
    <col min="9546" max="9546" width="2.85546875" style="331" customWidth="1"/>
    <col min="9547" max="9547" width="2.7109375" style="331" customWidth="1"/>
    <col min="9548" max="9548" width="3" style="331" customWidth="1"/>
    <col min="9549" max="9564" width="2.7109375" style="331" customWidth="1"/>
    <col min="9565" max="9565" width="4" style="331" customWidth="1"/>
    <col min="9566" max="9571" width="2.7109375" style="331" customWidth="1"/>
    <col min="9572" max="9582" width="7.28515625" style="331" customWidth="1"/>
    <col min="9583" max="9794" width="11.42578125" style="331"/>
    <col min="9795" max="9801" width="2.7109375" style="331" customWidth="1"/>
    <col min="9802" max="9802" width="2.85546875" style="331" customWidth="1"/>
    <col min="9803" max="9803" width="2.7109375" style="331" customWidth="1"/>
    <col min="9804" max="9804" width="3" style="331" customWidth="1"/>
    <col min="9805" max="9820" width="2.7109375" style="331" customWidth="1"/>
    <col min="9821" max="9821" width="4" style="331" customWidth="1"/>
    <col min="9822" max="9827" width="2.7109375" style="331" customWidth="1"/>
    <col min="9828" max="9838" width="7.28515625" style="331" customWidth="1"/>
    <col min="9839" max="10050" width="11.42578125" style="331"/>
    <col min="10051" max="10057" width="2.7109375" style="331" customWidth="1"/>
    <col min="10058" max="10058" width="2.85546875" style="331" customWidth="1"/>
    <col min="10059" max="10059" width="2.7109375" style="331" customWidth="1"/>
    <col min="10060" max="10060" width="3" style="331" customWidth="1"/>
    <col min="10061" max="10076" width="2.7109375" style="331" customWidth="1"/>
    <col min="10077" max="10077" width="4" style="331" customWidth="1"/>
    <col min="10078" max="10083" width="2.7109375" style="331" customWidth="1"/>
    <col min="10084" max="10094" width="7.28515625" style="331" customWidth="1"/>
    <col min="10095" max="10306" width="11.42578125" style="331"/>
    <col min="10307" max="10313" width="2.7109375" style="331" customWidth="1"/>
    <col min="10314" max="10314" width="2.85546875" style="331" customWidth="1"/>
    <col min="10315" max="10315" width="2.7109375" style="331" customWidth="1"/>
    <col min="10316" max="10316" width="3" style="331" customWidth="1"/>
    <col min="10317" max="10332" width="2.7109375" style="331" customWidth="1"/>
    <col min="10333" max="10333" width="4" style="331" customWidth="1"/>
    <col min="10334" max="10339" width="2.7109375" style="331" customWidth="1"/>
    <col min="10340" max="10350" width="7.28515625" style="331" customWidth="1"/>
    <col min="10351" max="10562" width="11.42578125" style="331"/>
    <col min="10563" max="10569" width="2.7109375" style="331" customWidth="1"/>
    <col min="10570" max="10570" width="2.85546875" style="331" customWidth="1"/>
    <col min="10571" max="10571" width="2.7109375" style="331" customWidth="1"/>
    <col min="10572" max="10572" width="3" style="331" customWidth="1"/>
    <col min="10573" max="10588" width="2.7109375" style="331" customWidth="1"/>
    <col min="10589" max="10589" width="4" style="331" customWidth="1"/>
    <col min="10590" max="10595" width="2.7109375" style="331" customWidth="1"/>
    <col min="10596" max="10606" width="7.28515625" style="331" customWidth="1"/>
    <col min="10607" max="10818" width="11.42578125" style="331"/>
    <col min="10819" max="10825" width="2.7109375" style="331" customWidth="1"/>
    <col min="10826" max="10826" width="2.85546875" style="331" customWidth="1"/>
    <col min="10827" max="10827" width="2.7109375" style="331" customWidth="1"/>
    <col min="10828" max="10828" width="3" style="331" customWidth="1"/>
    <col min="10829" max="10844" width="2.7109375" style="331" customWidth="1"/>
    <col min="10845" max="10845" width="4" style="331" customWidth="1"/>
    <col min="10846" max="10851" width="2.7109375" style="331" customWidth="1"/>
    <col min="10852" max="10862" width="7.28515625" style="331" customWidth="1"/>
    <col min="10863" max="11074" width="11.42578125" style="331"/>
    <col min="11075" max="11081" width="2.7109375" style="331" customWidth="1"/>
    <col min="11082" max="11082" width="2.85546875" style="331" customWidth="1"/>
    <col min="11083" max="11083" width="2.7109375" style="331" customWidth="1"/>
    <col min="11084" max="11084" width="3" style="331" customWidth="1"/>
    <col min="11085" max="11100" width="2.7109375" style="331" customWidth="1"/>
    <col min="11101" max="11101" width="4" style="331" customWidth="1"/>
    <col min="11102" max="11107" width="2.7109375" style="331" customWidth="1"/>
    <col min="11108" max="11118" width="7.28515625" style="331" customWidth="1"/>
    <col min="11119" max="11330" width="11.42578125" style="331"/>
    <col min="11331" max="11337" width="2.7109375" style="331" customWidth="1"/>
    <col min="11338" max="11338" width="2.85546875" style="331" customWidth="1"/>
    <col min="11339" max="11339" width="2.7109375" style="331" customWidth="1"/>
    <col min="11340" max="11340" width="3" style="331" customWidth="1"/>
    <col min="11341" max="11356" width="2.7109375" style="331" customWidth="1"/>
    <col min="11357" max="11357" width="4" style="331" customWidth="1"/>
    <col min="11358" max="11363" width="2.7109375" style="331" customWidth="1"/>
    <col min="11364" max="11374" width="7.28515625" style="331" customWidth="1"/>
    <col min="11375" max="11586" width="11.42578125" style="331"/>
    <col min="11587" max="11593" width="2.7109375" style="331" customWidth="1"/>
    <col min="11594" max="11594" width="2.85546875" style="331" customWidth="1"/>
    <col min="11595" max="11595" width="2.7109375" style="331" customWidth="1"/>
    <col min="11596" max="11596" width="3" style="331" customWidth="1"/>
    <col min="11597" max="11612" width="2.7109375" style="331" customWidth="1"/>
    <col min="11613" max="11613" width="4" style="331" customWidth="1"/>
    <col min="11614" max="11619" width="2.7109375" style="331" customWidth="1"/>
    <col min="11620" max="11630" width="7.28515625" style="331" customWidth="1"/>
    <col min="11631" max="11842" width="11.42578125" style="331"/>
    <col min="11843" max="11849" width="2.7109375" style="331" customWidth="1"/>
    <col min="11850" max="11850" width="2.85546875" style="331" customWidth="1"/>
    <col min="11851" max="11851" width="2.7109375" style="331" customWidth="1"/>
    <col min="11852" max="11852" width="3" style="331" customWidth="1"/>
    <col min="11853" max="11868" width="2.7109375" style="331" customWidth="1"/>
    <col min="11869" max="11869" width="4" style="331" customWidth="1"/>
    <col min="11870" max="11875" width="2.7109375" style="331" customWidth="1"/>
    <col min="11876" max="11886" width="7.28515625" style="331" customWidth="1"/>
    <col min="11887" max="12098" width="11.42578125" style="331"/>
    <col min="12099" max="12105" width="2.7109375" style="331" customWidth="1"/>
    <col min="12106" max="12106" width="2.85546875" style="331" customWidth="1"/>
    <col min="12107" max="12107" width="2.7109375" style="331" customWidth="1"/>
    <col min="12108" max="12108" width="3" style="331" customWidth="1"/>
    <col min="12109" max="12124" width="2.7109375" style="331" customWidth="1"/>
    <col min="12125" max="12125" width="4" style="331" customWidth="1"/>
    <col min="12126" max="12131" width="2.7109375" style="331" customWidth="1"/>
    <col min="12132" max="12142" width="7.28515625" style="331" customWidth="1"/>
    <col min="12143" max="12354" width="11.42578125" style="331"/>
    <col min="12355" max="12361" width="2.7109375" style="331" customWidth="1"/>
    <col min="12362" max="12362" width="2.85546875" style="331" customWidth="1"/>
    <col min="12363" max="12363" width="2.7109375" style="331" customWidth="1"/>
    <col min="12364" max="12364" width="3" style="331" customWidth="1"/>
    <col min="12365" max="12380" width="2.7109375" style="331" customWidth="1"/>
    <col min="12381" max="12381" width="4" style="331" customWidth="1"/>
    <col min="12382" max="12387" width="2.7109375" style="331" customWidth="1"/>
    <col min="12388" max="12398" width="7.28515625" style="331" customWidth="1"/>
    <col min="12399" max="12610" width="11.42578125" style="331"/>
    <col min="12611" max="12617" width="2.7109375" style="331" customWidth="1"/>
    <col min="12618" max="12618" width="2.85546875" style="331" customWidth="1"/>
    <col min="12619" max="12619" width="2.7109375" style="331" customWidth="1"/>
    <col min="12620" max="12620" width="3" style="331" customWidth="1"/>
    <col min="12621" max="12636" width="2.7109375" style="331" customWidth="1"/>
    <col min="12637" max="12637" width="4" style="331" customWidth="1"/>
    <col min="12638" max="12643" width="2.7109375" style="331" customWidth="1"/>
    <col min="12644" max="12654" width="7.28515625" style="331" customWidth="1"/>
    <col min="12655" max="12866" width="11.42578125" style="331"/>
    <col min="12867" max="12873" width="2.7109375" style="331" customWidth="1"/>
    <col min="12874" max="12874" width="2.85546875" style="331" customWidth="1"/>
    <col min="12875" max="12875" width="2.7109375" style="331" customWidth="1"/>
    <col min="12876" max="12876" width="3" style="331" customWidth="1"/>
    <col min="12877" max="12892" width="2.7109375" style="331" customWidth="1"/>
    <col min="12893" max="12893" width="4" style="331" customWidth="1"/>
    <col min="12894" max="12899" width="2.7109375" style="331" customWidth="1"/>
    <col min="12900" max="12910" width="7.28515625" style="331" customWidth="1"/>
    <col min="12911" max="13122" width="11.42578125" style="331"/>
    <col min="13123" max="13129" width="2.7109375" style="331" customWidth="1"/>
    <col min="13130" max="13130" width="2.85546875" style="331" customWidth="1"/>
    <col min="13131" max="13131" width="2.7109375" style="331" customWidth="1"/>
    <col min="13132" max="13132" width="3" style="331" customWidth="1"/>
    <col min="13133" max="13148" width="2.7109375" style="331" customWidth="1"/>
    <col min="13149" max="13149" width="4" style="331" customWidth="1"/>
    <col min="13150" max="13155" width="2.7109375" style="331" customWidth="1"/>
    <col min="13156" max="13166" width="7.28515625" style="331" customWidth="1"/>
    <col min="13167" max="13378" width="11.42578125" style="331"/>
    <col min="13379" max="13385" width="2.7109375" style="331" customWidth="1"/>
    <col min="13386" max="13386" width="2.85546875" style="331" customWidth="1"/>
    <col min="13387" max="13387" width="2.7109375" style="331" customWidth="1"/>
    <col min="13388" max="13388" width="3" style="331" customWidth="1"/>
    <col min="13389" max="13404" width="2.7109375" style="331" customWidth="1"/>
    <col min="13405" max="13405" width="4" style="331" customWidth="1"/>
    <col min="13406" max="13411" width="2.7109375" style="331" customWidth="1"/>
    <col min="13412" max="13422" width="7.28515625" style="331" customWidth="1"/>
    <col min="13423" max="13634" width="11.42578125" style="331"/>
    <col min="13635" max="13641" width="2.7109375" style="331" customWidth="1"/>
    <col min="13642" max="13642" width="2.85546875" style="331" customWidth="1"/>
    <col min="13643" max="13643" width="2.7109375" style="331" customWidth="1"/>
    <col min="13644" max="13644" width="3" style="331" customWidth="1"/>
    <col min="13645" max="13660" width="2.7109375" style="331" customWidth="1"/>
    <col min="13661" max="13661" width="4" style="331" customWidth="1"/>
    <col min="13662" max="13667" width="2.7109375" style="331" customWidth="1"/>
    <col min="13668" max="13678" width="7.28515625" style="331" customWidth="1"/>
    <col min="13679" max="13890" width="11.42578125" style="331"/>
    <col min="13891" max="13897" width="2.7109375" style="331" customWidth="1"/>
    <col min="13898" max="13898" width="2.85546875" style="331" customWidth="1"/>
    <col min="13899" max="13899" width="2.7109375" style="331" customWidth="1"/>
    <col min="13900" max="13900" width="3" style="331" customWidth="1"/>
    <col min="13901" max="13916" width="2.7109375" style="331" customWidth="1"/>
    <col min="13917" max="13917" width="4" style="331" customWidth="1"/>
    <col min="13918" max="13923" width="2.7109375" style="331" customWidth="1"/>
    <col min="13924" max="13934" width="7.28515625" style="331" customWidth="1"/>
    <col min="13935" max="14146" width="11.42578125" style="331"/>
    <col min="14147" max="14153" width="2.7109375" style="331" customWidth="1"/>
    <col min="14154" max="14154" width="2.85546875" style="331" customWidth="1"/>
    <col min="14155" max="14155" width="2.7109375" style="331" customWidth="1"/>
    <col min="14156" max="14156" width="3" style="331" customWidth="1"/>
    <col min="14157" max="14172" width="2.7109375" style="331" customWidth="1"/>
    <col min="14173" max="14173" width="4" style="331" customWidth="1"/>
    <col min="14174" max="14179" width="2.7109375" style="331" customWidth="1"/>
    <col min="14180" max="14190" width="7.28515625" style="331" customWidth="1"/>
    <col min="14191" max="14402" width="11.42578125" style="331"/>
    <col min="14403" max="14409" width="2.7109375" style="331" customWidth="1"/>
    <col min="14410" max="14410" width="2.85546875" style="331" customWidth="1"/>
    <col min="14411" max="14411" width="2.7109375" style="331" customWidth="1"/>
    <col min="14412" max="14412" width="3" style="331" customWidth="1"/>
    <col min="14413" max="14428" width="2.7109375" style="331" customWidth="1"/>
    <col min="14429" max="14429" width="4" style="331" customWidth="1"/>
    <col min="14430" max="14435" width="2.7109375" style="331" customWidth="1"/>
    <col min="14436" max="14446" width="7.28515625" style="331" customWidth="1"/>
    <col min="14447" max="14658" width="11.42578125" style="331"/>
    <col min="14659" max="14665" width="2.7109375" style="331" customWidth="1"/>
    <col min="14666" max="14666" width="2.85546875" style="331" customWidth="1"/>
    <col min="14667" max="14667" width="2.7109375" style="331" customWidth="1"/>
    <col min="14668" max="14668" width="3" style="331" customWidth="1"/>
    <col min="14669" max="14684" width="2.7109375" style="331" customWidth="1"/>
    <col min="14685" max="14685" width="4" style="331" customWidth="1"/>
    <col min="14686" max="14691" width="2.7109375" style="331" customWidth="1"/>
    <col min="14692" max="14702" width="7.28515625" style="331" customWidth="1"/>
    <col min="14703" max="14914" width="11.42578125" style="331"/>
    <col min="14915" max="14921" width="2.7109375" style="331" customWidth="1"/>
    <col min="14922" max="14922" width="2.85546875" style="331" customWidth="1"/>
    <col min="14923" max="14923" width="2.7109375" style="331" customWidth="1"/>
    <col min="14924" max="14924" width="3" style="331" customWidth="1"/>
    <col min="14925" max="14940" width="2.7109375" style="331" customWidth="1"/>
    <col min="14941" max="14941" width="4" style="331" customWidth="1"/>
    <col min="14942" max="14947" width="2.7109375" style="331" customWidth="1"/>
    <col min="14948" max="14958" width="7.28515625" style="331" customWidth="1"/>
    <col min="14959" max="15170" width="11.42578125" style="331"/>
    <col min="15171" max="15177" width="2.7109375" style="331" customWidth="1"/>
    <col min="15178" max="15178" width="2.85546875" style="331" customWidth="1"/>
    <col min="15179" max="15179" width="2.7109375" style="331" customWidth="1"/>
    <col min="15180" max="15180" width="3" style="331" customWidth="1"/>
    <col min="15181" max="15196" width="2.7109375" style="331" customWidth="1"/>
    <col min="15197" max="15197" width="4" style="331" customWidth="1"/>
    <col min="15198" max="15203" width="2.7109375" style="331" customWidth="1"/>
    <col min="15204" max="15214" width="7.28515625" style="331" customWidth="1"/>
    <col min="15215" max="15426" width="11.42578125" style="331"/>
    <col min="15427" max="15433" width="2.7109375" style="331" customWidth="1"/>
    <col min="15434" max="15434" width="2.85546875" style="331" customWidth="1"/>
    <col min="15435" max="15435" width="2.7109375" style="331" customWidth="1"/>
    <col min="15436" max="15436" width="3" style="331" customWidth="1"/>
    <col min="15437" max="15452" width="2.7109375" style="331" customWidth="1"/>
    <col min="15453" max="15453" width="4" style="331" customWidth="1"/>
    <col min="15454" max="15459" width="2.7109375" style="331" customWidth="1"/>
    <col min="15460" max="15470" width="7.28515625" style="331" customWidth="1"/>
    <col min="15471" max="15682" width="11.42578125" style="331"/>
    <col min="15683" max="15689" width="2.7109375" style="331" customWidth="1"/>
    <col min="15690" max="15690" width="2.85546875" style="331" customWidth="1"/>
    <col min="15691" max="15691" width="2.7109375" style="331" customWidth="1"/>
    <col min="15692" max="15692" width="3" style="331" customWidth="1"/>
    <col min="15693" max="15708" width="2.7109375" style="331" customWidth="1"/>
    <col min="15709" max="15709" width="4" style="331" customWidth="1"/>
    <col min="15710" max="15715" width="2.7109375" style="331" customWidth="1"/>
    <col min="15716" max="15726" width="7.28515625" style="331" customWidth="1"/>
    <col min="15727" max="15938" width="11.42578125" style="331"/>
    <col min="15939" max="15945" width="2.7109375" style="331" customWidth="1"/>
    <col min="15946" max="15946" width="2.85546875" style="331" customWidth="1"/>
    <col min="15947" max="15947" width="2.7109375" style="331" customWidth="1"/>
    <col min="15948" max="15948" width="3" style="331" customWidth="1"/>
    <col min="15949" max="15964" width="2.7109375" style="331" customWidth="1"/>
    <col min="15965" max="15965" width="4" style="331" customWidth="1"/>
    <col min="15966" max="15971" width="2.7109375" style="331" customWidth="1"/>
    <col min="15972" max="15982" width="7.28515625" style="331" customWidth="1"/>
    <col min="15983" max="16194" width="11.42578125" style="331"/>
    <col min="16195" max="16201" width="2.7109375" style="331" customWidth="1"/>
    <col min="16202" max="16202" width="2.85546875" style="331" customWidth="1"/>
    <col min="16203" max="16203" width="2.7109375" style="331" customWidth="1"/>
    <col min="16204" max="16204" width="3" style="331" customWidth="1"/>
    <col min="16205" max="16220" width="2.7109375" style="331" customWidth="1"/>
    <col min="16221" max="16221" width="4" style="331" customWidth="1"/>
    <col min="16222" max="16227" width="2.7109375" style="331" customWidth="1"/>
    <col min="16228" max="16238" width="7.28515625" style="331" customWidth="1"/>
    <col min="16239" max="16384" width="11.42578125" style="331"/>
  </cols>
  <sheetData>
    <row r="1" spans="1:150" ht="14.1" customHeight="1">
      <c r="A1" s="2134"/>
      <c r="B1" s="2135"/>
      <c r="C1" s="2135"/>
      <c r="D1" s="2135"/>
      <c r="E1" s="2135"/>
      <c r="F1" s="2135"/>
      <c r="G1" s="2135"/>
      <c r="H1" s="2135"/>
      <c r="I1" s="2136"/>
      <c r="J1" s="2159" t="s">
        <v>322</v>
      </c>
      <c r="K1" s="2160"/>
      <c r="L1" s="2160"/>
      <c r="M1" s="2160"/>
      <c r="N1" s="2160"/>
      <c r="O1" s="2160"/>
      <c r="P1" s="2160"/>
      <c r="Q1" s="2160"/>
      <c r="R1" s="2160"/>
      <c r="S1" s="2160"/>
      <c r="T1" s="2160"/>
      <c r="U1" s="2160"/>
      <c r="V1" s="2160"/>
      <c r="W1" s="2160"/>
      <c r="X1" s="2160"/>
      <c r="Y1" s="2160"/>
      <c r="Z1" s="2160"/>
      <c r="AA1" s="2160"/>
      <c r="AB1" s="2160"/>
      <c r="AC1" s="2160"/>
      <c r="AD1" s="2160"/>
      <c r="AE1" s="2160"/>
      <c r="AF1" s="2160"/>
      <c r="AG1" s="2160"/>
      <c r="AH1" s="2160"/>
      <c r="AI1" s="2160"/>
      <c r="AJ1" s="2160"/>
      <c r="AK1" s="2160"/>
      <c r="AL1" s="2160"/>
      <c r="AM1" s="2160"/>
      <c r="AN1" s="2161"/>
      <c r="AO1" s="396"/>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127" t="s">
        <v>228</v>
      </c>
    </row>
    <row r="2" spans="1:150" ht="14.1" customHeight="1">
      <c r="A2" s="2137"/>
      <c r="B2" s="2138"/>
      <c r="C2" s="2138"/>
      <c r="D2" s="2138"/>
      <c r="E2" s="2138"/>
      <c r="F2" s="2138"/>
      <c r="G2" s="2138"/>
      <c r="H2" s="2138"/>
      <c r="I2" s="2139"/>
      <c r="J2" s="2162"/>
      <c r="K2" s="2163"/>
      <c r="L2" s="2163"/>
      <c r="M2" s="2163"/>
      <c r="N2" s="2163"/>
      <c r="O2" s="2163"/>
      <c r="P2" s="2163"/>
      <c r="Q2" s="2163"/>
      <c r="R2" s="2163"/>
      <c r="S2" s="2163"/>
      <c r="T2" s="2163"/>
      <c r="U2" s="2163"/>
      <c r="V2" s="2163"/>
      <c r="W2" s="2163"/>
      <c r="X2" s="2163"/>
      <c r="Y2" s="2163"/>
      <c r="Z2" s="2163"/>
      <c r="AA2" s="2163"/>
      <c r="AB2" s="2163"/>
      <c r="AC2" s="2163"/>
      <c r="AD2" s="2163"/>
      <c r="AE2" s="2163"/>
      <c r="AF2" s="2163"/>
      <c r="AG2" s="2163"/>
      <c r="AH2" s="2163"/>
      <c r="AI2" s="2163"/>
      <c r="AJ2" s="2163"/>
      <c r="AK2" s="2163"/>
      <c r="AL2" s="2163"/>
      <c r="AM2" s="2163"/>
      <c r="AN2" s="2164"/>
      <c r="AO2" s="383"/>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127" t="s">
        <v>187</v>
      </c>
    </row>
    <row r="3" spans="1:150" ht="14.1" customHeight="1">
      <c r="A3" s="2137"/>
      <c r="B3" s="2138"/>
      <c r="C3" s="2138"/>
      <c r="D3" s="2138"/>
      <c r="E3" s="2138"/>
      <c r="F3" s="2138"/>
      <c r="G3" s="2138"/>
      <c r="H3" s="2138"/>
      <c r="I3" s="2139"/>
      <c r="J3" s="2165"/>
      <c r="K3" s="2166"/>
      <c r="L3" s="2166"/>
      <c r="M3" s="2166"/>
      <c r="N3" s="2166"/>
      <c r="O3" s="2166"/>
      <c r="P3" s="2166"/>
      <c r="Q3" s="2166"/>
      <c r="R3" s="2166"/>
      <c r="S3" s="2166"/>
      <c r="T3" s="2166"/>
      <c r="U3" s="2166"/>
      <c r="V3" s="2166"/>
      <c r="W3" s="2166"/>
      <c r="X3" s="2166"/>
      <c r="Y3" s="2166"/>
      <c r="Z3" s="2166"/>
      <c r="AA3" s="2166"/>
      <c r="AB3" s="2166"/>
      <c r="AC3" s="2166"/>
      <c r="AD3" s="2166"/>
      <c r="AE3" s="2166"/>
      <c r="AF3" s="2166"/>
      <c r="AG3" s="2166"/>
      <c r="AH3" s="2166"/>
      <c r="AI3" s="2166"/>
      <c r="AJ3" s="2166"/>
      <c r="AK3" s="2166"/>
      <c r="AL3" s="2166"/>
      <c r="AM3" s="2166"/>
      <c r="AN3" s="2167"/>
      <c r="AO3" s="396"/>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127" t="s">
        <v>15</v>
      </c>
    </row>
    <row r="4" spans="1:150" ht="14.1" customHeight="1">
      <c r="A4" s="2137"/>
      <c r="B4" s="2138"/>
      <c r="C4" s="2138"/>
      <c r="D4" s="2138"/>
      <c r="E4" s="2138"/>
      <c r="F4" s="2138"/>
      <c r="G4" s="2138"/>
      <c r="H4" s="2138"/>
      <c r="I4" s="2139"/>
      <c r="J4" s="2143" t="s">
        <v>305</v>
      </c>
      <c r="K4" s="2144"/>
      <c r="L4" s="2144"/>
      <c r="M4" s="2144"/>
      <c r="N4" s="2144"/>
      <c r="O4" s="2144"/>
      <c r="P4" s="2144"/>
      <c r="Q4" s="2144"/>
      <c r="R4" s="2144"/>
      <c r="S4" s="2144"/>
      <c r="T4" s="2144"/>
      <c r="U4" s="2144"/>
      <c r="V4" s="2144"/>
      <c r="W4" s="2144"/>
      <c r="X4" s="2144"/>
      <c r="Y4" s="2144"/>
      <c r="Z4" s="2144"/>
      <c r="AA4" s="2144"/>
      <c r="AB4" s="2144"/>
      <c r="AC4" s="2145"/>
      <c r="AD4" s="2146" t="s">
        <v>312</v>
      </c>
      <c r="AE4" s="2147"/>
      <c r="AF4" s="2147"/>
      <c r="AG4" s="2147"/>
      <c r="AH4" s="2147"/>
      <c r="AI4" s="2147"/>
      <c r="AJ4" s="2147"/>
      <c r="AK4" s="2147"/>
      <c r="AL4" s="2147"/>
      <c r="AM4" s="2147"/>
      <c r="AN4" s="2148"/>
      <c r="AO4" s="397"/>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27" t="s">
        <v>14</v>
      </c>
      <c r="BT4" s="101"/>
    </row>
    <row r="5" spans="1:150" ht="14.1" customHeight="1">
      <c r="A5" s="2140"/>
      <c r="B5" s="2141"/>
      <c r="C5" s="2141"/>
      <c r="D5" s="2141"/>
      <c r="E5" s="2141"/>
      <c r="F5" s="2141"/>
      <c r="G5" s="2141"/>
      <c r="H5" s="2141"/>
      <c r="I5" s="2142"/>
      <c r="J5" s="2149" t="s">
        <v>313</v>
      </c>
      <c r="K5" s="2150"/>
      <c r="L5" s="2150"/>
      <c r="M5" s="2150"/>
      <c r="N5" s="2150"/>
      <c r="O5" s="2150"/>
      <c r="P5" s="2150"/>
      <c r="Q5" s="2150"/>
      <c r="R5" s="2150"/>
      <c r="S5" s="2150"/>
      <c r="T5" s="2150"/>
      <c r="U5" s="2150"/>
      <c r="V5" s="2150"/>
      <c r="W5" s="2150"/>
      <c r="X5" s="2150"/>
      <c r="Y5" s="2150"/>
      <c r="Z5" s="2150"/>
      <c r="AA5" s="2150"/>
      <c r="AB5" s="2150"/>
      <c r="AC5" s="2150"/>
      <c r="AD5" s="2150"/>
      <c r="AE5" s="2150"/>
      <c r="AF5" s="2150"/>
      <c r="AG5" s="2150"/>
      <c r="AH5" s="2150"/>
      <c r="AI5" s="2150"/>
      <c r="AJ5" s="2150"/>
      <c r="AK5" s="2150"/>
      <c r="AL5" s="2150"/>
      <c r="AM5" s="2150"/>
      <c r="AN5" s="2151"/>
      <c r="AO5" s="406"/>
      <c r="AQ5" s="102"/>
      <c r="AR5" s="102"/>
      <c r="AT5" s="102"/>
      <c r="AU5" s="102"/>
      <c r="AV5" s="102"/>
      <c r="AW5" s="102"/>
      <c r="AX5" s="102"/>
      <c r="AY5" s="102"/>
      <c r="AZ5" s="102"/>
      <c r="BA5" s="102"/>
      <c r="BB5" s="102"/>
      <c r="BC5" s="102"/>
      <c r="BD5" s="102"/>
      <c r="BE5" s="102"/>
      <c r="BF5" s="102"/>
      <c r="BG5" s="102"/>
      <c r="BH5" s="102"/>
      <c r="BI5" s="102"/>
      <c r="BJ5" s="102"/>
      <c r="BK5" s="102"/>
      <c r="BL5" s="102"/>
      <c r="BM5" s="102"/>
      <c r="BN5" s="102"/>
      <c r="BO5" s="102"/>
      <c r="BP5" s="102"/>
      <c r="BQ5" s="102"/>
      <c r="BR5" s="102"/>
      <c r="BS5" s="127" t="s">
        <v>188</v>
      </c>
    </row>
    <row r="6" spans="1:150" ht="14.1" customHeight="1">
      <c r="A6" s="381"/>
      <c r="B6" s="382"/>
      <c r="C6" s="382"/>
      <c r="D6" s="382"/>
      <c r="E6" s="410"/>
      <c r="F6" s="410"/>
      <c r="G6" s="410"/>
      <c r="H6" s="410"/>
      <c r="I6" s="410"/>
      <c r="J6" s="410"/>
      <c r="K6" s="410"/>
      <c r="L6" s="410"/>
      <c r="M6" s="410"/>
      <c r="N6" s="410"/>
      <c r="O6" s="410"/>
      <c r="P6" s="410"/>
      <c r="Q6" s="410"/>
      <c r="R6" s="410"/>
      <c r="S6" s="410"/>
      <c r="T6" s="410"/>
      <c r="U6" s="410"/>
      <c r="W6" s="358"/>
      <c r="X6" s="358"/>
      <c r="Y6" s="358"/>
      <c r="Z6" s="358"/>
      <c r="AA6" s="358"/>
      <c r="AB6" s="358"/>
      <c r="AC6" s="358"/>
      <c r="AD6" s="358"/>
      <c r="AE6" s="358"/>
      <c r="AF6" s="358"/>
      <c r="AG6" s="358"/>
      <c r="AH6" s="358"/>
      <c r="AI6" s="358"/>
      <c r="AJ6" s="411"/>
      <c r="AK6" s="411"/>
      <c r="AL6" s="411"/>
      <c r="AM6" s="411"/>
      <c r="AN6" s="412"/>
      <c r="AO6" s="392" t="s">
        <v>314</v>
      </c>
      <c r="AR6" s="103"/>
      <c r="AT6" s="103"/>
      <c r="AU6" s="103"/>
      <c r="AV6" s="103"/>
      <c r="AW6" s="103"/>
      <c r="AX6" s="103"/>
      <c r="AY6" s="103"/>
      <c r="AZ6" s="103"/>
      <c r="BA6" s="103"/>
      <c r="BB6" s="103"/>
      <c r="BC6" s="103"/>
      <c r="BD6" s="103"/>
      <c r="BE6" s="103"/>
      <c r="BF6" s="103"/>
      <c r="BG6" s="103"/>
      <c r="BH6" s="103"/>
      <c r="BI6" s="103"/>
      <c r="BJ6" s="103"/>
      <c r="BK6" s="103"/>
      <c r="BL6" s="103"/>
      <c r="BM6" s="103"/>
      <c r="BN6" s="103"/>
      <c r="BO6" s="103"/>
      <c r="BP6" s="103"/>
      <c r="BQ6" s="103"/>
      <c r="BR6" s="103"/>
      <c r="BS6" s="127" t="s">
        <v>189</v>
      </c>
    </row>
    <row r="7" spans="1:150" s="106" customFormat="1" ht="14.1" customHeight="1">
      <c r="A7" s="384"/>
      <c r="B7" s="385"/>
      <c r="C7" s="385"/>
      <c r="D7" s="385"/>
      <c r="E7" s="409"/>
      <c r="F7" s="409"/>
      <c r="G7" s="409"/>
      <c r="H7" s="409"/>
      <c r="I7" s="409"/>
      <c r="J7" s="409"/>
      <c r="K7" s="409"/>
      <c r="L7" s="409"/>
      <c r="M7" s="409"/>
      <c r="N7" s="409"/>
      <c r="O7" s="409"/>
      <c r="P7" s="409"/>
      <c r="Q7" s="409"/>
      <c r="R7" s="409"/>
      <c r="S7" s="409"/>
      <c r="T7" s="409"/>
      <c r="U7" s="409"/>
      <c r="V7" s="351"/>
      <c r="W7" s="391"/>
      <c r="X7" s="391"/>
      <c r="Y7" s="391"/>
      <c r="Z7" s="391"/>
      <c r="AA7" s="391"/>
      <c r="AB7" s="391"/>
      <c r="AC7" s="2157" t="s">
        <v>9</v>
      </c>
      <c r="AD7" s="2157"/>
      <c r="AE7" s="2157"/>
      <c r="AF7" s="2158" t="str">
        <f>IF('1. Encabezado'!T7="","",'1. Encabezado'!T7)</f>
        <v/>
      </c>
      <c r="AG7" s="2158"/>
      <c r="AH7" s="2158"/>
      <c r="AI7" s="2158"/>
      <c r="AJ7" s="2158"/>
      <c r="AK7" s="2158"/>
      <c r="AL7" s="2158"/>
      <c r="AM7" s="408"/>
      <c r="AN7" s="398"/>
      <c r="AO7" s="393" t="s">
        <v>315</v>
      </c>
      <c r="AR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27" t="s">
        <v>190</v>
      </c>
      <c r="BT7" s="105"/>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263"/>
      <c r="CU7" s="263"/>
      <c r="CV7" s="263"/>
      <c r="CW7" s="263"/>
      <c r="CX7" s="263"/>
      <c r="CY7" s="263"/>
      <c r="CZ7" s="263"/>
      <c r="DA7" s="263"/>
      <c r="DB7" s="263"/>
      <c r="DC7" s="263"/>
      <c r="DD7" s="263"/>
      <c r="DE7" s="263"/>
      <c r="DF7" s="263"/>
      <c r="DG7" s="263"/>
      <c r="DH7" s="263"/>
      <c r="DI7" s="263"/>
      <c r="DJ7" s="263"/>
      <c r="DK7" s="263"/>
      <c r="DL7" s="263"/>
      <c r="DM7" s="263"/>
      <c r="DN7" s="263"/>
      <c r="DO7" s="263"/>
      <c r="DP7" s="263"/>
      <c r="DQ7" s="263"/>
      <c r="DR7" s="263"/>
      <c r="DS7" s="263"/>
      <c r="DT7" s="263"/>
    </row>
    <row r="8" spans="1:150" s="106" customFormat="1" ht="14.1" customHeight="1">
      <c r="A8" s="384"/>
      <c r="B8" s="385"/>
      <c r="C8" s="385"/>
      <c r="D8" s="351"/>
      <c r="K8" s="385"/>
      <c r="L8" s="385"/>
      <c r="M8" s="385"/>
      <c r="N8" s="385"/>
      <c r="O8" s="413"/>
      <c r="P8" s="413"/>
      <c r="Q8" s="413"/>
      <c r="R8" s="413"/>
      <c r="S8" s="413"/>
      <c r="T8" s="413"/>
      <c r="U8" s="413"/>
      <c r="V8" s="413"/>
      <c r="W8" s="413"/>
      <c r="X8" s="413"/>
      <c r="Y8" s="413"/>
      <c r="Z8" s="413"/>
      <c r="AA8" s="413"/>
      <c r="AB8" s="413"/>
      <c r="AC8" s="413"/>
      <c r="AD8" s="385"/>
      <c r="AE8" s="385"/>
      <c r="AF8" s="1860" t="str">
        <f>IF(AF7="",AO11,CONCATENATE(AO7," ",AO8," ",AO9," ", AO10))</f>
        <v>Pagina xx de xx</v>
      </c>
      <c r="AG8" s="1860"/>
      <c r="AH8" s="1860"/>
      <c r="AI8" s="1860"/>
      <c r="AJ8" s="1860"/>
      <c r="AK8" s="1860"/>
      <c r="AL8" s="1860"/>
      <c r="AM8" s="414"/>
      <c r="AN8" s="415"/>
      <c r="AO8" s="653" t="str">
        <f>IF(AF7="","",3)</f>
        <v/>
      </c>
      <c r="AP8" s="2133" t="s">
        <v>318</v>
      </c>
      <c r="AQ8" s="2133"/>
      <c r="AR8" s="2133"/>
      <c r="AT8" s="2"/>
      <c r="AU8" s="2"/>
      <c r="AV8" s="2"/>
      <c r="AW8" s="2"/>
      <c r="AX8" s="2"/>
      <c r="AY8" s="2"/>
      <c r="AZ8" s="2"/>
      <c r="BA8" s="2"/>
      <c r="BB8" s="2"/>
      <c r="BC8" s="2"/>
      <c r="BD8" s="2"/>
      <c r="BE8" s="2"/>
      <c r="BF8" s="2"/>
      <c r="BG8" s="2"/>
      <c r="BH8" s="2"/>
      <c r="BI8" s="2"/>
      <c r="BJ8" s="2"/>
      <c r="BK8" s="2"/>
      <c r="BL8" s="2"/>
      <c r="BM8" s="2"/>
      <c r="BN8" s="2"/>
      <c r="BO8" s="2"/>
      <c r="BP8" s="2"/>
      <c r="BQ8" s="2"/>
      <c r="BR8" s="2"/>
      <c r="BS8" s="106" t="s">
        <v>229</v>
      </c>
      <c r="BT8" s="2"/>
      <c r="BV8" s="2"/>
      <c r="BW8" s="2"/>
      <c r="BX8" s="2"/>
      <c r="BY8" s="2"/>
      <c r="BZ8" s="2"/>
      <c r="CA8" s="2"/>
      <c r="CB8" s="2"/>
      <c r="CC8" s="2"/>
      <c r="CD8" s="2"/>
      <c r="CE8" s="2"/>
      <c r="CF8" s="2"/>
      <c r="CG8" s="2"/>
      <c r="CH8" s="2"/>
      <c r="CI8" s="2"/>
      <c r="CJ8" s="2"/>
      <c r="CK8" s="2"/>
      <c r="CL8" s="2"/>
      <c r="CM8" s="2"/>
      <c r="CN8" s="2"/>
      <c r="CO8" s="2"/>
      <c r="CP8" s="2"/>
      <c r="CQ8" s="2"/>
      <c r="CR8" s="2"/>
      <c r="CS8" s="2"/>
      <c r="CT8" s="263"/>
      <c r="CU8" s="263"/>
      <c r="CV8" s="263"/>
      <c r="CW8" s="263"/>
      <c r="CX8" s="263"/>
      <c r="CY8" s="263"/>
      <c r="CZ8" s="263"/>
      <c r="DA8" s="263"/>
      <c r="DB8" s="263"/>
      <c r="DC8" s="263"/>
      <c r="DD8" s="263"/>
      <c r="DE8" s="263"/>
      <c r="DF8" s="263"/>
      <c r="DG8" s="263"/>
      <c r="DH8" s="263"/>
      <c r="DI8" s="263"/>
      <c r="DJ8" s="263"/>
      <c r="DK8" s="263"/>
      <c r="DL8" s="263"/>
      <c r="DM8" s="263"/>
      <c r="DN8" s="263"/>
      <c r="DO8" s="263"/>
      <c r="DP8" s="263"/>
      <c r="DQ8" s="263"/>
      <c r="DR8" s="263"/>
      <c r="DS8" s="263"/>
      <c r="DT8" s="263"/>
    </row>
    <row r="9" spans="1:150" s="106" customFormat="1" ht="14.1" customHeight="1">
      <c r="A9" s="384"/>
      <c r="B9" s="385"/>
      <c r="C9" s="385"/>
      <c r="D9" s="385"/>
      <c r="E9" s="409"/>
      <c r="F9" s="409"/>
      <c r="G9" s="409"/>
      <c r="H9" s="409"/>
      <c r="I9" s="409"/>
      <c r="J9" s="409"/>
      <c r="K9" s="385"/>
      <c r="L9" s="385"/>
      <c r="M9" s="385"/>
      <c r="N9" s="385"/>
      <c r="O9" s="413"/>
      <c r="P9" s="413"/>
      <c r="Q9" s="413"/>
      <c r="R9" s="413"/>
      <c r="S9" s="413"/>
      <c r="T9" s="413"/>
      <c r="U9" s="413"/>
      <c r="V9" s="413"/>
      <c r="W9" s="413"/>
      <c r="X9" s="413"/>
      <c r="Y9" s="413"/>
      <c r="Z9" s="413"/>
      <c r="AA9" s="413"/>
      <c r="AB9" s="413"/>
      <c r="AC9" s="413"/>
      <c r="AD9" s="385"/>
      <c r="AE9" s="385"/>
      <c r="AF9" s="385"/>
      <c r="AG9" s="385"/>
      <c r="AH9" s="385"/>
      <c r="AI9" s="385"/>
      <c r="AJ9" s="416"/>
      <c r="AK9" s="416"/>
      <c r="AL9" s="416"/>
      <c r="AM9" s="416"/>
      <c r="AN9" s="417"/>
      <c r="AO9" s="394" t="s">
        <v>316</v>
      </c>
      <c r="AP9" s="407" t="str">
        <f>IF(AF7="","",IF(SUM(I15:P25)=SUM(I55:P76),"Cumple","No cumple"))</f>
        <v/>
      </c>
      <c r="AQ9" s="2168" t="str">
        <f>IF(AF7="","",IF(AP9="No cumple",1,0))</f>
        <v/>
      </c>
      <c r="AR9" s="2169"/>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263"/>
      <c r="CU9" s="263"/>
      <c r="CV9" s="263"/>
      <c r="CW9" s="263"/>
      <c r="CX9" s="263"/>
      <c r="CY9" s="263"/>
      <c r="CZ9" s="263"/>
      <c r="DA9" s="263"/>
      <c r="DB9" s="263"/>
      <c r="DC9" s="263"/>
      <c r="DD9" s="263"/>
      <c r="DE9" s="263"/>
      <c r="DF9" s="263"/>
      <c r="DG9" s="263"/>
      <c r="DH9" s="263"/>
      <c r="DI9" s="263"/>
      <c r="DJ9" s="263"/>
      <c r="DK9" s="263"/>
      <c r="DL9" s="263"/>
      <c r="DM9" s="263"/>
      <c r="DN9" s="263"/>
      <c r="DO9" s="263"/>
      <c r="DP9" s="263"/>
      <c r="DQ9" s="263"/>
      <c r="DR9" s="263"/>
      <c r="DS9" s="263"/>
      <c r="DT9" s="263"/>
    </row>
    <row r="10" spans="1:150" s="106" customFormat="1" ht="11.25" customHeight="1">
      <c r="A10" s="386"/>
      <c r="B10" s="387"/>
      <c r="C10" s="387"/>
      <c r="D10" s="387"/>
      <c r="E10" s="418"/>
      <c r="F10" s="418"/>
      <c r="G10" s="418"/>
      <c r="H10" s="418"/>
      <c r="I10" s="418"/>
      <c r="J10" s="418"/>
      <c r="K10" s="418"/>
      <c r="L10" s="418"/>
      <c r="M10" s="418"/>
      <c r="N10" s="418"/>
      <c r="O10" s="418"/>
      <c r="P10" s="418"/>
      <c r="Q10" s="418"/>
      <c r="R10" s="418"/>
      <c r="S10" s="418"/>
      <c r="T10" s="418"/>
      <c r="U10" s="418"/>
      <c r="W10" s="359"/>
      <c r="X10" s="359"/>
      <c r="Y10" s="359"/>
      <c r="Z10" s="359"/>
      <c r="AA10" s="359"/>
      <c r="AB10" s="359"/>
      <c r="AC10" s="359"/>
      <c r="AD10" s="359"/>
      <c r="AE10" s="359"/>
      <c r="AF10" s="359"/>
      <c r="AG10" s="359"/>
      <c r="AH10" s="359"/>
      <c r="AI10" s="359"/>
      <c r="AJ10" s="419"/>
      <c r="AK10" s="419"/>
      <c r="AL10" s="419"/>
      <c r="AM10" s="419"/>
      <c r="AN10" s="420"/>
      <c r="AO10" s="394">
        <f>IF('1. Encabezado'!AB10="","",'1. Encabezado'!AB10)</f>
        <v>17</v>
      </c>
      <c r="AQ10" s="250"/>
      <c r="AR10" s="250"/>
      <c r="AT10" s="250"/>
      <c r="AU10" s="250"/>
      <c r="AV10" s="250"/>
      <c r="AW10" s="250"/>
      <c r="AX10" s="250"/>
      <c r="AY10" s="250"/>
      <c r="AZ10" s="250"/>
      <c r="BA10" s="250"/>
      <c r="BB10" s="250"/>
      <c r="BC10" s="250"/>
      <c r="BD10" s="250"/>
      <c r="BE10" s="250"/>
      <c r="BF10" s="250"/>
      <c r="BG10" s="250"/>
      <c r="BH10" s="250"/>
      <c r="BI10" s="250"/>
      <c r="BJ10" s="250"/>
      <c r="BK10" s="250"/>
      <c r="BL10" s="250"/>
      <c r="BM10" s="250"/>
      <c r="BN10" s="250"/>
      <c r="BO10" s="250"/>
      <c r="BP10" s="250"/>
      <c r="BQ10" s="250"/>
      <c r="BR10" s="250"/>
      <c r="BT10" s="105"/>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263"/>
      <c r="CU10" s="263"/>
      <c r="CV10" s="263"/>
      <c r="CW10" s="263"/>
      <c r="CX10" s="263"/>
      <c r="CY10" s="263"/>
      <c r="CZ10" s="263"/>
      <c r="DA10" s="263"/>
      <c r="DB10" s="263"/>
      <c r="DC10" s="263"/>
      <c r="DD10" s="263"/>
      <c r="DE10" s="263"/>
      <c r="DF10" s="263"/>
      <c r="DG10" s="263"/>
      <c r="DH10" s="263"/>
      <c r="DI10" s="263"/>
      <c r="DJ10" s="263"/>
      <c r="DK10" s="263"/>
      <c r="DL10" s="263"/>
      <c r="DM10" s="263"/>
      <c r="DN10" s="263"/>
      <c r="DO10" s="263"/>
      <c r="DP10" s="263"/>
      <c r="DQ10" s="263"/>
      <c r="DR10" s="263"/>
      <c r="DS10" s="263"/>
      <c r="DT10" s="263"/>
    </row>
    <row r="11" spans="1:150" s="106" customFormat="1" ht="12" customHeight="1">
      <c r="A11" s="2152" t="s">
        <v>234</v>
      </c>
      <c r="B11" s="2153"/>
      <c r="C11" s="2153"/>
      <c r="D11" s="2153"/>
      <c r="E11" s="2153"/>
      <c r="F11" s="2153"/>
      <c r="G11" s="2154" t="str">
        <f>IF(AE11="","",VLOOKUP(AE11,BS35:BX63,4,0))</f>
        <v/>
      </c>
      <c r="H11" s="2154"/>
      <c r="I11" s="2154"/>
      <c r="J11" s="2154"/>
      <c r="K11" s="2154"/>
      <c r="L11" s="2154"/>
      <c r="M11" s="2154"/>
      <c r="N11" s="2154"/>
      <c r="O11" s="2154"/>
      <c r="P11" s="2154"/>
      <c r="Q11" s="2154"/>
      <c r="R11" s="2154"/>
      <c r="S11" s="2154"/>
      <c r="T11" s="2154"/>
      <c r="U11" s="2154"/>
      <c r="V11" s="2154"/>
      <c r="W11" s="2154"/>
      <c r="X11" s="2154"/>
      <c r="Y11" s="2154"/>
      <c r="Z11" s="2154"/>
      <c r="AA11" s="2154"/>
      <c r="AB11" s="2154"/>
      <c r="AC11" s="2154"/>
      <c r="AD11" s="2154"/>
      <c r="AE11" s="2155"/>
      <c r="AF11" s="2155"/>
      <c r="AG11" s="2155"/>
      <c r="AH11" s="2155"/>
      <c r="AI11" s="2155"/>
      <c r="AJ11" s="2155"/>
      <c r="AK11" s="2155"/>
      <c r="AL11" s="2155"/>
      <c r="AM11" s="2155"/>
      <c r="AN11" s="2156"/>
      <c r="AO11" s="395" t="s">
        <v>317</v>
      </c>
      <c r="AP11" s="378" t="s">
        <v>254</v>
      </c>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T11" s="105"/>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263"/>
      <c r="CU11" s="263"/>
      <c r="CV11" s="263"/>
      <c r="CW11" s="263"/>
      <c r="CX11" s="263"/>
      <c r="CY11" s="263"/>
      <c r="CZ11" s="263"/>
      <c r="DA11" s="263"/>
      <c r="DB11" s="263"/>
      <c r="DC11" s="263"/>
      <c r="DD11" s="263"/>
      <c r="DE11" s="263"/>
      <c r="DF11" s="263"/>
      <c r="DG11" s="263"/>
      <c r="DH11" s="263"/>
      <c r="DI11" s="263"/>
      <c r="DJ11" s="263"/>
      <c r="DK11" s="263"/>
      <c r="DL11" s="263"/>
      <c r="DM11" s="263"/>
      <c r="DN11" s="263"/>
      <c r="DO11" s="263"/>
      <c r="DP11" s="263"/>
      <c r="DQ11" s="263"/>
      <c r="DR11" s="263"/>
      <c r="DS11" s="263"/>
      <c r="DT11" s="263"/>
    </row>
    <row r="12" spans="1:150" ht="23.25" customHeight="1">
      <c r="A12" s="2029" t="s">
        <v>144</v>
      </c>
      <c r="B12" s="2030"/>
      <c r="C12" s="2030"/>
      <c r="D12" s="2030"/>
      <c r="E12" s="2030"/>
      <c r="F12" s="2030"/>
      <c r="G12" s="2030"/>
      <c r="H12" s="2030"/>
      <c r="I12" s="2170" t="str">
        <f>+IF(I52="","",I52)</f>
        <v/>
      </c>
      <c r="J12" s="2170"/>
      <c r="K12" s="2170"/>
      <c r="L12" s="2170"/>
      <c r="M12" s="2171"/>
      <c r="N12" s="360" t="s">
        <v>279</v>
      </c>
      <c r="O12" s="361"/>
      <c r="P12" s="361"/>
      <c r="Q12" s="361"/>
      <c r="R12" s="361"/>
      <c r="S12" s="361"/>
      <c r="T12" s="361"/>
      <c r="U12" s="361"/>
      <c r="V12" s="361"/>
      <c r="W12" s="361"/>
      <c r="X12" s="361"/>
      <c r="Y12" s="357"/>
      <c r="Z12" s="357"/>
      <c r="AA12" s="357"/>
      <c r="AB12" s="357"/>
      <c r="AC12" s="357"/>
      <c r="AD12" s="357"/>
      <c r="AE12" s="357"/>
      <c r="AF12" s="357"/>
      <c r="AG12" s="2172">
        <f>IF(AG52="","",AG52)</f>
        <v>0</v>
      </c>
      <c r="AH12" s="2172"/>
      <c r="AI12" s="2172"/>
      <c r="AJ12" s="2172"/>
      <c r="AK12" s="2172"/>
      <c r="AL12" s="2172"/>
      <c r="AM12" s="2172"/>
      <c r="AN12" s="2173"/>
      <c r="AP12" s="379" t="str">
        <f>IF(AF7="","",IF(((1-(AP13/I12))*100)&gt;0.3,"No cumple","cumple"))</f>
        <v/>
      </c>
      <c r="AQ12" s="2130" t="s">
        <v>257</v>
      </c>
      <c r="AR12" s="2130"/>
      <c r="AS12" s="2130"/>
      <c r="AT12" s="2130"/>
      <c r="AU12" s="2130"/>
      <c r="AV12" s="2130"/>
      <c r="AW12" s="2130"/>
      <c r="AX12" s="2130"/>
      <c r="AY12" s="2130"/>
      <c r="AZ12" s="2130"/>
      <c r="BA12" s="2130"/>
      <c r="BB12" s="2130"/>
      <c r="BC12" s="2130"/>
      <c r="BD12" s="2130"/>
      <c r="BE12" s="2130"/>
      <c r="BF12" s="2130"/>
      <c r="BG12" s="2130"/>
      <c r="BH12" s="2130"/>
      <c r="BI12" s="2130"/>
      <c r="BJ12" s="2130"/>
      <c r="BK12" s="2130"/>
      <c r="BL12" s="2130"/>
      <c r="BM12" s="2130"/>
      <c r="BN12" s="2130"/>
      <c r="BO12" s="2131"/>
      <c r="BP12" s="2131"/>
      <c r="BQ12" s="2132"/>
      <c r="BR12" s="248"/>
      <c r="BS12" s="2102" t="s">
        <v>246</v>
      </c>
      <c r="BT12" s="2103"/>
      <c r="BU12" s="2103"/>
      <c r="BV12" s="2103"/>
      <c r="BW12" s="2103"/>
      <c r="BX12" s="2103"/>
      <c r="BY12" s="2103"/>
      <c r="BZ12" s="2103"/>
      <c r="CA12" s="2103"/>
      <c r="CB12" s="2103"/>
      <c r="CC12" s="2103"/>
      <c r="CD12" s="2103"/>
      <c r="CE12" s="2103"/>
      <c r="CF12" s="2103"/>
      <c r="CG12" s="2103"/>
      <c r="CH12" s="2103"/>
      <c r="CI12" s="2103"/>
      <c r="CJ12" s="2103"/>
      <c r="CK12" s="2103"/>
      <c r="CL12" s="2103"/>
      <c r="CM12" s="2103"/>
      <c r="CN12" s="2103"/>
      <c r="CO12" s="2103"/>
      <c r="CP12" s="2103"/>
      <c r="CQ12" s="2104"/>
      <c r="CR12" s="2104"/>
      <c r="CS12" s="2103"/>
      <c r="CT12" s="2102" t="s">
        <v>258</v>
      </c>
      <c r="CU12" s="2103"/>
      <c r="CV12" s="2103"/>
      <c r="CW12" s="2103"/>
      <c r="CX12" s="2103"/>
      <c r="CY12" s="2103"/>
      <c r="CZ12" s="2103"/>
      <c r="DA12" s="2103"/>
      <c r="DB12" s="2103"/>
      <c r="DC12" s="2103"/>
      <c r="DD12" s="2103"/>
      <c r="DE12" s="2103"/>
      <c r="DF12" s="2103"/>
      <c r="DG12" s="2103"/>
      <c r="DH12" s="2103"/>
      <c r="DI12" s="2103"/>
      <c r="DJ12" s="2103"/>
      <c r="DK12" s="2103"/>
      <c r="DL12" s="2103"/>
      <c r="DM12" s="2103"/>
      <c r="DN12" s="2103"/>
      <c r="DO12" s="2103"/>
      <c r="DP12" s="2103"/>
      <c r="DQ12" s="2103"/>
      <c r="DR12" s="2104"/>
      <c r="DS12" s="2104"/>
      <c r="DT12" s="2105"/>
    </row>
    <row r="13" spans="1:150" ht="20.25" customHeight="1">
      <c r="A13" s="2119" t="s">
        <v>3</v>
      </c>
      <c r="B13" s="2120"/>
      <c r="C13" s="2120"/>
      <c r="D13" s="2120"/>
      <c r="E13" s="2120"/>
      <c r="F13" s="2120"/>
      <c r="G13" s="2120"/>
      <c r="H13" s="2121"/>
      <c r="I13" s="2122" t="s">
        <v>307</v>
      </c>
      <c r="J13" s="2123"/>
      <c r="K13" s="2123"/>
      <c r="L13" s="2123"/>
      <c r="M13" s="2123"/>
      <c r="N13" s="2123"/>
      <c r="O13" s="2123"/>
      <c r="P13" s="2124"/>
      <c r="Q13" s="2125" t="s">
        <v>154</v>
      </c>
      <c r="R13" s="2126"/>
      <c r="S13" s="2126"/>
      <c r="T13" s="2126"/>
      <c r="U13" s="2126"/>
      <c r="V13" s="2126"/>
      <c r="W13" s="2126"/>
      <c r="X13" s="2127"/>
      <c r="Y13" s="2025" t="s">
        <v>154</v>
      </c>
      <c r="Z13" s="2025"/>
      <c r="AA13" s="2025"/>
      <c r="AB13" s="2025"/>
      <c r="AC13" s="2025"/>
      <c r="AD13" s="2025"/>
      <c r="AE13" s="2025"/>
      <c r="AF13" s="2025"/>
      <c r="AG13" s="2123" t="s">
        <v>308</v>
      </c>
      <c r="AH13" s="2123"/>
      <c r="AI13" s="2123"/>
      <c r="AJ13" s="2123"/>
      <c r="AK13" s="2128"/>
      <c r="AL13" s="2128"/>
      <c r="AM13" s="2128"/>
      <c r="AN13" s="2129"/>
      <c r="AP13" s="380" t="str">
        <f>IF(I12="","",SUM(I15:P25)+(I12-AG12))</f>
        <v/>
      </c>
      <c r="AQ13" s="292" t="str">
        <f>+$BS$36</f>
        <v xml:space="preserve"> BG_Gr1</v>
      </c>
      <c r="AR13" s="291" t="str">
        <f>+$BS$37</f>
        <v>BG_Gr2</v>
      </c>
      <c r="AS13" s="291" t="str">
        <f>+$BS$38</f>
        <v>SG_Gr1</v>
      </c>
      <c r="AT13" s="291" t="str">
        <f>+$BS$39</f>
        <v>SG_Gr2</v>
      </c>
      <c r="AU13" s="291" t="str">
        <f>+$BS$40</f>
        <v>SBG_Pea</v>
      </c>
      <c r="AV13" s="291" t="str">
        <f>+$BS$41</f>
        <v xml:space="preserve"> AG 1</v>
      </c>
      <c r="AW13" s="291" t="str">
        <f>+$BS$44</f>
        <v>AG 2</v>
      </c>
      <c r="AX13" s="291" t="str">
        <f>+$BS$45</f>
        <v>AG 3</v>
      </c>
      <c r="AY13" s="290" t="str">
        <f>+$BS$46</f>
        <v>AG 4</v>
      </c>
      <c r="AZ13" s="291" t="str">
        <f>+$BS$47</f>
        <v>GRAVA 1"</v>
      </c>
      <c r="BA13" s="291" t="str">
        <f>+$BS$48</f>
        <v>GRAVA 3/4"</v>
      </c>
      <c r="BB13" s="291" t="str">
        <f>+$BS$49</f>
        <v>GRAVA 1/2"</v>
      </c>
      <c r="BC13" s="291" t="str">
        <f>+$BS$50</f>
        <v>ARENA TRITURADA DE CANTERA</v>
      </c>
      <c r="BD13" s="291" t="str">
        <f>+$BS$51</f>
        <v>ARENA TRITURADA DE RIO</v>
      </c>
      <c r="BE13" s="291" t="str">
        <f>+$BS$52</f>
        <v>ARENA CONCRETO FINA</v>
      </c>
      <c r="BF13" s="291" t="str">
        <f>+$BS$53</f>
        <v>ARENA CONCRETO GRUESA</v>
      </c>
      <c r="BG13" s="290" t="str">
        <f>+$BS$54</f>
        <v xml:space="preserve">ARENA DE PEÑA </v>
      </c>
      <c r="BH13" s="277" t="str">
        <f>+$BS$55</f>
        <v>MD10</v>
      </c>
      <c r="BI13" s="277" t="str">
        <f>+$BS$56</f>
        <v>MD12</v>
      </c>
      <c r="BJ13" s="277" t="str">
        <f>+$BS$57</f>
        <v>MD 20</v>
      </c>
      <c r="BK13" s="277" t="str">
        <f>+$BS$58</f>
        <v>MGCR TIPO 1</v>
      </c>
      <c r="BL13" s="277" t="str">
        <f>+$BS$59</f>
        <v>MGCR TIPO 2</v>
      </c>
      <c r="BM13" s="277" t="str">
        <f>+$BS$60</f>
        <v>MGCR TIPO 3</v>
      </c>
      <c r="BN13" s="277" t="str">
        <f>+$BS$64</f>
        <v>RAP ESTABILIZADO</v>
      </c>
      <c r="BO13" s="362" t="str">
        <f>+$BS$61</f>
        <v>RAJÓN</v>
      </c>
      <c r="BP13" s="421" t="str">
        <f>+$BS$62</f>
        <v>MATERIAL FILTRANTE 3"</v>
      </c>
      <c r="BQ13" s="422" t="str">
        <f>+$BS$63</f>
        <v>MATERIAL FILTRANTE 1"</v>
      </c>
      <c r="BR13" s="259">
        <f>+AQ59</f>
        <v>0</v>
      </c>
      <c r="BS13" s="292" t="str">
        <f>+$BS$36</f>
        <v xml:space="preserve"> BG_Gr1</v>
      </c>
      <c r="BT13" s="291" t="str">
        <f>+$BS$37</f>
        <v>BG_Gr2</v>
      </c>
      <c r="BU13" s="291" t="str">
        <f>+$BS$38</f>
        <v>SG_Gr1</v>
      </c>
      <c r="BV13" s="291" t="str">
        <f>+$BS$39</f>
        <v>SG_Gr2</v>
      </c>
      <c r="BW13" s="291" t="str">
        <f>+$BS$40</f>
        <v>SBG_Pea</v>
      </c>
      <c r="BX13" s="291" t="str">
        <f>+$BS$41</f>
        <v xml:space="preserve"> AG 1</v>
      </c>
      <c r="BY13" s="291" t="str">
        <f>+$BS$44</f>
        <v>AG 2</v>
      </c>
      <c r="BZ13" s="291" t="str">
        <f>+$BS$45</f>
        <v>AG 3</v>
      </c>
      <c r="CA13" s="290" t="str">
        <f>+$BS$46</f>
        <v>AG 4</v>
      </c>
      <c r="CB13" s="291" t="str">
        <f>+$BS$47</f>
        <v>GRAVA 1"</v>
      </c>
      <c r="CC13" s="291" t="str">
        <f>+$BS$48</f>
        <v>GRAVA 3/4"</v>
      </c>
      <c r="CD13" s="291" t="str">
        <f>+$BS$49</f>
        <v>GRAVA 1/2"</v>
      </c>
      <c r="CE13" s="291" t="str">
        <f>+$BS$50</f>
        <v>ARENA TRITURADA DE CANTERA</v>
      </c>
      <c r="CF13" s="291" t="str">
        <f>+$BS$51</f>
        <v>ARENA TRITURADA DE RIO</v>
      </c>
      <c r="CG13" s="291" t="str">
        <f>+$BS$52</f>
        <v>ARENA CONCRETO FINA</v>
      </c>
      <c r="CH13" s="291" t="str">
        <f>+$BS$53</f>
        <v>ARENA CONCRETO GRUESA</v>
      </c>
      <c r="CI13" s="290" t="str">
        <f>+$BS$54</f>
        <v xml:space="preserve">ARENA DE PEÑA </v>
      </c>
      <c r="CJ13" s="277" t="str">
        <f>+$BS$55</f>
        <v>MD10</v>
      </c>
      <c r="CK13" s="277" t="str">
        <f>+$BS$56</f>
        <v>MD12</v>
      </c>
      <c r="CL13" s="277" t="str">
        <f>+$BS$57</f>
        <v>MD 20</v>
      </c>
      <c r="CM13" s="277" t="str">
        <f>+$BS$58</f>
        <v>MGCR TIPO 1</v>
      </c>
      <c r="CN13" s="277" t="str">
        <f>+$BS$59</f>
        <v>MGCR TIPO 2</v>
      </c>
      <c r="CO13" s="277" t="str">
        <f>+$BS$60</f>
        <v>MGCR TIPO 3</v>
      </c>
      <c r="CP13" s="277" t="str">
        <f>+$BS$64</f>
        <v>RAP ESTABILIZADO</v>
      </c>
      <c r="CQ13" s="362" t="str">
        <f>+$BS$61</f>
        <v>RAJÓN</v>
      </c>
      <c r="CR13" s="421" t="str">
        <f>+$BS$62</f>
        <v>MATERIAL FILTRANTE 3"</v>
      </c>
      <c r="CS13" s="422" t="str">
        <f>+$BS$63</f>
        <v>MATERIAL FILTRANTE 1"</v>
      </c>
      <c r="CT13" s="292" t="str">
        <f>+$BS$36</f>
        <v xml:space="preserve"> BG_Gr1</v>
      </c>
      <c r="CU13" s="291" t="str">
        <f>+$BS$37</f>
        <v>BG_Gr2</v>
      </c>
      <c r="CV13" s="291" t="str">
        <f>+$BS$38</f>
        <v>SG_Gr1</v>
      </c>
      <c r="CW13" s="291" t="str">
        <f>+$BS$39</f>
        <v>SG_Gr2</v>
      </c>
      <c r="CX13" s="291" t="str">
        <f>+$BS$40</f>
        <v>SBG_Pea</v>
      </c>
      <c r="CY13" s="291" t="str">
        <f>+$BS$41</f>
        <v xml:space="preserve"> AG 1</v>
      </c>
      <c r="CZ13" s="291" t="str">
        <f>+$BS$44</f>
        <v>AG 2</v>
      </c>
      <c r="DA13" s="291" t="str">
        <f>+$BS$45</f>
        <v>AG 3</v>
      </c>
      <c r="DB13" s="290" t="str">
        <f>+$BS$46</f>
        <v>AG 4</v>
      </c>
      <c r="DC13" s="291" t="str">
        <f>+$BS$47</f>
        <v>GRAVA 1"</v>
      </c>
      <c r="DD13" s="291" t="str">
        <f>+$BS$48</f>
        <v>GRAVA 3/4"</v>
      </c>
      <c r="DE13" s="291" t="str">
        <f>+$BS$49</f>
        <v>GRAVA 1/2"</v>
      </c>
      <c r="DF13" s="291" t="str">
        <f>+$BS$50</f>
        <v>ARENA TRITURADA DE CANTERA</v>
      </c>
      <c r="DG13" s="291" t="str">
        <f>+$BS$51</f>
        <v>ARENA TRITURADA DE RIO</v>
      </c>
      <c r="DH13" s="291" t="str">
        <f>+$BS$52</f>
        <v>ARENA CONCRETO FINA</v>
      </c>
      <c r="DI13" s="291" t="str">
        <f>+$BS$53</f>
        <v>ARENA CONCRETO GRUESA</v>
      </c>
      <c r="DJ13" s="290" t="str">
        <f>+$BS$54</f>
        <v xml:space="preserve">ARENA DE PEÑA </v>
      </c>
      <c r="DK13" s="277" t="str">
        <f>+$BS$55</f>
        <v>MD10</v>
      </c>
      <c r="DL13" s="277" t="str">
        <f>+$BS$56</f>
        <v>MD12</v>
      </c>
      <c r="DM13" s="277" t="str">
        <f>+$BS$57</f>
        <v>MD 20</v>
      </c>
      <c r="DN13" s="277" t="str">
        <f>+$BS$58</f>
        <v>MGCR TIPO 1</v>
      </c>
      <c r="DO13" s="277" t="str">
        <f>+$BS$59</f>
        <v>MGCR TIPO 2</v>
      </c>
      <c r="DP13" s="277" t="str">
        <f>+$BS$60</f>
        <v>MGCR TIPO 3</v>
      </c>
      <c r="DQ13" s="277" t="str">
        <f>+$BS$64</f>
        <v>RAP ESTABILIZADO</v>
      </c>
      <c r="DR13" s="362" t="str">
        <f>+$BS$61</f>
        <v>RAJÓN</v>
      </c>
      <c r="DS13" s="421" t="str">
        <f>+$BS$62</f>
        <v>MATERIAL FILTRANTE 3"</v>
      </c>
      <c r="DT13" s="422" t="str">
        <f>+$BS$63</f>
        <v>MATERIAL FILTRANTE 1"</v>
      </c>
      <c r="DW13" s="331">
        <v>1</v>
      </c>
      <c r="DX13" s="331">
        <v>2</v>
      </c>
      <c r="DY13" s="331">
        <v>3</v>
      </c>
      <c r="DZ13" s="331">
        <v>4</v>
      </c>
      <c r="EA13" s="331">
        <v>5</v>
      </c>
      <c r="EB13" s="331">
        <v>1</v>
      </c>
      <c r="EC13" s="331">
        <v>2</v>
      </c>
      <c r="ED13" s="331">
        <v>3</v>
      </c>
      <c r="EE13" s="331">
        <v>4</v>
      </c>
      <c r="EF13" s="331">
        <v>5</v>
      </c>
      <c r="EG13" s="331">
        <v>1</v>
      </c>
      <c r="EH13" s="331">
        <v>2</v>
      </c>
      <c r="EI13" s="331">
        <v>3</v>
      </c>
      <c r="EJ13" s="331">
        <v>4</v>
      </c>
      <c r="EK13" s="331">
        <v>5</v>
      </c>
      <c r="EL13" s="331">
        <v>6</v>
      </c>
      <c r="EM13" s="331">
        <v>7</v>
      </c>
      <c r="EN13" s="331">
        <v>1</v>
      </c>
      <c r="EO13" s="331">
        <v>2</v>
      </c>
      <c r="EP13" s="331">
        <v>3</v>
      </c>
      <c r="EQ13" s="331">
        <v>4</v>
      </c>
      <c r="ER13" s="331">
        <v>5</v>
      </c>
      <c r="ES13" s="331">
        <v>6</v>
      </c>
      <c r="ET13" s="331">
        <v>7</v>
      </c>
    </row>
    <row r="14" spans="1:150" ht="25.5" customHeight="1">
      <c r="A14" s="2106" t="s">
        <v>225</v>
      </c>
      <c r="B14" s="2107"/>
      <c r="C14" s="2107"/>
      <c r="D14" s="2108"/>
      <c r="E14" s="2109" t="s">
        <v>224</v>
      </c>
      <c r="F14" s="2110"/>
      <c r="G14" s="2110"/>
      <c r="H14" s="2111"/>
      <c r="I14" s="2122"/>
      <c r="J14" s="2123"/>
      <c r="K14" s="2123"/>
      <c r="L14" s="2123"/>
      <c r="M14" s="2123"/>
      <c r="N14" s="2123"/>
      <c r="O14" s="2123"/>
      <c r="P14" s="2124"/>
      <c r="Q14" s="2112" t="s">
        <v>309</v>
      </c>
      <c r="R14" s="2113"/>
      <c r="S14" s="2113"/>
      <c r="T14" s="2114"/>
      <c r="U14" s="2112" t="s">
        <v>310</v>
      </c>
      <c r="V14" s="2113"/>
      <c r="W14" s="2113"/>
      <c r="X14" s="2115"/>
      <c r="Y14" s="2116" t="s">
        <v>65</v>
      </c>
      <c r="Z14" s="2116"/>
      <c r="AA14" s="2116"/>
      <c r="AB14" s="2116"/>
      <c r="AC14" s="2116" t="s">
        <v>24</v>
      </c>
      <c r="AD14" s="2116"/>
      <c r="AE14" s="2116"/>
      <c r="AF14" s="2116"/>
      <c r="AG14" s="2014" t="s">
        <v>2</v>
      </c>
      <c r="AH14" s="2014"/>
      <c r="AI14" s="2014"/>
      <c r="AJ14" s="2015"/>
      <c r="AK14" s="2117" t="s">
        <v>1</v>
      </c>
      <c r="AL14" s="2117"/>
      <c r="AM14" s="2117"/>
      <c r="AN14" s="2118"/>
      <c r="AP14" s="129">
        <v>1</v>
      </c>
      <c r="AQ14" s="279">
        <v>37.5</v>
      </c>
      <c r="AR14" s="280">
        <v>25</v>
      </c>
      <c r="AS14" s="259">
        <v>50</v>
      </c>
      <c r="AT14" s="280">
        <v>37.5</v>
      </c>
      <c r="AU14" s="259">
        <v>50</v>
      </c>
      <c r="AV14" s="259">
        <v>57</v>
      </c>
      <c r="AW14" s="259">
        <v>50</v>
      </c>
      <c r="AX14" s="259">
        <v>37.5</v>
      </c>
      <c r="AY14" s="259">
        <v>25</v>
      </c>
      <c r="AZ14" s="259">
        <v>37.5</v>
      </c>
      <c r="BA14" s="259">
        <v>25</v>
      </c>
      <c r="BB14" s="259">
        <v>19</v>
      </c>
      <c r="BC14" s="259">
        <v>12.5</v>
      </c>
      <c r="BD14" s="259">
        <v>12.5</v>
      </c>
      <c r="BE14" s="259">
        <v>4.75</v>
      </c>
      <c r="BF14" s="259">
        <v>9.5</v>
      </c>
      <c r="BG14" s="281"/>
      <c r="BH14" s="259">
        <v>12.5</v>
      </c>
      <c r="BI14" s="259">
        <v>19</v>
      </c>
      <c r="BJ14" s="259">
        <v>25</v>
      </c>
      <c r="BK14" s="259">
        <v>25</v>
      </c>
      <c r="BL14" s="259">
        <v>25</v>
      </c>
      <c r="BM14" s="259">
        <v>19</v>
      </c>
      <c r="BN14" s="259">
        <v>37.5</v>
      </c>
      <c r="BO14" s="259">
        <v>300</v>
      </c>
      <c r="BP14" s="423">
        <v>76.2</v>
      </c>
      <c r="BQ14" s="424">
        <v>25</v>
      </c>
      <c r="BR14" s="130"/>
      <c r="BS14" s="294">
        <v>100</v>
      </c>
      <c r="BT14" s="277">
        <v>100</v>
      </c>
      <c r="BU14" s="277">
        <v>100</v>
      </c>
      <c r="BV14" s="277">
        <v>100</v>
      </c>
      <c r="BW14" s="277">
        <v>100</v>
      </c>
      <c r="BX14" s="277">
        <v>100</v>
      </c>
      <c r="BY14" s="277">
        <v>100</v>
      </c>
      <c r="BZ14" s="277">
        <v>100</v>
      </c>
      <c r="CA14" s="277">
        <v>100</v>
      </c>
      <c r="CB14" s="433">
        <v>100</v>
      </c>
      <c r="CC14" s="433">
        <v>100</v>
      </c>
      <c r="CD14" s="433">
        <v>100</v>
      </c>
      <c r="CE14" s="433">
        <v>100</v>
      </c>
      <c r="CF14" s="433">
        <v>100</v>
      </c>
      <c r="CG14" s="433">
        <v>100</v>
      </c>
      <c r="CH14" s="433">
        <v>100</v>
      </c>
      <c r="CI14" s="270"/>
      <c r="CJ14" s="277">
        <v>100</v>
      </c>
      <c r="CK14" s="277">
        <v>100</v>
      </c>
      <c r="CL14" s="277">
        <v>100</v>
      </c>
      <c r="CM14" s="277">
        <v>100</v>
      </c>
      <c r="CN14" s="277">
        <v>100</v>
      </c>
      <c r="CO14" s="277">
        <v>100</v>
      </c>
      <c r="CP14" s="277">
        <v>100</v>
      </c>
      <c r="CQ14" s="296" t="s">
        <v>247</v>
      </c>
      <c r="CR14" s="430" t="s">
        <v>247</v>
      </c>
      <c r="CS14" s="430" t="s">
        <v>247</v>
      </c>
      <c r="CT14" s="294">
        <v>100</v>
      </c>
      <c r="CU14" s="277">
        <v>100</v>
      </c>
      <c r="CV14" s="277">
        <v>100</v>
      </c>
      <c r="CW14" s="278">
        <v>100</v>
      </c>
      <c r="CX14" s="277">
        <v>100</v>
      </c>
      <c r="CY14" s="277">
        <v>100</v>
      </c>
      <c r="CZ14" s="277">
        <v>100</v>
      </c>
      <c r="DA14" s="277">
        <v>100</v>
      </c>
      <c r="DB14" s="277">
        <v>100</v>
      </c>
      <c r="DC14" s="433">
        <v>100</v>
      </c>
      <c r="DD14" s="433">
        <v>100</v>
      </c>
      <c r="DE14" s="433">
        <v>100</v>
      </c>
      <c r="DF14" s="433">
        <v>100</v>
      </c>
      <c r="DG14" s="433">
        <v>100</v>
      </c>
      <c r="DH14" s="433">
        <v>100</v>
      </c>
      <c r="DI14" s="433">
        <v>100</v>
      </c>
      <c r="DJ14" s="277"/>
      <c r="DK14" s="277">
        <v>100</v>
      </c>
      <c r="DL14" s="277">
        <v>100</v>
      </c>
      <c r="DM14" s="277">
        <v>100</v>
      </c>
      <c r="DN14" s="277">
        <v>100</v>
      </c>
      <c r="DO14" s="277">
        <v>100</v>
      </c>
      <c r="DP14" s="277">
        <v>100</v>
      </c>
      <c r="DQ14" s="277">
        <v>100</v>
      </c>
      <c r="DR14" s="277">
        <v>100</v>
      </c>
      <c r="DS14" s="429">
        <v>100</v>
      </c>
      <c r="DT14" s="422">
        <v>100</v>
      </c>
      <c r="DW14" s="363" t="e">
        <f t="shared" ref="DW14:DW24" si="0">ABS(MID(Q15,SEARCH(",",Q15,1),2))</f>
        <v>#VALUE!</v>
      </c>
      <c r="DX14" s="363" t="e">
        <f t="shared" ref="DX14:DX24" si="1">ABS(MID(Q15,SEARCH(",",Q15,1),3))</f>
        <v>#VALUE!</v>
      </c>
      <c r="DY14" s="364" t="e">
        <f t="shared" ref="DY14:DY24" si="2">TRUNC(Q15,0)</f>
        <v>#VALUE!</v>
      </c>
      <c r="DZ14" s="363" t="e">
        <f>ABS(DX14-DW14)</f>
        <v>#VALUE!</v>
      </c>
      <c r="EA14" s="363" t="e">
        <f>IF(DZ14&gt;0,DY14+1,IF(AND(DZ14=0,ISODD(DW14*10)),DY14+1,DY14))</f>
        <v>#VALUE!</v>
      </c>
      <c r="EB14" s="363" t="e">
        <f t="shared" ref="EB14:EB24" si="3">ABS(MID(U15,SEARCH(",",U15,1),2))</f>
        <v>#VALUE!</v>
      </c>
      <c r="EC14" s="331" t="e">
        <f t="shared" ref="EC14:EC24" si="4">ABS(MID(U15,SEARCH(",",U15,1),3))</f>
        <v>#VALUE!</v>
      </c>
      <c r="ED14" s="365" t="e">
        <f t="shared" ref="ED14:ED24" si="5">TRUNC(U15,0)</f>
        <v>#VALUE!</v>
      </c>
      <c r="EE14" s="363" t="e">
        <f>ABS(EC14-EB14)</f>
        <v>#VALUE!</v>
      </c>
      <c r="EF14" s="363" t="e">
        <f>IF(EE14&gt;0,ED14+1,IF(AND(EE14=0,ISODD(EB14*10)),ED14+1,ED14))</f>
        <v>#VALUE!</v>
      </c>
    </row>
    <row r="15" spans="1:150" ht="15" customHeight="1">
      <c r="A15" s="2089" t="str">
        <f>IF($AE$11="","",HLOOKUP($AE$11,$AQ$13:$BQ$32,AP15,0))</f>
        <v/>
      </c>
      <c r="B15" s="2090"/>
      <c r="C15" s="2090"/>
      <c r="D15" s="2090"/>
      <c r="E15" s="2081" t="str">
        <f t="shared" ref="E15:E24" si="6">IF(OR(A15="",A15=0),"",VLOOKUP(A15,$A$55:$H$75,5,0))</f>
        <v/>
      </c>
      <c r="F15" s="2081"/>
      <c r="G15" s="2081"/>
      <c r="H15" s="2082"/>
      <c r="I15" s="2091" t="str">
        <f t="shared" ref="I15:I25" si="7">+IF(OR(A15=0,A15=""),"",VLOOKUP(A15,$A$55:$AI$76,33,0))</f>
        <v/>
      </c>
      <c r="J15" s="2092"/>
      <c r="K15" s="2092"/>
      <c r="L15" s="2092"/>
      <c r="M15" s="2092"/>
      <c r="N15" s="2092"/>
      <c r="O15" s="2092"/>
      <c r="P15" s="2093"/>
      <c r="Q15" s="2094" t="str">
        <f t="shared" ref="Q15:Q25" si="8">IF($I$12="","",IF(I15="","",(I15/$I$12)*100))</f>
        <v/>
      </c>
      <c r="R15" s="2095"/>
      <c r="S15" s="2095"/>
      <c r="T15" s="2096"/>
      <c r="U15" s="2097" t="str">
        <f>IF($I$12="","",IF(OR(Q15=0,Q15=""),"",(100-Q15)))</f>
        <v/>
      </c>
      <c r="V15" s="2098"/>
      <c r="W15" s="2098"/>
      <c r="X15" s="2099"/>
      <c r="Y15" s="2100" t="str">
        <f>IF(OR(Q15=0,Q15=""),"",IF(DW14&lt;0.5,DY14,IF(DW14&gt;0.5,DY14+1,EA14)))</f>
        <v/>
      </c>
      <c r="Z15" s="2101"/>
      <c r="AA15" s="2101"/>
      <c r="AB15" s="2101"/>
      <c r="AC15" s="2100" t="str">
        <f>IF(OR(Q15=0,Q15=""),"",IF(EB14&lt;0.5,ED14,IF(EB14&gt;0.5,ED14+1,EF14)))</f>
        <v/>
      </c>
      <c r="AD15" s="2101"/>
      <c r="AE15" s="2101"/>
      <c r="AF15" s="2174"/>
      <c r="AG15" s="2175" t="str">
        <f t="shared" ref="AG15:AG25" si="9">IF($AE$11="","",HLOOKUP($AE$11,$BS$13:$CS$32,AP15,0))</f>
        <v/>
      </c>
      <c r="AH15" s="2175"/>
      <c r="AI15" s="2175"/>
      <c r="AJ15" s="2175"/>
      <c r="AK15" s="2176" t="str">
        <f t="shared" ref="AK15:AK25" si="10">IF($AE$11="","",HLOOKUP($AE$11,$CT$13:$DT$32,AP15,0))</f>
        <v/>
      </c>
      <c r="AL15" s="2175"/>
      <c r="AM15" s="2175"/>
      <c r="AN15" s="2177"/>
      <c r="AP15" s="129">
        <v>2</v>
      </c>
      <c r="AQ15" s="279">
        <v>25</v>
      </c>
      <c r="AR15" s="280">
        <v>19</v>
      </c>
      <c r="AS15" s="280">
        <v>37.5</v>
      </c>
      <c r="AT15" s="280">
        <v>25</v>
      </c>
      <c r="AU15" s="280">
        <v>37.5</v>
      </c>
      <c r="AV15" s="259">
        <v>50</v>
      </c>
      <c r="AW15" s="259">
        <v>37.5</v>
      </c>
      <c r="AX15" s="259">
        <v>25</v>
      </c>
      <c r="AY15" s="259">
        <v>19</v>
      </c>
      <c r="AZ15" s="259">
        <v>25</v>
      </c>
      <c r="BA15" s="259">
        <v>19</v>
      </c>
      <c r="BB15" s="259">
        <v>12.5</v>
      </c>
      <c r="BC15" s="259">
        <v>9.5</v>
      </c>
      <c r="BD15" s="259">
        <v>9.5</v>
      </c>
      <c r="BE15" s="259">
        <v>2.36</v>
      </c>
      <c r="BF15" s="259">
        <v>4.75</v>
      </c>
      <c r="BG15" s="281"/>
      <c r="BH15" s="259">
        <v>9.5</v>
      </c>
      <c r="BI15" s="259">
        <v>12.5</v>
      </c>
      <c r="BJ15" s="259">
        <v>19</v>
      </c>
      <c r="BK15" s="259">
        <v>19</v>
      </c>
      <c r="BL15" s="259">
        <v>19</v>
      </c>
      <c r="BM15" s="259">
        <v>12.5</v>
      </c>
      <c r="BN15" s="259">
        <v>25</v>
      </c>
      <c r="BO15" s="259">
        <v>25</v>
      </c>
      <c r="BP15" s="425">
        <v>64</v>
      </c>
      <c r="BQ15" s="426">
        <v>19</v>
      </c>
      <c r="BR15" s="130"/>
      <c r="BS15" s="294">
        <v>75</v>
      </c>
      <c r="BT15" s="277">
        <v>75</v>
      </c>
      <c r="BU15" s="277">
        <v>80</v>
      </c>
      <c r="BV15" s="277">
        <v>75</v>
      </c>
      <c r="BW15" s="277">
        <v>75</v>
      </c>
      <c r="BX15" s="277">
        <v>95</v>
      </c>
      <c r="BY15" s="277">
        <v>95</v>
      </c>
      <c r="BZ15" s="277">
        <v>95</v>
      </c>
      <c r="CA15" s="277">
        <v>95</v>
      </c>
      <c r="CB15" s="433">
        <v>93</v>
      </c>
      <c r="CC15" s="433">
        <v>95</v>
      </c>
      <c r="CD15" s="433">
        <v>95</v>
      </c>
      <c r="CE15" s="433">
        <v>97</v>
      </c>
      <c r="CF15" s="433">
        <v>97</v>
      </c>
      <c r="CG15" s="433">
        <v>90</v>
      </c>
      <c r="CH15" s="433">
        <v>85</v>
      </c>
      <c r="CI15" s="270"/>
      <c r="CJ15" s="277">
        <v>80</v>
      </c>
      <c r="CK15" s="288">
        <v>80</v>
      </c>
      <c r="CL15" s="277">
        <v>80</v>
      </c>
      <c r="CM15" s="277">
        <v>90</v>
      </c>
      <c r="CN15" s="277">
        <v>95</v>
      </c>
      <c r="CO15" s="277">
        <v>90</v>
      </c>
      <c r="CP15" s="277">
        <v>75</v>
      </c>
      <c r="CQ15" s="296" t="s">
        <v>247</v>
      </c>
      <c r="CR15" s="430" t="s">
        <v>247</v>
      </c>
      <c r="CS15" s="430" t="s">
        <v>247</v>
      </c>
      <c r="CT15" s="294">
        <v>95</v>
      </c>
      <c r="CU15" s="277">
        <v>95</v>
      </c>
      <c r="CV15" s="277">
        <v>95</v>
      </c>
      <c r="CW15" s="277">
        <v>95</v>
      </c>
      <c r="CX15" s="277">
        <v>98</v>
      </c>
      <c r="CY15" s="278">
        <v>100</v>
      </c>
      <c r="CZ15" s="277">
        <v>100</v>
      </c>
      <c r="DA15" s="277">
        <v>100</v>
      </c>
      <c r="DB15" s="277">
        <v>100</v>
      </c>
      <c r="DC15" s="433">
        <v>100</v>
      </c>
      <c r="DD15" s="433">
        <v>100</v>
      </c>
      <c r="DE15" s="433">
        <v>100</v>
      </c>
      <c r="DF15" s="433">
        <v>100</v>
      </c>
      <c r="DG15" s="433">
        <v>100</v>
      </c>
      <c r="DH15" s="433">
        <v>100</v>
      </c>
      <c r="DI15" s="433">
        <v>100</v>
      </c>
      <c r="DJ15" s="277"/>
      <c r="DK15" s="277">
        <v>95</v>
      </c>
      <c r="DL15" s="277">
        <v>95</v>
      </c>
      <c r="DM15" s="277">
        <v>95</v>
      </c>
      <c r="DN15" s="277">
        <v>100</v>
      </c>
      <c r="DO15" s="277">
        <v>100</v>
      </c>
      <c r="DP15" s="277">
        <v>100</v>
      </c>
      <c r="DQ15" s="277">
        <v>100</v>
      </c>
      <c r="DR15" s="277">
        <v>30</v>
      </c>
      <c r="DS15" s="429">
        <v>100</v>
      </c>
      <c r="DT15" s="422">
        <v>100</v>
      </c>
      <c r="DW15" s="363" t="e">
        <f t="shared" si="0"/>
        <v>#VALUE!</v>
      </c>
      <c r="DX15" s="363" t="e">
        <f t="shared" si="1"/>
        <v>#VALUE!</v>
      </c>
      <c r="DY15" s="364" t="e">
        <f t="shared" si="2"/>
        <v>#VALUE!</v>
      </c>
      <c r="DZ15" s="363" t="e">
        <f t="shared" ref="DZ15:DZ24" si="11">ABS(DX15-DW15)</f>
        <v>#VALUE!</v>
      </c>
      <c r="EA15" s="363" t="e">
        <f t="shared" ref="EA15:EA24" si="12">IF(DZ15&gt;0,DY15+1,IF(AND(DZ15=0,ISODD(DW15*10)),DY15+1,DY15))</f>
        <v>#VALUE!</v>
      </c>
      <c r="EB15" s="363" t="e">
        <f t="shared" si="3"/>
        <v>#VALUE!</v>
      </c>
      <c r="EC15" s="331" t="e">
        <f t="shared" si="4"/>
        <v>#VALUE!</v>
      </c>
      <c r="ED15" s="365" t="e">
        <f t="shared" si="5"/>
        <v>#VALUE!</v>
      </c>
      <c r="EE15" s="363" t="e">
        <f t="shared" ref="EE15:EE24" si="13">ABS(EC15-EB15)</f>
        <v>#VALUE!</v>
      </c>
      <c r="EF15" s="363" t="e">
        <f t="shared" ref="EF15:EF24" si="14">IF(EE15&gt;0,ED15+1,IF(AND(EE15=0,ISODD(EB15*10)),ED15+1,ED15))</f>
        <v>#VALUE!</v>
      </c>
    </row>
    <row r="16" spans="1:150" ht="15" customHeight="1">
      <c r="A16" s="2079" t="str">
        <f t="shared" ref="A16:A24" si="15">IF($AE$11="","",HLOOKUP($AE$11,$AQ$13:$BQ$32,AP16,0))</f>
        <v/>
      </c>
      <c r="B16" s="2080"/>
      <c r="C16" s="2080"/>
      <c r="D16" s="2080"/>
      <c r="E16" s="2081" t="str">
        <f t="shared" si="6"/>
        <v/>
      </c>
      <c r="F16" s="2081"/>
      <c r="G16" s="2081"/>
      <c r="H16" s="2082"/>
      <c r="I16" s="2083" t="str">
        <f t="shared" si="7"/>
        <v/>
      </c>
      <c r="J16" s="2084"/>
      <c r="K16" s="2084"/>
      <c r="L16" s="2084"/>
      <c r="M16" s="2084"/>
      <c r="N16" s="2084"/>
      <c r="O16" s="2084"/>
      <c r="P16" s="2085"/>
      <c r="Q16" s="2086" t="str">
        <f t="shared" si="8"/>
        <v/>
      </c>
      <c r="R16" s="2087"/>
      <c r="S16" s="2087"/>
      <c r="T16" s="2088"/>
      <c r="U16" s="2076" t="str">
        <f t="shared" ref="U16:U24" si="16">IF($I$12="","",IF(OR(Q16=0,Q16=""),"",(U15-Q16)))</f>
        <v/>
      </c>
      <c r="V16" s="2077"/>
      <c r="W16" s="2077"/>
      <c r="X16" s="2078"/>
      <c r="Y16" s="2076" t="str">
        <f>IF(OR(Q16=0,Q16=""),"",IF(DW15&lt;0.5,DY15,IF(DW15&gt;0.5,DY15+1,EA15)))</f>
        <v/>
      </c>
      <c r="Z16" s="2077"/>
      <c r="AA16" s="2077"/>
      <c r="AB16" s="2077"/>
      <c r="AC16" s="2076" t="str">
        <f>IF(OR(Q16=0,Q16=""),"",IF(EB15&lt;0.5,ED15,IF(EB15&gt;0.5,ED15+1,EF15)))</f>
        <v/>
      </c>
      <c r="AD16" s="2077"/>
      <c r="AE16" s="2077"/>
      <c r="AF16" s="2078"/>
      <c r="AG16" s="2059" t="str">
        <f t="shared" si="9"/>
        <v/>
      </c>
      <c r="AH16" s="2059"/>
      <c r="AI16" s="2059"/>
      <c r="AJ16" s="2059"/>
      <c r="AK16" s="2061" t="str">
        <f t="shared" si="10"/>
        <v/>
      </c>
      <c r="AL16" s="2059"/>
      <c r="AM16" s="2059"/>
      <c r="AN16" s="2060"/>
      <c r="AP16" s="129">
        <v>3</v>
      </c>
      <c r="AQ16" s="279">
        <v>19</v>
      </c>
      <c r="AR16" s="259">
        <v>9.5</v>
      </c>
      <c r="AS16" s="280">
        <v>25</v>
      </c>
      <c r="AT16" s="280">
        <v>19</v>
      </c>
      <c r="AU16" s="280">
        <v>25</v>
      </c>
      <c r="AV16" s="259">
        <v>25</v>
      </c>
      <c r="AW16" s="259">
        <v>19</v>
      </c>
      <c r="AX16" s="259">
        <v>12.5</v>
      </c>
      <c r="AY16" s="259">
        <v>9.5</v>
      </c>
      <c r="AZ16" s="259">
        <v>19</v>
      </c>
      <c r="BA16" s="259">
        <v>12.5</v>
      </c>
      <c r="BB16" s="259">
        <v>9.5</v>
      </c>
      <c r="BC16" s="259">
        <v>4.75</v>
      </c>
      <c r="BD16" s="259">
        <v>4.75</v>
      </c>
      <c r="BE16" s="259">
        <v>1.18</v>
      </c>
      <c r="BF16" s="259">
        <v>2.36</v>
      </c>
      <c r="BG16" s="281"/>
      <c r="BH16" s="259">
        <v>4.75</v>
      </c>
      <c r="BI16" s="259">
        <v>9.5</v>
      </c>
      <c r="BJ16" s="259">
        <v>12.5</v>
      </c>
      <c r="BK16" s="259">
        <v>12.5</v>
      </c>
      <c r="BL16" s="259">
        <v>12.5</v>
      </c>
      <c r="BM16" s="259">
        <v>9.5</v>
      </c>
      <c r="BN16" s="259">
        <v>19</v>
      </c>
      <c r="BO16" s="259">
        <v>7.4999999999999997E-2</v>
      </c>
      <c r="BP16" s="425">
        <v>50</v>
      </c>
      <c r="BQ16" s="426">
        <v>12.5</v>
      </c>
      <c r="BR16" s="130"/>
      <c r="BS16" s="294">
        <v>60</v>
      </c>
      <c r="BT16" s="277">
        <v>50</v>
      </c>
      <c r="BU16" s="277">
        <v>60</v>
      </c>
      <c r="BV16" s="277">
        <v>62</v>
      </c>
      <c r="BW16" s="277">
        <v>60</v>
      </c>
      <c r="BX16" s="277">
        <v>35</v>
      </c>
      <c r="BY16" s="277">
        <v>30</v>
      </c>
      <c r="BZ16" s="277">
        <v>20</v>
      </c>
      <c r="CA16" s="277">
        <v>20</v>
      </c>
      <c r="CB16" s="433">
        <v>75</v>
      </c>
      <c r="CC16" s="433">
        <v>20</v>
      </c>
      <c r="CD16" s="433">
        <v>50</v>
      </c>
      <c r="CE16" s="433">
        <v>73</v>
      </c>
      <c r="CF16" s="433">
        <v>80</v>
      </c>
      <c r="CG16" s="433">
        <v>85</v>
      </c>
      <c r="CH16" s="433">
        <v>60</v>
      </c>
      <c r="CI16" s="270"/>
      <c r="CJ16" s="277">
        <v>59</v>
      </c>
      <c r="CK16" s="277">
        <v>71</v>
      </c>
      <c r="CL16" s="288">
        <v>66</v>
      </c>
      <c r="CM16" s="277">
        <v>77</v>
      </c>
      <c r="CN16" s="277">
        <v>83</v>
      </c>
      <c r="CO16" s="277">
        <v>83</v>
      </c>
      <c r="CP16" s="277">
        <v>65</v>
      </c>
      <c r="CQ16" s="296" t="s">
        <v>247</v>
      </c>
      <c r="CR16" s="431" t="s">
        <v>247</v>
      </c>
      <c r="CS16" s="430" t="s">
        <v>247</v>
      </c>
      <c r="CT16" s="294">
        <v>90</v>
      </c>
      <c r="CU16" s="277">
        <v>80</v>
      </c>
      <c r="CV16" s="277">
        <v>90</v>
      </c>
      <c r="CW16" s="277">
        <v>88</v>
      </c>
      <c r="CX16" s="277">
        <v>90</v>
      </c>
      <c r="CY16" s="277">
        <v>70</v>
      </c>
      <c r="CZ16" s="277">
        <v>70</v>
      </c>
      <c r="DA16" s="277">
        <v>60</v>
      </c>
      <c r="DB16" s="277">
        <v>55</v>
      </c>
      <c r="DC16" s="433">
        <v>83</v>
      </c>
      <c r="DD16" s="433">
        <v>40</v>
      </c>
      <c r="DE16" s="433">
        <v>70</v>
      </c>
      <c r="DF16" s="433">
        <v>81</v>
      </c>
      <c r="DG16" s="433">
        <v>93</v>
      </c>
      <c r="DH16" s="433">
        <v>90</v>
      </c>
      <c r="DI16" s="433">
        <v>80</v>
      </c>
      <c r="DJ16" s="277"/>
      <c r="DK16" s="277">
        <v>76</v>
      </c>
      <c r="DL16" s="277">
        <v>87</v>
      </c>
      <c r="DM16" s="277">
        <v>82</v>
      </c>
      <c r="DN16" s="277">
        <v>93</v>
      </c>
      <c r="DO16" s="277">
        <v>87</v>
      </c>
      <c r="DP16" s="277">
        <v>87</v>
      </c>
      <c r="DQ16" s="277">
        <v>100</v>
      </c>
      <c r="DR16" s="277">
        <v>15</v>
      </c>
      <c r="DS16" s="429">
        <v>100</v>
      </c>
      <c r="DT16" s="422">
        <v>100</v>
      </c>
      <c r="DW16" s="363" t="e">
        <f t="shared" si="0"/>
        <v>#VALUE!</v>
      </c>
      <c r="DX16" s="363" t="e">
        <f t="shared" si="1"/>
        <v>#VALUE!</v>
      </c>
      <c r="DY16" s="364" t="e">
        <f t="shared" si="2"/>
        <v>#VALUE!</v>
      </c>
      <c r="DZ16" s="363" t="e">
        <f t="shared" si="11"/>
        <v>#VALUE!</v>
      </c>
      <c r="EA16" s="363" t="e">
        <f t="shared" si="12"/>
        <v>#VALUE!</v>
      </c>
      <c r="EB16" s="363" t="e">
        <f t="shared" si="3"/>
        <v>#VALUE!</v>
      </c>
      <c r="EC16" s="331" t="e">
        <f t="shared" si="4"/>
        <v>#VALUE!</v>
      </c>
      <c r="ED16" s="365" t="e">
        <f t="shared" si="5"/>
        <v>#VALUE!</v>
      </c>
      <c r="EE16" s="363" t="e">
        <f t="shared" si="13"/>
        <v>#VALUE!</v>
      </c>
      <c r="EF16" s="363" t="e">
        <f t="shared" si="14"/>
        <v>#VALUE!</v>
      </c>
      <c r="EG16" s="331" t="e">
        <f>ABS(MID(Q17,SEARCH(",",Q17,1),2))</f>
        <v>#VALUE!</v>
      </c>
      <c r="EH16" s="331" t="e">
        <f>ABS(MID(Q17,SEARCH(",",Q17,1),3))</f>
        <v>#VALUE!</v>
      </c>
      <c r="EI16" s="365" t="e">
        <f>TRUNC(Q17,0)</f>
        <v>#VALUE!</v>
      </c>
      <c r="EJ16" s="331" t="e">
        <f>ABS(MID(Q17,SEARCH(",",Q17,1),4))</f>
        <v>#VALUE!</v>
      </c>
      <c r="EK16" s="331" t="e">
        <f>ABS(EG16-EH16)</f>
        <v>#VALUE!</v>
      </c>
      <c r="EL16" s="331" t="e">
        <f>ABS(EJ16-EH16)</f>
        <v>#VALUE!</v>
      </c>
      <c r="EM16" s="331" t="e">
        <f>IF(EL16&gt;0,EI16+EG16+0.1,IF(AND(EL16=0,ISODD(EH16*10)),EI16+EG16+0.1,EI16+EG16))</f>
        <v>#VALUE!</v>
      </c>
      <c r="EN16" s="331" t="e">
        <f>ABS(MID(U17,SEARCH(",",U17,1),2))</f>
        <v>#VALUE!</v>
      </c>
      <c r="EO16" s="331" t="e">
        <f>ABS(MID(U17,SEARCH(",",U17,1),3))</f>
        <v>#VALUE!</v>
      </c>
      <c r="EP16" s="365" t="e">
        <f>TRUNC(U17,0)</f>
        <v>#VALUE!</v>
      </c>
      <c r="EQ16" s="331" t="e">
        <f>ABS(MID(U17,SEARCH(",",U17,1),4))</f>
        <v>#VALUE!</v>
      </c>
      <c r="ER16" s="331" t="e">
        <f>ABS(EN16-EO16)</f>
        <v>#VALUE!</v>
      </c>
      <c r="ES16" s="331" t="e">
        <f>ABS(EQ16-EO16)</f>
        <v>#VALUE!</v>
      </c>
      <c r="ET16" s="331" t="e">
        <f>IF(ES16&gt;0,EP16+EN16+0.1,IF(AND(ES16=0,ISODD(EO16*10)),EP16+EN16+0.1,EP16+EN16))</f>
        <v>#VALUE!</v>
      </c>
    </row>
    <row r="17" spans="1:150" ht="15" customHeight="1">
      <c r="A17" s="2079" t="str">
        <f t="shared" si="15"/>
        <v/>
      </c>
      <c r="B17" s="2080"/>
      <c r="C17" s="2080"/>
      <c r="D17" s="2080"/>
      <c r="E17" s="2081" t="str">
        <f t="shared" si="6"/>
        <v/>
      </c>
      <c r="F17" s="2081"/>
      <c r="G17" s="2081"/>
      <c r="H17" s="2082"/>
      <c r="I17" s="2083" t="str">
        <f t="shared" si="7"/>
        <v/>
      </c>
      <c r="J17" s="2084"/>
      <c r="K17" s="2084"/>
      <c r="L17" s="2084"/>
      <c r="M17" s="2084"/>
      <c r="N17" s="2084"/>
      <c r="O17" s="2084"/>
      <c r="P17" s="2085"/>
      <c r="Q17" s="2086" t="str">
        <f t="shared" si="8"/>
        <v/>
      </c>
      <c r="R17" s="2087"/>
      <c r="S17" s="2087"/>
      <c r="T17" s="2088"/>
      <c r="U17" s="2076" t="str">
        <f t="shared" si="16"/>
        <v/>
      </c>
      <c r="V17" s="2077"/>
      <c r="W17" s="2077"/>
      <c r="X17" s="2078"/>
      <c r="Y17" s="2076" t="str">
        <f t="shared" ref="Y17:Y25" si="17">IF(OR(Q17=0,Q17=""),"",IF(AND(E17="N° 200",EK16&lt;0.05),EI16+EG16,IF(AND(E17="N° 200",EK16&gt;0.05),EI16+EG16+0.1,IF(AND(E17="N° 200",EK16=0),EL16,IF(DW16&lt;0.5,DY16,IF(DW16&gt;0.5,DY16+1,EA16))))))</f>
        <v/>
      </c>
      <c r="Z17" s="2077"/>
      <c r="AA17" s="2077"/>
      <c r="AB17" s="2077"/>
      <c r="AC17" s="2076" t="str">
        <f t="shared" ref="AC17:AC25" si="18">IF(OR(Q17=0,Q17=""),"",IF(AND(E17="N° 200",ER16&lt;0.05),EP16+EN16,IF(AND(E17="N° 200",ER16&gt;0.05),EP16+EN16+0.1,IF(AND(E17="N° 200",ER16=0),ES16,IF(EB16&lt;0.5,ED16,IF(EB16&gt;0.5,ED16+1,EF16))))))</f>
        <v/>
      </c>
      <c r="AD17" s="2077"/>
      <c r="AE17" s="2077"/>
      <c r="AF17" s="2078"/>
      <c r="AG17" s="2059" t="str">
        <f t="shared" si="9"/>
        <v/>
      </c>
      <c r="AH17" s="2059"/>
      <c r="AI17" s="2059"/>
      <c r="AJ17" s="2059"/>
      <c r="AK17" s="2061" t="str">
        <f t="shared" si="10"/>
        <v/>
      </c>
      <c r="AL17" s="2059"/>
      <c r="AM17" s="2059"/>
      <c r="AN17" s="2060"/>
      <c r="AO17" s="388"/>
      <c r="AP17" s="129">
        <v>4</v>
      </c>
      <c r="AQ17" s="258">
        <v>9.5</v>
      </c>
      <c r="AR17" s="259">
        <v>4.75</v>
      </c>
      <c r="AS17" s="259">
        <v>9.5</v>
      </c>
      <c r="AT17" s="259">
        <v>9.5</v>
      </c>
      <c r="AU17" s="259">
        <v>9.5</v>
      </c>
      <c r="AV17" s="259">
        <v>12.5</v>
      </c>
      <c r="AW17" s="259">
        <v>9.5</v>
      </c>
      <c r="AX17" s="259">
        <v>4.75</v>
      </c>
      <c r="AY17" s="259">
        <v>4.75</v>
      </c>
      <c r="AZ17" s="259">
        <v>12.5</v>
      </c>
      <c r="BA17" s="259">
        <v>9.5</v>
      </c>
      <c r="BB17" s="259">
        <v>4.75</v>
      </c>
      <c r="BC17" s="259">
        <v>2</v>
      </c>
      <c r="BD17" s="259">
        <v>2</v>
      </c>
      <c r="BE17" s="259">
        <v>0.6</v>
      </c>
      <c r="BF17" s="259">
        <v>1.18</v>
      </c>
      <c r="BG17" s="281"/>
      <c r="BH17" s="259">
        <v>2</v>
      </c>
      <c r="BI17" s="259">
        <v>4.75</v>
      </c>
      <c r="BJ17" s="259">
        <v>9.5</v>
      </c>
      <c r="BK17" s="259">
        <v>9.5</v>
      </c>
      <c r="BL17" s="259">
        <v>9.5</v>
      </c>
      <c r="BM17" s="259">
        <v>4.75</v>
      </c>
      <c r="BN17" s="259">
        <v>9.5</v>
      </c>
      <c r="BO17" s="259"/>
      <c r="BP17" s="427">
        <v>25</v>
      </c>
      <c r="BQ17" s="428"/>
      <c r="BR17" s="130"/>
      <c r="BS17" s="294">
        <v>40</v>
      </c>
      <c r="BT17" s="277">
        <v>35</v>
      </c>
      <c r="BU17" s="277">
        <v>36</v>
      </c>
      <c r="BV17" s="277">
        <v>42</v>
      </c>
      <c r="BW17" s="277">
        <v>36</v>
      </c>
      <c r="BX17" s="277">
        <v>10</v>
      </c>
      <c r="BY17" s="277">
        <v>10</v>
      </c>
      <c r="BZ17" s="295" t="s">
        <v>247</v>
      </c>
      <c r="CA17" s="295" t="s">
        <v>247</v>
      </c>
      <c r="CB17" s="433">
        <v>32</v>
      </c>
      <c r="CC17" s="430" t="s">
        <v>247</v>
      </c>
      <c r="CD17" s="430" t="s">
        <v>247</v>
      </c>
      <c r="CE17" s="433">
        <v>53</v>
      </c>
      <c r="CF17" s="433">
        <v>52</v>
      </c>
      <c r="CG17" s="433">
        <v>75</v>
      </c>
      <c r="CH17" s="433">
        <v>45</v>
      </c>
      <c r="CI17" s="270"/>
      <c r="CJ17" s="277">
        <v>36</v>
      </c>
      <c r="CK17" s="277">
        <v>49</v>
      </c>
      <c r="CL17" s="277">
        <v>59</v>
      </c>
      <c r="CM17" s="277">
        <v>59</v>
      </c>
      <c r="CN17" s="277">
        <v>65</v>
      </c>
      <c r="CO17" s="277">
        <v>28</v>
      </c>
      <c r="CP17" s="277">
        <v>45</v>
      </c>
      <c r="CQ17" s="277"/>
      <c r="CR17" s="430" t="s">
        <v>247</v>
      </c>
      <c r="CS17" s="430"/>
      <c r="CT17" s="294">
        <v>70</v>
      </c>
      <c r="CU17" s="277">
        <v>60</v>
      </c>
      <c r="CV17" s="277">
        <v>68</v>
      </c>
      <c r="CW17" s="277">
        <v>78</v>
      </c>
      <c r="CX17" s="277">
        <v>66</v>
      </c>
      <c r="CY17" s="277">
        <v>30</v>
      </c>
      <c r="CZ17" s="277">
        <v>30</v>
      </c>
      <c r="DA17" s="277">
        <v>5</v>
      </c>
      <c r="DB17" s="277">
        <v>5</v>
      </c>
      <c r="DC17" s="433">
        <v>40</v>
      </c>
      <c r="DD17" s="433">
        <v>10</v>
      </c>
      <c r="DE17" s="433">
        <v>10</v>
      </c>
      <c r="DF17" s="433">
        <v>59</v>
      </c>
      <c r="DG17" s="433">
        <v>63</v>
      </c>
      <c r="DH17" s="433">
        <v>85</v>
      </c>
      <c r="DI17" s="433">
        <v>65</v>
      </c>
      <c r="DJ17" s="277"/>
      <c r="DK17" s="277">
        <v>51</v>
      </c>
      <c r="DL17" s="277">
        <v>65</v>
      </c>
      <c r="DM17" s="277">
        <v>75</v>
      </c>
      <c r="DN17" s="277">
        <v>76</v>
      </c>
      <c r="DO17" s="277">
        <v>70</v>
      </c>
      <c r="DP17" s="277">
        <v>42</v>
      </c>
      <c r="DQ17" s="277">
        <v>75</v>
      </c>
      <c r="DR17" s="277"/>
      <c r="DS17" s="429">
        <v>100</v>
      </c>
      <c r="DT17" s="422"/>
      <c r="DW17" s="363" t="e">
        <f t="shared" si="0"/>
        <v>#VALUE!</v>
      </c>
      <c r="DX17" s="363" t="e">
        <f t="shared" si="1"/>
        <v>#VALUE!</v>
      </c>
      <c r="DY17" s="364" t="e">
        <f t="shared" si="2"/>
        <v>#VALUE!</v>
      </c>
      <c r="DZ17" s="363" t="e">
        <f t="shared" si="11"/>
        <v>#VALUE!</v>
      </c>
      <c r="EA17" s="363" t="e">
        <f t="shared" si="12"/>
        <v>#VALUE!</v>
      </c>
      <c r="EB17" s="363" t="e">
        <f t="shared" si="3"/>
        <v>#VALUE!</v>
      </c>
      <c r="EC17" s="331" t="e">
        <f t="shared" si="4"/>
        <v>#VALUE!</v>
      </c>
      <c r="ED17" s="365" t="e">
        <f t="shared" si="5"/>
        <v>#VALUE!</v>
      </c>
      <c r="EE17" s="363" t="e">
        <f t="shared" si="13"/>
        <v>#VALUE!</v>
      </c>
      <c r="EF17" s="363" t="e">
        <f t="shared" si="14"/>
        <v>#VALUE!</v>
      </c>
    </row>
    <row r="18" spans="1:150" ht="15" customHeight="1">
      <c r="A18" s="2079" t="str">
        <f t="shared" si="15"/>
        <v/>
      </c>
      <c r="B18" s="2080"/>
      <c r="C18" s="2080"/>
      <c r="D18" s="2080"/>
      <c r="E18" s="2081" t="str">
        <f t="shared" si="6"/>
        <v/>
      </c>
      <c r="F18" s="2081"/>
      <c r="G18" s="2081"/>
      <c r="H18" s="2082"/>
      <c r="I18" s="2083" t="str">
        <f t="shared" si="7"/>
        <v/>
      </c>
      <c r="J18" s="2084"/>
      <c r="K18" s="2084"/>
      <c r="L18" s="2084"/>
      <c r="M18" s="2084"/>
      <c r="N18" s="2084"/>
      <c r="O18" s="2084"/>
      <c r="P18" s="2085"/>
      <c r="Q18" s="2086" t="str">
        <f t="shared" si="8"/>
        <v/>
      </c>
      <c r="R18" s="2087"/>
      <c r="S18" s="2087"/>
      <c r="T18" s="2088"/>
      <c r="U18" s="2076" t="str">
        <f t="shared" si="16"/>
        <v/>
      </c>
      <c r="V18" s="2077"/>
      <c r="W18" s="2077"/>
      <c r="X18" s="2078"/>
      <c r="Y18" s="2076" t="str">
        <f t="shared" si="17"/>
        <v/>
      </c>
      <c r="Z18" s="2077"/>
      <c r="AA18" s="2077"/>
      <c r="AB18" s="2077"/>
      <c r="AC18" s="2076" t="str">
        <f t="shared" si="18"/>
        <v/>
      </c>
      <c r="AD18" s="2077"/>
      <c r="AE18" s="2077"/>
      <c r="AF18" s="2078"/>
      <c r="AG18" s="2059" t="str">
        <f t="shared" si="9"/>
        <v/>
      </c>
      <c r="AH18" s="2059"/>
      <c r="AI18" s="2059"/>
      <c r="AJ18" s="2059"/>
      <c r="AK18" s="2061" t="str">
        <f t="shared" si="10"/>
        <v/>
      </c>
      <c r="AL18" s="2059"/>
      <c r="AM18" s="2059"/>
      <c r="AN18" s="2060"/>
      <c r="AO18" s="388"/>
      <c r="AP18" s="129">
        <v>5</v>
      </c>
      <c r="AQ18" s="258">
        <v>4.75</v>
      </c>
      <c r="AR18" s="259">
        <v>2</v>
      </c>
      <c r="AS18" s="259">
        <v>4.75</v>
      </c>
      <c r="AT18" s="259">
        <v>4.75</v>
      </c>
      <c r="AU18" s="259">
        <v>4.75</v>
      </c>
      <c r="AV18" s="259">
        <v>4.75</v>
      </c>
      <c r="AW18" s="259">
        <v>4.75</v>
      </c>
      <c r="AX18" s="259"/>
      <c r="AY18" s="259"/>
      <c r="AZ18" s="259">
        <v>9.5</v>
      </c>
      <c r="BA18" s="259">
        <v>4.75</v>
      </c>
      <c r="BB18" s="259">
        <v>2</v>
      </c>
      <c r="BC18" s="259">
        <v>0.43</v>
      </c>
      <c r="BD18" s="259">
        <v>0.43</v>
      </c>
      <c r="BE18" s="259">
        <v>0.3</v>
      </c>
      <c r="BF18" s="259">
        <v>0.6</v>
      </c>
      <c r="BG18" s="281"/>
      <c r="BH18" s="259">
        <v>0.43</v>
      </c>
      <c r="BI18" s="259">
        <v>2</v>
      </c>
      <c r="BJ18" s="259">
        <v>4.75</v>
      </c>
      <c r="BK18" s="259">
        <v>4.75</v>
      </c>
      <c r="BL18" s="259">
        <v>4.75</v>
      </c>
      <c r="BM18" s="259">
        <v>2.36</v>
      </c>
      <c r="BN18" s="259">
        <v>4.75</v>
      </c>
      <c r="BO18" s="259"/>
      <c r="BP18" s="427">
        <v>19</v>
      </c>
      <c r="BQ18" s="428"/>
      <c r="BR18" s="130"/>
      <c r="BS18" s="294">
        <v>28</v>
      </c>
      <c r="BT18" s="277">
        <v>20</v>
      </c>
      <c r="BU18" s="277">
        <v>25</v>
      </c>
      <c r="BV18" s="277">
        <v>28</v>
      </c>
      <c r="BW18" s="277">
        <v>25</v>
      </c>
      <c r="BX18" s="295" t="s">
        <v>247</v>
      </c>
      <c r="BY18" s="295" t="s">
        <v>247</v>
      </c>
      <c r="BZ18" s="277"/>
      <c r="CA18" s="277"/>
      <c r="CB18" s="433">
        <v>14</v>
      </c>
      <c r="CC18" s="430" t="s">
        <v>247</v>
      </c>
      <c r="CD18" s="430" t="s">
        <v>247</v>
      </c>
      <c r="CE18" s="433">
        <v>37</v>
      </c>
      <c r="CF18" s="433">
        <v>23</v>
      </c>
      <c r="CG18" s="433">
        <v>30</v>
      </c>
      <c r="CH18" s="433">
        <v>30</v>
      </c>
      <c r="CI18" s="270"/>
      <c r="CJ18" s="277">
        <v>15</v>
      </c>
      <c r="CK18" s="277">
        <v>30</v>
      </c>
      <c r="CL18" s="277">
        <v>42</v>
      </c>
      <c r="CM18" s="277">
        <v>28</v>
      </c>
      <c r="CN18" s="277">
        <v>28</v>
      </c>
      <c r="CO18" s="277">
        <v>14</v>
      </c>
      <c r="CP18" s="277">
        <v>30</v>
      </c>
      <c r="CQ18" s="277"/>
      <c r="CR18" s="430" t="s">
        <v>247</v>
      </c>
      <c r="CS18" s="430"/>
      <c r="CT18" s="294">
        <v>50</v>
      </c>
      <c r="CU18" s="277">
        <v>40</v>
      </c>
      <c r="CV18" s="277">
        <v>50</v>
      </c>
      <c r="CW18" s="277">
        <v>55</v>
      </c>
      <c r="CX18" s="277">
        <v>52</v>
      </c>
      <c r="CY18" s="277">
        <v>5</v>
      </c>
      <c r="CZ18" s="277">
        <v>5</v>
      </c>
      <c r="DA18" s="277"/>
      <c r="DB18" s="277"/>
      <c r="DC18" s="433">
        <v>23</v>
      </c>
      <c r="DD18" s="433">
        <v>5</v>
      </c>
      <c r="DE18" s="433">
        <v>5</v>
      </c>
      <c r="DF18" s="433">
        <v>43</v>
      </c>
      <c r="DG18" s="433">
        <v>32</v>
      </c>
      <c r="DH18" s="433">
        <v>50</v>
      </c>
      <c r="DI18" s="433">
        <v>55</v>
      </c>
      <c r="DJ18" s="277"/>
      <c r="DK18" s="277">
        <v>25</v>
      </c>
      <c r="DL18" s="277">
        <v>44</v>
      </c>
      <c r="DM18" s="277">
        <v>58</v>
      </c>
      <c r="DN18" s="277">
        <v>49</v>
      </c>
      <c r="DO18" s="277">
        <v>42</v>
      </c>
      <c r="DP18" s="277">
        <v>22</v>
      </c>
      <c r="DQ18" s="277">
        <v>60</v>
      </c>
      <c r="DR18" s="277"/>
      <c r="DS18" s="429">
        <v>100</v>
      </c>
      <c r="DT18" s="422"/>
      <c r="DW18" s="363" t="e">
        <f t="shared" si="0"/>
        <v>#VALUE!</v>
      </c>
      <c r="DX18" s="363" t="e">
        <f t="shared" si="1"/>
        <v>#VALUE!</v>
      </c>
      <c r="DY18" s="364" t="e">
        <f t="shared" si="2"/>
        <v>#VALUE!</v>
      </c>
      <c r="DZ18" s="363" t="e">
        <f t="shared" si="11"/>
        <v>#VALUE!</v>
      </c>
      <c r="EA18" s="363" t="e">
        <f t="shared" si="12"/>
        <v>#VALUE!</v>
      </c>
      <c r="EB18" s="363" t="e">
        <f t="shared" si="3"/>
        <v>#VALUE!</v>
      </c>
      <c r="EC18" s="331" t="e">
        <f t="shared" si="4"/>
        <v>#VALUE!</v>
      </c>
      <c r="ED18" s="365" t="e">
        <f t="shared" si="5"/>
        <v>#VALUE!</v>
      </c>
      <c r="EE18" s="363" t="e">
        <f t="shared" si="13"/>
        <v>#VALUE!</v>
      </c>
      <c r="EF18" s="363" t="e">
        <f t="shared" si="14"/>
        <v>#VALUE!</v>
      </c>
    </row>
    <row r="19" spans="1:150" ht="15" customHeight="1">
      <c r="A19" s="2079" t="str">
        <f t="shared" si="15"/>
        <v/>
      </c>
      <c r="B19" s="2080"/>
      <c r="C19" s="2080"/>
      <c r="D19" s="2080"/>
      <c r="E19" s="2081" t="str">
        <f t="shared" si="6"/>
        <v/>
      </c>
      <c r="F19" s="2081"/>
      <c r="G19" s="2081"/>
      <c r="H19" s="2082"/>
      <c r="I19" s="2083" t="str">
        <f t="shared" si="7"/>
        <v/>
      </c>
      <c r="J19" s="2084"/>
      <c r="K19" s="2084"/>
      <c r="L19" s="2084"/>
      <c r="M19" s="2084"/>
      <c r="N19" s="2084"/>
      <c r="O19" s="2084"/>
      <c r="P19" s="2085"/>
      <c r="Q19" s="2086" t="str">
        <f t="shared" si="8"/>
        <v/>
      </c>
      <c r="R19" s="2087"/>
      <c r="S19" s="2087"/>
      <c r="T19" s="2088"/>
      <c r="U19" s="2076" t="str">
        <f t="shared" si="16"/>
        <v/>
      </c>
      <c r="V19" s="2077"/>
      <c r="W19" s="2077"/>
      <c r="X19" s="2078"/>
      <c r="Y19" s="2076" t="str">
        <f t="shared" si="17"/>
        <v/>
      </c>
      <c r="Z19" s="2077"/>
      <c r="AA19" s="2077"/>
      <c r="AB19" s="2077"/>
      <c r="AC19" s="2076" t="str">
        <f t="shared" si="18"/>
        <v/>
      </c>
      <c r="AD19" s="2077"/>
      <c r="AE19" s="2077"/>
      <c r="AF19" s="2078"/>
      <c r="AG19" s="2059" t="str">
        <f t="shared" si="9"/>
        <v/>
      </c>
      <c r="AH19" s="2059"/>
      <c r="AI19" s="2059"/>
      <c r="AJ19" s="2059"/>
      <c r="AK19" s="2061" t="str">
        <f t="shared" si="10"/>
        <v/>
      </c>
      <c r="AL19" s="2059"/>
      <c r="AM19" s="2059"/>
      <c r="AN19" s="2060"/>
      <c r="AO19" s="388"/>
      <c r="AP19" s="129">
        <v>6</v>
      </c>
      <c r="AQ19" s="258">
        <v>2</v>
      </c>
      <c r="AR19" s="268">
        <v>0.43</v>
      </c>
      <c r="AS19" s="259">
        <v>2</v>
      </c>
      <c r="AT19" s="259">
        <v>2</v>
      </c>
      <c r="AU19" s="259">
        <v>2</v>
      </c>
      <c r="AV19" s="259"/>
      <c r="AW19" s="259"/>
      <c r="AX19" s="259"/>
      <c r="AY19" s="259"/>
      <c r="AZ19" s="259">
        <v>4.75</v>
      </c>
      <c r="BA19" s="259">
        <v>2</v>
      </c>
      <c r="BB19" s="259">
        <v>0.43</v>
      </c>
      <c r="BC19" s="259">
        <v>0.18</v>
      </c>
      <c r="BD19" s="259">
        <v>0.18</v>
      </c>
      <c r="BE19" s="259">
        <v>0.15</v>
      </c>
      <c r="BF19" s="259">
        <v>0.3</v>
      </c>
      <c r="BG19" s="281"/>
      <c r="BH19" s="259">
        <v>0.18</v>
      </c>
      <c r="BI19" s="259">
        <v>0.43</v>
      </c>
      <c r="BJ19" s="259">
        <v>2</v>
      </c>
      <c r="BK19" s="259">
        <v>2.36</v>
      </c>
      <c r="BL19" s="259">
        <v>2.36</v>
      </c>
      <c r="BM19" s="259">
        <v>7.4999999999999997E-2</v>
      </c>
      <c r="BN19" s="259">
        <v>2</v>
      </c>
      <c r="BO19" s="259"/>
      <c r="BP19" s="427">
        <v>12.5</v>
      </c>
      <c r="BQ19" s="428"/>
      <c r="BR19" s="130"/>
      <c r="BS19" s="294">
        <v>15</v>
      </c>
      <c r="BT19" s="277">
        <v>8</v>
      </c>
      <c r="BU19" s="277">
        <v>15</v>
      </c>
      <c r="BV19" s="277">
        <v>16</v>
      </c>
      <c r="BW19" s="277">
        <v>15</v>
      </c>
      <c r="BX19" s="277"/>
      <c r="BY19" s="277"/>
      <c r="BZ19" s="277"/>
      <c r="CA19" s="277"/>
      <c r="CB19" s="433">
        <v>1</v>
      </c>
      <c r="CC19" s="430" t="s">
        <v>247</v>
      </c>
      <c r="CD19" s="430" t="s">
        <v>247</v>
      </c>
      <c r="CE19" s="433">
        <v>21</v>
      </c>
      <c r="CF19" s="433">
        <v>13</v>
      </c>
      <c r="CG19" s="430" t="s">
        <v>247</v>
      </c>
      <c r="CH19" s="433">
        <v>15</v>
      </c>
      <c r="CI19" s="270"/>
      <c r="CJ19" s="277">
        <v>9</v>
      </c>
      <c r="CK19" s="277">
        <v>14</v>
      </c>
      <c r="CL19" s="277">
        <v>27</v>
      </c>
      <c r="CM19" s="277">
        <v>14</v>
      </c>
      <c r="CN19" s="277">
        <v>14</v>
      </c>
      <c r="CO19" s="296" t="s">
        <v>247</v>
      </c>
      <c r="CP19" s="277">
        <v>20</v>
      </c>
      <c r="CQ19" s="277"/>
      <c r="CR19" s="430" t="s">
        <v>247</v>
      </c>
      <c r="CS19" s="430"/>
      <c r="CT19" s="294">
        <v>35</v>
      </c>
      <c r="CU19" s="277">
        <v>22</v>
      </c>
      <c r="CV19" s="277">
        <v>35</v>
      </c>
      <c r="CW19" s="277">
        <v>40</v>
      </c>
      <c r="CX19" s="277">
        <v>40</v>
      </c>
      <c r="CY19" s="277"/>
      <c r="CZ19" s="277"/>
      <c r="DA19" s="277"/>
      <c r="DB19" s="277"/>
      <c r="DC19" s="433">
        <v>9</v>
      </c>
      <c r="DD19" s="433">
        <v>5</v>
      </c>
      <c r="DE19" s="433">
        <v>5</v>
      </c>
      <c r="DF19" s="433">
        <v>28</v>
      </c>
      <c r="DG19" s="433">
        <v>23</v>
      </c>
      <c r="DH19" s="433">
        <v>20</v>
      </c>
      <c r="DI19" s="433">
        <v>35</v>
      </c>
      <c r="DJ19" s="277"/>
      <c r="DK19" s="277">
        <v>18</v>
      </c>
      <c r="DL19" s="277">
        <v>22</v>
      </c>
      <c r="DM19" s="277">
        <v>41</v>
      </c>
      <c r="DN19" s="277">
        <v>27</v>
      </c>
      <c r="DO19" s="277">
        <v>22</v>
      </c>
      <c r="DP19" s="277">
        <v>6</v>
      </c>
      <c r="DQ19" s="277">
        <v>45</v>
      </c>
      <c r="DR19" s="277"/>
      <c r="DS19" s="429">
        <v>100</v>
      </c>
      <c r="DT19" s="422"/>
      <c r="DW19" s="363" t="e">
        <f t="shared" si="0"/>
        <v>#VALUE!</v>
      </c>
      <c r="DX19" s="363" t="e">
        <f t="shared" si="1"/>
        <v>#VALUE!</v>
      </c>
      <c r="DY19" s="364" t="e">
        <f t="shared" si="2"/>
        <v>#VALUE!</v>
      </c>
      <c r="DZ19" s="363" t="e">
        <f t="shared" si="11"/>
        <v>#VALUE!</v>
      </c>
      <c r="EA19" s="363" t="e">
        <f t="shared" si="12"/>
        <v>#VALUE!</v>
      </c>
      <c r="EB19" s="363" t="e">
        <f t="shared" si="3"/>
        <v>#VALUE!</v>
      </c>
      <c r="EC19" s="331" t="e">
        <f t="shared" si="4"/>
        <v>#VALUE!</v>
      </c>
      <c r="ED19" s="365" t="e">
        <f t="shared" si="5"/>
        <v>#VALUE!</v>
      </c>
      <c r="EE19" s="363" t="e">
        <f t="shared" si="13"/>
        <v>#VALUE!</v>
      </c>
      <c r="EF19" s="363" t="e">
        <f t="shared" si="14"/>
        <v>#VALUE!</v>
      </c>
      <c r="EG19" s="331" t="e">
        <f t="shared" ref="EG19:EG24" si="19">ABS(MID(Q20,SEARCH(",",Q20,1),2))</f>
        <v>#VALUE!</v>
      </c>
      <c r="EH19" s="331" t="e">
        <f t="shared" ref="EH19:EH24" si="20">ABS(MID(Q20,SEARCH(",",Q20,1),3))</f>
        <v>#VALUE!</v>
      </c>
      <c r="EI19" s="365" t="e">
        <f t="shared" ref="EI19:EI24" si="21">TRUNC(Q20,0)</f>
        <v>#VALUE!</v>
      </c>
      <c r="EJ19" s="331" t="e">
        <f t="shared" ref="EJ19:EJ24" si="22">ABS(MID(Q20,SEARCH(",",Q20,1),4))</f>
        <v>#VALUE!</v>
      </c>
      <c r="EK19" s="331" t="e">
        <f t="shared" ref="EK19:EK24" si="23">ABS(EG19-EH19)</f>
        <v>#VALUE!</v>
      </c>
      <c r="EL19" s="331" t="e">
        <f t="shared" ref="EL19:EL24" si="24">ABS(EJ19-EH19)</f>
        <v>#VALUE!</v>
      </c>
      <c r="EM19" s="331" t="e">
        <f t="shared" ref="EM19:EM24" si="25">IF(EL19&gt;0,EI19+EG19+0.1,IF(AND(EL19=0,ISODD(EH19*10)),EI19+EG19+0.1,EI19+EG19))</f>
        <v>#VALUE!</v>
      </c>
      <c r="EN19" s="331" t="e">
        <f t="shared" ref="EN19:EN24" si="26">ABS(MID(U20,SEARCH(",",U20,1),2))</f>
        <v>#VALUE!</v>
      </c>
      <c r="EO19" s="331" t="e">
        <f t="shared" ref="EO19:EO24" si="27">ABS(MID(U20,SEARCH(",",U20,1),3))</f>
        <v>#VALUE!</v>
      </c>
      <c r="EP19" s="365" t="e">
        <f t="shared" ref="EP19:EP24" si="28">TRUNC(U20,0)</f>
        <v>#VALUE!</v>
      </c>
      <c r="EQ19" s="331" t="e">
        <f t="shared" ref="EQ19:EQ24" si="29">ABS(MID(U20,SEARCH(",",U20,1),4))</f>
        <v>#VALUE!</v>
      </c>
      <c r="ER19" s="331" t="e">
        <f t="shared" ref="ER19:ER24" si="30">ABS(EN19-EO19)</f>
        <v>#VALUE!</v>
      </c>
      <c r="ES19" s="331" t="e">
        <f t="shared" ref="ES19:ES24" si="31">ABS(EQ19-EO19)</f>
        <v>#VALUE!</v>
      </c>
      <c r="ET19" s="331" t="e">
        <f t="shared" ref="ET19:ET24" si="32">IF(ES19&gt;0,EP19+EN19+0.1,IF(AND(ES19=0,ISODD(EO19*10)),EP19+EN19+0.1,EP19+EN19))</f>
        <v>#VALUE!</v>
      </c>
    </row>
    <row r="20" spans="1:150" ht="15" customHeight="1">
      <c r="A20" s="2079" t="str">
        <f t="shared" si="15"/>
        <v/>
      </c>
      <c r="B20" s="2080"/>
      <c r="C20" s="2080"/>
      <c r="D20" s="2080"/>
      <c r="E20" s="2081" t="str">
        <f t="shared" si="6"/>
        <v/>
      </c>
      <c r="F20" s="2081"/>
      <c r="G20" s="2081"/>
      <c r="H20" s="2082"/>
      <c r="I20" s="2083" t="str">
        <f t="shared" si="7"/>
        <v/>
      </c>
      <c r="J20" s="2084"/>
      <c r="K20" s="2084"/>
      <c r="L20" s="2084"/>
      <c r="M20" s="2084"/>
      <c r="N20" s="2084"/>
      <c r="O20" s="2084"/>
      <c r="P20" s="2085"/>
      <c r="Q20" s="2086" t="str">
        <f t="shared" si="8"/>
        <v/>
      </c>
      <c r="R20" s="2087"/>
      <c r="S20" s="2087"/>
      <c r="T20" s="2088"/>
      <c r="U20" s="2076" t="str">
        <f t="shared" si="16"/>
        <v/>
      </c>
      <c r="V20" s="2077"/>
      <c r="W20" s="2077"/>
      <c r="X20" s="2078"/>
      <c r="Y20" s="2076" t="str">
        <f t="shared" si="17"/>
        <v/>
      </c>
      <c r="Z20" s="2077"/>
      <c r="AA20" s="2077"/>
      <c r="AB20" s="2077"/>
      <c r="AC20" s="2076" t="str">
        <f t="shared" si="18"/>
        <v/>
      </c>
      <c r="AD20" s="2077"/>
      <c r="AE20" s="2077"/>
      <c r="AF20" s="2078"/>
      <c r="AG20" s="2059" t="str">
        <f t="shared" si="9"/>
        <v/>
      </c>
      <c r="AH20" s="2059"/>
      <c r="AI20" s="2059"/>
      <c r="AJ20" s="2059"/>
      <c r="AK20" s="2061" t="str">
        <f t="shared" si="10"/>
        <v/>
      </c>
      <c r="AL20" s="2059"/>
      <c r="AM20" s="2059"/>
      <c r="AN20" s="2060"/>
      <c r="AO20" s="388"/>
      <c r="AP20" s="129">
        <v>7</v>
      </c>
      <c r="AQ20" s="276">
        <v>0.43</v>
      </c>
      <c r="AR20" s="259">
        <v>7.4999999999999997E-2</v>
      </c>
      <c r="AS20" s="268">
        <v>0.43</v>
      </c>
      <c r="AT20" s="268">
        <v>0.43</v>
      </c>
      <c r="AU20" s="268">
        <v>0.43</v>
      </c>
      <c r="AV20" s="268"/>
      <c r="AW20" s="268"/>
      <c r="AX20" s="268"/>
      <c r="AY20" s="268"/>
      <c r="AZ20" s="259">
        <v>2</v>
      </c>
      <c r="BA20" s="259">
        <v>0.43</v>
      </c>
      <c r="BB20" s="259">
        <v>0.18</v>
      </c>
      <c r="BC20" s="259">
        <v>7.4999999999999997E-2</v>
      </c>
      <c r="BD20" s="259">
        <v>7.4999999999999997E-2</v>
      </c>
      <c r="BE20" s="259">
        <v>7.4999999999999997E-2</v>
      </c>
      <c r="BF20" s="259">
        <v>0.15</v>
      </c>
      <c r="BG20" s="281"/>
      <c r="BH20" s="259">
        <v>7.4999999999999997E-2</v>
      </c>
      <c r="BI20" s="259">
        <v>0.18</v>
      </c>
      <c r="BJ20" s="259">
        <v>0.43</v>
      </c>
      <c r="BK20" s="259">
        <v>7.4999999999999997E-2</v>
      </c>
      <c r="BL20" s="259">
        <v>7.4999999999999997E-2</v>
      </c>
      <c r="BM20" s="259"/>
      <c r="BN20" s="259">
        <v>0.43</v>
      </c>
      <c r="BO20" s="259"/>
      <c r="BP20" s="259"/>
      <c r="BQ20" s="283"/>
      <c r="BR20" s="132"/>
      <c r="BS20" s="294">
        <v>6</v>
      </c>
      <c r="BT20" s="277">
        <v>2</v>
      </c>
      <c r="BU20" s="277">
        <v>6</v>
      </c>
      <c r="BV20" s="277">
        <v>6</v>
      </c>
      <c r="BW20" s="288">
        <v>6</v>
      </c>
      <c r="BX20" s="288"/>
      <c r="BY20" s="288"/>
      <c r="BZ20" s="288"/>
      <c r="CA20" s="288"/>
      <c r="CB20" s="430" t="s">
        <v>247</v>
      </c>
      <c r="CC20" s="430" t="s">
        <v>247</v>
      </c>
      <c r="CD20" s="430" t="s">
        <v>247</v>
      </c>
      <c r="CE20" s="433">
        <v>13</v>
      </c>
      <c r="CF20" s="433">
        <v>8</v>
      </c>
      <c r="CG20" s="430" t="s">
        <v>247</v>
      </c>
      <c r="CH20" s="433">
        <v>2</v>
      </c>
      <c r="CI20" s="270"/>
      <c r="CJ20" s="277">
        <v>5</v>
      </c>
      <c r="CK20" s="277">
        <v>8</v>
      </c>
      <c r="CL20" s="277">
        <v>12</v>
      </c>
      <c r="CM20" s="288">
        <v>2</v>
      </c>
      <c r="CN20" s="296" t="s">
        <v>247</v>
      </c>
      <c r="CO20" s="288"/>
      <c r="CP20" s="288">
        <v>10</v>
      </c>
      <c r="CQ20" s="288"/>
      <c r="CR20" s="430" t="s">
        <v>247</v>
      </c>
      <c r="CS20" s="432"/>
      <c r="CT20" s="294">
        <v>20</v>
      </c>
      <c r="CU20" s="277">
        <v>10</v>
      </c>
      <c r="CV20" s="277">
        <v>20</v>
      </c>
      <c r="CW20" s="277">
        <v>22</v>
      </c>
      <c r="CX20" s="277">
        <v>25</v>
      </c>
      <c r="CY20" s="277"/>
      <c r="CZ20" s="277"/>
      <c r="DA20" s="277"/>
      <c r="DB20" s="277"/>
      <c r="DC20" s="433">
        <v>6</v>
      </c>
      <c r="DD20" s="433">
        <v>5</v>
      </c>
      <c r="DE20" s="433">
        <v>5</v>
      </c>
      <c r="DF20" s="433">
        <v>16</v>
      </c>
      <c r="DG20" s="433">
        <v>12</v>
      </c>
      <c r="DH20" s="433">
        <v>5</v>
      </c>
      <c r="DI20" s="433">
        <v>20</v>
      </c>
      <c r="DJ20" s="277"/>
      <c r="DK20" s="277">
        <v>10</v>
      </c>
      <c r="DL20" s="277">
        <v>16</v>
      </c>
      <c r="DM20" s="277">
        <v>22</v>
      </c>
      <c r="DN20" s="277">
        <v>8</v>
      </c>
      <c r="DO20" s="277">
        <v>6</v>
      </c>
      <c r="DP20" s="277"/>
      <c r="DQ20" s="277">
        <v>30</v>
      </c>
      <c r="DR20" s="277"/>
      <c r="DS20" s="433">
        <v>100</v>
      </c>
      <c r="DT20" s="422"/>
      <c r="DW20" s="363" t="e">
        <f t="shared" si="0"/>
        <v>#VALUE!</v>
      </c>
      <c r="DX20" s="363" t="e">
        <f t="shared" si="1"/>
        <v>#VALUE!</v>
      </c>
      <c r="DY20" s="364" t="e">
        <f t="shared" si="2"/>
        <v>#VALUE!</v>
      </c>
      <c r="DZ20" s="363" t="e">
        <f t="shared" si="11"/>
        <v>#VALUE!</v>
      </c>
      <c r="EA20" s="363" t="e">
        <f t="shared" si="12"/>
        <v>#VALUE!</v>
      </c>
      <c r="EB20" s="363" t="e">
        <f t="shared" si="3"/>
        <v>#VALUE!</v>
      </c>
      <c r="EC20" s="331" t="e">
        <f t="shared" si="4"/>
        <v>#VALUE!</v>
      </c>
      <c r="ED20" s="365" t="e">
        <f t="shared" si="5"/>
        <v>#VALUE!</v>
      </c>
      <c r="EE20" s="363" t="e">
        <f t="shared" si="13"/>
        <v>#VALUE!</v>
      </c>
      <c r="EF20" s="363" t="e">
        <f t="shared" si="14"/>
        <v>#VALUE!</v>
      </c>
      <c r="EG20" s="331" t="e">
        <f t="shared" si="19"/>
        <v>#VALUE!</v>
      </c>
      <c r="EH20" s="331" t="e">
        <f t="shared" si="20"/>
        <v>#VALUE!</v>
      </c>
      <c r="EI20" s="365" t="e">
        <f t="shared" si="21"/>
        <v>#VALUE!</v>
      </c>
      <c r="EJ20" s="331" t="e">
        <f t="shared" si="22"/>
        <v>#VALUE!</v>
      </c>
      <c r="EK20" s="331" t="e">
        <f t="shared" si="23"/>
        <v>#VALUE!</v>
      </c>
      <c r="EL20" s="331" t="e">
        <f t="shared" si="24"/>
        <v>#VALUE!</v>
      </c>
      <c r="EM20" s="331" t="e">
        <f t="shared" si="25"/>
        <v>#VALUE!</v>
      </c>
      <c r="EN20" s="331" t="e">
        <f t="shared" si="26"/>
        <v>#VALUE!</v>
      </c>
      <c r="EO20" s="331" t="e">
        <f t="shared" si="27"/>
        <v>#VALUE!</v>
      </c>
      <c r="EP20" s="365" t="e">
        <f t="shared" si="28"/>
        <v>#VALUE!</v>
      </c>
      <c r="EQ20" s="331" t="e">
        <f t="shared" si="29"/>
        <v>#VALUE!</v>
      </c>
      <c r="ER20" s="331" t="e">
        <f t="shared" si="30"/>
        <v>#VALUE!</v>
      </c>
      <c r="ES20" s="331" t="e">
        <f t="shared" si="31"/>
        <v>#VALUE!</v>
      </c>
      <c r="ET20" s="331" t="e">
        <f t="shared" si="32"/>
        <v>#VALUE!</v>
      </c>
    </row>
    <row r="21" spans="1:150" ht="15" customHeight="1">
      <c r="A21" s="2079" t="str">
        <f t="shared" si="15"/>
        <v/>
      </c>
      <c r="B21" s="2080"/>
      <c r="C21" s="2080"/>
      <c r="D21" s="2080"/>
      <c r="E21" s="2081" t="str">
        <f t="shared" si="6"/>
        <v/>
      </c>
      <c r="F21" s="2081"/>
      <c r="G21" s="2081"/>
      <c r="H21" s="2082"/>
      <c r="I21" s="2083" t="str">
        <f t="shared" si="7"/>
        <v/>
      </c>
      <c r="J21" s="2084"/>
      <c r="K21" s="2084"/>
      <c r="L21" s="2084"/>
      <c r="M21" s="2084"/>
      <c r="N21" s="2084"/>
      <c r="O21" s="2084"/>
      <c r="P21" s="2085"/>
      <c r="Q21" s="2086" t="str">
        <f t="shared" si="8"/>
        <v/>
      </c>
      <c r="R21" s="2087"/>
      <c r="S21" s="2087"/>
      <c r="T21" s="2088"/>
      <c r="U21" s="2076" t="str">
        <f t="shared" si="16"/>
        <v/>
      </c>
      <c r="V21" s="2077"/>
      <c r="W21" s="2077"/>
      <c r="X21" s="2078"/>
      <c r="Y21" s="2076" t="str">
        <f t="shared" si="17"/>
        <v/>
      </c>
      <c r="Z21" s="2077"/>
      <c r="AA21" s="2077"/>
      <c r="AB21" s="2077"/>
      <c r="AC21" s="2076" t="str">
        <f t="shared" si="18"/>
        <v/>
      </c>
      <c r="AD21" s="2077"/>
      <c r="AE21" s="2077"/>
      <c r="AF21" s="2078"/>
      <c r="AG21" s="2059" t="str">
        <f t="shared" si="9"/>
        <v/>
      </c>
      <c r="AH21" s="2059"/>
      <c r="AI21" s="2059"/>
      <c r="AJ21" s="2059"/>
      <c r="AK21" s="2061" t="str">
        <f t="shared" si="10"/>
        <v/>
      </c>
      <c r="AL21" s="2059"/>
      <c r="AM21" s="2059"/>
      <c r="AN21" s="2060"/>
      <c r="AO21" s="388"/>
      <c r="AP21" s="129">
        <v>8</v>
      </c>
      <c r="AQ21" s="258">
        <v>7.4999999999999997E-2</v>
      </c>
      <c r="AR21" s="259"/>
      <c r="AS21" s="259">
        <v>7.4999999999999997E-2</v>
      </c>
      <c r="AT21" s="259">
        <v>7.4999999999999997E-2</v>
      </c>
      <c r="AU21" s="259">
        <v>7.4999999999999997E-2</v>
      </c>
      <c r="AV21" s="259"/>
      <c r="AW21" s="259"/>
      <c r="AX21" s="259"/>
      <c r="AY21" s="259"/>
      <c r="AZ21" s="259">
        <v>0.43</v>
      </c>
      <c r="BA21" s="269">
        <v>0.18</v>
      </c>
      <c r="BB21" s="259">
        <v>7.4999999999999997E-2</v>
      </c>
      <c r="BC21" s="259"/>
      <c r="BD21" s="259"/>
      <c r="BE21" s="259"/>
      <c r="BF21" s="259">
        <v>7.4999999999999997E-2</v>
      </c>
      <c r="BG21" s="281"/>
      <c r="BH21" s="259"/>
      <c r="BI21" s="259">
        <v>7.4999999999999997E-2</v>
      </c>
      <c r="BJ21" s="259">
        <v>0.18</v>
      </c>
      <c r="BK21" s="259"/>
      <c r="BL21" s="259"/>
      <c r="BM21" s="259"/>
      <c r="BN21" s="259">
        <v>7.4999999999999997E-2</v>
      </c>
      <c r="BO21" s="259"/>
      <c r="BP21" s="259"/>
      <c r="BQ21" s="282"/>
      <c r="BR21" s="130"/>
      <c r="BS21" s="294">
        <v>2</v>
      </c>
      <c r="BT21" s="277"/>
      <c r="BU21" s="295" t="s">
        <v>247</v>
      </c>
      <c r="BV21" s="295" t="s">
        <v>247</v>
      </c>
      <c r="BW21" s="295" t="s">
        <v>247</v>
      </c>
      <c r="BX21" s="277"/>
      <c r="BY21" s="277"/>
      <c r="BZ21" s="277"/>
      <c r="CA21" s="277"/>
      <c r="CB21" s="434" t="s">
        <v>247</v>
      </c>
      <c r="CC21" s="430" t="s">
        <v>247</v>
      </c>
      <c r="CD21" s="430" t="s">
        <v>247</v>
      </c>
      <c r="CG21" s="433"/>
      <c r="CH21" s="430" t="s">
        <v>247</v>
      </c>
      <c r="CI21" s="270"/>
      <c r="CJ21" s="277"/>
      <c r="CK21" s="277">
        <v>4</v>
      </c>
      <c r="CL21" s="277">
        <v>8</v>
      </c>
      <c r="CM21" s="277"/>
      <c r="CN21" s="277"/>
      <c r="CO21" s="277"/>
      <c r="CP21" s="277">
        <v>5</v>
      </c>
      <c r="CQ21" s="277"/>
      <c r="CR21" s="277"/>
      <c r="CS21" s="277"/>
      <c r="CT21" s="294">
        <v>10</v>
      </c>
      <c r="CU21" s="277"/>
      <c r="CV21" s="277">
        <v>10</v>
      </c>
      <c r="CW21" s="277">
        <v>12</v>
      </c>
      <c r="CX21" s="277">
        <v>14</v>
      </c>
      <c r="CY21" s="277"/>
      <c r="CZ21" s="277"/>
      <c r="DA21" s="277"/>
      <c r="DB21" s="277"/>
      <c r="DC21" s="433">
        <v>6</v>
      </c>
      <c r="DD21" s="433">
        <v>5</v>
      </c>
      <c r="DE21" s="433">
        <v>3</v>
      </c>
      <c r="DH21" s="433"/>
      <c r="DI21" s="433">
        <v>5</v>
      </c>
      <c r="DJ21" s="277"/>
      <c r="DK21" s="277"/>
      <c r="DL21" s="277">
        <v>9</v>
      </c>
      <c r="DM21" s="277">
        <v>16</v>
      </c>
      <c r="DN21" s="277"/>
      <c r="DO21" s="277"/>
      <c r="DP21" s="277"/>
      <c r="DQ21" s="277">
        <v>20</v>
      </c>
      <c r="DR21" s="277"/>
      <c r="DS21" s="277"/>
      <c r="DT21" s="293"/>
      <c r="DW21" s="363" t="e">
        <f t="shared" si="0"/>
        <v>#VALUE!</v>
      </c>
      <c r="DX21" s="363" t="e">
        <f t="shared" si="1"/>
        <v>#VALUE!</v>
      </c>
      <c r="DY21" s="364" t="e">
        <f t="shared" si="2"/>
        <v>#VALUE!</v>
      </c>
      <c r="DZ21" s="363" t="e">
        <f t="shared" si="11"/>
        <v>#VALUE!</v>
      </c>
      <c r="EA21" s="363" t="e">
        <f t="shared" si="12"/>
        <v>#VALUE!</v>
      </c>
      <c r="EB21" s="363" t="e">
        <f t="shared" si="3"/>
        <v>#VALUE!</v>
      </c>
      <c r="EC21" s="331" t="e">
        <f t="shared" si="4"/>
        <v>#VALUE!</v>
      </c>
      <c r="ED21" s="365" t="e">
        <f t="shared" si="5"/>
        <v>#VALUE!</v>
      </c>
      <c r="EE21" s="363" t="e">
        <f t="shared" si="13"/>
        <v>#VALUE!</v>
      </c>
      <c r="EF21" s="363" t="e">
        <f t="shared" si="14"/>
        <v>#VALUE!</v>
      </c>
      <c r="EG21" s="331" t="e">
        <f t="shared" si="19"/>
        <v>#VALUE!</v>
      </c>
      <c r="EH21" s="331" t="e">
        <f t="shared" si="20"/>
        <v>#VALUE!</v>
      </c>
      <c r="EI21" s="365" t="e">
        <f t="shared" si="21"/>
        <v>#VALUE!</v>
      </c>
      <c r="EJ21" s="331" t="e">
        <f t="shared" si="22"/>
        <v>#VALUE!</v>
      </c>
      <c r="EK21" s="331" t="e">
        <f t="shared" si="23"/>
        <v>#VALUE!</v>
      </c>
      <c r="EL21" s="331" t="e">
        <f t="shared" si="24"/>
        <v>#VALUE!</v>
      </c>
      <c r="EM21" s="331" t="e">
        <f t="shared" si="25"/>
        <v>#VALUE!</v>
      </c>
      <c r="EN21" s="331" t="e">
        <f t="shared" si="26"/>
        <v>#VALUE!</v>
      </c>
      <c r="EO21" s="331" t="e">
        <f t="shared" si="27"/>
        <v>#VALUE!</v>
      </c>
      <c r="EP21" s="365" t="e">
        <f t="shared" si="28"/>
        <v>#VALUE!</v>
      </c>
      <c r="EQ21" s="331" t="e">
        <f t="shared" si="29"/>
        <v>#VALUE!</v>
      </c>
      <c r="ER21" s="331" t="e">
        <f t="shared" si="30"/>
        <v>#VALUE!</v>
      </c>
      <c r="ES21" s="331" t="e">
        <f t="shared" si="31"/>
        <v>#VALUE!</v>
      </c>
      <c r="ET21" s="331" t="e">
        <f t="shared" si="32"/>
        <v>#VALUE!</v>
      </c>
    </row>
    <row r="22" spans="1:150" ht="15" customHeight="1">
      <c r="A22" s="2079" t="str">
        <f t="shared" si="15"/>
        <v/>
      </c>
      <c r="B22" s="2080"/>
      <c r="C22" s="2080"/>
      <c r="D22" s="2080"/>
      <c r="E22" s="2081" t="str">
        <f t="shared" si="6"/>
        <v/>
      </c>
      <c r="F22" s="2081"/>
      <c r="G22" s="2081"/>
      <c r="H22" s="2082"/>
      <c r="I22" s="2083" t="str">
        <f t="shared" si="7"/>
        <v/>
      </c>
      <c r="J22" s="2084"/>
      <c r="K22" s="2084"/>
      <c r="L22" s="2084"/>
      <c r="M22" s="2084"/>
      <c r="N22" s="2084"/>
      <c r="O22" s="2084"/>
      <c r="P22" s="2085"/>
      <c r="Q22" s="2086" t="str">
        <f t="shared" si="8"/>
        <v/>
      </c>
      <c r="R22" s="2087"/>
      <c r="S22" s="2087"/>
      <c r="T22" s="2088"/>
      <c r="U22" s="2076" t="str">
        <f t="shared" si="16"/>
        <v/>
      </c>
      <c r="V22" s="2077"/>
      <c r="W22" s="2077"/>
      <c r="X22" s="2078"/>
      <c r="Y22" s="2076" t="str">
        <f t="shared" si="17"/>
        <v/>
      </c>
      <c r="Z22" s="2077"/>
      <c r="AA22" s="2077"/>
      <c r="AB22" s="2077"/>
      <c r="AC22" s="2076" t="str">
        <f t="shared" si="18"/>
        <v/>
      </c>
      <c r="AD22" s="2077"/>
      <c r="AE22" s="2077"/>
      <c r="AF22" s="2078"/>
      <c r="AG22" s="2059" t="str">
        <f t="shared" si="9"/>
        <v/>
      </c>
      <c r="AH22" s="2059"/>
      <c r="AI22" s="2059"/>
      <c r="AJ22" s="2059"/>
      <c r="AK22" s="2061" t="str">
        <f t="shared" si="10"/>
        <v/>
      </c>
      <c r="AL22" s="2059"/>
      <c r="AM22" s="2059"/>
      <c r="AN22" s="2060"/>
      <c r="AO22" s="388"/>
      <c r="AP22" s="129">
        <v>9</v>
      </c>
      <c r="AQ22" s="276"/>
      <c r="AR22" s="268"/>
      <c r="AS22" s="264"/>
      <c r="AT22" s="268"/>
      <c r="AU22" s="268"/>
      <c r="AV22" s="268"/>
      <c r="AW22" s="268"/>
      <c r="AX22" s="268"/>
      <c r="AY22" s="268"/>
      <c r="AZ22" s="268">
        <v>0.18</v>
      </c>
      <c r="BA22" s="268">
        <v>7.4999999999999997E-2</v>
      </c>
      <c r="BB22" s="268"/>
      <c r="BC22" s="268"/>
      <c r="BD22" s="268"/>
      <c r="BE22" s="268"/>
      <c r="BF22" s="268"/>
      <c r="BG22" s="281"/>
      <c r="BH22" s="268"/>
      <c r="BI22" s="267"/>
      <c r="BJ22" s="259">
        <v>7.4999999999999997E-2</v>
      </c>
      <c r="BK22" s="267"/>
      <c r="BL22" s="267"/>
      <c r="BM22" s="267"/>
      <c r="BN22" s="267"/>
      <c r="BO22" s="267"/>
      <c r="BP22" s="267"/>
      <c r="BQ22" s="284"/>
      <c r="BR22" s="131"/>
      <c r="BS22" s="289"/>
      <c r="BT22" s="277"/>
      <c r="BU22" s="288"/>
      <c r="BV22" s="297"/>
      <c r="BW22" s="288"/>
      <c r="BX22" s="288"/>
      <c r="BY22" s="288"/>
      <c r="BZ22" s="288"/>
      <c r="CA22" s="288"/>
      <c r="CB22" s="434" t="s">
        <v>247</v>
      </c>
      <c r="CC22" s="430" t="s">
        <v>247</v>
      </c>
      <c r="CD22" s="435"/>
      <c r="CG22" s="435"/>
      <c r="CH22" s="435"/>
      <c r="CI22" s="270"/>
      <c r="CJ22" s="97"/>
      <c r="CK22" s="277"/>
      <c r="CL22" s="277">
        <v>4</v>
      </c>
      <c r="CM22" s="287"/>
      <c r="CN22" s="287"/>
      <c r="CO22" s="287"/>
      <c r="CP22" s="287"/>
      <c r="CQ22" s="287"/>
      <c r="CR22" s="287"/>
      <c r="CS22" s="287"/>
      <c r="CT22" s="299"/>
      <c r="CU22" s="277"/>
      <c r="CV22" s="277"/>
      <c r="CW22" s="277"/>
      <c r="CX22" s="277"/>
      <c r="CY22" s="277"/>
      <c r="CZ22" s="277"/>
      <c r="DA22" s="277"/>
      <c r="DB22" s="277"/>
      <c r="DC22" s="433">
        <v>6</v>
      </c>
      <c r="DD22" s="433">
        <v>3</v>
      </c>
      <c r="DH22" s="433"/>
      <c r="DI22" s="433"/>
      <c r="DJ22" s="277"/>
      <c r="DK22" s="277"/>
      <c r="DL22" s="277"/>
      <c r="DM22" s="277">
        <v>9</v>
      </c>
      <c r="DN22" s="277"/>
      <c r="DO22" s="277"/>
      <c r="DP22" s="277"/>
      <c r="DQ22" s="277"/>
      <c r="DR22" s="277"/>
      <c r="DS22" s="277"/>
      <c r="DT22" s="293"/>
      <c r="DW22" s="363" t="e">
        <f t="shared" si="0"/>
        <v>#VALUE!</v>
      </c>
      <c r="DX22" s="363" t="e">
        <f t="shared" si="1"/>
        <v>#VALUE!</v>
      </c>
      <c r="DY22" s="364" t="e">
        <f t="shared" si="2"/>
        <v>#VALUE!</v>
      </c>
      <c r="DZ22" s="363" t="e">
        <f t="shared" si="11"/>
        <v>#VALUE!</v>
      </c>
      <c r="EA22" s="363" t="e">
        <f t="shared" si="12"/>
        <v>#VALUE!</v>
      </c>
      <c r="EB22" s="363" t="e">
        <f t="shared" si="3"/>
        <v>#VALUE!</v>
      </c>
      <c r="EC22" s="331" t="e">
        <f t="shared" si="4"/>
        <v>#VALUE!</v>
      </c>
      <c r="ED22" s="365" t="e">
        <f t="shared" si="5"/>
        <v>#VALUE!</v>
      </c>
      <c r="EE22" s="363" t="e">
        <f t="shared" si="13"/>
        <v>#VALUE!</v>
      </c>
      <c r="EF22" s="363" t="e">
        <f t="shared" si="14"/>
        <v>#VALUE!</v>
      </c>
      <c r="EG22" s="331" t="e">
        <f t="shared" si="19"/>
        <v>#VALUE!</v>
      </c>
      <c r="EH22" s="331" t="e">
        <f t="shared" si="20"/>
        <v>#VALUE!</v>
      </c>
      <c r="EI22" s="365" t="e">
        <f t="shared" si="21"/>
        <v>#VALUE!</v>
      </c>
      <c r="EJ22" s="331" t="e">
        <f t="shared" si="22"/>
        <v>#VALUE!</v>
      </c>
      <c r="EK22" s="331" t="e">
        <f t="shared" si="23"/>
        <v>#VALUE!</v>
      </c>
      <c r="EL22" s="331" t="e">
        <f t="shared" si="24"/>
        <v>#VALUE!</v>
      </c>
      <c r="EM22" s="331" t="e">
        <f t="shared" si="25"/>
        <v>#VALUE!</v>
      </c>
      <c r="EN22" s="331" t="e">
        <f t="shared" si="26"/>
        <v>#VALUE!</v>
      </c>
      <c r="EO22" s="331" t="e">
        <f t="shared" si="27"/>
        <v>#VALUE!</v>
      </c>
      <c r="EP22" s="365" t="e">
        <f t="shared" si="28"/>
        <v>#VALUE!</v>
      </c>
      <c r="EQ22" s="331" t="e">
        <f t="shared" si="29"/>
        <v>#VALUE!</v>
      </c>
      <c r="ER22" s="331" t="e">
        <f t="shared" si="30"/>
        <v>#VALUE!</v>
      </c>
      <c r="ES22" s="331" t="e">
        <f t="shared" si="31"/>
        <v>#VALUE!</v>
      </c>
      <c r="ET22" s="331" t="e">
        <f t="shared" si="32"/>
        <v>#VALUE!</v>
      </c>
    </row>
    <row r="23" spans="1:150" ht="15" customHeight="1">
      <c r="A23" s="2079" t="str">
        <f t="shared" si="15"/>
        <v/>
      </c>
      <c r="B23" s="2080"/>
      <c r="C23" s="2080"/>
      <c r="D23" s="2080"/>
      <c r="E23" s="2081" t="str">
        <f t="shared" si="6"/>
        <v/>
      </c>
      <c r="F23" s="2081"/>
      <c r="G23" s="2081"/>
      <c r="H23" s="2082"/>
      <c r="I23" s="2083" t="str">
        <f t="shared" si="7"/>
        <v/>
      </c>
      <c r="J23" s="2084"/>
      <c r="K23" s="2084"/>
      <c r="L23" s="2084"/>
      <c r="M23" s="2084"/>
      <c r="N23" s="2084"/>
      <c r="O23" s="2084"/>
      <c r="P23" s="2085"/>
      <c r="Q23" s="2086" t="str">
        <f t="shared" si="8"/>
        <v/>
      </c>
      <c r="R23" s="2087"/>
      <c r="S23" s="2087"/>
      <c r="T23" s="2088"/>
      <c r="U23" s="2076" t="str">
        <f t="shared" si="16"/>
        <v/>
      </c>
      <c r="V23" s="2077"/>
      <c r="W23" s="2077"/>
      <c r="X23" s="2078"/>
      <c r="Y23" s="2076" t="str">
        <f t="shared" si="17"/>
        <v/>
      </c>
      <c r="Z23" s="2077"/>
      <c r="AA23" s="2077"/>
      <c r="AB23" s="2077"/>
      <c r="AC23" s="2076" t="str">
        <f t="shared" si="18"/>
        <v/>
      </c>
      <c r="AD23" s="2077"/>
      <c r="AE23" s="2077"/>
      <c r="AF23" s="2078"/>
      <c r="AG23" s="2059" t="str">
        <f t="shared" si="9"/>
        <v/>
      </c>
      <c r="AH23" s="2059"/>
      <c r="AI23" s="2059"/>
      <c r="AJ23" s="2060"/>
      <c r="AK23" s="2061" t="str">
        <f t="shared" si="10"/>
        <v/>
      </c>
      <c r="AL23" s="2059"/>
      <c r="AM23" s="2059"/>
      <c r="AN23" s="2060"/>
      <c r="AO23" s="388"/>
      <c r="AP23" s="129">
        <v>10</v>
      </c>
      <c r="AQ23" s="258"/>
      <c r="AR23" s="259"/>
      <c r="AS23" s="259"/>
      <c r="AT23" s="259"/>
      <c r="AU23" s="259"/>
      <c r="AV23" s="259"/>
      <c r="AW23" s="259"/>
      <c r="AX23" s="259"/>
      <c r="AY23" s="259"/>
      <c r="AZ23" s="259">
        <v>7.4999999999999997E-2</v>
      </c>
      <c r="BA23" s="259"/>
      <c r="BB23" s="259"/>
      <c r="BC23" s="259"/>
      <c r="BD23" s="259"/>
      <c r="BE23" s="259"/>
      <c r="BF23" s="259"/>
      <c r="BG23" s="281"/>
      <c r="BH23" s="259"/>
      <c r="BI23" s="259"/>
      <c r="BJ23" s="259"/>
      <c r="BK23" s="259"/>
      <c r="BL23" s="259"/>
      <c r="BM23" s="259"/>
      <c r="BN23" s="259"/>
      <c r="BO23" s="259"/>
      <c r="BP23" s="259"/>
      <c r="BQ23" s="282"/>
      <c r="BR23" s="130"/>
      <c r="BS23" s="294"/>
      <c r="BT23" s="297"/>
      <c r="BU23" s="297"/>
      <c r="BV23" s="297"/>
      <c r="BW23" s="277"/>
      <c r="BX23" s="277"/>
      <c r="BY23" s="277"/>
      <c r="BZ23" s="277"/>
      <c r="CA23" s="277"/>
      <c r="CB23" s="434" t="s">
        <v>247</v>
      </c>
      <c r="CC23" s="433"/>
      <c r="CD23" s="433">
        <v>0</v>
      </c>
      <c r="CE23" s="331"/>
      <c r="CF23" s="331"/>
      <c r="CG23" s="433"/>
      <c r="CH23" s="433"/>
      <c r="CI23" s="270"/>
      <c r="CJ23" s="277"/>
      <c r="CK23" s="97"/>
      <c r="CL23" s="277"/>
      <c r="CM23" s="277"/>
      <c r="CN23" s="277"/>
      <c r="CO23" s="277"/>
      <c r="CP23" s="277"/>
      <c r="CQ23" s="277"/>
      <c r="CR23" s="277"/>
      <c r="CS23" s="277"/>
      <c r="CT23" s="294"/>
      <c r="CU23" s="278"/>
      <c r="CV23" s="277"/>
      <c r="CW23" s="278"/>
      <c r="CX23" s="277"/>
      <c r="CY23" s="277"/>
      <c r="CZ23" s="277"/>
      <c r="DA23" s="277"/>
      <c r="DB23" s="277"/>
      <c r="DC23" s="433">
        <v>3</v>
      </c>
      <c r="DH23" s="433"/>
      <c r="DI23" s="433"/>
      <c r="DJ23" s="277"/>
      <c r="DK23" s="272"/>
      <c r="DL23" s="272"/>
      <c r="DM23" s="272"/>
      <c r="DN23" s="277"/>
      <c r="DO23" s="277"/>
      <c r="DP23" s="277"/>
      <c r="DQ23" s="277"/>
      <c r="DR23" s="277"/>
      <c r="DS23" s="277"/>
      <c r="DT23" s="293"/>
      <c r="DW23" s="363" t="e">
        <f t="shared" si="0"/>
        <v>#VALUE!</v>
      </c>
      <c r="DX23" s="363" t="e">
        <f t="shared" si="1"/>
        <v>#VALUE!</v>
      </c>
      <c r="DY23" s="364" t="e">
        <f t="shared" si="2"/>
        <v>#VALUE!</v>
      </c>
      <c r="DZ23" s="363" t="e">
        <f t="shared" si="11"/>
        <v>#VALUE!</v>
      </c>
      <c r="EA23" s="363" t="e">
        <f t="shared" si="12"/>
        <v>#VALUE!</v>
      </c>
      <c r="EB23" s="363" t="e">
        <f t="shared" si="3"/>
        <v>#VALUE!</v>
      </c>
      <c r="EC23" s="331" t="e">
        <f t="shared" si="4"/>
        <v>#VALUE!</v>
      </c>
      <c r="ED23" s="365" t="e">
        <f t="shared" si="5"/>
        <v>#VALUE!</v>
      </c>
      <c r="EE23" s="363" t="e">
        <f t="shared" si="13"/>
        <v>#VALUE!</v>
      </c>
      <c r="EF23" s="363" t="e">
        <f t="shared" si="14"/>
        <v>#VALUE!</v>
      </c>
      <c r="EG23" s="331" t="e">
        <f t="shared" si="19"/>
        <v>#VALUE!</v>
      </c>
      <c r="EH23" s="331" t="e">
        <f t="shared" si="20"/>
        <v>#VALUE!</v>
      </c>
      <c r="EI23" s="365" t="e">
        <f t="shared" si="21"/>
        <v>#VALUE!</v>
      </c>
      <c r="EJ23" s="331" t="e">
        <f t="shared" si="22"/>
        <v>#VALUE!</v>
      </c>
      <c r="EK23" s="331" t="e">
        <f t="shared" si="23"/>
        <v>#VALUE!</v>
      </c>
      <c r="EL23" s="331" t="e">
        <f t="shared" si="24"/>
        <v>#VALUE!</v>
      </c>
      <c r="EM23" s="331" t="e">
        <f t="shared" si="25"/>
        <v>#VALUE!</v>
      </c>
      <c r="EN23" s="331" t="e">
        <f t="shared" si="26"/>
        <v>#VALUE!</v>
      </c>
      <c r="EO23" s="331" t="e">
        <f t="shared" si="27"/>
        <v>#VALUE!</v>
      </c>
      <c r="EP23" s="365" t="e">
        <f t="shared" si="28"/>
        <v>#VALUE!</v>
      </c>
      <c r="EQ23" s="331" t="e">
        <f t="shared" si="29"/>
        <v>#VALUE!</v>
      </c>
      <c r="ER23" s="331" t="e">
        <f t="shared" si="30"/>
        <v>#VALUE!</v>
      </c>
      <c r="ES23" s="331" t="e">
        <f t="shared" si="31"/>
        <v>#VALUE!</v>
      </c>
      <c r="ET23" s="331" t="e">
        <f t="shared" si="32"/>
        <v>#VALUE!</v>
      </c>
    </row>
    <row r="24" spans="1:150" ht="15" customHeight="1">
      <c r="A24" s="2079" t="str">
        <f t="shared" si="15"/>
        <v/>
      </c>
      <c r="B24" s="2080"/>
      <c r="C24" s="2080"/>
      <c r="D24" s="2080"/>
      <c r="E24" s="2081" t="str">
        <f t="shared" si="6"/>
        <v/>
      </c>
      <c r="F24" s="2081"/>
      <c r="G24" s="2081"/>
      <c r="H24" s="2082"/>
      <c r="I24" s="2083" t="str">
        <f t="shared" si="7"/>
        <v/>
      </c>
      <c r="J24" s="2084"/>
      <c r="K24" s="2084"/>
      <c r="L24" s="2084"/>
      <c r="M24" s="2084"/>
      <c r="N24" s="2084"/>
      <c r="O24" s="2084"/>
      <c r="P24" s="2085"/>
      <c r="Q24" s="2086" t="str">
        <f t="shared" si="8"/>
        <v/>
      </c>
      <c r="R24" s="2087"/>
      <c r="S24" s="2087"/>
      <c r="T24" s="2088"/>
      <c r="U24" s="2076" t="str">
        <f t="shared" si="16"/>
        <v/>
      </c>
      <c r="V24" s="2077"/>
      <c r="W24" s="2077"/>
      <c r="X24" s="2078"/>
      <c r="Y24" s="2076" t="str">
        <f t="shared" si="17"/>
        <v/>
      </c>
      <c r="Z24" s="2077"/>
      <c r="AA24" s="2077"/>
      <c r="AB24" s="2077"/>
      <c r="AC24" s="2076" t="str">
        <f t="shared" si="18"/>
        <v/>
      </c>
      <c r="AD24" s="2077"/>
      <c r="AE24" s="2077"/>
      <c r="AF24" s="2078"/>
      <c r="AG24" s="2059" t="str">
        <f t="shared" si="9"/>
        <v/>
      </c>
      <c r="AH24" s="2059"/>
      <c r="AI24" s="2059"/>
      <c r="AJ24" s="2060"/>
      <c r="AK24" s="2061" t="str">
        <f t="shared" si="10"/>
        <v/>
      </c>
      <c r="AL24" s="2059"/>
      <c r="AM24" s="2059"/>
      <c r="AN24" s="2060"/>
      <c r="AO24" s="388"/>
      <c r="AP24" s="129">
        <v>11</v>
      </c>
      <c r="AQ24" s="276"/>
      <c r="AR24" s="268"/>
      <c r="AS24" s="268"/>
      <c r="AT24" s="268"/>
      <c r="AU24" s="268"/>
      <c r="AV24" s="268"/>
      <c r="AW24" s="268"/>
      <c r="AX24" s="268"/>
      <c r="AY24" s="268"/>
      <c r="AZ24" s="268"/>
      <c r="BA24" s="268"/>
      <c r="BB24" s="268"/>
      <c r="BC24" s="268"/>
      <c r="BD24" s="268"/>
      <c r="BE24" s="268"/>
      <c r="BF24" s="268"/>
      <c r="BG24" s="281"/>
      <c r="BH24" s="268"/>
      <c r="BI24" s="267"/>
      <c r="BJ24" s="267"/>
      <c r="BK24" s="267"/>
      <c r="BL24" s="267"/>
      <c r="BM24" s="267"/>
      <c r="BN24" s="267"/>
      <c r="BO24" s="267"/>
      <c r="BP24" s="267"/>
      <c r="BQ24" s="284"/>
      <c r="BR24" s="131"/>
      <c r="BS24" s="289"/>
      <c r="BT24" s="277"/>
      <c r="BU24" s="288"/>
      <c r="BV24" s="297"/>
      <c r="BW24" s="288"/>
      <c r="BX24" s="288"/>
      <c r="BY24" s="288"/>
      <c r="BZ24" s="288"/>
      <c r="CA24" s="288"/>
      <c r="CB24" s="331"/>
      <c r="CC24" s="435"/>
      <c r="CD24" s="435"/>
      <c r="CE24" s="331"/>
      <c r="CF24" s="331"/>
      <c r="CG24" s="435"/>
      <c r="CH24" s="435"/>
      <c r="CI24" s="270"/>
      <c r="CJ24" s="97"/>
      <c r="CK24" s="277"/>
      <c r="CL24" s="97"/>
      <c r="CM24" s="287"/>
      <c r="CN24" s="287"/>
      <c r="CO24" s="287"/>
      <c r="CP24" s="287"/>
      <c r="CQ24" s="287"/>
      <c r="CR24" s="287"/>
      <c r="CS24" s="287"/>
      <c r="CT24" s="294"/>
      <c r="CU24" s="278"/>
      <c r="CV24" s="278"/>
      <c r="CW24" s="278"/>
      <c r="CX24" s="277"/>
      <c r="CY24" s="277"/>
      <c r="CZ24" s="277"/>
      <c r="DA24" s="277"/>
      <c r="DB24" s="277"/>
      <c r="DC24" s="300"/>
      <c r="DD24" s="272"/>
      <c r="DE24" s="272"/>
      <c r="DF24" s="272"/>
      <c r="DG24" s="272"/>
      <c r="DH24" s="277"/>
      <c r="DI24" s="277"/>
      <c r="DJ24" s="277"/>
      <c r="DK24" s="277"/>
      <c r="DL24" s="277"/>
      <c r="DM24" s="277"/>
      <c r="DN24" s="277"/>
      <c r="DO24" s="277"/>
      <c r="DP24" s="277"/>
      <c r="DQ24" s="277"/>
      <c r="DR24" s="277"/>
      <c r="DS24" s="277"/>
      <c r="DT24" s="293"/>
      <c r="DW24" s="363" t="e">
        <f t="shared" si="0"/>
        <v>#VALUE!</v>
      </c>
      <c r="DX24" s="363" t="e">
        <f t="shared" si="1"/>
        <v>#VALUE!</v>
      </c>
      <c r="DY24" s="364" t="e">
        <f t="shared" si="2"/>
        <v>#VALUE!</v>
      </c>
      <c r="DZ24" s="363" t="e">
        <f t="shared" si="11"/>
        <v>#VALUE!</v>
      </c>
      <c r="EA24" s="363" t="e">
        <f t="shared" si="12"/>
        <v>#VALUE!</v>
      </c>
      <c r="EB24" s="363" t="e">
        <f t="shared" si="3"/>
        <v>#VALUE!</v>
      </c>
      <c r="EC24" s="331" t="e">
        <f t="shared" si="4"/>
        <v>#VALUE!</v>
      </c>
      <c r="ED24" s="365" t="e">
        <f t="shared" si="5"/>
        <v>#VALUE!</v>
      </c>
      <c r="EE24" s="363" t="e">
        <f t="shared" si="13"/>
        <v>#VALUE!</v>
      </c>
      <c r="EF24" s="363" t="e">
        <f t="shared" si="14"/>
        <v>#VALUE!</v>
      </c>
      <c r="EG24" s="331" t="e">
        <f t="shared" si="19"/>
        <v>#VALUE!</v>
      </c>
      <c r="EH24" s="331" t="e">
        <f t="shared" si="20"/>
        <v>#VALUE!</v>
      </c>
      <c r="EI24" s="366" t="e">
        <f t="shared" si="21"/>
        <v>#VALUE!</v>
      </c>
      <c r="EJ24" s="331" t="e">
        <f t="shared" si="22"/>
        <v>#VALUE!</v>
      </c>
      <c r="EK24" s="331" t="e">
        <f t="shared" si="23"/>
        <v>#VALUE!</v>
      </c>
      <c r="EL24" s="331" t="e">
        <f t="shared" si="24"/>
        <v>#VALUE!</v>
      </c>
      <c r="EM24" s="331" t="e">
        <f t="shared" si="25"/>
        <v>#VALUE!</v>
      </c>
      <c r="EN24" s="331" t="e">
        <f t="shared" si="26"/>
        <v>#VALUE!</v>
      </c>
      <c r="EO24" s="331" t="e">
        <f t="shared" si="27"/>
        <v>#VALUE!</v>
      </c>
      <c r="EP24" s="365" t="e">
        <f t="shared" si="28"/>
        <v>#VALUE!</v>
      </c>
      <c r="EQ24" s="331" t="e">
        <f t="shared" si="29"/>
        <v>#VALUE!</v>
      </c>
      <c r="ER24" s="331" t="e">
        <f t="shared" si="30"/>
        <v>#VALUE!</v>
      </c>
      <c r="ES24" s="331" t="e">
        <f t="shared" si="31"/>
        <v>#VALUE!</v>
      </c>
      <c r="ET24" s="331" t="e">
        <f t="shared" si="32"/>
        <v>#VALUE!</v>
      </c>
    </row>
    <row r="25" spans="1:150" ht="14.1" customHeight="1">
      <c r="A25" s="2062" t="str">
        <f>+IF(AF7="","","Pasa")</f>
        <v/>
      </c>
      <c r="B25" s="2063"/>
      <c r="C25" s="2063"/>
      <c r="D25" s="2063"/>
      <c r="E25" s="2064" t="str">
        <f>+IF(A25="","","N° 200")</f>
        <v/>
      </c>
      <c r="F25" s="2064"/>
      <c r="G25" s="2064"/>
      <c r="H25" s="2065"/>
      <c r="I25" s="2066" t="str">
        <f t="shared" si="7"/>
        <v/>
      </c>
      <c r="J25" s="2067"/>
      <c r="K25" s="2067"/>
      <c r="L25" s="2067"/>
      <c r="M25" s="2067"/>
      <c r="N25" s="2067"/>
      <c r="O25" s="2067"/>
      <c r="P25" s="2068"/>
      <c r="Q25" s="2069" t="str">
        <f t="shared" si="8"/>
        <v/>
      </c>
      <c r="R25" s="2070"/>
      <c r="S25" s="2070"/>
      <c r="T25" s="2071"/>
      <c r="U25" s="2072" t="str">
        <f>IF($I$12="","",IF(OR(Q25=0,Q25=""),"",IF(OR(U24=0,U24=""),VLOOKUP("N° 200",E15:X24,17,FALSE),U24-Q25)))</f>
        <v/>
      </c>
      <c r="V25" s="2073"/>
      <c r="W25" s="2073"/>
      <c r="X25" s="2074"/>
      <c r="Y25" s="2072" t="str">
        <f t="shared" si="17"/>
        <v/>
      </c>
      <c r="Z25" s="2075"/>
      <c r="AA25" s="2075"/>
      <c r="AB25" s="2075"/>
      <c r="AC25" s="2072" t="str">
        <f t="shared" si="18"/>
        <v/>
      </c>
      <c r="AD25" s="2075"/>
      <c r="AE25" s="2075"/>
      <c r="AF25" s="2074"/>
      <c r="AG25" s="2052" t="str">
        <f t="shared" si="9"/>
        <v/>
      </c>
      <c r="AH25" s="2052"/>
      <c r="AI25" s="2052"/>
      <c r="AJ25" s="2053"/>
      <c r="AK25" s="2051" t="str">
        <f t="shared" si="10"/>
        <v/>
      </c>
      <c r="AL25" s="2052"/>
      <c r="AM25" s="2052"/>
      <c r="AN25" s="2053"/>
      <c r="AO25" s="388"/>
      <c r="AP25" s="129">
        <v>12</v>
      </c>
      <c r="AQ25" s="258"/>
      <c r="AR25" s="259"/>
      <c r="AS25" s="259"/>
      <c r="AT25" s="259"/>
      <c r="AU25" s="259"/>
      <c r="AV25" s="259"/>
      <c r="AW25" s="259"/>
      <c r="AX25" s="259"/>
      <c r="AY25" s="259"/>
      <c r="AZ25" s="259"/>
      <c r="BA25" s="269"/>
      <c r="BB25" s="259"/>
      <c r="BC25" s="259"/>
      <c r="BD25" s="259"/>
      <c r="BE25" s="259"/>
      <c r="BF25" s="259"/>
      <c r="BG25" s="281"/>
      <c r="BH25" s="259"/>
      <c r="BI25" s="259"/>
      <c r="BJ25" s="259"/>
      <c r="BK25" s="259"/>
      <c r="BL25" s="259"/>
      <c r="BM25" s="259"/>
      <c r="BN25" s="259"/>
      <c r="BO25" s="259"/>
      <c r="BP25" s="259"/>
      <c r="BQ25" s="282"/>
      <c r="BR25" s="130"/>
      <c r="BS25" s="294"/>
      <c r="BT25" s="277"/>
      <c r="BU25" s="297"/>
      <c r="BV25" s="297"/>
      <c r="BW25" s="277"/>
      <c r="BX25" s="277"/>
      <c r="BY25" s="277"/>
      <c r="BZ25" s="277"/>
      <c r="CA25" s="277"/>
      <c r="CB25" s="297"/>
      <c r="CC25" s="296"/>
      <c r="CD25" s="277">
        <v>0</v>
      </c>
      <c r="CE25" s="297"/>
      <c r="CF25" s="297"/>
      <c r="CG25" s="277"/>
      <c r="CH25" s="277"/>
      <c r="CI25" s="270"/>
      <c r="CJ25" s="277"/>
      <c r="CK25" s="97"/>
      <c r="CL25" s="277"/>
      <c r="CM25" s="277"/>
      <c r="CN25" s="277"/>
      <c r="CO25" s="277"/>
      <c r="CP25" s="277"/>
      <c r="CQ25" s="277"/>
      <c r="CR25" s="277"/>
      <c r="CS25" s="277"/>
      <c r="CT25" s="294"/>
      <c r="CU25" s="278"/>
      <c r="CV25" s="278"/>
      <c r="CW25" s="278"/>
      <c r="CX25" s="277"/>
      <c r="CY25" s="277"/>
      <c r="CZ25" s="277"/>
      <c r="DA25" s="277"/>
      <c r="DB25" s="277"/>
      <c r="DC25" s="277"/>
      <c r="DD25" s="272"/>
      <c r="DE25" s="272"/>
      <c r="DF25" s="272"/>
      <c r="DG25" s="272"/>
      <c r="DH25" s="277"/>
      <c r="DI25" s="277"/>
      <c r="DJ25" s="277"/>
      <c r="DK25" s="272"/>
      <c r="DL25" s="272"/>
      <c r="DM25" s="277"/>
      <c r="DN25" s="277"/>
      <c r="DO25" s="277"/>
      <c r="DP25" s="277"/>
      <c r="DQ25" s="277"/>
      <c r="DR25" s="277"/>
      <c r="DS25" s="277"/>
      <c r="DT25" s="293"/>
    </row>
    <row r="26" spans="1:150" ht="14.1" customHeight="1">
      <c r="A26" s="2054"/>
      <c r="B26" s="2055"/>
      <c r="C26" s="2055"/>
      <c r="D26" s="2055"/>
      <c r="E26" s="116"/>
      <c r="F26" s="116"/>
      <c r="G26" s="2056"/>
      <c r="H26" s="2056"/>
      <c r="I26" s="117"/>
      <c r="J26" s="117"/>
      <c r="K26" s="2057"/>
      <c r="L26" s="2057"/>
      <c r="M26" s="118"/>
      <c r="N26" s="118"/>
      <c r="O26" s="118"/>
      <c r="P26" s="118"/>
      <c r="Q26" s="354"/>
      <c r="R26" s="354"/>
      <c r="S26" s="354"/>
      <c r="T26" s="355"/>
      <c r="U26" s="2058"/>
      <c r="V26" s="2058"/>
      <c r="W26" s="2058"/>
      <c r="X26" s="355"/>
      <c r="Y26" s="355"/>
      <c r="Z26" s="355"/>
      <c r="AA26" s="355"/>
      <c r="AB26" s="355"/>
      <c r="AC26" s="355"/>
      <c r="AD26" s="355"/>
      <c r="AE26" s="355"/>
      <c r="AF26" s="355"/>
      <c r="AG26" s="2056"/>
      <c r="AH26" s="2056"/>
      <c r="AI26" s="2056"/>
      <c r="AJ26" s="2056"/>
      <c r="AK26" s="2056"/>
      <c r="AL26" s="353"/>
      <c r="AM26" s="119"/>
      <c r="AN26" s="120"/>
      <c r="AO26" s="119"/>
      <c r="AP26" s="129">
        <v>13</v>
      </c>
      <c r="AQ26" s="258"/>
      <c r="AR26" s="259"/>
      <c r="AS26" s="259"/>
      <c r="AT26" s="259"/>
      <c r="AU26" s="259"/>
      <c r="AV26" s="259"/>
      <c r="AW26" s="259"/>
      <c r="AX26" s="259"/>
      <c r="AY26" s="259"/>
      <c r="AZ26" s="259"/>
      <c r="BA26" s="269"/>
      <c r="BB26" s="259"/>
      <c r="BC26" s="259"/>
      <c r="BD26" s="259"/>
      <c r="BE26" s="259"/>
      <c r="BF26" s="259"/>
      <c r="BG26" s="281"/>
      <c r="BH26" s="259"/>
      <c r="BI26" s="259"/>
      <c r="BJ26" s="259"/>
      <c r="BK26" s="259"/>
      <c r="BL26" s="259"/>
      <c r="BM26" s="259"/>
      <c r="BN26" s="259"/>
      <c r="BO26" s="259"/>
      <c r="BP26" s="259"/>
      <c r="BQ26" s="282"/>
      <c r="BR26" s="130"/>
      <c r="BS26" s="294"/>
      <c r="BT26" s="277"/>
      <c r="BU26" s="277"/>
      <c r="BV26" s="297"/>
      <c r="BW26" s="277"/>
      <c r="BX26" s="277"/>
      <c r="BY26" s="277"/>
      <c r="BZ26" s="277"/>
      <c r="CA26" s="277"/>
      <c r="CB26" s="277"/>
      <c r="CC26" s="296"/>
      <c r="CD26" s="277"/>
      <c r="CE26" s="297"/>
      <c r="CF26" s="297"/>
      <c r="CG26" s="277"/>
      <c r="CH26" s="277"/>
      <c r="CI26" s="270"/>
      <c r="CJ26" s="97"/>
      <c r="CK26" s="277"/>
      <c r="CL26" s="97"/>
      <c r="CM26" s="277"/>
      <c r="CN26" s="277"/>
      <c r="CO26" s="277"/>
      <c r="CP26" s="277"/>
      <c r="CQ26" s="277"/>
      <c r="CR26" s="277"/>
      <c r="CS26" s="277"/>
      <c r="CT26" s="299"/>
      <c r="CU26" s="278"/>
      <c r="CV26" s="278"/>
      <c r="CW26" s="278"/>
      <c r="CX26" s="277"/>
      <c r="CY26" s="277"/>
      <c r="CZ26" s="277"/>
      <c r="DA26" s="277"/>
      <c r="DB26" s="277"/>
      <c r="DC26" s="300"/>
      <c r="DD26" s="272"/>
      <c r="DE26" s="272"/>
      <c r="DF26" s="272"/>
      <c r="DG26" s="272"/>
      <c r="DH26" s="277"/>
      <c r="DI26" s="277"/>
      <c r="DJ26" s="277"/>
      <c r="DK26" s="277"/>
      <c r="DL26" s="277"/>
      <c r="DM26" s="277"/>
      <c r="DN26" s="277"/>
      <c r="DO26" s="277"/>
      <c r="DP26" s="277"/>
      <c r="DQ26" s="277"/>
      <c r="DR26" s="277"/>
      <c r="DS26" s="277"/>
      <c r="DT26" s="293"/>
    </row>
    <row r="27" spans="1:150" ht="14.1" customHeight="1">
      <c r="A27" s="110"/>
      <c r="B27" s="111"/>
      <c r="C27" s="111"/>
      <c r="D27" s="111"/>
      <c r="E27" s="111"/>
      <c r="F27" s="111"/>
      <c r="G27" s="111"/>
      <c r="H27" s="111"/>
      <c r="I27" s="111"/>
      <c r="J27" s="111"/>
      <c r="K27" s="111"/>
      <c r="L27" s="112"/>
      <c r="M27" s="111"/>
      <c r="N27" s="111"/>
      <c r="O27" s="111"/>
      <c r="P27" s="111"/>
      <c r="Q27" s="2057"/>
      <c r="R27" s="2057"/>
      <c r="S27" s="2057"/>
      <c r="T27" s="2057"/>
      <c r="U27" s="111"/>
      <c r="V27" s="111"/>
      <c r="W27" s="111"/>
      <c r="X27" s="111"/>
      <c r="Y27" s="111"/>
      <c r="Z27" s="111"/>
      <c r="AA27" s="111"/>
      <c r="AB27" s="111"/>
      <c r="AC27" s="111"/>
      <c r="AD27" s="111"/>
      <c r="AE27" s="111"/>
      <c r="AF27" s="111"/>
      <c r="AG27" s="111" t="e">
        <f>IF(#REF!=#REF!,45,IF(#REF!=#REF!,50,IF(#REF!=#REF!,40,IF(#REF!=#REF!,45,0))))+IF(#REF!=#REF!,40,IF(#REF!=#REF!,50,IF(#REF!=#REF!,36,IF(#REF!=460,IF(#REF!=#REF!,65,IF(#REF!=BT13,40,IF(#REF!=#REF!,45,IF(#REF!=#REF!,45,IF(#REF!=#REF!,50,#REF!))))))+IF(#REF!=#REF!,0,IF(#REF!=#REF!,0,IF(#REF!=#REF!,0,IF(#REF!=#REF!,0,#REF!))))+IF(#REF!=#REF!,0,IF(#REF!=#REF!,100,IF(#REF!=#REF!,0,#REF!)))+IF(#REF!=#REF!,0,IF(#REF!=#REF!,0,IF(#REF!=#REF!,45,#REF!))))))</f>
        <v>#REF!</v>
      </c>
      <c r="AH27" s="111"/>
      <c r="AI27" s="111"/>
      <c r="AJ27" s="111"/>
      <c r="AK27" s="111"/>
      <c r="AL27" s="111"/>
      <c r="AM27" s="111"/>
      <c r="AN27" s="113"/>
      <c r="AO27" s="111"/>
      <c r="AP27" s="129">
        <v>14</v>
      </c>
      <c r="AQ27" s="258"/>
      <c r="AR27" s="259"/>
      <c r="AS27" s="259"/>
      <c r="AT27" s="259"/>
      <c r="AU27" s="259"/>
      <c r="AV27" s="259"/>
      <c r="AW27" s="259"/>
      <c r="AX27" s="259"/>
      <c r="AY27" s="259"/>
      <c r="AZ27" s="259"/>
      <c r="BA27" s="259"/>
      <c r="BB27" s="259"/>
      <c r="BC27" s="259"/>
      <c r="BD27" s="259"/>
      <c r="BE27" s="259"/>
      <c r="BF27" s="259"/>
      <c r="BG27" s="281"/>
      <c r="BH27" s="259"/>
      <c r="BI27" s="259"/>
      <c r="BJ27" s="259"/>
      <c r="BK27" s="259"/>
      <c r="BL27" s="259"/>
      <c r="BM27" s="259"/>
      <c r="BN27" s="259"/>
      <c r="BO27" s="259"/>
      <c r="BP27" s="259"/>
      <c r="BQ27" s="282"/>
      <c r="BR27" s="130"/>
      <c r="BS27" s="294"/>
      <c r="BT27" s="297"/>
      <c r="BU27" s="277"/>
      <c r="BV27" s="297"/>
      <c r="BW27" s="277"/>
      <c r="BX27" s="277"/>
      <c r="BY27" s="277"/>
      <c r="BZ27" s="277"/>
      <c r="CA27" s="277"/>
      <c r="CB27" s="277"/>
      <c r="CC27" s="277"/>
      <c r="CD27" s="277"/>
      <c r="CE27" s="297"/>
      <c r="CF27" s="297"/>
      <c r="CG27" s="277"/>
      <c r="CH27" s="277"/>
      <c r="CI27" s="270"/>
      <c r="CJ27" s="97"/>
      <c r="CK27" s="97"/>
      <c r="CL27" s="277"/>
      <c r="CM27" s="277"/>
      <c r="CN27" s="277"/>
      <c r="CO27" s="277"/>
      <c r="CP27" s="277"/>
      <c r="CQ27" s="277"/>
      <c r="CR27" s="277"/>
      <c r="CS27" s="277"/>
      <c r="CT27" s="299"/>
      <c r="CU27" s="278"/>
      <c r="CV27" s="278"/>
      <c r="CW27" s="278"/>
      <c r="CX27" s="277"/>
      <c r="CY27" s="277"/>
      <c r="CZ27" s="277"/>
      <c r="DA27" s="277"/>
      <c r="DB27" s="277"/>
      <c r="DC27" s="277"/>
      <c r="DD27" s="272"/>
      <c r="DE27" s="272"/>
      <c r="DF27" s="272"/>
      <c r="DG27" s="272"/>
      <c r="DH27" s="277"/>
      <c r="DI27" s="277"/>
      <c r="DJ27" s="277"/>
      <c r="DK27" s="277"/>
      <c r="DL27" s="277"/>
      <c r="DM27" s="277"/>
      <c r="DN27" s="277"/>
      <c r="DO27" s="277"/>
      <c r="DP27" s="277"/>
      <c r="DQ27" s="277"/>
      <c r="DR27" s="277"/>
      <c r="DS27" s="277"/>
      <c r="DT27" s="293"/>
    </row>
    <row r="28" spans="1:150" ht="14.1" customHeight="1">
      <c r="A28" s="110"/>
      <c r="B28" s="111"/>
      <c r="C28" s="111"/>
      <c r="D28" s="111"/>
      <c r="E28" s="111"/>
      <c r="F28" s="111"/>
      <c r="G28" s="111"/>
      <c r="H28" s="111"/>
      <c r="I28" s="111"/>
      <c r="J28" s="111"/>
      <c r="K28" s="111"/>
      <c r="L28" s="112"/>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3"/>
      <c r="AO28" s="111"/>
      <c r="AP28" s="129">
        <v>15</v>
      </c>
      <c r="AQ28" s="258"/>
      <c r="AR28" s="259"/>
      <c r="AS28" s="259"/>
      <c r="AT28" s="259"/>
      <c r="AU28" s="259"/>
      <c r="AV28" s="259"/>
      <c r="AW28" s="259"/>
      <c r="AX28" s="259"/>
      <c r="AY28" s="259"/>
      <c r="AZ28" s="259"/>
      <c r="BA28" s="259"/>
      <c r="BB28" s="259"/>
      <c r="BC28" s="259"/>
      <c r="BD28" s="259"/>
      <c r="BE28" s="259"/>
      <c r="BF28" s="259"/>
      <c r="BG28" s="281"/>
      <c r="BH28" s="259"/>
      <c r="BI28" s="259"/>
      <c r="BJ28" s="259"/>
      <c r="BK28" s="259"/>
      <c r="BL28" s="259"/>
      <c r="BM28" s="259"/>
      <c r="BN28" s="259"/>
      <c r="BO28" s="259"/>
      <c r="BP28" s="259"/>
      <c r="BQ28" s="282"/>
      <c r="BR28" s="130"/>
      <c r="BS28" s="294"/>
      <c r="BT28" s="297"/>
      <c r="BU28" s="297"/>
      <c r="BV28" s="297"/>
      <c r="BW28" s="277"/>
      <c r="BX28" s="277"/>
      <c r="BY28" s="277"/>
      <c r="BZ28" s="277"/>
      <c r="CA28" s="277"/>
      <c r="CB28" s="277">
        <v>0</v>
      </c>
      <c r="CC28" s="277">
        <v>0</v>
      </c>
      <c r="CD28" s="277">
        <v>0</v>
      </c>
      <c r="CE28" s="297"/>
      <c r="CF28" s="297"/>
      <c r="CG28" s="277"/>
      <c r="CH28" s="277"/>
      <c r="CI28" s="270"/>
      <c r="CJ28" s="97"/>
      <c r="CK28" s="97"/>
      <c r="CL28" s="97"/>
      <c r="CM28" s="277"/>
      <c r="CN28" s="277"/>
      <c r="CO28" s="277"/>
      <c r="CP28" s="277"/>
      <c r="CQ28" s="277"/>
      <c r="CR28" s="277"/>
      <c r="CS28" s="277"/>
      <c r="CT28" s="299"/>
      <c r="CU28" s="278"/>
      <c r="CV28" s="278"/>
      <c r="CW28" s="278"/>
      <c r="CX28" s="277"/>
      <c r="CY28" s="277"/>
      <c r="CZ28" s="277"/>
      <c r="DA28" s="277"/>
      <c r="DB28" s="277"/>
      <c r="DC28" s="300"/>
      <c r="DD28" s="272"/>
      <c r="DE28" s="272"/>
      <c r="DF28" s="272"/>
      <c r="DG28" s="272"/>
      <c r="DH28" s="277"/>
      <c r="DI28" s="277"/>
      <c r="DJ28" s="277"/>
      <c r="DK28" s="272"/>
      <c r="DL28" s="272"/>
      <c r="DM28" s="272"/>
      <c r="DN28" s="277"/>
      <c r="DO28" s="277"/>
      <c r="DP28" s="277"/>
      <c r="DQ28" s="277"/>
      <c r="DR28" s="277"/>
      <c r="DS28" s="277"/>
      <c r="DT28" s="293"/>
    </row>
    <row r="29" spans="1:150" ht="14.1" customHeight="1">
      <c r="A29" s="110"/>
      <c r="B29" s="111"/>
      <c r="C29" s="111"/>
      <c r="D29" s="111"/>
      <c r="E29" s="111"/>
      <c r="F29" s="111"/>
      <c r="G29" s="111"/>
      <c r="H29" s="111"/>
      <c r="I29" s="111"/>
      <c r="J29" s="111"/>
      <c r="K29" s="111"/>
      <c r="L29" s="112"/>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3"/>
      <c r="AO29" s="111"/>
      <c r="AP29" s="129">
        <v>16</v>
      </c>
      <c r="AQ29" s="258"/>
      <c r="AR29" s="259"/>
      <c r="AS29" s="259"/>
      <c r="AT29" s="367"/>
      <c r="AU29" s="259"/>
      <c r="AV29" s="259"/>
      <c r="AW29" s="259"/>
      <c r="AX29" s="259"/>
      <c r="AY29" s="259"/>
      <c r="AZ29" s="259"/>
      <c r="BA29" s="259"/>
      <c r="BB29" s="259"/>
      <c r="BC29" s="259"/>
      <c r="BD29" s="259"/>
      <c r="BE29" s="259"/>
      <c r="BF29" s="259"/>
      <c r="BG29" s="281"/>
      <c r="BH29" s="259"/>
      <c r="BI29" s="259"/>
      <c r="BJ29" s="259"/>
      <c r="BK29" s="259"/>
      <c r="BL29" s="259"/>
      <c r="BM29" s="259"/>
      <c r="BN29" s="259"/>
      <c r="BO29" s="259"/>
      <c r="BP29" s="259"/>
      <c r="BQ29" s="282"/>
      <c r="BR29" s="130"/>
      <c r="BS29" s="294"/>
      <c r="BT29" s="297"/>
      <c r="BU29" s="277"/>
      <c r="BV29" s="277"/>
      <c r="BW29" s="277"/>
      <c r="BX29" s="277"/>
      <c r="BY29" s="277"/>
      <c r="BZ29" s="277"/>
      <c r="CA29" s="277"/>
      <c r="CB29" s="277"/>
      <c r="CC29" s="277"/>
      <c r="CD29" s="277"/>
      <c r="CE29" s="297"/>
      <c r="CF29" s="297"/>
      <c r="CG29" s="277"/>
      <c r="CH29" s="277"/>
      <c r="CI29" s="270"/>
      <c r="CJ29" s="97"/>
      <c r="CK29" s="97"/>
      <c r="CL29" s="97"/>
      <c r="CM29" s="277"/>
      <c r="CN29" s="277"/>
      <c r="CO29" s="277"/>
      <c r="CP29" s="277"/>
      <c r="CQ29" s="277"/>
      <c r="CR29" s="277"/>
      <c r="CS29" s="277"/>
      <c r="CT29" s="299"/>
      <c r="CU29" s="278"/>
      <c r="CV29" s="278"/>
      <c r="CW29" s="278"/>
      <c r="CX29" s="277"/>
      <c r="CY29" s="277"/>
      <c r="CZ29" s="277"/>
      <c r="DA29" s="277"/>
      <c r="DB29" s="277"/>
      <c r="DC29" s="300"/>
      <c r="DD29" s="272"/>
      <c r="DE29" s="272"/>
      <c r="DF29" s="272"/>
      <c r="DG29" s="272"/>
      <c r="DH29" s="277"/>
      <c r="DI29" s="277"/>
      <c r="DJ29" s="277"/>
      <c r="DK29" s="277"/>
      <c r="DL29" s="277"/>
      <c r="DM29" s="277"/>
      <c r="DN29" s="277"/>
      <c r="DO29" s="277"/>
      <c r="DP29" s="277"/>
      <c r="DQ29" s="277"/>
      <c r="DR29" s="277"/>
      <c r="DS29" s="277"/>
      <c r="DT29" s="293"/>
    </row>
    <row r="30" spans="1:150" ht="14.1" customHeight="1">
      <c r="A30" s="110"/>
      <c r="B30" s="111"/>
      <c r="C30" s="111"/>
      <c r="D30" s="111"/>
      <c r="E30" s="111"/>
      <c r="F30" s="111"/>
      <c r="G30" s="111"/>
      <c r="H30" s="111"/>
      <c r="I30" s="111"/>
      <c r="J30" s="111"/>
      <c r="K30" s="111"/>
      <c r="L30" s="112"/>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3"/>
      <c r="AO30" s="111"/>
      <c r="AP30" s="129">
        <v>17</v>
      </c>
      <c r="AQ30" s="258"/>
      <c r="AR30" s="259"/>
      <c r="AS30" s="259"/>
      <c r="AT30" s="259"/>
      <c r="AU30" s="259"/>
      <c r="AV30" s="259"/>
      <c r="AW30" s="259"/>
      <c r="AX30" s="259"/>
      <c r="AY30" s="259"/>
      <c r="AZ30" s="259"/>
      <c r="BA30" s="259"/>
      <c r="BB30" s="259"/>
      <c r="BC30" s="259"/>
      <c r="BD30" s="259"/>
      <c r="BE30" s="259"/>
      <c r="BF30" s="259"/>
      <c r="BG30" s="281"/>
      <c r="BH30" s="259"/>
      <c r="BI30" s="259"/>
      <c r="BJ30" s="259"/>
      <c r="BK30" s="259"/>
      <c r="BL30" s="259"/>
      <c r="BM30" s="259"/>
      <c r="BN30" s="259"/>
      <c r="BO30" s="259"/>
      <c r="BP30" s="259"/>
      <c r="BQ30" s="282"/>
      <c r="BR30" s="130"/>
      <c r="BS30" s="294"/>
      <c r="BT30" s="297"/>
      <c r="BU30" s="277"/>
      <c r="BV30" s="277"/>
      <c r="BW30" s="277"/>
      <c r="BX30" s="277"/>
      <c r="BY30" s="277"/>
      <c r="BZ30" s="277"/>
      <c r="CA30" s="277"/>
      <c r="CB30" s="277">
        <v>0</v>
      </c>
      <c r="CC30" s="277">
        <v>0</v>
      </c>
      <c r="CD30" s="277">
        <v>0</v>
      </c>
      <c r="CE30" s="297"/>
      <c r="CF30" s="297"/>
      <c r="CG30" s="277"/>
      <c r="CH30" s="277"/>
      <c r="CI30" s="270"/>
      <c r="CJ30" s="97"/>
      <c r="CK30" s="97"/>
      <c r="CL30" s="97"/>
      <c r="CM30" s="277"/>
      <c r="CN30" s="277"/>
      <c r="CO30" s="277"/>
      <c r="CP30" s="277"/>
      <c r="CQ30" s="277"/>
      <c r="CR30" s="277"/>
      <c r="CS30" s="277"/>
      <c r="CT30" s="299"/>
      <c r="CU30" s="278"/>
      <c r="CV30" s="278"/>
      <c r="CW30" s="278"/>
      <c r="CX30" s="277"/>
      <c r="CY30" s="277"/>
      <c r="CZ30" s="277"/>
      <c r="DA30" s="277"/>
      <c r="DB30" s="277"/>
      <c r="DC30" s="300"/>
      <c r="DD30" s="300"/>
      <c r="DE30" s="300"/>
      <c r="DF30" s="272"/>
      <c r="DG30" s="272"/>
      <c r="DH30" s="277"/>
      <c r="DI30" s="277"/>
      <c r="DJ30" s="277"/>
      <c r="DK30" s="272"/>
      <c r="DL30" s="272"/>
      <c r="DM30" s="272"/>
      <c r="DN30" s="277"/>
      <c r="DO30" s="277"/>
      <c r="DP30" s="277"/>
      <c r="DQ30" s="277"/>
      <c r="DR30" s="277"/>
      <c r="DS30" s="277"/>
      <c r="DT30" s="293"/>
    </row>
    <row r="31" spans="1:150" ht="14.1" customHeight="1">
      <c r="A31" s="110"/>
      <c r="B31" s="111"/>
      <c r="C31" s="111"/>
      <c r="D31" s="111"/>
      <c r="E31" s="111"/>
      <c r="F31" s="111"/>
      <c r="G31" s="111"/>
      <c r="H31" s="111"/>
      <c r="I31" s="111"/>
      <c r="J31" s="111"/>
      <c r="K31" s="111"/>
      <c r="L31" s="112"/>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3"/>
      <c r="AO31" s="111"/>
      <c r="AP31" s="129">
        <v>17</v>
      </c>
      <c r="AQ31" s="258"/>
      <c r="AR31" s="259"/>
      <c r="AS31" s="259"/>
      <c r="AT31" s="259"/>
      <c r="AU31" s="259"/>
      <c r="AV31" s="259"/>
      <c r="AW31" s="259"/>
      <c r="AX31" s="259"/>
      <c r="AY31" s="259"/>
      <c r="AZ31" s="259"/>
      <c r="BA31" s="259"/>
      <c r="BB31" s="259"/>
      <c r="BC31" s="259"/>
      <c r="BD31" s="259"/>
      <c r="BE31" s="259"/>
      <c r="BF31" s="259"/>
      <c r="BG31" s="281"/>
      <c r="BH31" s="259"/>
      <c r="BI31" s="259"/>
      <c r="BJ31" s="259"/>
      <c r="BK31" s="259"/>
      <c r="BL31" s="259"/>
      <c r="BM31" s="259"/>
      <c r="BN31" s="259"/>
      <c r="BO31" s="259"/>
      <c r="BP31" s="259"/>
      <c r="BQ31" s="282"/>
      <c r="BR31" s="130"/>
      <c r="BS31" s="294"/>
      <c r="BT31" s="297"/>
      <c r="BU31" s="277"/>
      <c r="BV31" s="277"/>
      <c r="BW31" s="277"/>
      <c r="BX31" s="277"/>
      <c r="BY31" s="277"/>
      <c r="BZ31" s="277"/>
      <c r="CA31" s="277"/>
      <c r="CB31" s="277"/>
      <c r="CC31" s="277"/>
      <c r="CD31" s="277"/>
      <c r="CE31" s="297"/>
      <c r="CF31" s="297"/>
      <c r="CG31" s="277"/>
      <c r="CH31" s="277"/>
      <c r="CI31" s="270"/>
      <c r="CJ31" s="97"/>
      <c r="CK31" s="97"/>
      <c r="CL31" s="97"/>
      <c r="CM31" s="277"/>
      <c r="CN31" s="277"/>
      <c r="CO31" s="277"/>
      <c r="CP31" s="277"/>
      <c r="CQ31" s="277"/>
      <c r="CR31" s="277"/>
      <c r="CS31" s="277"/>
      <c r="CT31" s="299"/>
      <c r="CU31" s="278"/>
      <c r="CV31" s="278"/>
      <c r="CW31" s="278"/>
      <c r="CX31" s="277"/>
      <c r="CY31" s="277"/>
      <c r="CZ31" s="277"/>
      <c r="DA31" s="277"/>
      <c r="DB31" s="277"/>
      <c r="DC31" s="300"/>
      <c r="DD31" s="300"/>
      <c r="DE31" s="300"/>
      <c r="DF31" s="272"/>
      <c r="DG31" s="272"/>
      <c r="DH31" s="277"/>
      <c r="DI31" s="277"/>
      <c r="DJ31" s="277"/>
      <c r="DK31" s="277"/>
      <c r="DL31" s="277"/>
      <c r="DM31" s="277"/>
      <c r="DN31" s="277"/>
      <c r="DO31" s="277"/>
      <c r="DP31" s="277"/>
      <c r="DQ31" s="277"/>
      <c r="DR31" s="277"/>
      <c r="DS31" s="277"/>
      <c r="DT31" s="293"/>
    </row>
    <row r="32" spans="1:150" ht="14.1" customHeight="1">
      <c r="A32" s="110"/>
      <c r="B32" s="111"/>
      <c r="C32" s="111"/>
      <c r="D32" s="111"/>
      <c r="E32" s="111"/>
      <c r="F32" s="111"/>
      <c r="G32" s="111"/>
      <c r="H32" s="111"/>
      <c r="I32" s="111"/>
      <c r="J32" s="111"/>
      <c r="K32" s="111"/>
      <c r="L32" s="112"/>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3"/>
      <c r="AO32" s="111"/>
      <c r="AP32" s="129">
        <v>18</v>
      </c>
      <c r="AQ32" s="285"/>
      <c r="AR32" s="316"/>
      <c r="AS32" s="316"/>
      <c r="AT32" s="316"/>
      <c r="AU32" s="316"/>
      <c r="AV32" s="316"/>
      <c r="AW32" s="316"/>
      <c r="AX32" s="316"/>
      <c r="AY32" s="316"/>
      <c r="AZ32" s="316"/>
      <c r="BA32" s="316"/>
      <c r="BB32" s="316"/>
      <c r="BC32" s="316"/>
      <c r="BD32" s="316"/>
      <c r="BE32" s="316"/>
      <c r="BF32" s="316"/>
      <c r="BG32" s="332"/>
      <c r="BH32" s="316"/>
      <c r="BI32" s="316"/>
      <c r="BJ32" s="316"/>
      <c r="BK32" s="316"/>
      <c r="BL32" s="316"/>
      <c r="BM32" s="316"/>
      <c r="BN32" s="316"/>
      <c r="BO32" s="316"/>
      <c r="BP32" s="316"/>
      <c r="BQ32" s="286"/>
      <c r="BR32" s="333"/>
      <c r="BS32" s="298"/>
      <c r="BT32" s="334"/>
      <c r="BU32" s="317">
        <v>0</v>
      </c>
      <c r="BV32" s="317">
        <v>0</v>
      </c>
      <c r="BW32" s="317"/>
      <c r="BX32" s="317"/>
      <c r="BY32" s="317"/>
      <c r="BZ32" s="317"/>
      <c r="CA32" s="317"/>
      <c r="CB32" s="317">
        <v>0</v>
      </c>
      <c r="CC32" s="317">
        <v>0</v>
      </c>
      <c r="CD32" s="317">
        <v>0</v>
      </c>
      <c r="CE32" s="334"/>
      <c r="CF32" s="334"/>
      <c r="CG32" s="317"/>
      <c r="CH32" s="317"/>
      <c r="CI32" s="335"/>
      <c r="CJ32" s="336"/>
      <c r="CK32" s="336"/>
      <c r="CL32" s="336"/>
      <c r="CM32" s="317"/>
      <c r="CN32" s="317"/>
      <c r="CO32" s="317"/>
      <c r="CP32" s="317"/>
      <c r="CQ32" s="317"/>
      <c r="CR32" s="317"/>
      <c r="CS32" s="317"/>
      <c r="CT32" s="301"/>
      <c r="CU32" s="318"/>
      <c r="CV32" s="318"/>
      <c r="CW32" s="318"/>
      <c r="CX32" s="317"/>
      <c r="CY32" s="317"/>
      <c r="CZ32" s="317"/>
      <c r="DA32" s="317"/>
      <c r="DB32" s="317"/>
      <c r="DC32" s="319"/>
      <c r="DD32" s="319"/>
      <c r="DE32" s="319"/>
      <c r="DF32" s="302"/>
      <c r="DG32" s="302"/>
      <c r="DH32" s="317"/>
      <c r="DI32" s="317"/>
      <c r="DJ32" s="317"/>
      <c r="DK32" s="302"/>
      <c r="DL32" s="302"/>
      <c r="DM32" s="302"/>
      <c r="DN32" s="317"/>
      <c r="DO32" s="317"/>
      <c r="DP32" s="317"/>
      <c r="DQ32" s="317"/>
      <c r="DR32" s="317"/>
      <c r="DS32" s="317"/>
      <c r="DT32" s="320"/>
    </row>
    <row r="33" spans="1:124" ht="14.1" customHeight="1">
      <c r="A33" s="110"/>
      <c r="B33" s="111"/>
      <c r="C33" s="111"/>
      <c r="D33" s="111"/>
      <c r="E33" s="111"/>
      <c r="F33" s="111"/>
      <c r="G33" s="111" t="s">
        <v>0</v>
      </c>
      <c r="H33" s="111"/>
      <c r="I33" s="111"/>
      <c r="J33" s="111"/>
      <c r="K33" s="111"/>
      <c r="L33" s="112"/>
      <c r="M33" s="111"/>
      <c r="N33" s="111"/>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3"/>
      <c r="AO33" s="111"/>
      <c r="AP33" s="129">
        <v>19</v>
      </c>
      <c r="AQ33" s="108"/>
      <c r="AR33" s="108"/>
      <c r="AS33" s="108"/>
      <c r="AT33" s="108"/>
      <c r="AU33" s="108"/>
      <c r="AV33" s="108"/>
      <c r="AW33" s="108"/>
      <c r="AX33" s="108"/>
      <c r="AY33" s="108"/>
      <c r="AZ33" s="108"/>
      <c r="BA33" s="108"/>
      <c r="BB33" s="108"/>
      <c r="BC33" s="108"/>
      <c r="BD33" s="108"/>
      <c r="BE33" s="108"/>
      <c r="BF33" s="108"/>
      <c r="BG33" s="108"/>
      <c r="BH33" s="108"/>
      <c r="BI33" s="108"/>
      <c r="BJ33" s="108"/>
      <c r="BK33" s="108"/>
      <c r="BL33" s="108"/>
      <c r="BM33" s="108"/>
      <c r="BN33" s="108"/>
      <c r="BO33" s="108"/>
      <c r="BP33" s="108"/>
      <c r="BQ33" s="108"/>
      <c r="BR33" s="108"/>
      <c r="BS33" s="109"/>
      <c r="DK33" s="271"/>
      <c r="DL33" s="271"/>
      <c r="DM33" s="271"/>
    </row>
    <row r="34" spans="1:124" ht="14.1" customHeight="1">
      <c r="A34" s="110"/>
      <c r="B34" s="111"/>
      <c r="C34" s="111"/>
      <c r="D34" s="111"/>
      <c r="E34" s="111"/>
      <c r="F34" s="111"/>
      <c r="G34" s="111"/>
      <c r="H34" s="111"/>
      <c r="I34" s="111"/>
      <c r="J34" s="111"/>
      <c r="K34" s="111"/>
      <c r="L34" s="112"/>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3"/>
      <c r="AO34" s="111"/>
      <c r="AP34" s="108">
        <v>20</v>
      </c>
      <c r="AQ34" s="310" t="s">
        <v>60</v>
      </c>
      <c r="AR34" s="311" t="s">
        <v>224</v>
      </c>
      <c r="AS34" s="310" t="s">
        <v>60</v>
      </c>
      <c r="AT34" s="311" t="s">
        <v>224</v>
      </c>
      <c r="AU34" s="321" t="s">
        <v>264</v>
      </c>
      <c r="AV34" s="311" t="s">
        <v>280</v>
      </c>
      <c r="AW34" s="311" t="s">
        <v>281</v>
      </c>
      <c r="AX34" s="311"/>
      <c r="AY34" s="108"/>
      <c r="AZ34" s="337" t="s">
        <v>282</v>
      </c>
      <c r="BA34" s="2041" t="s">
        <v>65</v>
      </c>
      <c r="BB34" s="2041"/>
      <c r="BC34" s="108"/>
      <c r="BD34" s="108"/>
      <c r="BE34" s="108"/>
      <c r="BF34" s="108"/>
      <c r="BG34" s="108"/>
      <c r="BH34" s="108"/>
      <c r="BI34" s="108"/>
      <c r="BJ34" s="108"/>
      <c r="BK34" s="108"/>
      <c r="BL34" s="108"/>
      <c r="BM34" s="108"/>
      <c r="BN34" s="108"/>
      <c r="BO34" s="108"/>
      <c r="BP34" s="108"/>
      <c r="BQ34" s="108"/>
      <c r="BR34" s="108"/>
      <c r="BU34" s="121"/>
      <c r="BV34" s="122"/>
      <c r="BW34" s="122"/>
      <c r="BX34" s="122"/>
      <c r="BY34" s="122"/>
      <c r="BZ34" s="122"/>
      <c r="CA34" s="122"/>
      <c r="DK34" s="271"/>
      <c r="DL34" s="271"/>
      <c r="DM34" s="271"/>
    </row>
    <row r="35" spans="1:124" ht="14.1" customHeight="1">
      <c r="A35" s="110"/>
      <c r="B35" s="111"/>
      <c r="C35" s="111"/>
      <c r="D35" s="111"/>
      <c r="E35" s="111"/>
      <c r="F35" s="111"/>
      <c r="G35" s="111"/>
      <c r="H35" s="111"/>
      <c r="I35" s="111"/>
      <c r="J35" s="111"/>
      <c r="K35" s="111"/>
      <c r="L35" s="112"/>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3"/>
      <c r="AO35" s="111"/>
      <c r="AP35" s="108"/>
      <c r="AQ35" s="312">
        <v>300</v>
      </c>
      <c r="AR35" s="313" t="s">
        <v>263</v>
      </c>
      <c r="AS35" s="312" t="str">
        <f t="shared" ref="AS35:AS41" si="33">+A15</f>
        <v/>
      </c>
      <c r="AT35" s="313" t="str">
        <f>IF(AU35="","",VLOOKUP(AS35,$AQ$35:$AR$58,2,0))</f>
        <v/>
      </c>
      <c r="AU35" s="312" t="str">
        <f>AC60</f>
        <v/>
      </c>
      <c r="AV35" s="321" t="str">
        <f t="shared" ref="AV35:AV41" si="34">+AG15</f>
        <v/>
      </c>
      <c r="AW35" s="313" t="str">
        <f t="shared" ref="AW35:AW41" si="35">+AK15</f>
        <v/>
      </c>
      <c r="AX35" s="264"/>
      <c r="AZ35" s="313" t="s">
        <v>146</v>
      </c>
      <c r="BA35" s="323" t="e">
        <f t="shared" ref="BA35:BA41" si="36">+VLOOKUP(AZ35,$E$55:$AF$75,21,0)</f>
        <v>#N/A</v>
      </c>
      <c r="BB35" s="324" t="str">
        <f>+IFERROR(BA35,"0")</f>
        <v>0</v>
      </c>
      <c r="BC35" s="338" t="s">
        <v>265</v>
      </c>
      <c r="BD35" s="339">
        <f>IF(AND(BB39="",BB39="",BB40=""),"",+BB39+BB40)</f>
        <v>0</v>
      </c>
      <c r="BE35" s="108"/>
      <c r="BF35" s="108"/>
      <c r="BG35" s="108"/>
      <c r="BH35" s="108"/>
      <c r="BI35" s="108"/>
      <c r="BJ35" s="108"/>
      <c r="BK35" s="108"/>
      <c r="BL35" s="108"/>
      <c r="BM35" s="108"/>
      <c r="BN35" s="127" t="s">
        <v>228</v>
      </c>
      <c r="BO35" s="108"/>
      <c r="BP35" s="108"/>
      <c r="BQ35" s="108"/>
      <c r="BR35" s="108"/>
      <c r="BS35" s="340" t="s">
        <v>234</v>
      </c>
      <c r="BU35" s="121"/>
      <c r="BV35" s="133" t="s">
        <v>283</v>
      </c>
      <c r="BW35" s="122"/>
      <c r="BX35" s="122"/>
      <c r="BY35" s="122"/>
      <c r="BZ35" s="122"/>
      <c r="CA35" s="122"/>
      <c r="DK35" s="271"/>
      <c r="DL35" s="271"/>
      <c r="DM35" s="271"/>
    </row>
    <row r="36" spans="1:124" ht="14.1" customHeight="1">
      <c r="A36" s="110"/>
      <c r="B36" s="111"/>
      <c r="C36" s="111"/>
      <c r="D36" s="111"/>
      <c r="E36" s="111"/>
      <c r="F36" s="111"/>
      <c r="G36" s="111"/>
      <c r="H36" s="111"/>
      <c r="I36" s="111"/>
      <c r="J36" s="111"/>
      <c r="K36" s="111"/>
      <c r="L36" s="112"/>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3"/>
      <c r="AO36" s="111"/>
      <c r="AP36" s="108"/>
      <c r="AQ36" s="312">
        <v>76.2</v>
      </c>
      <c r="AR36" s="313" t="s">
        <v>145</v>
      </c>
      <c r="AS36" s="312" t="str">
        <f t="shared" si="33"/>
        <v/>
      </c>
      <c r="AT36" s="313" t="str">
        <f t="shared" ref="AT36:AT41" si="37">IF(AU36="","",VLOOKUP(AS36,$AQ$35:$AR$58,2,0))</f>
        <v/>
      </c>
      <c r="AU36" s="312" t="str">
        <f t="shared" ref="AU36:AU45" si="38">AC61</f>
        <v/>
      </c>
      <c r="AV36" s="321" t="str">
        <f t="shared" si="34"/>
        <v/>
      </c>
      <c r="AW36" s="313" t="str">
        <f t="shared" si="35"/>
        <v/>
      </c>
      <c r="AX36" s="264"/>
      <c r="AZ36" s="313" t="s">
        <v>259</v>
      </c>
      <c r="BA36" s="323" t="e">
        <f t="shared" si="36"/>
        <v>#N/A</v>
      </c>
      <c r="BB36" s="324" t="str">
        <f t="shared" ref="BB36:BB50" si="39">+IFERROR(BA36,"0")</f>
        <v>0</v>
      </c>
      <c r="BC36" s="338" t="s">
        <v>266</v>
      </c>
      <c r="BD36" s="339">
        <f>IF(AND(BB41="",BB41="",BB42=""),"",+BB41+BB42)</f>
        <v>0</v>
      </c>
      <c r="BE36" s="108"/>
      <c r="BF36" s="108"/>
      <c r="BG36" s="108"/>
      <c r="BH36" s="108"/>
      <c r="BI36" s="108"/>
      <c r="BJ36" s="108"/>
      <c r="BK36" s="108"/>
      <c r="BL36" s="108"/>
      <c r="BM36" s="108"/>
      <c r="BN36" s="127" t="s">
        <v>187</v>
      </c>
      <c r="BO36" s="108"/>
      <c r="BP36" s="108"/>
      <c r="BQ36" s="108"/>
      <c r="BR36" s="108"/>
      <c r="BS36" s="260" t="s">
        <v>255</v>
      </c>
      <c r="BU36" s="121"/>
      <c r="BV36" s="260" t="s">
        <v>284</v>
      </c>
      <c r="BW36" s="122"/>
      <c r="BX36" s="122"/>
      <c r="BY36" s="122"/>
      <c r="BZ36" s="122"/>
      <c r="CA36" s="122"/>
      <c r="DK36" s="271"/>
      <c r="DL36" s="271"/>
      <c r="DM36" s="271"/>
    </row>
    <row r="37" spans="1:124" ht="14.1" customHeight="1">
      <c r="A37" s="110"/>
      <c r="B37" s="111"/>
      <c r="C37" s="111"/>
      <c r="D37" s="111"/>
      <c r="E37" s="111"/>
      <c r="F37" s="111"/>
      <c r="G37" s="111"/>
      <c r="H37" s="111"/>
      <c r="I37" s="111"/>
      <c r="J37" s="111"/>
      <c r="K37" s="111"/>
      <c r="L37" s="112"/>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3"/>
      <c r="AO37" s="111"/>
      <c r="AP37" s="108"/>
      <c r="AQ37" s="312">
        <v>64</v>
      </c>
      <c r="AR37" s="313" t="s">
        <v>146</v>
      </c>
      <c r="AS37" s="312" t="str">
        <f t="shared" si="33"/>
        <v/>
      </c>
      <c r="AT37" s="313" t="str">
        <f t="shared" si="37"/>
        <v/>
      </c>
      <c r="AU37" s="312" t="str">
        <f t="shared" si="38"/>
        <v/>
      </c>
      <c r="AV37" s="321" t="str">
        <f t="shared" si="34"/>
        <v/>
      </c>
      <c r="AW37" s="313" t="str">
        <f t="shared" si="35"/>
        <v/>
      </c>
      <c r="AX37" s="264"/>
      <c r="AZ37" s="313" t="s">
        <v>147</v>
      </c>
      <c r="BA37" s="323" t="e">
        <f t="shared" si="36"/>
        <v>#N/A</v>
      </c>
      <c r="BB37" s="324" t="str">
        <f t="shared" si="39"/>
        <v>0</v>
      </c>
      <c r="BC37" s="341" t="s">
        <v>267</v>
      </c>
      <c r="BD37" s="342">
        <f>IF(AND(BB43="",BB44=""),"",+BB43+BB44)</f>
        <v>0</v>
      </c>
      <c r="BE37" s="108"/>
      <c r="BF37" s="108"/>
      <c r="BG37" s="108"/>
      <c r="BH37" s="108"/>
      <c r="BI37" s="108"/>
      <c r="BJ37" s="108"/>
      <c r="BK37" s="108"/>
      <c r="BL37" s="108"/>
      <c r="BM37" s="108"/>
      <c r="BN37" s="127" t="s">
        <v>15</v>
      </c>
      <c r="BO37" s="108"/>
      <c r="BP37" s="108"/>
      <c r="BQ37" s="108"/>
      <c r="BR37" s="108"/>
      <c r="BS37" s="261" t="s">
        <v>230</v>
      </c>
      <c r="BU37" s="121"/>
      <c r="BV37" s="260" t="s">
        <v>284</v>
      </c>
      <c r="BW37" s="122"/>
      <c r="BX37" s="122"/>
      <c r="BY37" s="122"/>
      <c r="BZ37" s="122"/>
      <c r="CA37" s="122"/>
      <c r="DK37" s="271"/>
      <c r="DL37" s="271"/>
      <c r="DM37" s="271"/>
    </row>
    <row r="38" spans="1:124" s="114" customFormat="1" ht="14.1" customHeight="1">
      <c r="A38" s="110"/>
      <c r="B38" s="111"/>
      <c r="C38" s="111"/>
      <c r="D38" s="111"/>
      <c r="E38" s="111"/>
      <c r="F38" s="111"/>
      <c r="G38" s="111"/>
      <c r="H38" s="111"/>
      <c r="I38" s="111"/>
      <c r="J38" s="111"/>
      <c r="K38" s="111"/>
      <c r="L38" s="112"/>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3"/>
      <c r="AO38" s="111"/>
      <c r="AP38" s="108"/>
      <c r="AQ38" s="312">
        <v>57</v>
      </c>
      <c r="AR38" s="313" t="s">
        <v>259</v>
      </c>
      <c r="AS38" s="312" t="str">
        <f t="shared" si="33"/>
        <v/>
      </c>
      <c r="AT38" s="313" t="str">
        <f t="shared" si="37"/>
        <v/>
      </c>
      <c r="AU38" s="312" t="str">
        <f t="shared" si="38"/>
        <v/>
      </c>
      <c r="AV38" s="321" t="str">
        <f t="shared" si="34"/>
        <v/>
      </c>
      <c r="AW38" s="313" t="str">
        <f t="shared" si="35"/>
        <v/>
      </c>
      <c r="AX38" s="322"/>
      <c r="AZ38" s="313" t="s">
        <v>148</v>
      </c>
      <c r="BA38" s="323" t="e">
        <f t="shared" si="36"/>
        <v>#N/A</v>
      </c>
      <c r="BB38" s="324" t="str">
        <f t="shared" si="39"/>
        <v>0</v>
      </c>
      <c r="BC38" s="338" t="s">
        <v>268</v>
      </c>
      <c r="BD38" s="339">
        <f>IF(AND(BB45="",BB45="",BB46=""),"",+BB45+BB46+BB47)</f>
        <v>0</v>
      </c>
      <c r="BE38" s="108"/>
      <c r="BF38" s="108"/>
      <c r="BG38" s="108"/>
      <c r="BH38" s="108"/>
      <c r="BI38" s="108"/>
      <c r="BJ38" s="108"/>
      <c r="BK38" s="108"/>
      <c r="BL38" s="108"/>
      <c r="BM38" s="108"/>
      <c r="BN38" s="127" t="s">
        <v>14</v>
      </c>
      <c r="BO38" s="108"/>
      <c r="BP38" s="108"/>
      <c r="BQ38" s="108"/>
      <c r="BR38" s="108"/>
      <c r="BS38" s="261" t="s">
        <v>231</v>
      </c>
      <c r="BT38" s="109"/>
      <c r="BU38" s="121"/>
      <c r="BV38" s="260" t="s">
        <v>284</v>
      </c>
      <c r="BW38" s="122"/>
      <c r="BX38" s="122"/>
      <c r="BY38" s="122"/>
      <c r="BZ38" s="122"/>
      <c r="CA38" s="122"/>
      <c r="CB38" s="99"/>
      <c r="CC38" s="99"/>
      <c r="CD38" s="97"/>
      <c r="CE38" s="97"/>
      <c r="CF38" s="97"/>
      <c r="CG38" s="97"/>
      <c r="CH38" s="97"/>
      <c r="CI38" s="97"/>
      <c r="CJ38" s="97"/>
      <c r="CK38" s="97"/>
      <c r="CL38" s="97"/>
      <c r="CM38" s="97"/>
      <c r="CN38" s="97"/>
      <c r="CO38" s="97"/>
      <c r="CP38" s="97"/>
      <c r="CQ38" s="97"/>
      <c r="CR38" s="97"/>
      <c r="CS38" s="97"/>
      <c r="CT38" s="272"/>
      <c r="CU38" s="272"/>
      <c r="CV38" s="272"/>
      <c r="CW38" s="272"/>
      <c r="CX38" s="272"/>
      <c r="CY38" s="272"/>
      <c r="CZ38" s="272"/>
      <c r="DA38" s="272"/>
      <c r="DB38" s="272"/>
      <c r="DC38" s="272"/>
      <c r="DD38" s="272"/>
      <c r="DE38" s="272"/>
      <c r="DF38" s="272"/>
      <c r="DG38" s="272"/>
      <c r="DH38" s="272"/>
      <c r="DI38" s="272"/>
      <c r="DJ38" s="272"/>
      <c r="DK38" s="271"/>
      <c r="DL38" s="271"/>
      <c r="DM38" s="271"/>
      <c r="DN38" s="272"/>
      <c r="DO38" s="272"/>
      <c r="DP38" s="272"/>
      <c r="DQ38" s="272"/>
      <c r="DR38" s="272"/>
      <c r="DS38" s="272"/>
      <c r="DT38" s="272"/>
    </row>
    <row r="39" spans="1:124" s="114" customFormat="1" ht="14.1" customHeight="1">
      <c r="A39" s="110"/>
      <c r="B39" s="111"/>
      <c r="C39" s="111"/>
      <c r="D39" s="111"/>
      <c r="E39" s="111"/>
      <c r="F39" s="111"/>
      <c r="G39" s="111"/>
      <c r="H39" s="111"/>
      <c r="I39" s="111"/>
      <c r="J39" s="111"/>
      <c r="K39" s="111"/>
      <c r="L39" s="112"/>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3"/>
      <c r="AO39" s="111"/>
      <c r="AP39" s="108"/>
      <c r="AQ39" s="312">
        <v>50</v>
      </c>
      <c r="AR39" s="313" t="s">
        <v>147</v>
      </c>
      <c r="AS39" s="312" t="str">
        <f t="shared" si="33"/>
        <v/>
      </c>
      <c r="AT39" s="313" t="str">
        <f t="shared" si="37"/>
        <v/>
      </c>
      <c r="AU39" s="312" t="str">
        <f t="shared" si="38"/>
        <v/>
      </c>
      <c r="AV39" s="321" t="str">
        <f t="shared" si="34"/>
        <v/>
      </c>
      <c r="AW39" s="313" t="str">
        <f t="shared" si="35"/>
        <v/>
      </c>
      <c r="AX39" s="322"/>
      <c r="AZ39" s="313" t="s">
        <v>31</v>
      </c>
      <c r="BA39" s="323" t="e">
        <f t="shared" si="36"/>
        <v>#N/A</v>
      </c>
      <c r="BB39" s="324" t="str">
        <f t="shared" si="39"/>
        <v>0</v>
      </c>
      <c r="BC39" s="338" t="s">
        <v>269</v>
      </c>
      <c r="BD39" s="343" t="str">
        <f>IF(BB45="","",+BB45)</f>
        <v>0</v>
      </c>
      <c r="BE39" s="109"/>
      <c r="BF39" s="109"/>
      <c r="BG39" s="109"/>
      <c r="BH39" s="109"/>
      <c r="BI39" s="109"/>
      <c r="BJ39" s="109"/>
      <c r="BK39" s="109"/>
      <c r="BL39" s="109"/>
      <c r="BM39" s="109"/>
      <c r="BN39" s="127" t="s">
        <v>188</v>
      </c>
      <c r="BO39" s="109"/>
      <c r="BP39" s="109"/>
      <c r="BQ39" s="109"/>
      <c r="BR39" s="109"/>
      <c r="BS39" s="261" t="s">
        <v>232</v>
      </c>
      <c r="BT39" s="109"/>
      <c r="BU39" s="121"/>
      <c r="BV39" s="260" t="s">
        <v>284</v>
      </c>
      <c r="BW39" s="122"/>
      <c r="BX39" s="122"/>
      <c r="BY39" s="122"/>
      <c r="BZ39" s="122"/>
      <c r="CA39" s="122"/>
      <c r="CB39" s="99"/>
      <c r="CC39" s="99"/>
      <c r="CD39" s="97"/>
      <c r="CE39" s="97"/>
      <c r="CF39" s="97"/>
      <c r="CG39" s="97"/>
      <c r="CH39" s="97"/>
      <c r="CI39" s="97"/>
      <c r="CJ39" s="97"/>
      <c r="CK39" s="97"/>
      <c r="CL39" s="97"/>
      <c r="CM39" s="97"/>
      <c r="CN39" s="97"/>
      <c r="CO39" s="97"/>
      <c r="CP39" s="97"/>
      <c r="CQ39" s="97"/>
      <c r="CR39" s="97"/>
      <c r="CS39" s="97"/>
      <c r="CT39" s="272"/>
      <c r="CU39" s="272"/>
      <c r="CV39" s="272"/>
      <c r="CW39" s="272"/>
      <c r="CX39" s="272"/>
      <c r="CY39" s="272"/>
      <c r="CZ39" s="272"/>
      <c r="DA39" s="272"/>
      <c r="DB39" s="272"/>
      <c r="DC39" s="272"/>
      <c r="DD39" s="272"/>
      <c r="DE39" s="272"/>
      <c r="DF39" s="272"/>
      <c r="DG39" s="272"/>
      <c r="DH39" s="272"/>
      <c r="DI39" s="272"/>
      <c r="DJ39" s="272"/>
      <c r="DK39" s="271"/>
      <c r="DL39" s="271"/>
      <c r="DM39" s="271"/>
      <c r="DN39" s="272"/>
      <c r="DO39" s="272"/>
      <c r="DP39" s="272"/>
      <c r="DQ39" s="272"/>
      <c r="DR39" s="272"/>
      <c r="DS39" s="272"/>
      <c r="DT39" s="272"/>
    </row>
    <row r="40" spans="1:124" ht="14.1" customHeight="1">
      <c r="A40" s="110"/>
      <c r="B40" s="111"/>
      <c r="C40" s="111"/>
      <c r="D40" s="111"/>
      <c r="E40" s="111"/>
      <c r="F40" s="111"/>
      <c r="G40" s="111"/>
      <c r="H40" s="111"/>
      <c r="I40" s="111"/>
      <c r="J40" s="111"/>
      <c r="K40" s="111"/>
      <c r="L40" s="112"/>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3"/>
      <c r="AO40" s="111"/>
      <c r="AP40" s="109"/>
      <c r="AQ40" s="312">
        <v>37.5</v>
      </c>
      <c r="AR40" s="313" t="s">
        <v>148</v>
      </c>
      <c r="AS40" s="312" t="str">
        <f t="shared" si="33"/>
        <v/>
      </c>
      <c r="AT40" s="313" t="str">
        <f>IF(AU40="","",VLOOKUP(AS40,$AQ$35:$AR$58,2,0))</f>
        <v/>
      </c>
      <c r="AU40" s="312" t="str">
        <f>AC66</f>
        <v/>
      </c>
      <c r="AV40" s="321" t="str">
        <f t="shared" si="34"/>
        <v/>
      </c>
      <c r="AW40" s="313" t="str">
        <f t="shared" si="35"/>
        <v/>
      </c>
      <c r="AX40" s="264"/>
      <c r="AZ40" s="313" t="s">
        <v>285</v>
      </c>
      <c r="BA40" s="323" t="e">
        <f t="shared" si="36"/>
        <v>#N/A</v>
      </c>
      <c r="BB40" s="324" t="str">
        <f t="shared" si="39"/>
        <v>0</v>
      </c>
      <c r="BC40" s="338" t="s">
        <v>270</v>
      </c>
      <c r="BD40" s="343">
        <f>IF(AND(BB47="",BB46=""),"",+BB46+BB47)</f>
        <v>0</v>
      </c>
      <c r="BN40" s="127" t="s">
        <v>189</v>
      </c>
      <c r="BS40" s="261" t="s">
        <v>233</v>
      </c>
      <c r="BU40" s="121"/>
      <c r="BV40" s="260" t="s">
        <v>284</v>
      </c>
      <c r="BW40" s="122"/>
      <c r="BX40" s="122"/>
      <c r="BY40" s="122"/>
      <c r="BZ40" s="122"/>
      <c r="CA40" s="122"/>
      <c r="DK40" s="271"/>
      <c r="DL40" s="271"/>
      <c r="DM40" s="271"/>
    </row>
    <row r="41" spans="1:124" ht="11.25" customHeight="1">
      <c r="A41" s="110"/>
      <c r="B41" s="111"/>
      <c r="C41" s="111"/>
      <c r="D41" s="111"/>
      <c r="E41" s="111"/>
      <c r="F41" s="111"/>
      <c r="G41" s="111"/>
      <c r="H41" s="111"/>
      <c r="I41" s="111"/>
      <c r="J41" s="111"/>
      <c r="K41" s="111"/>
      <c r="L41" s="112"/>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3"/>
      <c r="AO41" s="111"/>
      <c r="AQ41" s="312">
        <v>25</v>
      </c>
      <c r="AR41" s="313" t="s">
        <v>31</v>
      </c>
      <c r="AS41" s="312" t="str">
        <f t="shared" si="33"/>
        <v/>
      </c>
      <c r="AT41" s="313" t="str">
        <f t="shared" si="37"/>
        <v/>
      </c>
      <c r="AU41" s="312" t="str">
        <f>AC71</f>
        <v/>
      </c>
      <c r="AV41" s="321" t="str">
        <f t="shared" si="34"/>
        <v/>
      </c>
      <c r="AW41" s="313" t="str">
        <f t="shared" si="35"/>
        <v/>
      </c>
      <c r="AX41" s="264"/>
      <c r="AZ41" s="313" t="s">
        <v>34</v>
      </c>
      <c r="BA41" s="323" t="e">
        <f t="shared" si="36"/>
        <v>#N/A</v>
      </c>
      <c r="BB41" s="324" t="str">
        <f t="shared" si="39"/>
        <v>0</v>
      </c>
      <c r="BC41" s="338" t="s">
        <v>271</v>
      </c>
      <c r="BD41" s="343" t="str">
        <f>IF(AND(BB48="",BB48=""),"",+BB48)</f>
        <v>0</v>
      </c>
      <c r="BN41" s="127" t="s">
        <v>190</v>
      </c>
      <c r="BS41" s="264" t="s">
        <v>286</v>
      </c>
      <c r="BU41" s="121"/>
      <c r="BV41" s="260" t="s">
        <v>287</v>
      </c>
      <c r="BW41" s="122"/>
      <c r="BX41" s="122"/>
      <c r="BY41" s="122"/>
      <c r="BZ41" s="122"/>
      <c r="CA41" s="122"/>
      <c r="DK41" s="271"/>
      <c r="DL41" s="271"/>
      <c r="DM41" s="271"/>
    </row>
    <row r="42" spans="1:124" ht="11.25" customHeight="1">
      <c r="A42" s="110"/>
      <c r="B42" s="111"/>
      <c r="C42" s="111"/>
      <c r="D42" s="111"/>
      <c r="E42" s="111"/>
      <c r="F42" s="111"/>
      <c r="G42" s="111"/>
      <c r="H42" s="111"/>
      <c r="I42" s="111"/>
      <c r="J42" s="111"/>
      <c r="K42" s="111"/>
      <c r="L42" s="112"/>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3"/>
      <c r="AO42" s="111"/>
      <c r="AQ42" s="312"/>
      <c r="AR42" s="313"/>
      <c r="AS42" s="312"/>
      <c r="AT42" s="313"/>
      <c r="AU42" s="312" t="str">
        <f t="shared" si="38"/>
        <v/>
      </c>
      <c r="AV42" s="321"/>
      <c r="AW42" s="313"/>
      <c r="AX42" s="264"/>
      <c r="AZ42" s="313" t="s">
        <v>37</v>
      </c>
      <c r="BA42" s="323" t="e">
        <f t="shared" ref="BA42:BA50" si="40">+VLOOKUP(AZ42,$E$55:$AF$75,21,0)</f>
        <v>#N/A</v>
      </c>
      <c r="BB42" s="324" t="str">
        <f t="shared" si="39"/>
        <v>0</v>
      </c>
      <c r="BC42" s="338" t="s">
        <v>272</v>
      </c>
      <c r="BD42" s="343">
        <f>IF(AND(BB49="",BB49="",BB50=""),"",+BB49+BB50)</f>
        <v>0</v>
      </c>
      <c r="BN42" s="127"/>
      <c r="BS42" s="264"/>
      <c r="BU42" s="121"/>
      <c r="BV42" s="260"/>
      <c r="BW42" s="122"/>
      <c r="BX42" s="122"/>
      <c r="BY42" s="122"/>
      <c r="BZ42" s="122"/>
      <c r="CA42" s="122"/>
      <c r="DK42" s="271"/>
      <c r="DL42" s="271"/>
      <c r="DM42" s="271"/>
    </row>
    <row r="43" spans="1:124" ht="11.25" customHeight="1">
      <c r="A43" s="110"/>
      <c r="B43" s="2048" t="s">
        <v>169</v>
      </c>
      <c r="C43" s="2048"/>
      <c r="D43" s="2048"/>
      <c r="E43" s="2048"/>
      <c r="F43" s="2048"/>
      <c r="G43" s="2048"/>
      <c r="H43" s="2048"/>
      <c r="I43" s="2049"/>
      <c r="J43" s="2049"/>
      <c r="K43" s="2049"/>
      <c r="L43" s="2049"/>
      <c r="M43" s="2049"/>
      <c r="N43" s="2049"/>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3"/>
      <c r="AO43" s="111"/>
      <c r="AQ43" s="312"/>
      <c r="AR43" s="313"/>
      <c r="AS43" s="312"/>
      <c r="AT43" s="313"/>
      <c r="AU43" s="312" t="str">
        <f t="shared" si="38"/>
        <v/>
      </c>
      <c r="AV43" s="321"/>
      <c r="AW43" s="313"/>
      <c r="AX43" s="264"/>
      <c r="AZ43" s="313" t="s">
        <v>205</v>
      </c>
      <c r="BA43" s="323" t="e">
        <f t="shared" si="40"/>
        <v>#N/A</v>
      </c>
      <c r="BB43" s="324" t="str">
        <f t="shared" si="39"/>
        <v>0</v>
      </c>
      <c r="BC43" s="368" t="s">
        <v>273</v>
      </c>
      <c r="BD43" s="343">
        <f>IF(AND(BB36="",BB36="",BB37=""),"",+BB36+BB37)</f>
        <v>0</v>
      </c>
      <c r="BN43" s="127"/>
      <c r="BS43" s="264"/>
      <c r="BU43" s="121"/>
      <c r="BV43" s="260"/>
      <c r="BW43" s="122"/>
      <c r="BX43" s="122"/>
      <c r="BY43" s="122"/>
      <c r="BZ43" s="122"/>
      <c r="CA43" s="122"/>
      <c r="DK43" s="271"/>
      <c r="DL43" s="271"/>
      <c r="DM43" s="271"/>
    </row>
    <row r="44" spans="1:124" ht="15" customHeight="1">
      <c r="A44" s="110"/>
      <c r="B44" s="111"/>
      <c r="C44" s="111"/>
      <c r="D44" s="111"/>
      <c r="E44" s="111"/>
      <c r="F44" s="111"/>
      <c r="G44" s="111"/>
      <c r="H44" s="111"/>
      <c r="I44" s="111"/>
      <c r="J44" s="111"/>
      <c r="K44" s="111"/>
      <c r="L44" s="112"/>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3"/>
      <c r="AO44" s="111"/>
      <c r="AQ44" s="312">
        <v>19</v>
      </c>
      <c r="AR44" s="313" t="s">
        <v>33</v>
      </c>
      <c r="AS44" s="312" t="str">
        <f>+A22</f>
        <v/>
      </c>
      <c r="AT44" s="313" t="str">
        <f>IF(AU44="","",VLOOKUP(AS44,$AQ$35:$AR$58,2,0))</f>
        <v/>
      </c>
      <c r="AU44" s="312" t="str">
        <f>AC69</f>
        <v/>
      </c>
      <c r="AV44" s="321" t="str">
        <f>+AG22</f>
        <v/>
      </c>
      <c r="AW44" s="313" t="str">
        <f>+AK22</f>
        <v/>
      </c>
      <c r="AX44" s="264"/>
      <c r="AZ44" s="313" t="s">
        <v>157</v>
      </c>
      <c r="BA44" s="323" t="e">
        <f t="shared" si="40"/>
        <v>#N/A</v>
      </c>
      <c r="BB44" s="324" t="str">
        <f t="shared" si="39"/>
        <v>0</v>
      </c>
      <c r="BC44" s="368" t="s">
        <v>274</v>
      </c>
      <c r="BD44" s="343" t="str">
        <f>IF(AND(BB38="",BB38=""),"",+BB38)</f>
        <v>0</v>
      </c>
      <c r="BN44" s="106" t="s">
        <v>229</v>
      </c>
      <c r="BS44" s="264" t="s">
        <v>288</v>
      </c>
      <c r="BU44" s="121"/>
      <c r="BV44" s="260" t="s">
        <v>287</v>
      </c>
      <c r="BW44" s="122"/>
      <c r="BX44" s="122"/>
      <c r="BY44" s="122"/>
      <c r="BZ44" s="122"/>
      <c r="CA44" s="122"/>
      <c r="DK44" s="271"/>
      <c r="DL44" s="271"/>
      <c r="DM44" s="271"/>
    </row>
    <row r="45" spans="1:124" ht="15" customHeight="1">
      <c r="A45" s="436"/>
      <c r="B45" s="2047" t="s">
        <v>10</v>
      </c>
      <c r="C45" s="2047"/>
      <c r="D45" s="2047"/>
      <c r="E45" s="2047"/>
      <c r="F45" s="2047"/>
      <c r="G45" s="2047"/>
      <c r="H45" s="2050"/>
      <c r="I45" s="2050"/>
      <c r="J45" s="2050"/>
      <c r="K45" s="2050"/>
      <c r="L45" s="2050"/>
      <c r="M45" s="2050"/>
      <c r="N45" s="2050"/>
      <c r="O45" s="2050"/>
      <c r="P45" s="2050"/>
      <c r="Q45" s="2050"/>
      <c r="R45" s="2050"/>
      <c r="S45" s="2050"/>
      <c r="T45" s="2050"/>
      <c r="U45" s="2050"/>
      <c r="V45" s="2050"/>
      <c r="W45" s="2050"/>
      <c r="X45" s="2050"/>
      <c r="Y45" s="2050"/>
      <c r="Z45" s="2050"/>
      <c r="AA45" s="2050"/>
      <c r="AB45" s="2050"/>
      <c r="AC45" s="2050"/>
      <c r="AD45" s="2050"/>
      <c r="AE45" s="2050"/>
      <c r="AF45" s="2050"/>
      <c r="AG45" s="2050"/>
      <c r="AH45" s="2050"/>
      <c r="AI45" s="2050"/>
      <c r="AJ45" s="2050"/>
      <c r="AK45" s="2050"/>
      <c r="AL45" s="2050"/>
      <c r="AM45" s="2050"/>
      <c r="AN45" s="437"/>
      <c r="AO45" s="399"/>
      <c r="AQ45" s="312">
        <v>12.5</v>
      </c>
      <c r="AR45" s="313" t="s">
        <v>34</v>
      </c>
      <c r="AS45" s="312" t="str">
        <f>+A23</f>
        <v/>
      </c>
      <c r="AT45" s="313" t="str">
        <f>IF(AU45="","",VLOOKUP(AS45,$AQ$35:$AR$58,2,0))</f>
        <v/>
      </c>
      <c r="AU45" s="312" t="str">
        <f t="shared" si="38"/>
        <v/>
      </c>
      <c r="AV45" s="321" t="str">
        <f>+AG23</f>
        <v/>
      </c>
      <c r="AW45" s="313"/>
      <c r="AX45" s="264"/>
      <c r="AZ45" s="313" t="s">
        <v>158</v>
      </c>
      <c r="BA45" s="323" t="e">
        <f t="shared" si="40"/>
        <v>#N/A</v>
      </c>
      <c r="BB45" s="324" t="str">
        <f t="shared" si="39"/>
        <v>0</v>
      </c>
      <c r="BC45" s="369" t="s">
        <v>277</v>
      </c>
      <c r="BD45" s="344" t="str">
        <f>IF(AND(BB39="",BB39=""),"",BB39)</f>
        <v>0</v>
      </c>
      <c r="BE45" s="2038"/>
      <c r="BF45" s="2039"/>
      <c r="BN45" s="33" t="s">
        <v>289</v>
      </c>
      <c r="BS45" s="264" t="s">
        <v>290</v>
      </c>
      <c r="BU45" s="121"/>
      <c r="BV45" s="260" t="s">
        <v>287</v>
      </c>
      <c r="BW45" s="122"/>
      <c r="BX45" s="122"/>
      <c r="BY45" s="122"/>
      <c r="BZ45" s="122"/>
      <c r="CA45" s="122"/>
      <c r="DK45" s="271"/>
      <c r="DL45" s="271"/>
      <c r="DM45" s="271"/>
    </row>
    <row r="46" spans="1:124" ht="15" customHeight="1" thickBot="1">
      <c r="A46" s="2042" t="str">
        <f>+IF(OR(AE11=BS52,AE11=BS53),"Modulo de finura","")</f>
        <v/>
      </c>
      <c r="B46" s="2043"/>
      <c r="C46" s="2043"/>
      <c r="D46" s="2043"/>
      <c r="E46" s="2043"/>
      <c r="F46" s="2044" t="str">
        <f>IF(A46="","",AU56)</f>
        <v/>
      </c>
      <c r="G46" s="2044"/>
      <c r="H46" s="2045"/>
      <c r="I46" s="2045"/>
      <c r="J46" s="2045"/>
      <c r="K46" s="2045"/>
      <c r="L46" s="2045"/>
      <c r="M46" s="2045"/>
      <c r="N46" s="2045"/>
      <c r="O46" s="2045"/>
      <c r="P46" s="2045"/>
      <c r="Q46" s="2045"/>
      <c r="R46" s="2045"/>
      <c r="S46" s="2045"/>
      <c r="T46" s="2045"/>
      <c r="U46" s="2045"/>
      <c r="V46" s="2045"/>
      <c r="W46" s="2045"/>
      <c r="X46" s="2045"/>
      <c r="Y46" s="2045"/>
      <c r="Z46" s="2045"/>
      <c r="AA46" s="2045"/>
      <c r="AB46" s="2045"/>
      <c r="AC46" s="2045"/>
      <c r="AD46" s="2045"/>
      <c r="AE46" s="2045"/>
      <c r="AF46" s="2045"/>
      <c r="AG46" s="2045"/>
      <c r="AH46" s="2045"/>
      <c r="AI46" s="2045"/>
      <c r="AJ46" s="2045"/>
      <c r="AK46" s="2045"/>
      <c r="AL46" s="2045"/>
      <c r="AM46" s="2045"/>
      <c r="AN46" s="2046"/>
      <c r="AO46" s="400"/>
      <c r="AQ46" s="312">
        <v>9.5</v>
      </c>
      <c r="AR46" s="313" t="s">
        <v>37</v>
      </c>
      <c r="AS46" s="312" t="str">
        <f>+A24</f>
        <v/>
      </c>
      <c r="AT46" s="313" t="str">
        <f>IF(AU46="","",VLOOKUP(AS46,$AQ$35:$AR$58,2,0))</f>
        <v/>
      </c>
      <c r="AU46" s="312" t="str">
        <f>AC71</f>
        <v/>
      </c>
      <c r="AV46" s="321" t="str">
        <f>+AG24</f>
        <v/>
      </c>
      <c r="AW46" s="313"/>
      <c r="AX46" s="264"/>
      <c r="AZ46" s="313" t="s">
        <v>165</v>
      </c>
      <c r="BA46" s="323" t="e">
        <f t="shared" si="40"/>
        <v>#N/A</v>
      </c>
      <c r="BB46" s="324" t="str">
        <f t="shared" si="39"/>
        <v>0</v>
      </c>
      <c r="BC46" s="369" t="s">
        <v>278</v>
      </c>
      <c r="BD46" s="344" t="str">
        <f>IF(AND(BB40="",BB40=""),"",+BB40)</f>
        <v>0</v>
      </c>
      <c r="BE46" s="2038"/>
      <c r="BF46" s="2039"/>
      <c r="BN46" s="262" t="s">
        <v>245</v>
      </c>
      <c r="BS46" s="264" t="s">
        <v>291</v>
      </c>
      <c r="BU46" s="121"/>
      <c r="BV46" s="260" t="s">
        <v>287</v>
      </c>
      <c r="BW46" s="122"/>
      <c r="BX46" s="122"/>
      <c r="BY46" s="122"/>
      <c r="BZ46" s="122"/>
      <c r="CA46" s="122"/>
      <c r="DK46" s="271"/>
      <c r="DL46" s="271"/>
      <c r="DM46" s="271"/>
    </row>
    <row r="47" spans="1:124" ht="15" customHeight="1" thickTop="1" thickBot="1">
      <c r="A47" s="2040" t="s">
        <v>13</v>
      </c>
      <c r="B47" s="2040"/>
      <c r="C47" s="2040"/>
      <c r="D47" s="2040"/>
      <c r="E47" s="2040"/>
      <c r="F47" s="2040"/>
      <c r="G47" s="2040"/>
      <c r="H47" s="2040"/>
      <c r="I47" s="2040"/>
      <c r="J47" s="2040"/>
      <c r="K47" s="2040"/>
      <c r="L47" s="2040"/>
      <c r="M47" s="2040"/>
      <c r="N47" s="2040"/>
      <c r="O47" s="2040"/>
      <c r="P47" s="2040"/>
      <c r="Q47" s="2040"/>
      <c r="R47" s="2040"/>
      <c r="S47" s="2040"/>
      <c r="T47" s="2040"/>
      <c r="U47" s="2040"/>
      <c r="V47" s="2040"/>
      <c r="W47" s="2040"/>
      <c r="X47" s="2040"/>
      <c r="Y47" s="2040"/>
      <c r="Z47" s="2040"/>
      <c r="AA47" s="2040"/>
      <c r="AB47" s="2040"/>
      <c r="AC47" s="2040"/>
      <c r="AD47" s="2040"/>
      <c r="AE47" s="2040"/>
      <c r="AF47" s="2040"/>
      <c r="AG47" s="2040"/>
      <c r="AH47" s="2040"/>
      <c r="AI47" s="2040"/>
      <c r="AJ47" s="2040"/>
      <c r="AK47" s="2040"/>
      <c r="AL47" s="2040"/>
      <c r="AM47" s="2040"/>
      <c r="AN47" s="2040"/>
      <c r="AO47" s="401"/>
      <c r="AQ47" s="312">
        <f>25.4/4</f>
        <v>6.35</v>
      </c>
      <c r="AR47" s="313" t="s">
        <v>205</v>
      </c>
      <c r="AS47" s="315"/>
      <c r="AT47" s="315"/>
      <c r="AU47" s="322"/>
      <c r="AV47" s="309"/>
      <c r="AW47" s="309"/>
      <c r="AX47" s="309"/>
      <c r="AZ47" s="313" t="s">
        <v>159</v>
      </c>
      <c r="BA47" s="323" t="e">
        <f t="shared" si="40"/>
        <v>#N/A</v>
      </c>
      <c r="BB47" s="324" t="str">
        <f t="shared" si="39"/>
        <v>0</v>
      </c>
      <c r="BC47" s="370" t="s">
        <v>276</v>
      </c>
      <c r="BD47" s="344" t="str">
        <f>IF(AND(BB41="",BB41=""),"",+BB41)</f>
        <v>0</v>
      </c>
      <c r="BE47" s="2038"/>
      <c r="BF47" s="2039"/>
      <c r="BN47" s="262" t="s">
        <v>244</v>
      </c>
      <c r="BS47" s="262" t="s">
        <v>245</v>
      </c>
      <c r="BU47" s="121"/>
      <c r="BV47" s="260" t="s">
        <v>321</v>
      </c>
      <c r="BW47" s="122"/>
      <c r="BX47" s="122"/>
      <c r="BY47" s="122"/>
      <c r="BZ47" s="122"/>
      <c r="CA47" s="122"/>
      <c r="DK47" s="271"/>
      <c r="DL47" s="271"/>
      <c r="DM47" s="271"/>
    </row>
    <row r="48" spans="1:124" ht="15" customHeight="1" thickTop="1">
      <c r="A48" s="2026"/>
      <c r="B48" s="2026"/>
      <c r="C48" s="2026"/>
      <c r="D48" s="2026"/>
      <c r="E48" s="2026"/>
      <c r="F48" s="2026"/>
      <c r="G48" s="2026"/>
      <c r="H48" s="2026"/>
      <c r="I48" s="2026"/>
      <c r="J48" s="2026"/>
      <c r="K48" s="2026"/>
      <c r="L48" s="2026"/>
      <c r="M48" s="2026"/>
      <c r="N48" s="2026"/>
      <c r="O48" s="2026"/>
      <c r="P48" s="2026"/>
      <c r="Q48" s="2026"/>
      <c r="R48" s="2026"/>
      <c r="S48" s="2026"/>
      <c r="T48" s="2026"/>
      <c r="U48" s="2026"/>
      <c r="V48" s="2026"/>
      <c r="W48" s="2026"/>
      <c r="X48" s="2026"/>
      <c r="Y48" s="2026"/>
      <c r="Z48" s="2026"/>
      <c r="AA48" s="2026"/>
      <c r="AB48" s="2026"/>
      <c r="AC48" s="2026"/>
      <c r="AD48" s="2026"/>
      <c r="AE48" s="2026"/>
      <c r="AF48" s="2026"/>
      <c r="AG48" s="2026"/>
      <c r="AH48" s="2026"/>
      <c r="AI48" s="2026"/>
      <c r="AJ48" s="2026"/>
      <c r="AK48" s="2026"/>
      <c r="AL48" s="2026"/>
      <c r="AM48" s="2026"/>
      <c r="AN48" s="2026"/>
      <c r="AO48" s="402"/>
      <c r="AQ48" s="312">
        <v>4.75</v>
      </c>
      <c r="AR48" s="313" t="s">
        <v>157</v>
      </c>
      <c r="AS48" s="315"/>
      <c r="AT48" s="129"/>
      <c r="AU48" s="129" t="s">
        <v>303</v>
      </c>
      <c r="AV48" s="309"/>
      <c r="AW48" s="309"/>
      <c r="AX48" s="309"/>
      <c r="AZ48" s="313" t="s">
        <v>160</v>
      </c>
      <c r="BA48" s="323" t="e">
        <f t="shared" si="40"/>
        <v>#N/A</v>
      </c>
      <c r="BB48" s="324" t="str">
        <f t="shared" si="39"/>
        <v>0</v>
      </c>
      <c r="BC48" s="371" t="s">
        <v>275</v>
      </c>
      <c r="BD48" s="344" t="str">
        <f>IF(AND(BB42="",BB42=""),"",+BB42)</f>
        <v>0</v>
      </c>
      <c r="BE48" s="2027"/>
      <c r="BF48" s="2028"/>
      <c r="BN48" s="262" t="s">
        <v>243</v>
      </c>
      <c r="BS48" s="262" t="s">
        <v>244</v>
      </c>
      <c r="BU48" s="121"/>
      <c r="BV48" s="260" t="s">
        <v>321</v>
      </c>
      <c r="BW48" s="122"/>
      <c r="BX48" s="122"/>
      <c r="BY48" s="122"/>
      <c r="BZ48" s="122"/>
      <c r="CA48" s="122"/>
      <c r="DK48" s="271"/>
      <c r="DL48" s="271"/>
      <c r="DM48" s="271"/>
    </row>
    <row r="49" spans="1:124" ht="9.75" customHeight="1">
      <c r="A49" s="1977" t="s">
        <v>306</v>
      </c>
      <c r="B49" s="1977"/>
      <c r="C49" s="1977"/>
      <c r="D49" s="1977"/>
      <c r="E49" s="1977"/>
      <c r="F49" s="1977"/>
      <c r="G49" s="1977"/>
      <c r="H49" s="1977"/>
      <c r="I49" s="1977"/>
      <c r="J49" s="1977"/>
      <c r="K49" s="1977"/>
      <c r="L49" s="1977"/>
      <c r="M49" s="1977"/>
      <c r="N49" s="1977"/>
      <c r="O49" s="1977"/>
      <c r="P49" s="1977"/>
      <c r="Q49" s="1977"/>
      <c r="R49" s="1977"/>
      <c r="S49" s="1977"/>
      <c r="T49" s="1977"/>
      <c r="U49" s="1977"/>
      <c r="V49" s="1977"/>
      <c r="W49" s="1977"/>
      <c r="X49" s="1977"/>
      <c r="Y49" s="1977"/>
      <c r="Z49" s="1977"/>
      <c r="AA49" s="1977"/>
      <c r="AB49" s="1977"/>
      <c r="AC49" s="1977"/>
      <c r="AD49" s="1977"/>
      <c r="AE49" s="1977"/>
      <c r="AF49" s="1977"/>
      <c r="AG49" s="1977"/>
      <c r="AH49" s="1977"/>
      <c r="AI49" s="1977"/>
      <c r="AJ49" s="1977"/>
      <c r="AK49" s="1977"/>
      <c r="AL49" s="1977"/>
      <c r="AM49" s="1977"/>
      <c r="AN49" s="1977"/>
      <c r="AO49" s="390"/>
      <c r="AQ49" s="312">
        <v>2.36</v>
      </c>
      <c r="AR49" s="313" t="s">
        <v>158</v>
      </c>
      <c r="AS49" s="315"/>
      <c r="AT49" s="129"/>
      <c r="AU49" s="348" t="str">
        <f>+Q15</f>
        <v/>
      </c>
      <c r="AV49" s="309"/>
      <c r="AW49" s="309"/>
      <c r="AX49" s="309"/>
      <c r="AZ49" s="313" t="s">
        <v>161</v>
      </c>
      <c r="BA49" s="323" t="e">
        <f t="shared" si="40"/>
        <v>#N/A</v>
      </c>
      <c r="BB49" s="324" t="str">
        <f t="shared" si="39"/>
        <v>0</v>
      </c>
      <c r="BE49" s="2038"/>
      <c r="BF49" s="2039"/>
      <c r="BN49" s="262" t="s">
        <v>242</v>
      </c>
      <c r="BS49" s="262" t="s">
        <v>243</v>
      </c>
      <c r="BU49" s="121"/>
      <c r="BV49" s="260" t="s">
        <v>321</v>
      </c>
      <c r="BW49" s="122"/>
      <c r="BX49" s="122"/>
      <c r="BY49" s="122"/>
      <c r="BZ49" s="122"/>
      <c r="CA49" s="122"/>
      <c r="DK49" s="271"/>
      <c r="DL49" s="271"/>
      <c r="DM49" s="271"/>
    </row>
    <row r="50" spans="1:124" ht="17.25" customHeight="1">
      <c r="A50" s="1977"/>
      <c r="B50" s="1977"/>
      <c r="C50" s="1977"/>
      <c r="D50" s="1977"/>
      <c r="E50" s="1977"/>
      <c r="F50" s="1977"/>
      <c r="G50" s="1977"/>
      <c r="H50" s="1977"/>
      <c r="I50" s="1977"/>
      <c r="J50" s="1977"/>
      <c r="K50" s="1977"/>
      <c r="L50" s="1977"/>
      <c r="M50" s="1977"/>
      <c r="N50" s="1977"/>
      <c r="O50" s="1977"/>
      <c r="P50" s="1977"/>
      <c r="Q50" s="1977"/>
      <c r="R50" s="1977"/>
      <c r="S50" s="1977"/>
      <c r="T50" s="1977"/>
      <c r="U50" s="1977"/>
      <c r="V50" s="1977"/>
      <c r="W50" s="1977"/>
      <c r="X50" s="1977"/>
      <c r="Y50" s="1977"/>
      <c r="Z50" s="1977"/>
      <c r="AA50" s="1977"/>
      <c r="AB50" s="1977"/>
      <c r="AC50" s="1977"/>
      <c r="AD50" s="1977"/>
      <c r="AE50" s="1977"/>
      <c r="AF50" s="1977"/>
      <c r="AG50" s="1977"/>
      <c r="AH50" s="1977"/>
      <c r="AI50" s="1977"/>
      <c r="AJ50" s="1977"/>
      <c r="AK50" s="1977"/>
      <c r="AL50" s="1977"/>
      <c r="AM50" s="1977"/>
      <c r="AN50" s="1977"/>
      <c r="AO50" s="390"/>
      <c r="AQ50" s="312">
        <v>2</v>
      </c>
      <c r="AR50" s="313" t="s">
        <v>165</v>
      </c>
      <c r="AS50" s="315"/>
      <c r="AT50" s="129"/>
      <c r="AU50" s="348" t="e">
        <f t="shared" ref="AU50:AU55" si="41">+AU49+Q16</f>
        <v>#VALUE!</v>
      </c>
      <c r="AV50" s="309"/>
      <c r="AW50" s="309"/>
      <c r="AX50" s="309"/>
      <c r="AZ50" s="313" t="s">
        <v>162</v>
      </c>
      <c r="BA50" s="323" t="e">
        <f t="shared" si="40"/>
        <v>#N/A</v>
      </c>
      <c r="BB50" s="324" t="str">
        <f t="shared" si="39"/>
        <v>0</v>
      </c>
      <c r="BE50" s="2027"/>
      <c r="BF50" s="2028"/>
      <c r="BN50" s="262" t="s">
        <v>241</v>
      </c>
      <c r="BS50" s="262" t="s">
        <v>242</v>
      </c>
      <c r="BU50" s="121"/>
      <c r="BV50" s="260" t="s">
        <v>321</v>
      </c>
      <c r="BW50" s="122"/>
      <c r="BX50" s="122"/>
      <c r="BY50" s="122"/>
      <c r="BZ50" s="122"/>
      <c r="CA50" s="122"/>
    </row>
    <row r="51" spans="1:124" ht="18" customHeight="1">
      <c r="A51" s="2035" t="s">
        <v>311</v>
      </c>
      <c r="B51" s="2035"/>
      <c r="C51" s="2035"/>
      <c r="D51" s="2035"/>
      <c r="E51" s="2035"/>
      <c r="F51" s="2035"/>
      <c r="G51" s="2035"/>
      <c r="H51" s="2035"/>
      <c r="I51" s="2035"/>
      <c r="J51" s="2035"/>
      <c r="K51" s="2035"/>
      <c r="L51" s="2035"/>
      <c r="M51" s="2035" t="s">
        <v>144</v>
      </c>
      <c r="N51" s="2035"/>
      <c r="O51" s="2035"/>
      <c r="P51" s="2035"/>
      <c r="Q51" s="2035"/>
      <c r="R51" s="2035"/>
      <c r="S51" s="2035"/>
      <c r="T51" s="2035"/>
      <c r="U51" s="2035"/>
      <c r="V51" s="2035"/>
      <c r="W51" s="2035"/>
      <c r="X51" s="2035"/>
      <c r="Y51" s="2035"/>
      <c r="Z51" s="2035"/>
      <c r="AA51" s="2035"/>
      <c r="AB51" s="2035"/>
      <c r="AC51" s="2035"/>
      <c r="AD51" s="2035"/>
      <c r="AE51" s="2035"/>
      <c r="AF51" s="2035"/>
      <c r="AG51" s="2036" t="s">
        <v>279</v>
      </c>
      <c r="AH51" s="2036"/>
      <c r="AI51" s="2036"/>
      <c r="AJ51" s="2036"/>
      <c r="AK51" s="2037"/>
      <c r="AL51" s="2037"/>
      <c r="AM51" s="2037"/>
      <c r="AN51" s="2037"/>
      <c r="AO51" s="403"/>
      <c r="AQ51" s="312">
        <v>1.18</v>
      </c>
      <c r="AR51" s="313" t="s">
        <v>159</v>
      </c>
      <c r="AS51" s="315"/>
      <c r="AT51" s="129"/>
      <c r="AU51" s="348" t="e">
        <f t="shared" si="41"/>
        <v>#VALUE!</v>
      </c>
      <c r="AV51" s="309"/>
      <c r="AW51" s="309"/>
      <c r="AX51" s="309"/>
      <c r="BC51" s="371"/>
      <c r="BD51" s="325"/>
      <c r="BE51" s="2027"/>
      <c r="BF51" s="2028"/>
      <c r="BN51" s="33" t="s">
        <v>292</v>
      </c>
      <c r="BS51" s="262" t="s">
        <v>241</v>
      </c>
      <c r="BU51" s="121"/>
      <c r="BV51" s="260" t="s">
        <v>321</v>
      </c>
      <c r="BW51" s="122"/>
      <c r="BX51" s="122"/>
      <c r="BY51" s="122"/>
      <c r="BZ51" s="122"/>
      <c r="CA51" s="122"/>
    </row>
    <row r="52" spans="1:124" ht="27.95" customHeight="1">
      <c r="A52" s="2029" t="s">
        <v>144</v>
      </c>
      <c r="B52" s="2030"/>
      <c r="C52" s="2030"/>
      <c r="D52" s="2030"/>
      <c r="E52" s="2030"/>
      <c r="F52" s="2030"/>
      <c r="G52" s="2030"/>
      <c r="H52" s="2030"/>
      <c r="I52" s="2031" t="str">
        <f>IF(E51="","",+AB51-E51)</f>
        <v/>
      </c>
      <c r="J52" s="2031"/>
      <c r="K52" s="2031"/>
      <c r="L52" s="2031"/>
      <c r="M52" s="2032"/>
      <c r="N52" s="376" t="s">
        <v>279</v>
      </c>
      <c r="O52" s="377"/>
      <c r="P52" s="377"/>
      <c r="Q52" s="377"/>
      <c r="R52" s="377"/>
      <c r="S52" s="377"/>
      <c r="T52" s="377"/>
      <c r="U52" s="377"/>
      <c r="V52" s="377"/>
      <c r="W52" s="377"/>
      <c r="X52" s="377"/>
      <c r="Y52" s="375"/>
      <c r="Z52" s="375"/>
      <c r="AA52" s="375"/>
      <c r="AB52" s="375"/>
      <c r="AC52" s="375"/>
      <c r="AD52" s="375"/>
      <c r="AE52" s="375"/>
      <c r="AF52" s="375"/>
      <c r="AG52" s="2033">
        <f>+AK51-E51</f>
        <v>0</v>
      </c>
      <c r="AH52" s="2033"/>
      <c r="AI52" s="2033"/>
      <c r="AJ52" s="2033"/>
      <c r="AK52" s="2033"/>
      <c r="AL52" s="2033"/>
      <c r="AM52" s="2033"/>
      <c r="AN52" s="2034"/>
      <c r="AO52" s="389"/>
      <c r="AQ52" s="312">
        <v>0.6</v>
      </c>
      <c r="AR52" s="313" t="s">
        <v>160</v>
      </c>
      <c r="AS52" s="315"/>
      <c r="AT52" s="129"/>
      <c r="AU52" s="348" t="e">
        <f t="shared" si="41"/>
        <v>#VALUE!</v>
      </c>
      <c r="AV52" s="309"/>
      <c r="AW52" s="309"/>
      <c r="AX52" s="309"/>
      <c r="BN52" s="259" t="s">
        <v>237</v>
      </c>
      <c r="BS52" s="259" t="s">
        <v>293</v>
      </c>
      <c r="BU52" s="121"/>
      <c r="BV52" s="260" t="s">
        <v>294</v>
      </c>
      <c r="BW52" s="122"/>
      <c r="BX52" s="122"/>
      <c r="BY52" s="122"/>
      <c r="BZ52" s="122"/>
      <c r="CA52" s="122"/>
    </row>
    <row r="53" spans="1:124" ht="39.75" customHeight="1">
      <c r="A53" s="2007" t="s">
        <v>225</v>
      </c>
      <c r="B53" s="2008"/>
      <c r="C53" s="2008"/>
      <c r="D53" s="2009"/>
      <c r="E53" s="2013" t="s">
        <v>224</v>
      </c>
      <c r="F53" s="2014"/>
      <c r="G53" s="2014"/>
      <c r="H53" s="2015"/>
      <c r="I53" s="2019" t="s">
        <v>296</v>
      </c>
      <c r="J53" s="2020"/>
      <c r="K53" s="2020"/>
      <c r="L53" s="2020"/>
      <c r="M53" s="2020"/>
      <c r="N53" s="2020"/>
      <c r="O53" s="2020"/>
      <c r="P53" s="2021"/>
      <c r="Y53" s="2025" t="s">
        <v>154</v>
      </c>
      <c r="Z53" s="2025"/>
      <c r="AA53" s="2025"/>
      <c r="AB53" s="2025"/>
      <c r="AC53" s="2025"/>
      <c r="AD53" s="2025"/>
      <c r="AE53" s="2025"/>
      <c r="AF53" s="2025"/>
      <c r="AG53" s="372" t="s">
        <v>296</v>
      </c>
      <c r="AH53" s="373"/>
      <c r="AI53" s="373"/>
      <c r="AJ53" s="373"/>
      <c r="AK53" s="373"/>
      <c r="AL53" s="373"/>
      <c r="AM53" s="373"/>
      <c r="AN53" s="374"/>
      <c r="AO53" s="404"/>
      <c r="AQ53" s="312">
        <v>0.43</v>
      </c>
      <c r="AR53" s="313" t="s">
        <v>161</v>
      </c>
      <c r="AS53" s="315"/>
      <c r="AT53" s="129"/>
      <c r="AU53" s="348" t="e">
        <f t="shared" si="41"/>
        <v>#VALUE!</v>
      </c>
      <c r="AV53" s="309"/>
      <c r="AW53" s="309"/>
      <c r="AX53" s="309"/>
      <c r="BN53" s="262" t="s">
        <v>240</v>
      </c>
      <c r="BS53" s="259" t="s">
        <v>295</v>
      </c>
      <c r="BU53" s="121"/>
      <c r="BV53" s="260" t="s">
        <v>294</v>
      </c>
      <c r="BW53" s="122"/>
      <c r="BX53" s="122"/>
      <c r="BY53" s="122"/>
      <c r="BZ53" s="122"/>
      <c r="CA53" s="122"/>
    </row>
    <row r="54" spans="1:124" ht="14.1" customHeight="1">
      <c r="A54" s="2010"/>
      <c r="B54" s="2011"/>
      <c r="C54" s="2011"/>
      <c r="D54" s="2012"/>
      <c r="E54" s="2016"/>
      <c r="F54" s="2017"/>
      <c r="G54" s="2017"/>
      <c r="H54" s="2018"/>
      <c r="I54" s="2022"/>
      <c r="J54" s="2023"/>
      <c r="K54" s="2023"/>
      <c r="L54" s="2023"/>
      <c r="M54" s="2023"/>
      <c r="N54" s="2023"/>
      <c r="O54" s="2023"/>
      <c r="P54" s="2024"/>
      <c r="Y54" s="2025" t="s">
        <v>65</v>
      </c>
      <c r="Z54" s="2025"/>
      <c r="AA54" s="2025"/>
      <c r="AB54" s="2025"/>
      <c r="AC54" s="2025" t="s">
        <v>24</v>
      </c>
      <c r="AD54" s="2025"/>
      <c r="AE54" s="2025"/>
      <c r="AF54" s="2025"/>
      <c r="AG54" s="345"/>
      <c r="AH54" s="346"/>
      <c r="AI54" s="346"/>
      <c r="AJ54" s="346"/>
      <c r="AK54" s="346"/>
      <c r="AL54" s="346"/>
      <c r="AM54" s="346"/>
      <c r="AN54" s="347"/>
      <c r="AO54" s="404"/>
      <c r="AQ54" s="312">
        <v>0.3</v>
      </c>
      <c r="AR54" s="313" t="s">
        <v>162</v>
      </c>
      <c r="AS54" s="315"/>
      <c r="AT54" s="129"/>
      <c r="AU54" s="348" t="e">
        <f t="shared" si="41"/>
        <v>#VALUE!</v>
      </c>
      <c r="AV54" s="309"/>
      <c r="AW54" s="309"/>
      <c r="AX54" s="309"/>
      <c r="BN54" s="262" t="s">
        <v>239</v>
      </c>
      <c r="BS54" s="259" t="s">
        <v>237</v>
      </c>
      <c r="BU54" s="121"/>
      <c r="BV54" s="260"/>
      <c r="BW54" s="122"/>
      <c r="BX54" s="122"/>
      <c r="BY54" s="122"/>
      <c r="BZ54" s="122"/>
      <c r="CA54" s="122"/>
    </row>
    <row r="55" spans="1:124" ht="12.95" customHeight="1">
      <c r="A55" s="2002" t="str">
        <f>+IFERROR(AJ55,"")</f>
        <v/>
      </c>
      <c r="B55" s="2002"/>
      <c r="C55" s="2002"/>
      <c r="D55" s="2002"/>
      <c r="E55" s="1991" t="str">
        <f t="shared" ref="E55:E61" si="42">+IF(A55="","",AR35)</f>
        <v/>
      </c>
      <c r="F55" s="1992"/>
      <c r="G55" s="1992"/>
      <c r="H55" s="1993"/>
      <c r="I55" s="2004">
        <v>0</v>
      </c>
      <c r="J55" s="2004"/>
      <c r="K55" s="2004"/>
      <c r="L55" s="2004"/>
      <c r="M55" s="2004"/>
      <c r="N55" s="2004"/>
      <c r="O55" s="2004"/>
      <c r="P55" s="2004"/>
      <c r="Y55" s="1995" t="str">
        <f t="shared" ref="Y55:Y76" si="43">IF($I$52="","",IF(I55="","",(I55/$I$52)*100))</f>
        <v/>
      </c>
      <c r="Z55" s="1996"/>
      <c r="AA55" s="1996"/>
      <c r="AB55" s="1997"/>
      <c r="AC55" s="1995" t="str">
        <f>IF(I52="","",IF(Y55="","",(100-Y55)))</f>
        <v/>
      </c>
      <c r="AD55" s="1996"/>
      <c r="AE55" s="1996"/>
      <c r="AF55" s="1997"/>
      <c r="AG55" s="1998">
        <f t="shared" ref="AG55:AG62" si="44">+I55</f>
        <v>0</v>
      </c>
      <c r="AH55" s="1999"/>
      <c r="AI55" s="2000"/>
      <c r="AJ55" s="2001" t="e">
        <f>IF((VLOOKUP(AQ35,$A$15:$D$24,1,0))="#N/A","",VLOOKUP(AQ35,$A$15:$D$24,1,0))</f>
        <v>#N/A</v>
      </c>
      <c r="AK55" s="2001"/>
      <c r="AL55" s="2001"/>
      <c r="AM55" s="2001"/>
      <c r="AN55" s="352"/>
      <c r="AO55" s="405"/>
      <c r="AQ55" s="312">
        <v>0.18</v>
      </c>
      <c r="AR55" s="313" t="s">
        <v>236</v>
      </c>
      <c r="AS55" s="315"/>
      <c r="AT55" s="129"/>
      <c r="AU55" s="438" t="e">
        <f t="shared" si="41"/>
        <v>#VALUE!</v>
      </c>
      <c r="AV55" s="309"/>
      <c r="AW55" s="309"/>
      <c r="AX55" s="309"/>
      <c r="BN55" s="262" t="s">
        <v>238</v>
      </c>
      <c r="BS55" s="262" t="s">
        <v>240</v>
      </c>
      <c r="BV55" s="260" t="s">
        <v>297</v>
      </c>
    </row>
    <row r="56" spans="1:124" ht="38.1" customHeight="1">
      <c r="A56" s="2002" t="str">
        <f t="shared" ref="A56:A76" si="45">+IFERROR(AJ56,"")</f>
        <v/>
      </c>
      <c r="B56" s="2002"/>
      <c r="C56" s="2002"/>
      <c r="D56" s="2002"/>
      <c r="E56" s="1991" t="str">
        <f t="shared" si="42"/>
        <v/>
      </c>
      <c r="F56" s="1992"/>
      <c r="G56" s="1992"/>
      <c r="H56" s="1993"/>
      <c r="I56" s="2004">
        <v>0</v>
      </c>
      <c r="J56" s="2004"/>
      <c r="K56" s="2004"/>
      <c r="L56" s="2004"/>
      <c r="M56" s="2004"/>
      <c r="N56" s="2004"/>
      <c r="O56" s="2004"/>
      <c r="P56" s="2004"/>
      <c r="Y56" s="1995" t="str">
        <f t="shared" si="43"/>
        <v/>
      </c>
      <c r="Z56" s="1996"/>
      <c r="AA56" s="1996"/>
      <c r="AB56" s="1997"/>
      <c r="AC56" s="1995" t="str">
        <f t="shared" ref="AC56:AC76" si="46">IF($I$12="","",IF(Y56="","",(AC55-Y56)))</f>
        <v/>
      </c>
      <c r="AD56" s="1996"/>
      <c r="AE56" s="1996"/>
      <c r="AF56" s="1997"/>
      <c r="AG56" s="1998">
        <f t="shared" si="44"/>
        <v>0</v>
      </c>
      <c r="AH56" s="1999"/>
      <c r="AI56" s="2000"/>
      <c r="AJ56" s="2001" t="e">
        <f t="shared" ref="AJ56:AJ61" si="47">+VLOOKUP(AQ36,$A$15:$D$24,1,0)</f>
        <v>#N/A</v>
      </c>
      <c r="AK56" s="2001"/>
      <c r="AL56" s="2001"/>
      <c r="AM56" s="2001"/>
      <c r="AN56" s="352"/>
      <c r="AO56" s="405"/>
      <c r="AQ56" s="312">
        <v>0.15</v>
      </c>
      <c r="AR56" s="313" t="s">
        <v>163</v>
      </c>
      <c r="AS56" s="315"/>
      <c r="AT56" s="129"/>
      <c r="AU56" s="349" t="e">
        <f>+SUM(AU50:AU55)/100</f>
        <v>#VALUE!</v>
      </c>
      <c r="AV56" s="309"/>
      <c r="AW56" s="309"/>
      <c r="AX56" s="309"/>
      <c r="BN56" s="264" t="s">
        <v>262</v>
      </c>
      <c r="BS56" s="262" t="s">
        <v>239</v>
      </c>
      <c r="BU56" s="121"/>
      <c r="BV56" s="260" t="s">
        <v>297</v>
      </c>
    </row>
    <row r="57" spans="1:124" ht="16.5" customHeight="1">
      <c r="A57" s="2002" t="str">
        <f t="shared" si="45"/>
        <v/>
      </c>
      <c r="B57" s="2002"/>
      <c r="C57" s="2002"/>
      <c r="D57" s="2002"/>
      <c r="E57" s="1991" t="str">
        <f t="shared" si="42"/>
        <v/>
      </c>
      <c r="F57" s="1992"/>
      <c r="G57" s="1992"/>
      <c r="H57" s="1993"/>
      <c r="I57" s="2004">
        <v>0</v>
      </c>
      <c r="J57" s="2004"/>
      <c r="K57" s="2004"/>
      <c r="L57" s="2004"/>
      <c r="M57" s="2004"/>
      <c r="N57" s="2004"/>
      <c r="O57" s="2004"/>
      <c r="P57" s="2004"/>
      <c r="Q57" s="30"/>
      <c r="R57" s="30"/>
      <c r="S57" s="30"/>
      <c r="T57" s="30"/>
      <c r="U57" s="30"/>
      <c r="V57" s="30"/>
      <c r="W57" s="30"/>
      <c r="X57" s="30"/>
      <c r="Y57" s="1995" t="str">
        <f t="shared" si="43"/>
        <v/>
      </c>
      <c r="Z57" s="1996"/>
      <c r="AA57" s="1996"/>
      <c r="AB57" s="1997"/>
      <c r="AC57" s="1995" t="str">
        <f t="shared" si="46"/>
        <v/>
      </c>
      <c r="AD57" s="1996"/>
      <c r="AE57" s="1996"/>
      <c r="AF57" s="1997"/>
      <c r="AG57" s="1998">
        <f t="shared" si="44"/>
        <v>0</v>
      </c>
      <c r="AH57" s="1999"/>
      <c r="AI57" s="2000"/>
      <c r="AJ57" s="2001" t="e">
        <f t="shared" si="47"/>
        <v>#N/A</v>
      </c>
      <c r="AK57" s="2001"/>
      <c r="AL57" s="2001"/>
      <c r="AM57" s="2001"/>
      <c r="AN57" s="352"/>
      <c r="AO57" s="405"/>
      <c r="AQ57" s="312">
        <v>7.4999999999999997E-2</v>
      </c>
      <c r="AR57" s="313" t="s">
        <v>164</v>
      </c>
      <c r="AT57" s="129"/>
      <c r="AU57" s="348"/>
      <c r="BN57" s="264" t="s">
        <v>261</v>
      </c>
      <c r="BS57" s="262" t="s">
        <v>238</v>
      </c>
      <c r="BU57" s="121"/>
      <c r="BV57" s="260" t="s">
        <v>297</v>
      </c>
    </row>
    <row r="58" spans="1:124" ht="16.5" customHeight="1">
      <c r="A58" s="2002" t="str">
        <f t="shared" si="45"/>
        <v/>
      </c>
      <c r="B58" s="2002"/>
      <c r="C58" s="2002"/>
      <c r="D58" s="2002"/>
      <c r="E58" s="1991" t="str">
        <f t="shared" si="42"/>
        <v/>
      </c>
      <c r="F58" s="1992"/>
      <c r="G58" s="1992"/>
      <c r="H58" s="1993"/>
      <c r="I58" s="2004">
        <v>0</v>
      </c>
      <c r="J58" s="2004"/>
      <c r="K58" s="2004"/>
      <c r="L58" s="2004"/>
      <c r="M58" s="2004"/>
      <c r="N58" s="2004"/>
      <c r="O58" s="2004"/>
      <c r="P58" s="2004"/>
      <c r="Q58" s="31"/>
      <c r="R58" s="31"/>
      <c r="S58" s="31"/>
      <c r="T58" s="31"/>
      <c r="U58" s="31"/>
      <c r="V58" s="31"/>
      <c r="W58" s="31"/>
      <c r="X58" s="31"/>
      <c r="Y58" s="1995" t="str">
        <f t="shared" si="43"/>
        <v/>
      </c>
      <c r="Z58" s="1996"/>
      <c r="AA58" s="1996"/>
      <c r="AB58" s="1997"/>
      <c r="AC58" s="1995" t="str">
        <f t="shared" si="46"/>
        <v/>
      </c>
      <c r="AD58" s="1996"/>
      <c r="AE58" s="1996"/>
      <c r="AF58" s="1997"/>
      <c r="AG58" s="1998">
        <f t="shared" si="44"/>
        <v>0</v>
      </c>
      <c r="AH58" s="1999"/>
      <c r="AI58" s="2000"/>
      <c r="AJ58" s="2001" t="e">
        <f t="shared" si="47"/>
        <v>#N/A</v>
      </c>
      <c r="AK58" s="2001"/>
      <c r="AL58" s="2001"/>
      <c r="AM58" s="2001"/>
      <c r="AN58" s="352"/>
      <c r="AO58" s="405"/>
      <c r="AQ58" s="314" t="s">
        <v>24</v>
      </c>
      <c r="AR58" s="313" t="s">
        <v>253</v>
      </c>
      <c r="AT58" s="129"/>
      <c r="AU58" s="348"/>
      <c r="BN58" s="264" t="s">
        <v>260</v>
      </c>
      <c r="BS58" s="264" t="s">
        <v>262</v>
      </c>
      <c r="BU58" s="121"/>
      <c r="BV58" s="260" t="s">
        <v>298</v>
      </c>
    </row>
    <row r="59" spans="1:124" s="30" customFormat="1" ht="16.5" customHeight="1">
      <c r="A59" s="2002" t="str">
        <f t="shared" si="45"/>
        <v/>
      </c>
      <c r="B59" s="2002"/>
      <c r="C59" s="2002"/>
      <c r="D59" s="2002"/>
      <c r="E59" s="1991" t="str">
        <f t="shared" si="42"/>
        <v/>
      </c>
      <c r="F59" s="1992"/>
      <c r="G59" s="1992"/>
      <c r="H59" s="1993"/>
      <c r="I59" s="2004"/>
      <c r="J59" s="2004"/>
      <c r="K59" s="2004"/>
      <c r="L59" s="2004"/>
      <c r="M59" s="2004"/>
      <c r="N59" s="2004"/>
      <c r="O59" s="2004"/>
      <c r="P59" s="2004"/>
      <c r="Q59" s="26"/>
      <c r="R59" s="26"/>
      <c r="S59" s="26"/>
      <c r="T59" s="26"/>
      <c r="U59" s="26"/>
      <c r="V59" s="26"/>
      <c r="W59" s="26"/>
      <c r="X59" s="26"/>
      <c r="Y59" s="1995" t="str">
        <f t="shared" si="43"/>
        <v/>
      </c>
      <c r="Z59" s="1996"/>
      <c r="AA59" s="1996"/>
      <c r="AB59" s="1997"/>
      <c r="AC59" s="1995" t="str">
        <f t="shared" si="46"/>
        <v/>
      </c>
      <c r="AD59" s="1996"/>
      <c r="AE59" s="1996"/>
      <c r="AF59" s="1997"/>
      <c r="AG59" s="1998">
        <f t="shared" si="44"/>
        <v>0</v>
      </c>
      <c r="AH59" s="1999"/>
      <c r="AI59" s="2000"/>
      <c r="AJ59" s="2001" t="e">
        <f t="shared" si="47"/>
        <v>#N/A</v>
      </c>
      <c r="AK59" s="2001"/>
      <c r="AL59" s="2001"/>
      <c r="AM59" s="2001"/>
      <c r="AN59" s="352"/>
      <c r="AO59" s="405"/>
      <c r="AP59" s="33"/>
      <c r="AQ59" s="28"/>
      <c r="AR59" s="28"/>
      <c r="AS59" s="28"/>
      <c r="AT59" s="129"/>
      <c r="AU59" s="350"/>
      <c r="AV59" s="28"/>
      <c r="AW59" s="28"/>
      <c r="AX59" s="28"/>
      <c r="AY59" s="28"/>
      <c r="AZ59" s="28"/>
      <c r="BA59" s="28"/>
      <c r="BB59" s="28"/>
      <c r="BC59" s="28"/>
      <c r="BD59" s="28"/>
      <c r="BE59" s="28"/>
      <c r="BF59" s="28"/>
      <c r="BG59" s="28"/>
      <c r="BH59" s="28"/>
      <c r="BI59" s="28"/>
      <c r="BJ59" s="28"/>
      <c r="BK59" s="28"/>
      <c r="BL59" s="28"/>
      <c r="BM59" s="28"/>
      <c r="BN59" s="130" t="s">
        <v>299</v>
      </c>
      <c r="BO59" s="28"/>
      <c r="BP59" s="28"/>
      <c r="BQ59" s="28"/>
      <c r="BR59" s="28"/>
      <c r="BS59" s="264" t="s">
        <v>261</v>
      </c>
      <c r="BT59" s="29"/>
      <c r="BU59" s="121"/>
      <c r="BV59" s="260" t="s">
        <v>298</v>
      </c>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65"/>
      <c r="CU59" s="265"/>
      <c r="CV59" s="265"/>
      <c r="CW59" s="265"/>
      <c r="CX59" s="265"/>
      <c r="CY59" s="265"/>
      <c r="CZ59" s="265"/>
      <c r="DA59" s="265"/>
      <c r="DB59" s="265"/>
      <c r="DC59" s="265"/>
      <c r="DD59" s="265"/>
      <c r="DE59" s="265"/>
      <c r="DF59" s="273"/>
      <c r="DG59" s="273"/>
      <c r="DH59" s="273"/>
      <c r="DI59" s="273"/>
      <c r="DJ59" s="273"/>
      <c r="DK59" s="273"/>
      <c r="DL59" s="273"/>
      <c r="DM59" s="273"/>
      <c r="DN59" s="273"/>
      <c r="DO59" s="273"/>
      <c r="DP59" s="273"/>
      <c r="DQ59" s="273"/>
      <c r="DR59" s="273"/>
      <c r="DS59" s="273"/>
      <c r="DT59" s="273"/>
    </row>
    <row r="60" spans="1:124" s="31" customFormat="1" ht="16.5" customHeight="1">
      <c r="A60" s="2002" t="str">
        <f t="shared" si="45"/>
        <v/>
      </c>
      <c r="B60" s="2002"/>
      <c r="C60" s="2002"/>
      <c r="D60" s="2002"/>
      <c r="E60" s="1991" t="str">
        <f t="shared" si="42"/>
        <v/>
      </c>
      <c r="F60" s="1992"/>
      <c r="G60" s="1992"/>
      <c r="H60" s="1993"/>
      <c r="I60" s="2004"/>
      <c r="J60" s="2004"/>
      <c r="K60" s="2004"/>
      <c r="L60" s="2004"/>
      <c r="M60" s="2004"/>
      <c r="N60" s="2004"/>
      <c r="O60" s="2004"/>
      <c r="P60" s="2004"/>
      <c r="Q60" s="26"/>
      <c r="R60" s="26"/>
      <c r="S60" s="26"/>
      <c r="T60" s="26"/>
      <c r="U60" s="26"/>
      <c r="V60" s="26"/>
      <c r="W60" s="26"/>
      <c r="X60" s="26"/>
      <c r="Y60" s="1995" t="str">
        <f t="shared" si="43"/>
        <v/>
      </c>
      <c r="Z60" s="1996"/>
      <c r="AA60" s="1996"/>
      <c r="AB60" s="1997"/>
      <c r="AC60" s="1995" t="str">
        <f t="shared" si="46"/>
        <v/>
      </c>
      <c r="AD60" s="1996"/>
      <c r="AE60" s="1996"/>
      <c r="AF60" s="1997"/>
      <c r="AG60" s="1998">
        <f t="shared" si="44"/>
        <v>0</v>
      </c>
      <c r="AH60" s="1999"/>
      <c r="AI60" s="2000"/>
      <c r="AJ60" s="2001" t="e">
        <f t="shared" si="47"/>
        <v>#N/A</v>
      </c>
      <c r="AK60" s="2001"/>
      <c r="AL60" s="2001"/>
      <c r="AM60" s="2001"/>
      <c r="AN60" s="352"/>
      <c r="AO60" s="405"/>
      <c r="AP60" s="28"/>
      <c r="AQ60" s="266"/>
      <c r="AR60" s="266"/>
      <c r="AS60" s="266"/>
      <c r="AT60" s="129"/>
      <c r="AU60" s="350"/>
      <c r="AV60" s="266"/>
      <c r="AW60" s="266"/>
      <c r="AX60" s="266"/>
      <c r="AY60" s="266"/>
      <c r="AZ60" s="266"/>
      <c r="BA60" s="266"/>
      <c r="BB60" s="266"/>
      <c r="BC60" s="266"/>
      <c r="BD60" s="266"/>
      <c r="BE60" s="266"/>
      <c r="BF60" s="266"/>
      <c r="BG60" s="266"/>
      <c r="BH60" s="266"/>
      <c r="BI60" s="266"/>
      <c r="BJ60" s="266"/>
      <c r="BK60" s="266"/>
      <c r="BL60" s="266"/>
      <c r="BM60" s="266"/>
      <c r="BN60" s="130" t="s">
        <v>320</v>
      </c>
      <c r="BO60" s="266"/>
      <c r="BP60" s="266"/>
      <c r="BQ60" s="266"/>
      <c r="BR60" s="266"/>
      <c r="BS60" s="264" t="s">
        <v>260</v>
      </c>
      <c r="BT60" s="303"/>
      <c r="BU60" s="303"/>
      <c r="BV60" s="260" t="s">
        <v>298</v>
      </c>
      <c r="BW60" s="303"/>
      <c r="BX60" s="303"/>
      <c r="BY60" s="303"/>
      <c r="BZ60" s="303"/>
      <c r="CA60" s="303"/>
      <c r="CB60" s="303"/>
      <c r="CC60" s="303"/>
      <c r="CD60" s="303"/>
      <c r="CE60" s="303"/>
      <c r="CF60" s="303"/>
      <c r="CG60" s="303"/>
      <c r="CH60" s="303"/>
      <c r="CI60" s="303"/>
      <c r="CJ60" s="303"/>
      <c r="CK60" s="303"/>
      <c r="CL60" s="303"/>
      <c r="CM60" s="303"/>
      <c r="CN60" s="303"/>
      <c r="CO60" s="303"/>
      <c r="CP60" s="303"/>
      <c r="CQ60" s="303"/>
      <c r="CR60" s="303"/>
      <c r="CS60" s="303"/>
      <c r="CT60" s="2006"/>
      <c r="CU60" s="2006"/>
      <c r="CV60" s="2006"/>
      <c r="CW60" s="2006"/>
      <c r="CX60" s="2006"/>
      <c r="CY60" s="2006"/>
      <c r="CZ60" s="2006"/>
      <c r="DA60" s="2006"/>
      <c r="DB60" s="2006"/>
      <c r="DC60" s="2006"/>
      <c r="DD60" s="2006"/>
      <c r="DE60" s="2006"/>
      <c r="DF60" s="2006"/>
      <c r="DG60" s="2006"/>
      <c r="DH60" s="2006"/>
      <c r="DI60" s="2006"/>
      <c r="DJ60" s="2006"/>
      <c r="DK60" s="2006"/>
      <c r="DL60" s="2006"/>
      <c r="DM60" s="2006"/>
      <c r="DN60" s="2006"/>
      <c r="DO60" s="2006"/>
      <c r="DP60" s="2006"/>
      <c r="DQ60" s="2006"/>
      <c r="DR60" s="2006"/>
      <c r="DS60" s="2006"/>
      <c r="DT60" s="2006"/>
    </row>
    <row r="61" spans="1:124" s="26" customFormat="1" ht="16.5" customHeight="1">
      <c r="A61" s="2002" t="str">
        <f t="shared" si="45"/>
        <v/>
      </c>
      <c r="B61" s="2002"/>
      <c r="C61" s="2002"/>
      <c r="D61" s="2002"/>
      <c r="E61" s="1991" t="str">
        <f t="shared" si="42"/>
        <v/>
      </c>
      <c r="F61" s="1992"/>
      <c r="G61" s="1992"/>
      <c r="H61" s="1993"/>
      <c r="I61" s="2004"/>
      <c r="J61" s="2004"/>
      <c r="K61" s="2004"/>
      <c r="L61" s="2004"/>
      <c r="M61" s="2004"/>
      <c r="N61" s="2004"/>
      <c r="O61" s="2004"/>
      <c r="P61" s="2004"/>
      <c r="Y61" s="1995" t="str">
        <f t="shared" si="43"/>
        <v/>
      </c>
      <c r="Z61" s="1996"/>
      <c r="AA61" s="1996"/>
      <c r="AB61" s="1997"/>
      <c r="AC61" s="1995" t="str">
        <f t="shared" si="46"/>
        <v/>
      </c>
      <c r="AD61" s="1996"/>
      <c r="AE61" s="1996"/>
      <c r="AF61" s="1997"/>
      <c r="AG61" s="1998">
        <f t="shared" si="44"/>
        <v>0</v>
      </c>
      <c r="AH61" s="1999"/>
      <c r="AI61" s="2000"/>
      <c r="AJ61" s="2001" t="e">
        <f t="shared" si="47"/>
        <v>#N/A</v>
      </c>
      <c r="AK61" s="2001"/>
      <c r="AL61" s="2001"/>
      <c r="AM61" s="2001"/>
      <c r="AN61" s="352"/>
      <c r="AO61" s="405"/>
      <c r="AP61" s="128"/>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30" t="s">
        <v>319</v>
      </c>
      <c r="BO61" s="129"/>
      <c r="BP61" s="129"/>
      <c r="BQ61" s="129"/>
      <c r="BR61" s="129"/>
      <c r="BS61" s="259" t="s">
        <v>299</v>
      </c>
      <c r="BT61" s="130"/>
      <c r="BU61" s="130"/>
      <c r="BV61" s="260" t="s">
        <v>300</v>
      </c>
      <c r="BW61" s="130"/>
      <c r="BX61" s="130"/>
      <c r="BY61" s="130"/>
      <c r="BZ61" s="130"/>
      <c r="CA61" s="130"/>
      <c r="CB61" s="130"/>
      <c r="CC61" s="130"/>
      <c r="CD61" s="130"/>
      <c r="CE61" s="130"/>
      <c r="CF61" s="130"/>
      <c r="CG61" s="130"/>
      <c r="CH61" s="130"/>
      <c r="CI61" s="130"/>
      <c r="CJ61" s="130"/>
      <c r="CK61" s="130"/>
      <c r="CL61" s="130"/>
      <c r="CM61" s="130"/>
      <c r="CN61" s="130"/>
      <c r="CO61" s="130"/>
      <c r="CP61" s="130"/>
      <c r="CQ61" s="130"/>
      <c r="CR61" s="130"/>
      <c r="CS61" s="130"/>
      <c r="CT61" s="259"/>
      <c r="CU61" s="259"/>
      <c r="CV61" s="259"/>
      <c r="CW61" s="259"/>
      <c r="CX61" s="259"/>
      <c r="CY61" s="259"/>
      <c r="CZ61" s="259"/>
      <c r="DA61" s="259"/>
      <c r="DB61" s="259"/>
      <c r="DC61" s="259"/>
      <c r="DD61" s="259"/>
      <c r="DE61" s="259"/>
      <c r="DF61" s="259"/>
      <c r="DG61" s="259"/>
      <c r="DH61" s="259"/>
      <c r="DI61" s="259"/>
      <c r="DJ61" s="259"/>
      <c r="DK61" s="259"/>
      <c r="DL61" s="259"/>
      <c r="DM61" s="259"/>
      <c r="DN61" s="259"/>
      <c r="DO61" s="259"/>
      <c r="DP61" s="259"/>
      <c r="DQ61" s="259"/>
      <c r="DR61" s="259"/>
      <c r="DS61" s="259"/>
      <c r="DT61" s="259"/>
    </row>
    <row r="62" spans="1:124" s="26" customFormat="1" ht="16.5" customHeight="1">
      <c r="A62" s="2002" t="str">
        <f t="shared" si="45"/>
        <v/>
      </c>
      <c r="B62" s="2002"/>
      <c r="C62" s="2002"/>
      <c r="D62" s="2002"/>
      <c r="E62" s="1991" t="str">
        <f t="shared" ref="E62:E75" si="48">+IF(A62="","",AR44)</f>
        <v/>
      </c>
      <c r="F62" s="1992"/>
      <c r="G62" s="1992"/>
      <c r="H62" s="1993"/>
      <c r="I62" s="2004"/>
      <c r="J62" s="2004"/>
      <c r="K62" s="2004"/>
      <c r="L62" s="2004"/>
      <c r="M62" s="2004"/>
      <c r="N62" s="2004"/>
      <c r="O62" s="2004"/>
      <c r="P62" s="2004"/>
      <c r="Y62" s="1995" t="str">
        <f t="shared" si="43"/>
        <v/>
      </c>
      <c r="Z62" s="1996"/>
      <c r="AA62" s="1996"/>
      <c r="AB62" s="1997"/>
      <c r="AC62" s="1995" t="str">
        <f t="shared" si="46"/>
        <v/>
      </c>
      <c r="AD62" s="1996"/>
      <c r="AE62" s="1996"/>
      <c r="AF62" s="1997"/>
      <c r="AG62" s="1998">
        <f t="shared" si="44"/>
        <v>0</v>
      </c>
      <c r="AH62" s="1999"/>
      <c r="AI62" s="2000"/>
      <c r="AJ62" s="2001" t="e">
        <f t="shared" ref="AJ62:AJ75" si="49">+VLOOKUP(AQ44,$A$15:$D$24,1,0)</f>
        <v>#N/A</v>
      </c>
      <c r="AK62" s="2001"/>
      <c r="AL62" s="2001"/>
      <c r="AM62" s="2001"/>
      <c r="AN62" s="352"/>
      <c r="AO62" s="405"/>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265" t="s">
        <v>256</v>
      </c>
      <c r="BO62" s="129"/>
      <c r="BP62" s="129"/>
      <c r="BQ62" s="129"/>
      <c r="BR62" s="129"/>
      <c r="BS62" s="259" t="s">
        <v>320</v>
      </c>
      <c r="BT62" s="130"/>
      <c r="BU62" s="130"/>
      <c r="BV62" s="260" t="s">
        <v>301</v>
      </c>
      <c r="BW62" s="130"/>
      <c r="BX62" s="130"/>
      <c r="BY62" s="130"/>
      <c r="BZ62" s="130"/>
      <c r="CA62" s="130"/>
      <c r="CB62" s="130"/>
      <c r="CC62" s="130"/>
      <c r="CD62" s="130"/>
      <c r="CE62" s="130"/>
      <c r="CF62" s="130"/>
      <c r="CG62" s="130"/>
      <c r="CH62" s="130"/>
      <c r="CI62" s="130"/>
      <c r="CJ62" s="130"/>
      <c r="CK62" s="130"/>
      <c r="CL62" s="130"/>
      <c r="CM62" s="130"/>
      <c r="CN62" s="130"/>
      <c r="CO62" s="130"/>
      <c r="CP62" s="130"/>
      <c r="CQ62" s="130"/>
      <c r="CR62" s="130"/>
      <c r="CS62" s="130"/>
      <c r="CT62" s="259"/>
      <c r="CU62" s="259"/>
      <c r="CV62" s="259"/>
      <c r="CW62" s="259"/>
      <c r="CX62" s="259"/>
      <c r="CY62" s="259"/>
      <c r="CZ62" s="259"/>
      <c r="DA62" s="259"/>
      <c r="DB62" s="259"/>
      <c r="DC62" s="259"/>
      <c r="DD62" s="259"/>
      <c r="DE62" s="259"/>
      <c r="DF62" s="259"/>
      <c r="DG62" s="259"/>
      <c r="DH62" s="259"/>
      <c r="DI62" s="259"/>
      <c r="DJ62" s="259"/>
      <c r="DK62" s="259"/>
      <c r="DL62" s="259"/>
      <c r="DM62" s="259"/>
      <c r="DN62" s="274"/>
      <c r="DO62" s="274"/>
      <c r="DP62" s="274"/>
      <c r="DQ62" s="274"/>
      <c r="DR62" s="274"/>
      <c r="DS62" s="274"/>
      <c r="DT62" s="274"/>
    </row>
    <row r="63" spans="1:124" s="26" customFormat="1" ht="16.5" customHeight="1">
      <c r="A63" s="2003" t="str">
        <f>IF(I52="","",AQ45)</f>
        <v/>
      </c>
      <c r="B63" s="2002"/>
      <c r="C63" s="2002"/>
      <c r="D63" s="2002"/>
      <c r="E63" s="1991" t="str">
        <f t="shared" si="48"/>
        <v/>
      </c>
      <c r="F63" s="1992"/>
      <c r="G63" s="1992"/>
      <c r="H63" s="1993"/>
      <c r="I63" s="2004"/>
      <c r="J63" s="2004"/>
      <c r="K63" s="2004"/>
      <c r="L63" s="2004"/>
      <c r="M63" s="2004"/>
      <c r="N63" s="2004"/>
      <c r="O63" s="2004"/>
      <c r="P63" s="2004"/>
      <c r="Y63" s="1995" t="str">
        <f t="shared" si="43"/>
        <v/>
      </c>
      <c r="Z63" s="1996"/>
      <c r="AA63" s="1996"/>
      <c r="AB63" s="1997"/>
      <c r="AC63" s="1995" t="str">
        <f t="shared" si="46"/>
        <v/>
      </c>
      <c r="AD63" s="1996"/>
      <c r="AE63" s="1996"/>
      <c r="AF63" s="1997"/>
      <c r="AG63" s="2005">
        <f>IF(AP66=E63,I63,"")</f>
        <v>0</v>
      </c>
      <c r="AH63" s="1999"/>
      <c r="AI63" s="2000"/>
      <c r="AJ63" s="2001" t="e">
        <f t="shared" si="49"/>
        <v>#N/A</v>
      </c>
      <c r="AK63" s="2001"/>
      <c r="AL63" s="2001"/>
      <c r="AM63" s="2001"/>
      <c r="AN63" s="352"/>
      <c r="AO63" s="405"/>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259" t="s">
        <v>319</v>
      </c>
      <c r="BT63" s="130"/>
      <c r="BU63" s="130"/>
      <c r="BV63" s="260" t="s">
        <v>301</v>
      </c>
      <c r="BW63" s="130"/>
      <c r="BX63" s="130"/>
      <c r="BY63" s="130"/>
      <c r="BZ63" s="130"/>
      <c r="CA63" s="130"/>
      <c r="CB63" s="130"/>
      <c r="CC63" s="130"/>
      <c r="CD63" s="130"/>
      <c r="CE63" s="130"/>
      <c r="CF63" s="130"/>
      <c r="CG63" s="130"/>
      <c r="CH63" s="130"/>
      <c r="CI63" s="130"/>
      <c r="CJ63" s="130"/>
      <c r="CK63" s="130"/>
      <c r="CL63" s="130"/>
      <c r="CM63" s="130"/>
      <c r="CN63" s="130"/>
      <c r="CO63" s="130"/>
      <c r="CP63" s="130"/>
      <c r="CQ63" s="130"/>
      <c r="CR63" s="130"/>
      <c r="CS63" s="130"/>
      <c r="CT63" s="259"/>
      <c r="CU63" s="259"/>
      <c r="CV63" s="259"/>
      <c r="CW63" s="259"/>
      <c r="CX63" s="259"/>
      <c r="CY63" s="259"/>
      <c r="CZ63" s="259"/>
      <c r="DA63" s="259"/>
      <c r="DB63" s="259"/>
      <c r="DC63" s="259"/>
      <c r="DD63" s="259"/>
      <c r="DE63" s="259"/>
      <c r="DF63" s="259"/>
      <c r="DG63" s="259"/>
      <c r="DH63" s="259"/>
      <c r="DI63" s="259"/>
      <c r="DJ63" s="259"/>
      <c r="DK63" s="259"/>
      <c r="DL63" s="259"/>
      <c r="DM63" s="259"/>
      <c r="DN63" s="274"/>
      <c r="DO63" s="274"/>
      <c r="DP63" s="274"/>
      <c r="DQ63" s="274"/>
      <c r="DR63" s="274"/>
      <c r="DS63" s="274"/>
      <c r="DT63" s="274"/>
    </row>
    <row r="64" spans="1:124" s="26" customFormat="1" ht="16.5" customHeight="1">
      <c r="A64" s="2002" t="str">
        <f t="shared" si="45"/>
        <v/>
      </c>
      <c r="B64" s="2002"/>
      <c r="C64" s="2002"/>
      <c r="D64" s="2002"/>
      <c r="E64" s="1991" t="str">
        <f t="shared" si="48"/>
        <v/>
      </c>
      <c r="F64" s="1992"/>
      <c r="G64" s="1992"/>
      <c r="H64" s="1993"/>
      <c r="I64" s="2004"/>
      <c r="J64" s="2004"/>
      <c r="K64" s="2004"/>
      <c r="L64" s="2004"/>
      <c r="M64" s="2004"/>
      <c r="N64" s="2004"/>
      <c r="O64" s="2004"/>
      <c r="P64" s="2004"/>
      <c r="Q64" s="32"/>
      <c r="R64" s="32"/>
      <c r="S64" s="32"/>
      <c r="T64" s="32"/>
      <c r="U64" s="32"/>
      <c r="V64" s="32"/>
      <c r="W64" s="32"/>
      <c r="X64" s="32"/>
      <c r="Y64" s="1995" t="str">
        <f t="shared" si="43"/>
        <v/>
      </c>
      <c r="Z64" s="1996"/>
      <c r="AA64" s="1996"/>
      <c r="AB64" s="1997"/>
      <c r="AC64" s="1995" t="str">
        <f t="shared" si="46"/>
        <v/>
      </c>
      <c r="AD64" s="1996"/>
      <c r="AE64" s="1996"/>
      <c r="AF64" s="1997"/>
      <c r="AG64" s="2005">
        <f>IF(AG63="",I63+I64,I64)</f>
        <v>0</v>
      </c>
      <c r="AH64" s="1999"/>
      <c r="AI64" s="2000"/>
      <c r="AJ64" s="2001" t="e">
        <f t="shared" si="49"/>
        <v>#N/A</v>
      </c>
      <c r="AK64" s="2001"/>
      <c r="AL64" s="2001"/>
      <c r="AM64" s="2001"/>
      <c r="AN64" s="352"/>
      <c r="AO64" s="405"/>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265" t="s">
        <v>256</v>
      </c>
      <c r="BT64" s="130"/>
      <c r="BU64" s="153"/>
      <c r="BV64" s="260" t="s">
        <v>302</v>
      </c>
      <c r="BW64" s="130"/>
      <c r="BX64" s="130"/>
      <c r="BY64" s="130"/>
      <c r="BZ64" s="130"/>
      <c r="CA64" s="130"/>
      <c r="CB64" s="130"/>
      <c r="CC64" s="130"/>
      <c r="CD64" s="130"/>
      <c r="CE64" s="130"/>
      <c r="CF64" s="130"/>
      <c r="CG64" s="130"/>
      <c r="CH64" s="130"/>
      <c r="CI64" s="130"/>
      <c r="CJ64" s="130"/>
      <c r="CK64" s="130"/>
      <c r="CL64" s="130"/>
      <c r="CM64" s="130"/>
      <c r="CN64" s="130"/>
      <c r="CO64" s="130"/>
      <c r="CP64" s="130"/>
      <c r="CQ64" s="130"/>
      <c r="CR64" s="130"/>
      <c r="CS64" s="130"/>
      <c r="CT64" s="259"/>
      <c r="CU64" s="259"/>
      <c r="CV64" s="275"/>
      <c r="CW64" s="259"/>
      <c r="CX64" s="259"/>
      <c r="CY64" s="259"/>
      <c r="CZ64" s="259"/>
      <c r="DA64" s="259"/>
      <c r="DB64" s="259"/>
      <c r="DC64" s="259"/>
      <c r="DD64" s="259"/>
      <c r="DE64" s="259"/>
      <c r="DF64" s="259"/>
      <c r="DG64" s="259"/>
      <c r="DH64" s="259"/>
      <c r="DI64" s="259"/>
      <c r="DJ64" s="259"/>
      <c r="DK64" s="259"/>
      <c r="DL64" s="259"/>
      <c r="DM64" s="259"/>
      <c r="DN64" s="274"/>
      <c r="DO64" s="274"/>
      <c r="DP64" s="274"/>
      <c r="DQ64" s="274"/>
      <c r="DR64" s="274"/>
      <c r="DS64" s="274"/>
      <c r="DT64" s="274"/>
    </row>
    <row r="65" spans="1:124" s="26" customFormat="1" ht="16.5" customHeight="1">
      <c r="A65" s="2003" t="str">
        <f>IF(I52="","",AQ47)</f>
        <v/>
      </c>
      <c r="B65" s="2002"/>
      <c r="C65" s="2002"/>
      <c r="D65" s="2002"/>
      <c r="E65" s="1991" t="str">
        <f t="shared" si="48"/>
        <v/>
      </c>
      <c r="F65" s="1992"/>
      <c r="G65" s="1992"/>
      <c r="H65" s="1993"/>
      <c r="I65" s="1994"/>
      <c r="J65" s="1994"/>
      <c r="K65" s="1994"/>
      <c r="L65" s="1994"/>
      <c r="M65" s="1994"/>
      <c r="N65" s="1994"/>
      <c r="O65" s="1994"/>
      <c r="P65" s="1994"/>
      <c r="Y65" s="1995" t="str">
        <f t="shared" si="43"/>
        <v/>
      </c>
      <c r="Z65" s="1996"/>
      <c r="AA65" s="1996"/>
      <c r="AB65" s="1997"/>
      <c r="AC65" s="1995" t="str">
        <f t="shared" si="46"/>
        <v/>
      </c>
      <c r="AD65" s="1996"/>
      <c r="AE65" s="1996"/>
      <c r="AF65" s="1997"/>
      <c r="AG65" s="1998">
        <f>IF(AP67=E65,I65,"")</f>
        <v>0</v>
      </c>
      <c r="AH65" s="1999"/>
      <c r="AI65" s="2000"/>
      <c r="AJ65" s="2001" t="e">
        <f t="shared" si="49"/>
        <v>#N/A</v>
      </c>
      <c r="AK65" s="2001"/>
      <c r="AL65" s="2001"/>
      <c r="AM65" s="2001"/>
      <c r="AN65" s="352"/>
      <c r="AO65" s="405"/>
      <c r="AP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129"/>
      <c r="BR65" s="129"/>
      <c r="BT65" s="130"/>
      <c r="BU65" s="153"/>
      <c r="BV65" s="153"/>
      <c r="BW65" s="153"/>
      <c r="BX65" s="153"/>
      <c r="BY65" s="153"/>
      <c r="BZ65" s="153"/>
      <c r="CA65" s="153"/>
      <c r="CB65" s="153"/>
      <c r="CC65" s="130"/>
      <c r="CD65" s="130"/>
      <c r="CE65" s="130"/>
      <c r="CF65" s="130"/>
      <c r="CG65" s="130"/>
      <c r="CH65" s="130"/>
      <c r="CI65" s="130"/>
      <c r="CJ65" s="130"/>
      <c r="CK65" s="130"/>
      <c r="CL65" s="130"/>
      <c r="CM65" s="130"/>
      <c r="CN65" s="130"/>
      <c r="CO65" s="130"/>
      <c r="CP65" s="130"/>
      <c r="CQ65" s="130"/>
      <c r="CR65" s="130"/>
      <c r="CS65" s="130"/>
      <c r="CT65" s="275"/>
      <c r="CU65" s="259"/>
      <c r="CV65" s="275"/>
      <c r="CW65" s="259"/>
      <c r="CX65" s="259"/>
      <c r="CY65" s="259"/>
      <c r="CZ65" s="259"/>
      <c r="DA65" s="259"/>
      <c r="DB65" s="259"/>
      <c r="DC65" s="275"/>
      <c r="DD65" s="259"/>
      <c r="DE65" s="259"/>
      <c r="DF65" s="259"/>
      <c r="DG65" s="259"/>
      <c r="DH65" s="259"/>
      <c r="DI65" s="259"/>
      <c r="DJ65" s="259"/>
      <c r="DK65" s="259"/>
      <c r="DL65" s="259"/>
      <c r="DM65" s="259"/>
      <c r="DN65" s="274"/>
      <c r="DO65" s="274"/>
      <c r="DP65" s="274"/>
      <c r="DQ65" s="274"/>
      <c r="DR65" s="274"/>
      <c r="DS65" s="274"/>
      <c r="DT65" s="274"/>
    </row>
    <row r="66" spans="1:124" s="32" customFormat="1" ht="16.5" customHeight="1">
      <c r="A66" s="2002" t="str">
        <f t="shared" si="45"/>
        <v/>
      </c>
      <c r="B66" s="2002"/>
      <c r="C66" s="2002"/>
      <c r="D66" s="2002"/>
      <c r="E66" s="1991" t="str">
        <f t="shared" si="48"/>
        <v/>
      </c>
      <c r="F66" s="1992"/>
      <c r="G66" s="1992"/>
      <c r="H66" s="1993"/>
      <c r="I66" s="1994"/>
      <c r="J66" s="1994"/>
      <c r="K66" s="1994"/>
      <c r="L66" s="1994"/>
      <c r="M66" s="1994"/>
      <c r="N66" s="1994"/>
      <c r="O66" s="1994"/>
      <c r="P66" s="1994"/>
      <c r="Q66" s="26"/>
      <c r="R66" s="26"/>
      <c r="S66" s="26"/>
      <c r="T66" s="26"/>
      <c r="U66" s="26"/>
      <c r="V66" s="26"/>
      <c r="W66" s="26"/>
      <c r="X66" s="26"/>
      <c r="Y66" s="1995" t="str">
        <f t="shared" si="43"/>
        <v/>
      </c>
      <c r="Z66" s="1996"/>
      <c r="AA66" s="1996"/>
      <c r="AB66" s="1997"/>
      <c r="AC66" s="1995" t="str">
        <f t="shared" si="46"/>
        <v/>
      </c>
      <c r="AD66" s="1996"/>
      <c r="AE66" s="1996"/>
      <c r="AF66" s="1997"/>
      <c r="AG66" s="1998">
        <f>IF(AG65="",I65+I66,I66)</f>
        <v>0</v>
      </c>
      <c r="AH66" s="1999"/>
      <c r="AI66" s="2000"/>
      <c r="AJ66" s="2001" t="e">
        <f t="shared" si="49"/>
        <v>#N/A</v>
      </c>
      <c r="AK66" s="2001"/>
      <c r="AL66" s="2001"/>
      <c r="AM66" s="2001"/>
      <c r="AN66" s="352"/>
      <c r="AO66" s="405"/>
      <c r="AP66" s="129" t="str">
        <f>IFERROR(VLOOKUP(A63,$A$15:$H$24,5,0),"")</f>
        <v/>
      </c>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53"/>
      <c r="BT66" s="153"/>
      <c r="BU66" s="153"/>
      <c r="BV66" s="153"/>
      <c r="BW66" s="153"/>
      <c r="BX66" s="153"/>
      <c r="BY66" s="153"/>
      <c r="BZ66" s="153"/>
      <c r="CA66" s="153"/>
      <c r="CB66" s="153"/>
      <c r="CC66" s="153"/>
      <c r="CD66" s="153"/>
      <c r="CE66" s="153"/>
      <c r="CF66" s="153"/>
      <c r="CG66" s="153"/>
      <c r="CH66" s="153"/>
      <c r="CI66" s="130"/>
      <c r="CJ66" s="130"/>
      <c r="CK66" s="153"/>
      <c r="CL66" s="130"/>
      <c r="CM66" s="130"/>
      <c r="CN66" s="130"/>
      <c r="CO66" s="130"/>
      <c r="CP66" s="130"/>
      <c r="CQ66" s="130"/>
      <c r="CR66" s="130"/>
      <c r="CS66" s="130"/>
      <c r="CT66" s="275"/>
      <c r="CU66" s="275"/>
      <c r="CV66" s="275"/>
      <c r="CW66" s="275"/>
      <c r="CX66" s="275"/>
      <c r="CY66" s="275"/>
      <c r="CZ66" s="275"/>
      <c r="DA66" s="275"/>
      <c r="DB66" s="275"/>
      <c r="DC66" s="275"/>
      <c r="DD66" s="275"/>
      <c r="DE66" s="275"/>
      <c r="DF66" s="275"/>
      <c r="DG66" s="275"/>
      <c r="DH66" s="275"/>
      <c r="DI66" s="275"/>
      <c r="DJ66" s="275"/>
      <c r="DK66" s="259"/>
      <c r="DL66" s="259"/>
      <c r="DM66" s="275"/>
      <c r="DN66" s="274"/>
      <c r="DO66" s="274"/>
      <c r="DP66" s="274"/>
      <c r="DQ66" s="274"/>
      <c r="DR66" s="274"/>
      <c r="DS66" s="274"/>
      <c r="DT66" s="274"/>
    </row>
    <row r="67" spans="1:124" s="26" customFormat="1" ht="16.5" customHeight="1">
      <c r="A67" s="2002" t="str">
        <f t="shared" si="45"/>
        <v/>
      </c>
      <c r="B67" s="2002"/>
      <c r="C67" s="2002"/>
      <c r="D67" s="2002"/>
      <c r="E67" s="1991" t="str">
        <f t="shared" si="48"/>
        <v/>
      </c>
      <c r="F67" s="1992"/>
      <c r="G67" s="1992"/>
      <c r="H67" s="1993"/>
      <c r="I67" s="1994"/>
      <c r="J67" s="1994"/>
      <c r="K67" s="1994"/>
      <c r="L67" s="1994"/>
      <c r="M67" s="1994"/>
      <c r="N67" s="1994"/>
      <c r="O67" s="1994"/>
      <c r="P67" s="1994"/>
      <c r="Q67" s="30"/>
      <c r="R67" s="30"/>
      <c r="S67" s="30"/>
      <c r="T67" s="30"/>
      <c r="U67" s="30"/>
      <c r="V67" s="30"/>
      <c r="W67" s="30"/>
      <c r="X67" s="30"/>
      <c r="Y67" s="1995" t="str">
        <f t="shared" si="43"/>
        <v/>
      </c>
      <c r="Z67" s="1996"/>
      <c r="AA67" s="1996"/>
      <c r="AB67" s="1997"/>
      <c r="AC67" s="1995" t="str">
        <f t="shared" si="46"/>
        <v/>
      </c>
      <c r="AD67" s="1996"/>
      <c r="AE67" s="1996"/>
      <c r="AF67" s="1997"/>
      <c r="AG67" s="1998">
        <f t="shared" ref="AG67:AG76" si="50">+I67</f>
        <v>0</v>
      </c>
      <c r="AH67" s="1999"/>
      <c r="AI67" s="2000"/>
      <c r="AJ67" s="2001" t="e">
        <f t="shared" si="49"/>
        <v>#N/A</v>
      </c>
      <c r="AK67" s="2001"/>
      <c r="AL67" s="2001"/>
      <c r="AM67" s="2001"/>
      <c r="AN67" s="352"/>
      <c r="AO67" s="405"/>
      <c r="AP67" s="129" t="str">
        <f>IFERROR(VLOOKUP(A65,$A$15:$H$24,5,0),"")</f>
        <v/>
      </c>
      <c r="AS67" s="129"/>
      <c r="AT67" s="129"/>
      <c r="AU67" s="129"/>
      <c r="AV67" s="129"/>
      <c r="AW67" s="129"/>
      <c r="AX67" s="129"/>
      <c r="AY67" s="129"/>
      <c r="AZ67" s="129"/>
      <c r="BA67" s="129"/>
      <c r="BB67" s="129"/>
      <c r="BC67" s="129"/>
      <c r="BD67" s="129"/>
      <c r="BE67" s="129"/>
      <c r="BF67" s="129"/>
      <c r="BG67" s="129"/>
      <c r="BH67" s="129"/>
      <c r="BI67" s="129"/>
      <c r="BJ67" s="129"/>
      <c r="BK67" s="129"/>
      <c r="BL67" s="129"/>
      <c r="BM67" s="129"/>
      <c r="BN67" s="129"/>
      <c r="BO67" s="129"/>
      <c r="BP67" s="129"/>
      <c r="BQ67" s="129"/>
      <c r="BR67" s="129"/>
      <c r="BS67" s="153"/>
      <c r="BT67" s="153"/>
      <c r="BU67" s="155"/>
      <c r="BV67" s="153"/>
      <c r="BW67" s="153"/>
      <c r="BX67" s="153"/>
      <c r="BY67" s="153"/>
      <c r="BZ67" s="153"/>
      <c r="CA67" s="153"/>
      <c r="CB67" s="153"/>
      <c r="CC67" s="153"/>
      <c r="CD67" s="153"/>
      <c r="CE67" s="153"/>
      <c r="CF67" s="153"/>
      <c r="CG67" s="153"/>
      <c r="CH67" s="153"/>
      <c r="CI67" s="130"/>
      <c r="CJ67" s="153"/>
      <c r="CK67" s="153"/>
      <c r="CL67" s="130"/>
      <c r="CM67" s="130"/>
      <c r="CN67" s="130"/>
      <c r="CO67" s="130"/>
      <c r="CP67" s="130"/>
      <c r="CQ67" s="130"/>
      <c r="CR67" s="130"/>
      <c r="CS67" s="130"/>
      <c r="CT67" s="275"/>
      <c r="CU67" s="275"/>
      <c r="CV67" s="356"/>
      <c r="CW67" s="275"/>
      <c r="CX67" s="275"/>
      <c r="CY67" s="275"/>
      <c r="CZ67" s="275"/>
      <c r="DA67" s="275"/>
      <c r="DB67" s="275"/>
      <c r="DC67" s="275"/>
      <c r="DD67" s="275"/>
      <c r="DE67" s="275"/>
      <c r="DF67" s="275"/>
      <c r="DG67" s="275"/>
      <c r="DH67" s="275"/>
      <c r="DI67" s="275"/>
      <c r="DJ67" s="275"/>
      <c r="DK67" s="259"/>
      <c r="DL67" s="275"/>
      <c r="DM67" s="275"/>
      <c r="DN67" s="274"/>
      <c r="DO67" s="274"/>
      <c r="DP67" s="274"/>
      <c r="DQ67" s="274"/>
      <c r="DR67" s="274"/>
      <c r="DS67" s="274"/>
      <c r="DT67" s="274"/>
    </row>
    <row r="68" spans="1:124" s="26" customFormat="1" ht="16.5" customHeight="1">
      <c r="A68" s="2002" t="str">
        <f t="shared" si="45"/>
        <v/>
      </c>
      <c r="B68" s="2002"/>
      <c r="C68" s="2002"/>
      <c r="D68" s="2002"/>
      <c r="E68" s="1991" t="str">
        <f t="shared" si="48"/>
        <v/>
      </c>
      <c r="F68" s="1992"/>
      <c r="G68" s="1992"/>
      <c r="H68" s="1993"/>
      <c r="I68" s="1994"/>
      <c r="J68" s="1994"/>
      <c r="K68" s="1994"/>
      <c r="L68" s="1994"/>
      <c r="M68" s="1994"/>
      <c r="N68" s="1994"/>
      <c r="O68" s="1994"/>
      <c r="P68" s="1994"/>
      <c r="Q68" s="30"/>
      <c r="R68" s="30"/>
      <c r="S68" s="30"/>
      <c r="T68" s="30"/>
      <c r="U68" s="30"/>
      <c r="V68" s="30"/>
      <c r="W68" s="30"/>
      <c r="X68" s="30"/>
      <c r="Y68" s="1995" t="str">
        <f t="shared" si="43"/>
        <v/>
      </c>
      <c r="Z68" s="1996"/>
      <c r="AA68" s="1996"/>
      <c r="AB68" s="1997"/>
      <c r="AC68" s="1995" t="str">
        <f t="shared" si="46"/>
        <v/>
      </c>
      <c r="AD68" s="1996"/>
      <c r="AE68" s="1996"/>
      <c r="AF68" s="1997"/>
      <c r="AG68" s="1998">
        <f t="shared" si="50"/>
        <v>0</v>
      </c>
      <c r="AH68" s="1999"/>
      <c r="AI68" s="2000"/>
      <c r="AJ68" s="2001" t="e">
        <f t="shared" si="49"/>
        <v>#N/A</v>
      </c>
      <c r="AK68" s="2001"/>
      <c r="AL68" s="2001"/>
      <c r="AM68" s="2001"/>
      <c r="AN68" s="352"/>
      <c r="AO68" s="405"/>
      <c r="AP68" s="129" t="s">
        <v>304</v>
      </c>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55"/>
      <c r="BT68" s="155"/>
      <c r="BU68" s="155"/>
      <c r="BV68" s="155"/>
      <c r="BW68" s="155"/>
      <c r="BX68" s="155"/>
      <c r="BY68" s="155"/>
      <c r="BZ68" s="155"/>
      <c r="CA68" s="155"/>
      <c r="CB68" s="153"/>
      <c r="CC68" s="153"/>
      <c r="CD68" s="153"/>
      <c r="CE68" s="153"/>
      <c r="CF68" s="153"/>
      <c r="CG68" s="153"/>
      <c r="CH68" s="153"/>
      <c r="CI68" s="153"/>
      <c r="CJ68" s="153"/>
      <c r="CK68" s="153"/>
      <c r="CL68" s="152"/>
      <c r="CM68" s="152"/>
      <c r="CN68" s="152"/>
      <c r="CO68" s="152"/>
      <c r="CP68" s="152"/>
      <c r="CQ68" s="152"/>
      <c r="CR68" s="152"/>
      <c r="CS68" s="151"/>
      <c r="CT68" s="356"/>
      <c r="CU68" s="356"/>
      <c r="CV68" s="356"/>
      <c r="CW68" s="356"/>
      <c r="CX68" s="356"/>
      <c r="CY68" s="356"/>
      <c r="CZ68" s="356"/>
      <c r="DA68" s="356"/>
      <c r="DB68" s="356"/>
      <c r="DC68" s="275"/>
      <c r="DD68" s="275"/>
      <c r="DE68" s="275"/>
      <c r="DF68" s="275"/>
      <c r="DG68" s="275"/>
      <c r="DH68" s="275"/>
      <c r="DI68" s="275"/>
      <c r="DJ68" s="275"/>
      <c r="DK68" s="275"/>
      <c r="DL68" s="275"/>
      <c r="DM68" s="275"/>
      <c r="DN68" s="274"/>
      <c r="DO68" s="274"/>
      <c r="DP68" s="274"/>
      <c r="DQ68" s="274"/>
      <c r="DR68" s="274"/>
      <c r="DS68" s="274"/>
      <c r="DT68" s="274"/>
    </row>
    <row r="69" spans="1:124" s="30" customFormat="1" ht="16.5" customHeight="1">
      <c r="A69" s="2002" t="str">
        <f t="shared" si="45"/>
        <v/>
      </c>
      <c r="B69" s="2002"/>
      <c r="C69" s="2002"/>
      <c r="D69" s="2002"/>
      <c r="E69" s="1991" t="str">
        <f t="shared" si="48"/>
        <v/>
      </c>
      <c r="F69" s="1992"/>
      <c r="G69" s="1992"/>
      <c r="H69" s="1993"/>
      <c r="I69" s="1994"/>
      <c r="J69" s="1994"/>
      <c r="K69" s="1994"/>
      <c r="L69" s="1994"/>
      <c r="M69" s="1994"/>
      <c r="N69" s="1994"/>
      <c r="O69" s="1994"/>
      <c r="P69" s="1994"/>
      <c r="Y69" s="1995" t="str">
        <f t="shared" si="43"/>
        <v/>
      </c>
      <c r="Z69" s="1996"/>
      <c r="AA69" s="1996"/>
      <c r="AB69" s="1997"/>
      <c r="AC69" s="1995" t="str">
        <f t="shared" si="46"/>
        <v/>
      </c>
      <c r="AD69" s="1996"/>
      <c r="AE69" s="1996"/>
      <c r="AF69" s="1997"/>
      <c r="AG69" s="1998">
        <f t="shared" si="50"/>
        <v>0</v>
      </c>
      <c r="AH69" s="1999"/>
      <c r="AI69" s="2000"/>
      <c r="AJ69" s="2001" t="e">
        <f t="shared" si="49"/>
        <v>#N/A</v>
      </c>
      <c r="AK69" s="2001"/>
      <c r="AL69" s="2001"/>
      <c r="AM69" s="2001"/>
      <c r="AN69" s="352"/>
      <c r="AO69" s="405"/>
      <c r="AP69" s="129">
        <f>+SUM(I67:P76)</f>
        <v>0</v>
      </c>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129"/>
      <c r="BS69" s="153"/>
      <c r="BT69" s="153"/>
      <c r="BU69" s="153"/>
      <c r="BV69" s="153"/>
      <c r="BW69" s="153"/>
      <c r="BX69" s="153"/>
      <c r="BY69" s="153"/>
      <c r="BZ69" s="153"/>
      <c r="CA69" s="153"/>
      <c r="CB69" s="153"/>
      <c r="CC69" s="156"/>
      <c r="CD69" s="153"/>
      <c r="CE69" s="153"/>
      <c r="CF69" s="153"/>
      <c r="CG69" s="153"/>
      <c r="CH69" s="153"/>
      <c r="CI69" s="153"/>
      <c r="CJ69" s="153"/>
      <c r="CK69" s="153"/>
      <c r="CL69" s="130"/>
      <c r="CM69" s="130"/>
      <c r="CN69" s="130"/>
      <c r="CO69" s="130"/>
      <c r="CP69" s="130"/>
      <c r="CQ69" s="130"/>
      <c r="CR69" s="130"/>
      <c r="CS69" s="130"/>
      <c r="CT69" s="275"/>
      <c r="CU69" s="275"/>
      <c r="CV69" s="275"/>
      <c r="CW69" s="275"/>
      <c r="CX69" s="275"/>
      <c r="CY69" s="275"/>
      <c r="CZ69" s="275"/>
      <c r="DA69" s="275"/>
      <c r="DB69" s="275"/>
      <c r="DC69" s="275"/>
      <c r="DD69" s="275"/>
      <c r="DE69" s="275"/>
      <c r="DF69" s="275"/>
      <c r="DG69" s="275"/>
      <c r="DH69" s="275"/>
      <c r="DI69" s="275"/>
      <c r="DJ69" s="275"/>
      <c r="DK69" s="275"/>
      <c r="DL69" s="275"/>
      <c r="DM69" s="275"/>
      <c r="DN69" s="274"/>
      <c r="DO69" s="274"/>
      <c r="DP69" s="274"/>
      <c r="DQ69" s="274"/>
      <c r="DR69" s="274"/>
      <c r="DS69" s="274"/>
      <c r="DT69" s="274"/>
    </row>
    <row r="70" spans="1:124" s="30" customFormat="1" ht="16.5" customHeight="1">
      <c r="A70" s="2002" t="str">
        <f t="shared" si="45"/>
        <v/>
      </c>
      <c r="B70" s="2002"/>
      <c r="C70" s="2002"/>
      <c r="D70" s="2002"/>
      <c r="E70" s="1991" t="str">
        <f t="shared" si="48"/>
        <v/>
      </c>
      <c r="F70" s="1992"/>
      <c r="G70" s="1992"/>
      <c r="H70" s="1993"/>
      <c r="I70" s="1994"/>
      <c r="J70" s="1994"/>
      <c r="K70" s="1994"/>
      <c r="L70" s="1994"/>
      <c r="M70" s="1994"/>
      <c r="N70" s="1994"/>
      <c r="O70" s="1994"/>
      <c r="P70" s="1994"/>
      <c r="Q70" s="331"/>
      <c r="R70" s="331"/>
      <c r="S70" s="331"/>
      <c r="T70" s="331"/>
      <c r="U70" s="331"/>
      <c r="V70" s="331"/>
      <c r="W70" s="331"/>
      <c r="X70" s="331"/>
      <c r="Y70" s="1995" t="str">
        <f t="shared" si="43"/>
        <v/>
      </c>
      <c r="Z70" s="1996"/>
      <c r="AA70" s="1996"/>
      <c r="AB70" s="1997"/>
      <c r="AC70" s="1995" t="str">
        <f t="shared" si="46"/>
        <v/>
      </c>
      <c r="AD70" s="1996"/>
      <c r="AE70" s="1996"/>
      <c r="AF70" s="1997"/>
      <c r="AG70" s="1998">
        <f t="shared" si="50"/>
        <v>0</v>
      </c>
      <c r="AH70" s="1999"/>
      <c r="AI70" s="2000"/>
      <c r="AJ70" s="2001" t="e">
        <f t="shared" si="49"/>
        <v>#N/A</v>
      </c>
      <c r="AK70" s="2001"/>
      <c r="AL70" s="2001"/>
      <c r="AM70" s="2001"/>
      <c r="AN70" s="352"/>
      <c r="AO70" s="405"/>
      <c r="AP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55"/>
      <c r="BT70" s="155"/>
      <c r="BU70" s="155"/>
      <c r="BV70" s="155"/>
      <c r="BW70" s="155"/>
      <c r="BX70" s="155"/>
      <c r="BY70" s="155"/>
      <c r="BZ70" s="155"/>
      <c r="CA70" s="155"/>
      <c r="CB70" s="155"/>
      <c r="CC70" s="156"/>
      <c r="CD70" s="156"/>
      <c r="CE70" s="156"/>
      <c r="CF70" s="156"/>
      <c r="CG70" s="156"/>
      <c r="CH70" s="156"/>
      <c r="CI70" s="156"/>
      <c r="CJ70" s="156"/>
      <c r="CK70" s="156"/>
      <c r="CL70" s="151"/>
      <c r="CM70" s="151"/>
      <c r="CN70" s="151"/>
      <c r="CO70" s="151"/>
      <c r="CP70" s="151"/>
      <c r="CQ70" s="151"/>
      <c r="CR70" s="151"/>
      <c r="CS70" s="151"/>
      <c r="CT70" s="356"/>
      <c r="CU70" s="356"/>
      <c r="CV70" s="356"/>
      <c r="CW70" s="356"/>
      <c r="CX70" s="356"/>
      <c r="CY70" s="356"/>
      <c r="CZ70" s="356"/>
      <c r="DA70" s="356"/>
      <c r="DB70" s="356"/>
      <c r="DC70" s="356"/>
      <c r="DD70" s="356"/>
      <c r="DE70" s="356"/>
      <c r="DF70" s="356"/>
      <c r="DG70" s="356"/>
      <c r="DH70" s="356"/>
      <c r="DI70" s="356"/>
      <c r="DJ70" s="356"/>
      <c r="DK70" s="356"/>
      <c r="DL70" s="356"/>
      <c r="DM70" s="356"/>
      <c r="DN70" s="274"/>
      <c r="DO70" s="274"/>
      <c r="DP70" s="274"/>
      <c r="DQ70" s="274"/>
      <c r="DR70" s="274"/>
      <c r="DS70" s="274"/>
      <c r="DT70" s="274"/>
    </row>
    <row r="71" spans="1:124" s="30" customFormat="1" ht="16.5" customHeight="1">
      <c r="A71" s="2002" t="str">
        <f t="shared" si="45"/>
        <v/>
      </c>
      <c r="B71" s="2002"/>
      <c r="C71" s="2002"/>
      <c r="D71" s="2002"/>
      <c r="E71" s="1991" t="str">
        <f t="shared" si="48"/>
        <v/>
      </c>
      <c r="F71" s="1992"/>
      <c r="G71" s="1992"/>
      <c r="H71" s="1993"/>
      <c r="I71" s="1994"/>
      <c r="J71" s="1994"/>
      <c r="K71" s="1994"/>
      <c r="L71" s="1994"/>
      <c r="M71" s="1994"/>
      <c r="N71" s="1994"/>
      <c r="O71" s="1994"/>
      <c r="P71" s="1994"/>
      <c r="Q71" s="331"/>
      <c r="R71" s="331"/>
      <c r="S71" s="331"/>
      <c r="T71" s="331"/>
      <c r="U71" s="331"/>
      <c r="V71" s="331"/>
      <c r="W71" s="331"/>
      <c r="X71" s="331"/>
      <c r="Y71" s="1995" t="str">
        <f t="shared" si="43"/>
        <v/>
      </c>
      <c r="Z71" s="1996"/>
      <c r="AA71" s="1996"/>
      <c r="AB71" s="1997"/>
      <c r="AC71" s="1995" t="str">
        <f t="shared" si="46"/>
        <v/>
      </c>
      <c r="AD71" s="1996"/>
      <c r="AE71" s="1996"/>
      <c r="AF71" s="1997"/>
      <c r="AG71" s="1998">
        <f t="shared" si="50"/>
        <v>0</v>
      </c>
      <c r="AH71" s="1999"/>
      <c r="AI71" s="2000"/>
      <c r="AJ71" s="2001" t="e">
        <f t="shared" si="49"/>
        <v>#N/A</v>
      </c>
      <c r="AK71" s="2001"/>
      <c r="AL71" s="2001"/>
      <c r="AM71" s="2001"/>
      <c r="AN71" s="352"/>
      <c r="AO71" s="405"/>
      <c r="AP71" s="129"/>
      <c r="AS71" s="129"/>
      <c r="AT71" s="129"/>
      <c r="AU71" s="129"/>
      <c r="AV71" s="129"/>
      <c r="AW71" s="129"/>
      <c r="AX71" s="129"/>
      <c r="AY71" s="129"/>
      <c r="AZ71" s="129"/>
      <c r="BA71" s="129"/>
      <c r="BB71" s="129"/>
      <c r="BC71" s="129"/>
      <c r="BD71" s="129"/>
      <c r="BE71" s="129"/>
      <c r="BF71" s="129"/>
      <c r="BG71" s="129"/>
      <c r="BH71" s="129"/>
      <c r="BI71" s="129"/>
      <c r="BJ71" s="129"/>
      <c r="BK71" s="129"/>
      <c r="BL71" s="129"/>
      <c r="BM71" s="129"/>
      <c r="BN71" s="129"/>
      <c r="BO71" s="129"/>
      <c r="BP71" s="129"/>
      <c r="BQ71" s="129"/>
      <c r="BR71" s="129"/>
      <c r="BS71" s="153"/>
      <c r="BT71" s="153"/>
      <c r="BU71" s="153"/>
      <c r="BV71" s="153"/>
      <c r="BW71" s="153"/>
      <c r="BX71" s="153"/>
      <c r="BY71" s="153"/>
      <c r="BZ71" s="153"/>
      <c r="CA71" s="153"/>
      <c r="CB71" s="153"/>
      <c r="CC71" s="156"/>
      <c r="CD71" s="156"/>
      <c r="CE71" s="153"/>
      <c r="CF71" s="153"/>
      <c r="CG71" s="153"/>
      <c r="CH71" s="153"/>
      <c r="CI71" s="153"/>
      <c r="CJ71" s="153"/>
      <c r="CK71" s="153"/>
      <c r="CL71" s="130"/>
      <c r="CM71" s="130"/>
      <c r="CN71" s="130"/>
      <c r="CO71" s="130"/>
      <c r="CP71" s="130"/>
      <c r="CQ71" s="130"/>
      <c r="CR71" s="130"/>
      <c r="CS71" s="130"/>
      <c r="CT71" s="275"/>
      <c r="CU71" s="275"/>
      <c r="CV71" s="275"/>
      <c r="CW71" s="275"/>
      <c r="CX71" s="275"/>
      <c r="CY71" s="275"/>
      <c r="CZ71" s="275"/>
      <c r="DA71" s="275"/>
      <c r="DB71" s="275"/>
      <c r="DC71" s="275"/>
      <c r="DD71" s="275"/>
      <c r="DE71" s="275"/>
      <c r="DF71" s="275"/>
      <c r="DG71" s="275"/>
      <c r="DH71" s="275"/>
      <c r="DI71" s="275"/>
      <c r="DJ71" s="275"/>
      <c r="DK71" s="275"/>
      <c r="DL71" s="275"/>
      <c r="DM71" s="275"/>
      <c r="DN71" s="274"/>
      <c r="DO71" s="274"/>
      <c r="DP71" s="274"/>
      <c r="DQ71" s="274"/>
      <c r="DR71" s="274"/>
      <c r="DS71" s="274"/>
      <c r="DT71" s="274"/>
    </row>
    <row r="72" spans="1:124" ht="16.5" customHeight="1">
      <c r="A72" s="2002" t="str">
        <f t="shared" si="45"/>
        <v/>
      </c>
      <c r="B72" s="2002"/>
      <c r="C72" s="2002"/>
      <c r="D72" s="2002"/>
      <c r="E72" s="1991" t="str">
        <f t="shared" si="48"/>
        <v/>
      </c>
      <c r="F72" s="1992"/>
      <c r="G72" s="1992"/>
      <c r="H72" s="1993"/>
      <c r="I72" s="1994"/>
      <c r="J72" s="1994"/>
      <c r="K72" s="1994"/>
      <c r="L72" s="1994"/>
      <c r="M72" s="1994"/>
      <c r="N72" s="1994"/>
      <c r="O72" s="1994"/>
      <c r="P72" s="1994"/>
      <c r="Y72" s="1995" t="str">
        <f t="shared" si="43"/>
        <v/>
      </c>
      <c r="Z72" s="1996"/>
      <c r="AA72" s="1996"/>
      <c r="AB72" s="1997"/>
      <c r="AC72" s="1995" t="str">
        <f t="shared" si="46"/>
        <v/>
      </c>
      <c r="AD72" s="1996"/>
      <c r="AE72" s="1996"/>
      <c r="AF72" s="1997"/>
      <c r="AG72" s="1998">
        <f t="shared" si="50"/>
        <v>0</v>
      </c>
      <c r="AH72" s="1999"/>
      <c r="AI72" s="2000"/>
      <c r="AJ72" s="2001" t="e">
        <f t="shared" si="49"/>
        <v>#N/A</v>
      </c>
      <c r="AK72" s="2001"/>
      <c r="AL72" s="2001"/>
      <c r="AM72" s="2001"/>
      <c r="AN72" s="352"/>
      <c r="AO72" s="405"/>
      <c r="AP72" s="129"/>
      <c r="AQ72" s="331"/>
      <c r="AR72" s="331"/>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55"/>
      <c r="BT72" s="155"/>
      <c r="BU72" s="155"/>
      <c r="BV72" s="155"/>
      <c r="BW72" s="155"/>
      <c r="BX72" s="155"/>
      <c r="BY72" s="155"/>
      <c r="BZ72" s="155"/>
      <c r="CA72" s="155"/>
      <c r="CB72" s="154"/>
      <c r="CC72" s="156"/>
      <c r="CD72" s="156"/>
      <c r="CE72" s="155"/>
      <c r="CF72" s="155"/>
      <c r="CG72" s="155"/>
      <c r="CH72" s="155"/>
      <c r="CI72" s="155"/>
      <c r="CJ72" s="155"/>
      <c r="CK72" s="155"/>
      <c r="CL72" s="151"/>
      <c r="CM72" s="151"/>
      <c r="CN72" s="151"/>
      <c r="CO72" s="151"/>
      <c r="CP72" s="151"/>
      <c r="CQ72" s="151"/>
      <c r="CR72" s="151"/>
      <c r="CS72" s="151"/>
      <c r="CT72" s="356"/>
      <c r="CU72" s="356"/>
      <c r="CV72" s="356"/>
      <c r="CW72" s="356"/>
      <c r="CX72" s="356"/>
      <c r="CY72" s="356"/>
      <c r="CZ72" s="356"/>
      <c r="DA72" s="356"/>
      <c r="DB72" s="356"/>
      <c r="DC72" s="356"/>
      <c r="DD72" s="356"/>
      <c r="DE72" s="356"/>
      <c r="DF72" s="356"/>
      <c r="DG72" s="356"/>
      <c r="DH72" s="356"/>
      <c r="DI72" s="356"/>
      <c r="DJ72" s="356"/>
      <c r="DK72" s="356"/>
      <c r="DL72" s="356"/>
      <c r="DM72" s="356"/>
      <c r="DN72" s="274"/>
      <c r="DO72" s="274"/>
      <c r="DP72" s="274"/>
      <c r="DQ72" s="274"/>
      <c r="DR72" s="274"/>
      <c r="DS72" s="274"/>
      <c r="DT72" s="274"/>
    </row>
    <row r="73" spans="1:124" ht="16.5" customHeight="1">
      <c r="A73" s="2002" t="str">
        <f t="shared" si="45"/>
        <v/>
      </c>
      <c r="B73" s="2002"/>
      <c r="C73" s="2002"/>
      <c r="D73" s="2002"/>
      <c r="E73" s="1991" t="str">
        <f t="shared" si="48"/>
        <v/>
      </c>
      <c r="F73" s="1992"/>
      <c r="G73" s="1992"/>
      <c r="H73" s="1993"/>
      <c r="I73" s="1994"/>
      <c r="J73" s="1994"/>
      <c r="K73" s="1994"/>
      <c r="L73" s="1994"/>
      <c r="M73" s="1994"/>
      <c r="N73" s="1994"/>
      <c r="O73" s="1994"/>
      <c r="P73" s="1994"/>
      <c r="Y73" s="1995" t="str">
        <f t="shared" si="43"/>
        <v/>
      </c>
      <c r="Z73" s="1996"/>
      <c r="AA73" s="1996"/>
      <c r="AB73" s="1997"/>
      <c r="AC73" s="1995" t="str">
        <f t="shared" si="46"/>
        <v/>
      </c>
      <c r="AD73" s="1996"/>
      <c r="AE73" s="1996"/>
      <c r="AF73" s="1997"/>
      <c r="AG73" s="1998">
        <f t="shared" si="50"/>
        <v>0</v>
      </c>
      <c r="AH73" s="1999"/>
      <c r="AI73" s="2000"/>
      <c r="AJ73" s="2001" t="e">
        <f t="shared" si="49"/>
        <v>#N/A</v>
      </c>
      <c r="AK73" s="2001"/>
      <c r="AL73" s="2001"/>
      <c r="AM73" s="2001"/>
      <c r="AN73" s="352"/>
      <c r="AO73" s="405"/>
      <c r="AP73" s="129"/>
      <c r="AQ73" s="331"/>
      <c r="AR73" s="331"/>
      <c r="AS73" s="129"/>
      <c r="AT73" s="129"/>
      <c r="AU73" s="129"/>
      <c r="AV73" s="129"/>
      <c r="AW73" s="129"/>
      <c r="AX73" s="129"/>
      <c r="AY73" s="129"/>
      <c r="AZ73" s="129"/>
      <c r="BA73" s="129"/>
      <c r="BB73" s="129"/>
      <c r="BC73" s="129"/>
      <c r="BD73" s="129"/>
      <c r="BE73" s="129"/>
      <c r="BF73" s="129"/>
      <c r="BG73" s="129"/>
      <c r="BH73" s="129"/>
      <c r="BI73" s="129"/>
      <c r="BJ73" s="129"/>
      <c r="BK73" s="129"/>
      <c r="BL73" s="129"/>
      <c r="BM73" s="129"/>
      <c r="BN73" s="129"/>
      <c r="BO73" s="129"/>
      <c r="BP73" s="129"/>
      <c r="BQ73" s="129"/>
      <c r="BR73" s="129"/>
      <c r="BS73" s="153"/>
      <c r="BT73" s="153"/>
      <c r="BU73" s="153"/>
      <c r="BV73" s="153"/>
      <c r="BW73" s="153"/>
      <c r="BX73" s="153"/>
      <c r="BY73" s="153"/>
      <c r="BZ73" s="153"/>
      <c r="CA73" s="153"/>
      <c r="CB73" s="153"/>
      <c r="CC73" s="156"/>
      <c r="CD73" s="156"/>
      <c r="CE73" s="153"/>
      <c r="CF73" s="153"/>
      <c r="CG73" s="153"/>
      <c r="CH73" s="153"/>
      <c r="CI73" s="153"/>
      <c r="CJ73" s="153"/>
      <c r="CK73" s="153"/>
      <c r="CL73" s="130"/>
      <c r="CM73" s="130"/>
      <c r="CN73" s="130"/>
      <c r="CO73" s="130"/>
      <c r="CP73" s="130"/>
      <c r="CQ73" s="130"/>
      <c r="CR73" s="130"/>
      <c r="CS73" s="130"/>
      <c r="CT73" s="275"/>
      <c r="CU73" s="275"/>
      <c r="CV73" s="275"/>
      <c r="CW73" s="275"/>
      <c r="CX73" s="275"/>
      <c r="CY73" s="275"/>
      <c r="CZ73" s="275"/>
      <c r="DA73" s="275"/>
      <c r="DB73" s="275"/>
      <c r="DC73" s="275"/>
      <c r="DD73" s="275"/>
      <c r="DE73" s="275"/>
      <c r="DF73" s="275"/>
      <c r="DG73" s="275"/>
      <c r="DH73" s="275"/>
      <c r="DI73" s="275"/>
      <c r="DJ73" s="275"/>
      <c r="DK73" s="275"/>
      <c r="DL73" s="275"/>
      <c r="DM73" s="275"/>
      <c r="DN73" s="274"/>
      <c r="DO73" s="274"/>
      <c r="DP73" s="274"/>
      <c r="DQ73" s="274"/>
      <c r="DR73" s="274"/>
      <c r="DS73" s="274"/>
      <c r="DT73" s="274"/>
    </row>
    <row r="74" spans="1:124" ht="16.5" customHeight="1">
      <c r="A74" s="2002" t="str">
        <f t="shared" si="45"/>
        <v/>
      </c>
      <c r="B74" s="2002"/>
      <c r="C74" s="2002"/>
      <c r="D74" s="2002"/>
      <c r="E74" s="1991" t="str">
        <f t="shared" si="48"/>
        <v/>
      </c>
      <c r="F74" s="1992"/>
      <c r="G74" s="1992"/>
      <c r="H74" s="1993"/>
      <c r="I74" s="1994"/>
      <c r="J74" s="1994"/>
      <c r="K74" s="1994"/>
      <c r="L74" s="1994"/>
      <c r="M74" s="1994"/>
      <c r="N74" s="1994"/>
      <c r="O74" s="1994"/>
      <c r="P74" s="1994"/>
      <c r="Y74" s="1995" t="str">
        <f t="shared" si="43"/>
        <v/>
      </c>
      <c r="Z74" s="1996"/>
      <c r="AA74" s="1996"/>
      <c r="AB74" s="1997"/>
      <c r="AC74" s="1995" t="str">
        <f t="shared" si="46"/>
        <v/>
      </c>
      <c r="AD74" s="1996"/>
      <c r="AE74" s="1996"/>
      <c r="AF74" s="1997"/>
      <c r="AG74" s="1998">
        <f t="shared" si="50"/>
        <v>0</v>
      </c>
      <c r="AH74" s="1999"/>
      <c r="AI74" s="2000"/>
      <c r="AJ74" s="2001" t="e">
        <f t="shared" si="49"/>
        <v>#N/A</v>
      </c>
      <c r="AK74" s="2001"/>
      <c r="AL74" s="2001"/>
      <c r="AM74" s="2001"/>
      <c r="AN74" s="352"/>
      <c r="AO74" s="405"/>
      <c r="AP74" s="129"/>
      <c r="AQ74" s="331"/>
      <c r="AR74" s="331"/>
      <c r="AS74" s="129"/>
      <c r="AT74" s="129"/>
      <c r="AU74" s="129"/>
      <c r="AV74" s="129"/>
      <c r="AW74" s="129"/>
      <c r="AX74" s="129"/>
      <c r="AY74" s="129"/>
      <c r="AZ74" s="129"/>
      <c r="BA74" s="129"/>
      <c r="BB74" s="129"/>
      <c r="BC74" s="129"/>
      <c r="BD74" s="129"/>
      <c r="BE74" s="129"/>
      <c r="BF74" s="129"/>
      <c r="BG74" s="129"/>
      <c r="BH74" s="129"/>
      <c r="BI74" s="129"/>
      <c r="BJ74" s="129"/>
      <c r="BK74" s="129"/>
      <c r="BL74" s="129"/>
      <c r="BM74" s="129"/>
      <c r="BN74" s="129"/>
      <c r="BO74" s="129"/>
      <c r="BP74" s="129"/>
      <c r="BQ74" s="129"/>
      <c r="BR74" s="129"/>
      <c r="BS74" s="155"/>
      <c r="BT74" s="155"/>
      <c r="BU74" s="155"/>
      <c r="BV74" s="155"/>
      <c r="BW74" s="155"/>
      <c r="BX74" s="155"/>
      <c r="BY74" s="155"/>
      <c r="BZ74" s="155"/>
      <c r="CA74" s="155"/>
      <c r="CB74" s="154"/>
      <c r="CC74" s="156"/>
      <c r="CD74" s="156"/>
      <c r="CE74" s="155"/>
      <c r="CF74" s="155"/>
      <c r="CG74" s="155"/>
      <c r="CH74" s="155"/>
      <c r="CI74" s="155"/>
      <c r="CJ74" s="155"/>
      <c r="CK74" s="155"/>
      <c r="CL74" s="130"/>
      <c r="CM74" s="130"/>
      <c r="CN74" s="130"/>
      <c r="CO74" s="130"/>
      <c r="CP74" s="130"/>
      <c r="CQ74" s="130"/>
      <c r="CR74" s="130"/>
      <c r="CS74" s="130"/>
      <c r="CT74" s="356"/>
      <c r="CU74" s="356"/>
      <c r="CV74" s="356"/>
      <c r="CW74" s="356"/>
      <c r="CX74" s="356"/>
      <c r="CY74" s="356"/>
      <c r="CZ74" s="356"/>
      <c r="DA74" s="356"/>
      <c r="DB74" s="356"/>
      <c r="DC74" s="356"/>
      <c r="DD74" s="356"/>
      <c r="DE74" s="356"/>
      <c r="DF74" s="356"/>
      <c r="DG74" s="356"/>
      <c r="DH74" s="356"/>
      <c r="DI74" s="356"/>
      <c r="DJ74" s="356"/>
      <c r="DK74" s="356"/>
      <c r="DL74" s="356"/>
      <c r="DM74" s="356"/>
      <c r="DN74" s="274"/>
      <c r="DO74" s="274"/>
      <c r="DP74" s="274"/>
      <c r="DQ74" s="274"/>
      <c r="DR74" s="274"/>
      <c r="DS74" s="274"/>
      <c r="DT74" s="274"/>
    </row>
    <row r="75" spans="1:124" ht="16.5" customHeight="1">
      <c r="A75" s="2002" t="str">
        <f t="shared" si="45"/>
        <v/>
      </c>
      <c r="B75" s="2002"/>
      <c r="C75" s="2002"/>
      <c r="D75" s="2002"/>
      <c r="E75" s="1991" t="str">
        <f t="shared" si="48"/>
        <v/>
      </c>
      <c r="F75" s="1992"/>
      <c r="G75" s="1992"/>
      <c r="H75" s="1993"/>
      <c r="I75" s="1994"/>
      <c r="J75" s="1994"/>
      <c r="K75" s="1994"/>
      <c r="L75" s="1994"/>
      <c r="M75" s="1994"/>
      <c r="N75" s="1994"/>
      <c r="O75" s="1994"/>
      <c r="P75" s="1994"/>
      <c r="Y75" s="1995" t="str">
        <f t="shared" si="43"/>
        <v/>
      </c>
      <c r="Z75" s="1996"/>
      <c r="AA75" s="1996"/>
      <c r="AB75" s="1997"/>
      <c r="AC75" s="1995" t="str">
        <f t="shared" si="46"/>
        <v/>
      </c>
      <c r="AD75" s="1996"/>
      <c r="AE75" s="1996"/>
      <c r="AF75" s="1997"/>
      <c r="AG75" s="1998">
        <f t="shared" si="50"/>
        <v>0</v>
      </c>
      <c r="AH75" s="1999"/>
      <c r="AI75" s="2000"/>
      <c r="AJ75" s="2001" t="e">
        <f t="shared" si="49"/>
        <v>#N/A</v>
      </c>
      <c r="AK75" s="2001"/>
      <c r="AL75" s="2001"/>
      <c r="AM75" s="2001"/>
      <c r="AN75" s="352"/>
      <c r="AO75" s="405"/>
      <c r="AP75" s="129"/>
      <c r="AQ75" s="331"/>
      <c r="AR75" s="331"/>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54"/>
      <c r="BT75" s="155"/>
      <c r="BU75" s="155"/>
      <c r="BV75" s="155"/>
      <c r="BW75" s="155"/>
      <c r="BX75" s="155"/>
      <c r="BY75" s="155"/>
      <c r="BZ75" s="155"/>
      <c r="CA75" s="155"/>
      <c r="CB75" s="155"/>
      <c r="CC75" s="156"/>
      <c r="CD75" s="156"/>
      <c r="CE75" s="155"/>
      <c r="CF75" s="155"/>
      <c r="CG75" s="155"/>
      <c r="CH75" s="155"/>
      <c r="CI75" s="155"/>
      <c r="CJ75" s="155"/>
      <c r="CK75" s="155"/>
      <c r="CL75" s="130"/>
      <c r="CM75" s="130"/>
      <c r="CN75" s="130"/>
      <c r="CO75" s="130"/>
      <c r="CP75" s="130"/>
      <c r="CQ75" s="130"/>
      <c r="CR75" s="130"/>
      <c r="CS75" s="130"/>
      <c r="CT75" s="356"/>
      <c r="CU75" s="356"/>
      <c r="CV75" s="356"/>
      <c r="CW75" s="356"/>
      <c r="CX75" s="356"/>
      <c r="CY75" s="356"/>
      <c r="CZ75" s="356"/>
      <c r="DA75" s="356"/>
      <c r="DB75" s="356"/>
      <c r="DC75" s="356"/>
      <c r="DD75" s="356"/>
      <c r="DE75" s="356"/>
      <c r="DF75" s="356"/>
      <c r="DG75" s="356"/>
      <c r="DH75" s="356"/>
      <c r="DI75" s="356"/>
      <c r="DJ75" s="356"/>
      <c r="DK75" s="356"/>
      <c r="DL75" s="356"/>
      <c r="DM75" s="356"/>
      <c r="DN75" s="274"/>
      <c r="DO75" s="274"/>
      <c r="DP75" s="274"/>
      <c r="DQ75" s="274"/>
      <c r="DR75" s="274"/>
      <c r="DS75" s="274"/>
      <c r="DT75" s="274"/>
    </row>
    <row r="76" spans="1:124" ht="16.5" customHeight="1">
      <c r="A76" s="1989" t="str">
        <f t="shared" si="45"/>
        <v>Pasa</v>
      </c>
      <c r="B76" s="1989"/>
      <c r="C76" s="1989"/>
      <c r="D76" s="1990"/>
      <c r="E76" s="1991" t="s">
        <v>253</v>
      </c>
      <c r="F76" s="1992"/>
      <c r="G76" s="1992"/>
      <c r="H76" s="1993"/>
      <c r="I76" s="1994"/>
      <c r="J76" s="1994"/>
      <c r="K76" s="1994"/>
      <c r="L76" s="1994"/>
      <c r="M76" s="1994"/>
      <c r="N76" s="1994"/>
      <c r="O76" s="1994"/>
      <c r="P76" s="1994"/>
      <c r="Y76" s="1995" t="str">
        <f t="shared" si="43"/>
        <v/>
      </c>
      <c r="Z76" s="1996"/>
      <c r="AA76" s="1996"/>
      <c r="AB76" s="1997"/>
      <c r="AC76" s="1995" t="str">
        <f t="shared" si="46"/>
        <v/>
      </c>
      <c r="AD76" s="1996"/>
      <c r="AE76" s="1996"/>
      <c r="AF76" s="1997"/>
      <c r="AG76" s="1998">
        <f t="shared" si="50"/>
        <v>0</v>
      </c>
      <c r="AH76" s="1999"/>
      <c r="AI76" s="2000"/>
      <c r="AJ76" s="1988" t="s">
        <v>24</v>
      </c>
      <c r="AK76" s="1988"/>
      <c r="AL76" s="1988"/>
      <c r="AM76" s="1988"/>
      <c r="AN76" s="352"/>
      <c r="AO76" s="405"/>
      <c r="AP76" s="129"/>
      <c r="AQ76" s="331"/>
      <c r="AR76" s="331"/>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304"/>
      <c r="BT76" s="153"/>
      <c r="BU76" s="153"/>
      <c r="BV76" s="153"/>
      <c r="BW76" s="153"/>
      <c r="BX76" s="153"/>
      <c r="BY76" s="153"/>
      <c r="BZ76" s="153"/>
      <c r="CA76" s="153"/>
      <c r="CB76" s="155"/>
      <c r="CC76" s="156"/>
      <c r="CD76" s="156"/>
      <c r="CE76" s="153"/>
      <c r="CF76" s="153"/>
      <c r="CG76" s="153"/>
      <c r="CH76" s="153"/>
      <c r="CI76" s="153"/>
      <c r="CJ76" s="153"/>
      <c r="CK76" s="153"/>
      <c r="CL76" s="130"/>
      <c r="CM76" s="130"/>
      <c r="CN76" s="130"/>
      <c r="CO76" s="130"/>
      <c r="CP76" s="130"/>
      <c r="CQ76" s="130"/>
      <c r="CR76" s="130"/>
      <c r="CS76" s="130"/>
      <c r="CT76" s="275"/>
      <c r="CU76" s="275"/>
      <c r="CV76" s="275"/>
      <c r="CW76" s="275"/>
      <c r="CX76" s="275"/>
      <c r="CY76" s="275"/>
      <c r="CZ76" s="275"/>
      <c r="DA76" s="275"/>
      <c r="DB76" s="275"/>
      <c r="DC76" s="275"/>
      <c r="DD76" s="275"/>
      <c r="DE76" s="275"/>
      <c r="DF76" s="275"/>
      <c r="DG76" s="275"/>
      <c r="DH76" s="275"/>
      <c r="DI76" s="275"/>
      <c r="DJ76" s="275"/>
      <c r="DK76" s="275"/>
      <c r="DL76" s="275"/>
      <c r="DM76" s="275"/>
      <c r="DN76" s="274"/>
      <c r="DO76" s="274"/>
      <c r="DP76" s="274"/>
      <c r="DQ76" s="274"/>
      <c r="DR76" s="274"/>
      <c r="DS76" s="274"/>
      <c r="DT76" s="274"/>
    </row>
    <row r="77" spans="1:124" ht="16.5" customHeight="1">
      <c r="AP77" s="129"/>
      <c r="AQ77" s="331"/>
      <c r="AR77" s="331"/>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54"/>
      <c r="BT77" s="154"/>
      <c r="BU77" s="154"/>
      <c r="BV77" s="154"/>
      <c r="BW77" s="154"/>
      <c r="BX77" s="154"/>
      <c r="BY77" s="154"/>
      <c r="BZ77" s="154"/>
      <c r="CA77" s="154"/>
      <c r="CB77" s="130"/>
      <c r="CC77" s="156"/>
      <c r="CD77" s="156"/>
      <c r="CE77" s="155"/>
      <c r="CF77" s="155"/>
      <c r="CG77" s="155"/>
      <c r="CH77" s="155"/>
      <c r="CI77" s="155"/>
      <c r="CJ77" s="155"/>
      <c r="CK77" s="155"/>
      <c r="CL77" s="130"/>
      <c r="CM77" s="130"/>
      <c r="CN77" s="130"/>
      <c r="CO77" s="130"/>
      <c r="CP77" s="130"/>
      <c r="CQ77" s="130"/>
      <c r="CR77" s="130"/>
      <c r="CS77" s="130"/>
      <c r="CT77" s="356"/>
      <c r="CU77" s="356"/>
      <c r="CV77" s="356"/>
      <c r="CW77" s="356"/>
      <c r="CX77" s="356"/>
      <c r="CY77" s="356"/>
      <c r="CZ77" s="356"/>
      <c r="DA77" s="356"/>
      <c r="DB77" s="356"/>
      <c r="DC77" s="330"/>
      <c r="DD77" s="330"/>
      <c r="DE77" s="330"/>
      <c r="DF77" s="330"/>
      <c r="DG77" s="330"/>
      <c r="DH77" s="330"/>
      <c r="DI77" s="330"/>
      <c r="DJ77" s="330"/>
      <c r="DK77" s="330"/>
      <c r="DL77" s="330"/>
      <c r="DM77" s="330"/>
      <c r="DN77" s="274"/>
      <c r="DO77" s="274"/>
      <c r="DP77" s="274"/>
      <c r="DQ77" s="274"/>
      <c r="DR77" s="274"/>
      <c r="DS77" s="274"/>
      <c r="DT77" s="274"/>
    </row>
    <row r="78" spans="1:124" ht="16.5" customHeight="1">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54"/>
      <c r="BT78" s="154"/>
      <c r="BU78" s="154"/>
      <c r="BV78" s="154"/>
      <c r="BW78" s="154"/>
      <c r="BX78" s="154"/>
      <c r="BY78" s="154"/>
      <c r="BZ78" s="154"/>
      <c r="CA78" s="154"/>
      <c r="CB78" s="130"/>
      <c r="CC78" s="156"/>
      <c r="CD78" s="156"/>
      <c r="CE78" s="153"/>
      <c r="CF78" s="153"/>
      <c r="CG78" s="153"/>
      <c r="CH78" s="153"/>
      <c r="CI78" s="153"/>
      <c r="CJ78" s="153"/>
      <c r="CK78" s="153"/>
      <c r="CL78" s="130"/>
      <c r="CM78" s="130"/>
      <c r="CN78" s="130"/>
      <c r="CO78" s="130"/>
      <c r="CP78" s="130"/>
      <c r="CQ78" s="130"/>
      <c r="CR78" s="130"/>
      <c r="CS78" s="130"/>
      <c r="CT78" s="356"/>
      <c r="CU78" s="356"/>
      <c r="CV78" s="356"/>
      <c r="CW78" s="356"/>
      <c r="CX78" s="356"/>
      <c r="CY78" s="356"/>
      <c r="CZ78" s="356"/>
      <c r="DA78" s="356"/>
      <c r="DB78" s="356"/>
      <c r="DC78" s="275"/>
      <c r="DD78" s="275"/>
      <c r="DE78" s="275"/>
      <c r="DF78" s="275"/>
      <c r="DG78" s="275"/>
      <c r="DH78" s="275"/>
      <c r="DI78" s="275"/>
      <c r="DJ78" s="275"/>
      <c r="DK78" s="275"/>
      <c r="DL78" s="275"/>
      <c r="DM78" s="275"/>
      <c r="DN78" s="274"/>
      <c r="DO78" s="274"/>
      <c r="DP78" s="274"/>
      <c r="DQ78" s="274"/>
      <c r="DR78" s="274"/>
      <c r="DS78" s="274"/>
      <c r="DT78" s="274"/>
    </row>
    <row r="79" spans="1:124" ht="19.5" customHeight="1">
      <c r="I79" s="331">
        <v>0</v>
      </c>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54"/>
      <c r="BT79" s="154"/>
      <c r="BU79" s="154"/>
      <c r="BV79" s="154"/>
      <c r="BW79" s="154"/>
      <c r="BX79" s="154"/>
      <c r="BY79" s="154"/>
      <c r="BZ79" s="154"/>
      <c r="CA79" s="154"/>
      <c r="CB79" s="130"/>
      <c r="CC79" s="156"/>
      <c r="CD79" s="156"/>
      <c r="CE79" s="155"/>
      <c r="CF79" s="155"/>
      <c r="CG79" s="155"/>
      <c r="CH79" s="155"/>
      <c r="CI79" s="155"/>
      <c r="CJ79" s="155"/>
      <c r="CK79" s="155"/>
      <c r="CL79" s="130"/>
      <c r="CM79" s="130"/>
      <c r="CN79" s="130"/>
      <c r="CO79" s="130"/>
      <c r="CP79" s="130"/>
      <c r="CQ79" s="130"/>
      <c r="CR79" s="130"/>
      <c r="CS79" s="130"/>
      <c r="CT79" s="356"/>
      <c r="CU79" s="356"/>
      <c r="CV79" s="356"/>
      <c r="CW79" s="356"/>
      <c r="CX79" s="356"/>
      <c r="CY79" s="356"/>
      <c r="CZ79" s="356"/>
      <c r="DA79" s="356"/>
      <c r="DB79" s="356"/>
      <c r="DC79" s="330"/>
      <c r="DD79" s="330"/>
      <c r="DE79" s="330"/>
      <c r="DF79" s="330"/>
      <c r="DG79" s="330"/>
      <c r="DH79" s="330"/>
      <c r="DI79" s="330"/>
      <c r="DJ79" s="330"/>
      <c r="DK79" s="330"/>
      <c r="DL79" s="330"/>
      <c r="DM79" s="330"/>
      <c r="DN79" s="274"/>
      <c r="DO79" s="274"/>
      <c r="DP79" s="274"/>
      <c r="DQ79" s="274"/>
      <c r="DR79" s="274"/>
      <c r="DS79" s="274"/>
      <c r="DT79" s="274"/>
    </row>
    <row r="80" spans="1:124" ht="19.5" customHeight="1">
      <c r="I80" s="331">
        <v>0</v>
      </c>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304"/>
      <c r="BT80" s="153"/>
      <c r="BU80" s="305"/>
      <c r="BV80" s="130"/>
      <c r="BW80" s="130"/>
      <c r="BX80" s="130"/>
      <c r="BY80" s="130"/>
      <c r="BZ80" s="130"/>
      <c r="CA80" s="130"/>
      <c r="CB80" s="130"/>
      <c r="CC80" s="306"/>
      <c r="CD80" s="305"/>
      <c r="CE80" s="153"/>
      <c r="CF80" s="153"/>
      <c r="CG80" s="153"/>
      <c r="CH80" s="153"/>
      <c r="CI80" s="153"/>
      <c r="CJ80" s="153"/>
      <c r="CK80" s="153"/>
      <c r="CL80" s="130"/>
      <c r="CM80" s="130"/>
      <c r="CN80" s="130"/>
      <c r="CO80" s="130"/>
      <c r="CP80" s="130"/>
      <c r="CQ80" s="130"/>
      <c r="CR80" s="130"/>
      <c r="CS80" s="130"/>
      <c r="CT80" s="307"/>
      <c r="CU80" s="307"/>
      <c r="CV80" s="307"/>
      <c r="CW80" s="307"/>
      <c r="CX80" s="307"/>
      <c r="CY80" s="307"/>
      <c r="CZ80" s="307"/>
      <c r="DA80" s="307"/>
      <c r="DB80" s="307"/>
      <c r="DC80" s="307"/>
      <c r="DD80" s="307"/>
      <c r="DE80" s="307"/>
      <c r="DF80" s="307"/>
      <c r="DG80" s="307"/>
      <c r="DH80" s="307"/>
      <c r="DI80" s="307"/>
      <c r="DJ80" s="307"/>
      <c r="DK80" s="307"/>
      <c r="DL80" s="307"/>
      <c r="DM80" s="307"/>
      <c r="DN80" s="274"/>
      <c r="DO80" s="274"/>
      <c r="DP80" s="274"/>
      <c r="DQ80" s="274"/>
      <c r="DR80" s="274"/>
      <c r="DS80" s="274"/>
      <c r="DT80" s="274"/>
    </row>
    <row r="81" spans="9:124">
      <c r="I81" s="331">
        <v>0</v>
      </c>
      <c r="AP81" s="129"/>
      <c r="BS81" s="109"/>
      <c r="BT81" s="308"/>
      <c r="BU81" s="97"/>
      <c r="BV81" s="97"/>
      <c r="BW81" s="97"/>
      <c r="BX81" s="97"/>
      <c r="BY81" s="97"/>
      <c r="BZ81" s="97"/>
      <c r="CA81" s="97"/>
      <c r="CB81" s="97"/>
      <c r="CC81" s="97"/>
      <c r="CD81" s="97"/>
      <c r="CE81" s="97"/>
      <c r="CF81" s="97"/>
      <c r="CG81" s="97"/>
      <c r="CH81" s="97"/>
      <c r="CI81" s="97"/>
      <c r="CJ81" s="97"/>
      <c r="CK81" s="97"/>
      <c r="CL81" s="97"/>
      <c r="CM81" s="97"/>
      <c r="CN81" s="97"/>
      <c r="CO81" s="97"/>
      <c r="CP81" s="97"/>
      <c r="CQ81" s="97"/>
      <c r="CR81" s="97"/>
      <c r="CS81" s="97"/>
      <c r="CT81" s="272"/>
      <c r="CU81" s="272"/>
      <c r="CV81" s="272"/>
      <c r="CW81" s="272"/>
      <c r="CX81" s="272"/>
      <c r="CY81" s="272"/>
      <c r="CZ81" s="272"/>
      <c r="DA81" s="272"/>
      <c r="DB81" s="272"/>
      <c r="DC81" s="272"/>
      <c r="DD81" s="272"/>
      <c r="DE81" s="272"/>
      <c r="DF81" s="272"/>
      <c r="DG81" s="272"/>
      <c r="DH81" s="272"/>
      <c r="DI81" s="272"/>
      <c r="DJ81" s="272"/>
      <c r="DK81" s="272"/>
      <c r="DL81" s="272"/>
      <c r="DM81" s="272"/>
      <c r="DN81" s="272"/>
      <c r="DO81" s="272"/>
      <c r="DP81" s="272"/>
      <c r="DQ81" s="272"/>
      <c r="DR81" s="272"/>
      <c r="DS81" s="272"/>
      <c r="DT81" s="272"/>
    </row>
  </sheetData>
  <sheetProtection algorithmName="SHA-512" hashValue="DDmy1rJzo5+MpX/08FN+EVXeOL4eemxUuwHJkVRBgveB/ipNtmMvQ3qai6WINASaRpFoyZBSwyQ2hdQD3WVlYA==" saltValue="yXBZmMv5t1wXYB2lAxhHHA==" spinCount="100000" sheet="1" formatCells="0" formatColumns="0" formatRows="0"/>
  <mergeCells count="325">
    <mergeCell ref="Q27:T27"/>
    <mergeCell ref="AP8:AR8"/>
    <mergeCell ref="A1:I5"/>
    <mergeCell ref="J4:AC4"/>
    <mergeCell ref="AD4:AN4"/>
    <mergeCell ref="J5:AN5"/>
    <mergeCell ref="A11:F11"/>
    <mergeCell ref="G11:AD11"/>
    <mergeCell ref="AE11:AN11"/>
    <mergeCell ref="AC7:AE7"/>
    <mergeCell ref="AF7:AL7"/>
    <mergeCell ref="AF8:AL8"/>
    <mergeCell ref="J1:AN3"/>
    <mergeCell ref="AQ9:AR9"/>
    <mergeCell ref="A12:H12"/>
    <mergeCell ref="I12:M12"/>
    <mergeCell ref="AG12:AN12"/>
    <mergeCell ref="AC15:AF15"/>
    <mergeCell ref="AG15:AJ15"/>
    <mergeCell ref="AK15:AN15"/>
    <mergeCell ref="A16:D16"/>
    <mergeCell ref="E16:H16"/>
    <mergeCell ref="I16:P16"/>
    <mergeCell ref="Q16:T16"/>
    <mergeCell ref="A15:D15"/>
    <mergeCell ref="E15:H15"/>
    <mergeCell ref="I15:P15"/>
    <mergeCell ref="Q15:T15"/>
    <mergeCell ref="U15:X15"/>
    <mergeCell ref="Y15:AB15"/>
    <mergeCell ref="BS12:CS12"/>
    <mergeCell ref="CT12:DT12"/>
    <mergeCell ref="A14:D14"/>
    <mergeCell ref="E14:H14"/>
    <mergeCell ref="Q14:T14"/>
    <mergeCell ref="U14:X14"/>
    <mergeCell ref="Y14:AB14"/>
    <mergeCell ref="AC14:AF14"/>
    <mergeCell ref="AG14:AJ14"/>
    <mergeCell ref="AK14:AN14"/>
    <mergeCell ref="A13:H13"/>
    <mergeCell ref="I13:P14"/>
    <mergeCell ref="Q13:X13"/>
    <mergeCell ref="Y13:AF13"/>
    <mergeCell ref="AG13:AN13"/>
    <mergeCell ref="AQ12:BQ12"/>
    <mergeCell ref="AG16:AJ16"/>
    <mergeCell ref="AK16:AN16"/>
    <mergeCell ref="A17:D17"/>
    <mergeCell ref="E17:H17"/>
    <mergeCell ref="I17:P17"/>
    <mergeCell ref="Q17:T17"/>
    <mergeCell ref="U17:X17"/>
    <mergeCell ref="Y17:AB17"/>
    <mergeCell ref="AC17:AF17"/>
    <mergeCell ref="AG17:AJ17"/>
    <mergeCell ref="AK17:AN17"/>
    <mergeCell ref="U16:X16"/>
    <mergeCell ref="Y16:AB16"/>
    <mergeCell ref="AC16:AF16"/>
    <mergeCell ref="A18:D18"/>
    <mergeCell ref="E18:H18"/>
    <mergeCell ref="I18:P18"/>
    <mergeCell ref="Q18:T18"/>
    <mergeCell ref="U18:X18"/>
    <mergeCell ref="Y18:AB18"/>
    <mergeCell ref="AC18:AF18"/>
    <mergeCell ref="AG18:AJ18"/>
    <mergeCell ref="AK18:AN18"/>
    <mergeCell ref="AC19:AF19"/>
    <mergeCell ref="AG19:AJ19"/>
    <mergeCell ref="AK19:AN19"/>
    <mergeCell ref="A20:D20"/>
    <mergeCell ref="E20:H20"/>
    <mergeCell ref="I20:P20"/>
    <mergeCell ref="Q20:T20"/>
    <mergeCell ref="U20:X20"/>
    <mergeCell ref="Y20:AB20"/>
    <mergeCell ref="AC20:AF20"/>
    <mergeCell ref="A19:D19"/>
    <mergeCell ref="E19:H19"/>
    <mergeCell ref="I19:P19"/>
    <mergeCell ref="Q19:T19"/>
    <mergeCell ref="U19:X19"/>
    <mergeCell ref="Y19:AB19"/>
    <mergeCell ref="AG20:AJ20"/>
    <mergeCell ref="AK20:AN20"/>
    <mergeCell ref="A21:D21"/>
    <mergeCell ref="E21:H21"/>
    <mergeCell ref="I21:P21"/>
    <mergeCell ref="Q21:T21"/>
    <mergeCell ref="U21:X21"/>
    <mergeCell ref="Y21:AB21"/>
    <mergeCell ref="AC21:AF21"/>
    <mergeCell ref="AG21:AJ21"/>
    <mergeCell ref="AK21:AN21"/>
    <mergeCell ref="A22:D22"/>
    <mergeCell ref="E22:H22"/>
    <mergeCell ref="I22:P22"/>
    <mergeCell ref="Q22:T22"/>
    <mergeCell ref="U22:X22"/>
    <mergeCell ref="Y22:AB22"/>
    <mergeCell ref="AC22:AF22"/>
    <mergeCell ref="AG22:AJ22"/>
    <mergeCell ref="AK22:AN22"/>
    <mergeCell ref="AC23:AF23"/>
    <mergeCell ref="AG23:AJ23"/>
    <mergeCell ref="AK23:AN23"/>
    <mergeCell ref="A24:D24"/>
    <mergeCell ref="E24:H24"/>
    <mergeCell ref="I24:P24"/>
    <mergeCell ref="Q24:T24"/>
    <mergeCell ref="U24:X24"/>
    <mergeCell ref="Y24:AB24"/>
    <mergeCell ref="AC24:AF24"/>
    <mergeCell ref="A23:D23"/>
    <mergeCell ref="E23:H23"/>
    <mergeCell ref="I23:P23"/>
    <mergeCell ref="Q23:T23"/>
    <mergeCell ref="U23:X23"/>
    <mergeCell ref="Y23:AB23"/>
    <mergeCell ref="AK25:AN25"/>
    <mergeCell ref="A26:D26"/>
    <mergeCell ref="G26:H26"/>
    <mergeCell ref="K26:L26"/>
    <mergeCell ref="U26:W26"/>
    <mergeCell ref="AG26:AK26"/>
    <mergeCell ref="AG24:AJ24"/>
    <mergeCell ref="AK24:AN24"/>
    <mergeCell ref="A25:D25"/>
    <mergeCell ref="E25:H25"/>
    <mergeCell ref="I25:P25"/>
    <mergeCell ref="Q25:T25"/>
    <mergeCell ref="U25:X25"/>
    <mergeCell ref="Y25:AB25"/>
    <mergeCell ref="AC25:AF25"/>
    <mergeCell ref="AG25:AJ25"/>
    <mergeCell ref="A47:AN47"/>
    <mergeCell ref="BE50:BF50"/>
    <mergeCell ref="BE47:BF47"/>
    <mergeCell ref="BE48:BF48"/>
    <mergeCell ref="BE45:BF45"/>
    <mergeCell ref="BE46:BF46"/>
    <mergeCell ref="BA34:BB34"/>
    <mergeCell ref="A46:E46"/>
    <mergeCell ref="F46:G46"/>
    <mergeCell ref="H46:AN46"/>
    <mergeCell ref="B45:G45"/>
    <mergeCell ref="B43:H43"/>
    <mergeCell ref="I43:N43"/>
    <mergeCell ref="H45:AM45"/>
    <mergeCell ref="A53:D54"/>
    <mergeCell ref="E53:H54"/>
    <mergeCell ref="I53:P54"/>
    <mergeCell ref="Y53:AF53"/>
    <mergeCell ref="Y54:AB54"/>
    <mergeCell ref="AC54:AF54"/>
    <mergeCell ref="A48:AN48"/>
    <mergeCell ref="BE51:BF51"/>
    <mergeCell ref="A52:H52"/>
    <mergeCell ref="I52:M52"/>
    <mergeCell ref="AG52:AN52"/>
    <mergeCell ref="A51:D51"/>
    <mergeCell ref="M51:AA51"/>
    <mergeCell ref="E51:L51"/>
    <mergeCell ref="AB51:AF51"/>
    <mergeCell ref="AG51:AJ51"/>
    <mergeCell ref="AK51:AN51"/>
    <mergeCell ref="A49:AN50"/>
    <mergeCell ref="BE49:BF49"/>
    <mergeCell ref="AJ55:AM55"/>
    <mergeCell ref="A56:D56"/>
    <mergeCell ref="E56:H56"/>
    <mergeCell ref="I56:P56"/>
    <mergeCell ref="Y56:AB56"/>
    <mergeCell ref="AC56:AF56"/>
    <mergeCell ref="AG56:AI56"/>
    <mergeCell ref="AJ56:AM56"/>
    <mergeCell ref="A55:D55"/>
    <mergeCell ref="E55:H55"/>
    <mergeCell ref="I55:P55"/>
    <mergeCell ref="Y55:AB55"/>
    <mergeCell ref="AC55:AF55"/>
    <mergeCell ref="AG55:AI55"/>
    <mergeCell ref="CT60:DT60"/>
    <mergeCell ref="A59:D59"/>
    <mergeCell ref="E59:H59"/>
    <mergeCell ref="I59:P59"/>
    <mergeCell ref="Y59:AB59"/>
    <mergeCell ref="AC59:AF59"/>
    <mergeCell ref="AG59:AI59"/>
    <mergeCell ref="AJ59:AM59"/>
    <mergeCell ref="AJ57:AM57"/>
    <mergeCell ref="A58:D58"/>
    <mergeCell ref="E58:H58"/>
    <mergeCell ref="I58:P58"/>
    <mergeCell ref="Y58:AB58"/>
    <mergeCell ref="AC58:AF58"/>
    <mergeCell ref="AG58:AI58"/>
    <mergeCell ref="AJ58:AM58"/>
    <mergeCell ref="A57:D57"/>
    <mergeCell ref="E57:H57"/>
    <mergeCell ref="I57:P57"/>
    <mergeCell ref="Y57:AB57"/>
    <mergeCell ref="AC57:AF57"/>
    <mergeCell ref="AG57:AI57"/>
    <mergeCell ref="AJ60:AM60"/>
    <mergeCell ref="A61:D61"/>
    <mergeCell ref="E61:H61"/>
    <mergeCell ref="I61:P61"/>
    <mergeCell ref="Y61:AB61"/>
    <mergeCell ref="AC61:AF61"/>
    <mergeCell ref="AG61:AI61"/>
    <mergeCell ref="AJ61:AM61"/>
    <mergeCell ref="A60:D60"/>
    <mergeCell ref="E60:H60"/>
    <mergeCell ref="I60:P60"/>
    <mergeCell ref="Y60:AB60"/>
    <mergeCell ref="AC60:AF60"/>
    <mergeCell ref="AG60:AI60"/>
    <mergeCell ref="AJ62:AM62"/>
    <mergeCell ref="A63:D63"/>
    <mergeCell ref="E63:H63"/>
    <mergeCell ref="I63:P63"/>
    <mergeCell ref="Y63:AB63"/>
    <mergeCell ref="AC63:AF63"/>
    <mergeCell ref="AG63:AI63"/>
    <mergeCell ref="AJ63:AM63"/>
    <mergeCell ref="A62:D62"/>
    <mergeCell ref="E62:H62"/>
    <mergeCell ref="I62:P62"/>
    <mergeCell ref="Y62:AB62"/>
    <mergeCell ref="AC62:AF62"/>
    <mergeCell ref="AG62:AI62"/>
    <mergeCell ref="AJ64:AM64"/>
    <mergeCell ref="A65:D65"/>
    <mergeCell ref="E65:H65"/>
    <mergeCell ref="I65:P65"/>
    <mergeCell ref="Y65:AB65"/>
    <mergeCell ref="AC65:AF65"/>
    <mergeCell ref="AG65:AI65"/>
    <mergeCell ref="AJ65:AM65"/>
    <mergeCell ref="A64:D64"/>
    <mergeCell ref="E64:H64"/>
    <mergeCell ref="I64:P64"/>
    <mergeCell ref="Y64:AB64"/>
    <mergeCell ref="AC64:AF64"/>
    <mergeCell ref="AG64:AI64"/>
    <mergeCell ref="AJ66:AM66"/>
    <mergeCell ref="A67:D67"/>
    <mergeCell ref="E67:H67"/>
    <mergeCell ref="I67:P67"/>
    <mergeCell ref="Y67:AB67"/>
    <mergeCell ref="AC67:AF67"/>
    <mergeCell ref="AG67:AI67"/>
    <mergeCell ref="AJ67:AM67"/>
    <mergeCell ref="A66:D66"/>
    <mergeCell ref="E66:H66"/>
    <mergeCell ref="I66:P66"/>
    <mergeCell ref="Y66:AB66"/>
    <mergeCell ref="AC66:AF66"/>
    <mergeCell ref="AG66:AI66"/>
    <mergeCell ref="AJ68:AM68"/>
    <mergeCell ref="A69:D69"/>
    <mergeCell ref="E69:H69"/>
    <mergeCell ref="I69:P69"/>
    <mergeCell ref="Y69:AB69"/>
    <mergeCell ref="AC69:AF69"/>
    <mergeCell ref="AG69:AI69"/>
    <mergeCell ref="AJ69:AM69"/>
    <mergeCell ref="A68:D68"/>
    <mergeCell ref="E68:H68"/>
    <mergeCell ref="I68:P68"/>
    <mergeCell ref="Y68:AB68"/>
    <mergeCell ref="AC68:AF68"/>
    <mergeCell ref="AG68:AI68"/>
    <mergeCell ref="AJ70:AM70"/>
    <mergeCell ref="A71:D71"/>
    <mergeCell ref="E71:H71"/>
    <mergeCell ref="I71:P71"/>
    <mergeCell ref="Y71:AB71"/>
    <mergeCell ref="AC71:AF71"/>
    <mergeCell ref="AG71:AI71"/>
    <mergeCell ref="AJ71:AM71"/>
    <mergeCell ref="A70:D70"/>
    <mergeCell ref="E70:H70"/>
    <mergeCell ref="I70:P70"/>
    <mergeCell ref="Y70:AB70"/>
    <mergeCell ref="AC70:AF70"/>
    <mergeCell ref="AG70:AI70"/>
    <mergeCell ref="AJ72:AM72"/>
    <mergeCell ref="A73:D73"/>
    <mergeCell ref="E73:H73"/>
    <mergeCell ref="I73:P73"/>
    <mergeCell ref="Y73:AB73"/>
    <mergeCell ref="AC73:AF73"/>
    <mergeCell ref="AG73:AI73"/>
    <mergeCell ref="AJ73:AM73"/>
    <mergeCell ref="A72:D72"/>
    <mergeCell ref="E72:H72"/>
    <mergeCell ref="I72:P72"/>
    <mergeCell ref="Y72:AB72"/>
    <mergeCell ref="AC72:AF72"/>
    <mergeCell ref="AG72:AI72"/>
    <mergeCell ref="AJ76:AM76"/>
    <mergeCell ref="A76:D76"/>
    <mergeCell ref="E76:H76"/>
    <mergeCell ref="I76:P76"/>
    <mergeCell ref="Y76:AB76"/>
    <mergeCell ref="AC76:AF76"/>
    <mergeCell ref="AG76:AI76"/>
    <mergeCell ref="AJ74:AM74"/>
    <mergeCell ref="A75:D75"/>
    <mergeCell ref="E75:H75"/>
    <mergeCell ref="I75:P75"/>
    <mergeCell ref="Y75:AB75"/>
    <mergeCell ref="AC75:AF75"/>
    <mergeCell ref="AG75:AI75"/>
    <mergeCell ref="AJ75:AM75"/>
    <mergeCell ref="A74:D74"/>
    <mergeCell ref="E74:H74"/>
    <mergeCell ref="I74:P74"/>
    <mergeCell ref="Y74:AB74"/>
    <mergeCell ref="AC74:AF74"/>
    <mergeCell ref="AG74:AI74"/>
  </mergeCells>
  <dataValidations count="2">
    <dataValidation type="list" allowBlank="1" showInputMessage="1" showErrorMessage="1" sqref="WXW983053 A65531 LK65549 VG65549 AFC65549 AOY65549 AYU65549 BIQ65549 BSM65549 CCI65549 CME65549 CWA65549 DFW65549 DPS65549 DZO65549 EJK65549 ETG65549 FDC65549 FMY65549 FWU65549 GGQ65549 GQM65549 HAI65549 HKE65549 HUA65549 IDW65549 INS65549 IXO65549 JHK65549 JRG65549 KBC65549 KKY65549 KUU65549 LEQ65549 LOM65549 LYI65549 MIE65549 MSA65549 NBW65549 NLS65549 NVO65549 OFK65549 OPG65549 OZC65549 PIY65549 PSU65549 QCQ65549 QMM65549 QWI65549 RGE65549 RQA65549 RZW65549 SJS65549 STO65549 TDK65549 TNG65549 TXC65549 UGY65549 UQU65549 VAQ65549 VKM65549 VUI65549 WEE65549 WOA65549 WXW65549 A131067 LK131085 VG131085 AFC131085 AOY131085 AYU131085 BIQ131085 BSM131085 CCI131085 CME131085 CWA131085 DFW131085 DPS131085 DZO131085 EJK131085 ETG131085 FDC131085 FMY131085 FWU131085 GGQ131085 GQM131085 HAI131085 HKE131085 HUA131085 IDW131085 INS131085 IXO131085 JHK131085 JRG131085 KBC131085 KKY131085 KUU131085 LEQ131085 LOM131085 LYI131085 MIE131085 MSA131085 NBW131085 NLS131085 NVO131085 OFK131085 OPG131085 OZC131085 PIY131085 PSU131085 QCQ131085 QMM131085 QWI131085 RGE131085 RQA131085 RZW131085 SJS131085 STO131085 TDK131085 TNG131085 TXC131085 UGY131085 UQU131085 VAQ131085 VKM131085 VUI131085 WEE131085 WOA131085 WXW131085 A196603 LK196621 VG196621 AFC196621 AOY196621 AYU196621 BIQ196621 BSM196621 CCI196621 CME196621 CWA196621 DFW196621 DPS196621 DZO196621 EJK196621 ETG196621 FDC196621 FMY196621 FWU196621 GGQ196621 GQM196621 HAI196621 HKE196621 HUA196621 IDW196621 INS196621 IXO196621 JHK196621 JRG196621 KBC196621 KKY196621 KUU196621 LEQ196621 LOM196621 LYI196621 MIE196621 MSA196621 NBW196621 NLS196621 NVO196621 OFK196621 OPG196621 OZC196621 PIY196621 PSU196621 QCQ196621 QMM196621 QWI196621 RGE196621 RQA196621 RZW196621 SJS196621 STO196621 TDK196621 TNG196621 TXC196621 UGY196621 UQU196621 VAQ196621 VKM196621 VUI196621 WEE196621 WOA196621 WXW196621 A262139 LK262157 VG262157 AFC262157 AOY262157 AYU262157 BIQ262157 BSM262157 CCI262157 CME262157 CWA262157 DFW262157 DPS262157 DZO262157 EJK262157 ETG262157 FDC262157 FMY262157 FWU262157 GGQ262157 GQM262157 HAI262157 HKE262157 HUA262157 IDW262157 INS262157 IXO262157 JHK262157 JRG262157 KBC262157 KKY262157 KUU262157 LEQ262157 LOM262157 LYI262157 MIE262157 MSA262157 NBW262157 NLS262157 NVO262157 OFK262157 OPG262157 OZC262157 PIY262157 PSU262157 QCQ262157 QMM262157 QWI262157 RGE262157 RQA262157 RZW262157 SJS262157 STO262157 TDK262157 TNG262157 TXC262157 UGY262157 UQU262157 VAQ262157 VKM262157 VUI262157 WEE262157 WOA262157 WXW262157 A327675 LK327693 VG327693 AFC327693 AOY327693 AYU327693 BIQ327693 BSM327693 CCI327693 CME327693 CWA327693 DFW327693 DPS327693 DZO327693 EJK327693 ETG327693 FDC327693 FMY327693 FWU327693 GGQ327693 GQM327693 HAI327693 HKE327693 HUA327693 IDW327693 INS327693 IXO327693 JHK327693 JRG327693 KBC327693 KKY327693 KUU327693 LEQ327693 LOM327693 LYI327693 MIE327693 MSA327693 NBW327693 NLS327693 NVO327693 OFK327693 OPG327693 OZC327693 PIY327693 PSU327693 QCQ327693 QMM327693 QWI327693 RGE327693 RQA327693 RZW327693 SJS327693 STO327693 TDK327693 TNG327693 TXC327693 UGY327693 UQU327693 VAQ327693 VKM327693 VUI327693 WEE327693 WOA327693 WXW327693 A393211 LK393229 VG393229 AFC393229 AOY393229 AYU393229 BIQ393229 BSM393229 CCI393229 CME393229 CWA393229 DFW393229 DPS393229 DZO393229 EJK393229 ETG393229 FDC393229 FMY393229 FWU393229 GGQ393229 GQM393229 HAI393229 HKE393229 HUA393229 IDW393229 INS393229 IXO393229 JHK393229 JRG393229 KBC393229 KKY393229 KUU393229 LEQ393229 LOM393229 LYI393229 MIE393229 MSA393229 NBW393229 NLS393229 NVO393229 OFK393229 OPG393229 OZC393229 PIY393229 PSU393229 QCQ393229 QMM393229 QWI393229 RGE393229 RQA393229 RZW393229 SJS393229 STO393229 TDK393229 TNG393229 TXC393229 UGY393229 UQU393229 VAQ393229 VKM393229 VUI393229 WEE393229 WOA393229 WXW393229 A458747 LK458765 VG458765 AFC458765 AOY458765 AYU458765 BIQ458765 BSM458765 CCI458765 CME458765 CWA458765 DFW458765 DPS458765 DZO458765 EJK458765 ETG458765 FDC458765 FMY458765 FWU458765 GGQ458765 GQM458765 HAI458765 HKE458765 HUA458765 IDW458765 INS458765 IXO458765 JHK458765 JRG458765 KBC458765 KKY458765 KUU458765 LEQ458765 LOM458765 LYI458765 MIE458765 MSA458765 NBW458765 NLS458765 NVO458765 OFK458765 OPG458765 OZC458765 PIY458765 PSU458765 QCQ458765 QMM458765 QWI458765 RGE458765 RQA458765 RZW458765 SJS458765 STO458765 TDK458765 TNG458765 TXC458765 UGY458765 UQU458765 VAQ458765 VKM458765 VUI458765 WEE458765 WOA458765 WXW458765 A524283 LK524301 VG524301 AFC524301 AOY524301 AYU524301 BIQ524301 BSM524301 CCI524301 CME524301 CWA524301 DFW524301 DPS524301 DZO524301 EJK524301 ETG524301 FDC524301 FMY524301 FWU524301 GGQ524301 GQM524301 HAI524301 HKE524301 HUA524301 IDW524301 INS524301 IXO524301 JHK524301 JRG524301 KBC524301 KKY524301 KUU524301 LEQ524301 LOM524301 LYI524301 MIE524301 MSA524301 NBW524301 NLS524301 NVO524301 OFK524301 OPG524301 OZC524301 PIY524301 PSU524301 QCQ524301 QMM524301 QWI524301 RGE524301 RQA524301 RZW524301 SJS524301 STO524301 TDK524301 TNG524301 TXC524301 UGY524301 UQU524301 VAQ524301 VKM524301 VUI524301 WEE524301 WOA524301 WXW524301 A589819 LK589837 VG589837 AFC589837 AOY589837 AYU589837 BIQ589837 BSM589837 CCI589837 CME589837 CWA589837 DFW589837 DPS589837 DZO589837 EJK589837 ETG589837 FDC589837 FMY589837 FWU589837 GGQ589837 GQM589837 HAI589837 HKE589837 HUA589837 IDW589837 INS589837 IXO589837 JHK589837 JRG589837 KBC589837 KKY589837 KUU589837 LEQ589837 LOM589837 LYI589837 MIE589837 MSA589837 NBW589837 NLS589837 NVO589837 OFK589837 OPG589837 OZC589837 PIY589837 PSU589837 QCQ589837 QMM589837 QWI589837 RGE589837 RQA589837 RZW589837 SJS589837 STO589837 TDK589837 TNG589837 TXC589837 UGY589837 UQU589837 VAQ589837 VKM589837 VUI589837 WEE589837 WOA589837 WXW589837 A655355 LK655373 VG655373 AFC655373 AOY655373 AYU655373 BIQ655373 BSM655373 CCI655373 CME655373 CWA655373 DFW655373 DPS655373 DZO655373 EJK655373 ETG655373 FDC655373 FMY655373 FWU655373 GGQ655373 GQM655373 HAI655373 HKE655373 HUA655373 IDW655373 INS655373 IXO655373 JHK655373 JRG655373 KBC655373 KKY655373 KUU655373 LEQ655373 LOM655373 LYI655373 MIE655373 MSA655373 NBW655373 NLS655373 NVO655373 OFK655373 OPG655373 OZC655373 PIY655373 PSU655373 QCQ655373 QMM655373 QWI655373 RGE655373 RQA655373 RZW655373 SJS655373 STO655373 TDK655373 TNG655373 TXC655373 UGY655373 UQU655373 VAQ655373 VKM655373 VUI655373 WEE655373 WOA655373 WXW655373 A720891 LK720909 VG720909 AFC720909 AOY720909 AYU720909 BIQ720909 BSM720909 CCI720909 CME720909 CWA720909 DFW720909 DPS720909 DZO720909 EJK720909 ETG720909 FDC720909 FMY720909 FWU720909 GGQ720909 GQM720909 HAI720909 HKE720909 HUA720909 IDW720909 INS720909 IXO720909 JHK720909 JRG720909 KBC720909 KKY720909 KUU720909 LEQ720909 LOM720909 LYI720909 MIE720909 MSA720909 NBW720909 NLS720909 NVO720909 OFK720909 OPG720909 OZC720909 PIY720909 PSU720909 QCQ720909 QMM720909 QWI720909 RGE720909 RQA720909 RZW720909 SJS720909 STO720909 TDK720909 TNG720909 TXC720909 UGY720909 UQU720909 VAQ720909 VKM720909 VUI720909 WEE720909 WOA720909 WXW720909 A786427 LK786445 VG786445 AFC786445 AOY786445 AYU786445 BIQ786445 BSM786445 CCI786445 CME786445 CWA786445 DFW786445 DPS786445 DZO786445 EJK786445 ETG786445 FDC786445 FMY786445 FWU786445 GGQ786445 GQM786445 HAI786445 HKE786445 HUA786445 IDW786445 INS786445 IXO786445 JHK786445 JRG786445 KBC786445 KKY786445 KUU786445 LEQ786445 LOM786445 LYI786445 MIE786445 MSA786445 NBW786445 NLS786445 NVO786445 OFK786445 OPG786445 OZC786445 PIY786445 PSU786445 QCQ786445 QMM786445 QWI786445 RGE786445 RQA786445 RZW786445 SJS786445 STO786445 TDK786445 TNG786445 TXC786445 UGY786445 UQU786445 VAQ786445 VKM786445 VUI786445 WEE786445 WOA786445 WXW786445 A851963 LK851981 VG851981 AFC851981 AOY851981 AYU851981 BIQ851981 BSM851981 CCI851981 CME851981 CWA851981 DFW851981 DPS851981 DZO851981 EJK851981 ETG851981 FDC851981 FMY851981 FWU851981 GGQ851981 GQM851981 HAI851981 HKE851981 HUA851981 IDW851981 INS851981 IXO851981 JHK851981 JRG851981 KBC851981 KKY851981 KUU851981 LEQ851981 LOM851981 LYI851981 MIE851981 MSA851981 NBW851981 NLS851981 NVO851981 OFK851981 OPG851981 OZC851981 PIY851981 PSU851981 QCQ851981 QMM851981 QWI851981 RGE851981 RQA851981 RZW851981 SJS851981 STO851981 TDK851981 TNG851981 TXC851981 UGY851981 UQU851981 VAQ851981 VKM851981 VUI851981 WEE851981 WOA851981 WXW851981 A917499 LK917517 VG917517 AFC917517 AOY917517 AYU917517 BIQ917517 BSM917517 CCI917517 CME917517 CWA917517 DFW917517 DPS917517 DZO917517 EJK917517 ETG917517 FDC917517 FMY917517 FWU917517 GGQ917517 GQM917517 HAI917517 HKE917517 HUA917517 IDW917517 INS917517 IXO917517 JHK917517 JRG917517 KBC917517 KKY917517 KUU917517 LEQ917517 LOM917517 LYI917517 MIE917517 MSA917517 NBW917517 NLS917517 NVO917517 OFK917517 OPG917517 OZC917517 PIY917517 PSU917517 QCQ917517 QMM917517 QWI917517 RGE917517 RQA917517 RZW917517 SJS917517 STO917517 TDK917517 TNG917517 TXC917517 UGY917517 UQU917517 VAQ917517 VKM917517 VUI917517 WEE917517 WOA917517 WXW917517 A983035 LK983053 VG983053 AFC983053 AOY983053 AYU983053 BIQ983053 BSM983053 CCI983053 CME983053 CWA983053 DFW983053 DPS983053 DZO983053 EJK983053 ETG983053 FDC983053 FMY983053 FWU983053 GGQ983053 GQM983053 HAI983053 HKE983053 HUA983053 IDW983053 INS983053 IXO983053 JHK983053 JRG983053 KBC983053 KKY983053 KUU983053 LEQ983053 LOM983053 LYI983053 MIE983053 MSA983053 NBW983053 NLS983053 NVO983053 OFK983053 OPG983053 OZC983053 PIY983053 PSU983053 QCQ983053 QMM983053 QWI983053 RGE983053 RQA983053 RZW983053 SJS983053 STO983053 TDK983053 TNG983053 TXC983053 UGY983053 UQU983053 VAQ983053 VKM983053 VUI983053 WEE983053 WOA983053 WXW6 WOA6 WEE6 VUI6 VKM6 VAQ6 UQU6 UGY6 TXC6 TNG6 TDK6 STO6 SJS6 RZW6 RQA6 RGE6 QWI6 QMM6 QCQ6 PSU6 PIY6 OZC6 OPG6 OFK6 NVO6 NLS6 NBW6 MSA6 MIE6 LYI6 LOM6 LEQ6 KUU6 KKY6 KBC6 JRG6 JHK6 IXO6 INS6 IDW6 HUA6 HKE6 HAI6 GQM6 GGQ6 FWU6 FMY6 FDC6 ETG6 EJK6 DZO6 DPS6 DFW6 CWA6 CME6 CCI6 BSM6 BIQ6 AYU6 AOY6 AFC6 VG6 LK6">
      <formula1>#REF!</formula1>
    </dataValidation>
    <dataValidation type="list" allowBlank="1" showInputMessage="1" showErrorMessage="1" sqref="AE11">
      <formula1>$BS$36:$BS$64</formula1>
    </dataValidation>
  </dataValidations>
  <printOptions horizontalCentered="1"/>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31"/>
  <sheetViews>
    <sheetView showGridLines="0" view="pageBreakPreview" topLeftCell="A28" zoomScaleSheetLayoutView="100" workbookViewId="0">
      <selection activeCell="N20" sqref="N20"/>
    </sheetView>
  </sheetViews>
  <sheetFormatPr baseColWidth="10" defaultRowHeight="12.75"/>
  <cols>
    <col min="1" max="1" width="3.5703125" style="482" customWidth="1"/>
    <col min="2" max="2" width="13.85546875" style="482" customWidth="1"/>
    <col min="3" max="3" width="10" style="482" customWidth="1"/>
    <col min="4" max="4" width="6.7109375" style="482" customWidth="1"/>
    <col min="5" max="5" width="10" style="482" customWidth="1"/>
    <col min="6" max="7" width="8.7109375" style="482" customWidth="1"/>
    <col min="8" max="8" width="8.28515625" style="482" customWidth="1"/>
    <col min="9" max="10" width="8.7109375" style="482" customWidth="1"/>
    <col min="11" max="11" width="3.5703125" style="482" customWidth="1"/>
    <col min="12" max="12" width="12.28515625" style="482" customWidth="1"/>
    <col min="13" max="17" width="11.42578125" style="482" customWidth="1"/>
    <col min="18" max="16384" width="11.42578125" style="482"/>
  </cols>
  <sheetData>
    <row r="1" spans="1:13" ht="15" customHeight="1">
      <c r="A1" s="2198"/>
      <c r="B1" s="2199"/>
      <c r="C1" s="2200"/>
      <c r="D1" s="2207" t="s">
        <v>323</v>
      </c>
      <c r="E1" s="2208"/>
      <c r="F1" s="2208"/>
      <c r="G1" s="2208"/>
      <c r="H1" s="2208"/>
      <c r="I1" s="2208"/>
      <c r="J1" s="2208"/>
      <c r="K1" s="2209"/>
    </row>
    <row r="2" spans="1:13" ht="15" customHeight="1">
      <c r="A2" s="2201"/>
      <c r="B2" s="2202"/>
      <c r="C2" s="2203"/>
      <c r="D2" s="2210"/>
      <c r="E2" s="2211"/>
      <c r="F2" s="2211"/>
      <c r="G2" s="2211"/>
      <c r="H2" s="2211"/>
      <c r="I2" s="2211"/>
      <c r="J2" s="2211"/>
      <c r="K2" s="2212"/>
    </row>
    <row r="3" spans="1:13" ht="15" customHeight="1">
      <c r="A3" s="2201"/>
      <c r="B3" s="2202"/>
      <c r="C3" s="2203"/>
      <c r="D3" s="2210"/>
      <c r="E3" s="2211"/>
      <c r="F3" s="2211"/>
      <c r="G3" s="2211"/>
      <c r="H3" s="2211"/>
      <c r="I3" s="2211"/>
      <c r="J3" s="2211"/>
      <c r="K3" s="2212"/>
    </row>
    <row r="4" spans="1:13" ht="15" customHeight="1">
      <c r="A4" s="2201"/>
      <c r="B4" s="2202"/>
      <c r="C4" s="2203"/>
      <c r="D4" s="2213"/>
      <c r="E4" s="2214"/>
      <c r="F4" s="2214"/>
      <c r="G4" s="2214"/>
      <c r="H4" s="2214"/>
      <c r="I4" s="2214"/>
      <c r="J4" s="2214"/>
      <c r="K4" s="2215"/>
    </row>
    <row r="5" spans="1:13" ht="15" customHeight="1">
      <c r="A5" s="2201"/>
      <c r="B5" s="2202"/>
      <c r="C5" s="2203"/>
      <c r="D5" s="2216" t="s">
        <v>324</v>
      </c>
      <c r="E5" s="2217"/>
      <c r="F5" s="2217"/>
      <c r="G5" s="2217"/>
      <c r="H5" s="2218"/>
      <c r="I5" s="2216" t="s">
        <v>325</v>
      </c>
      <c r="J5" s="2217"/>
      <c r="K5" s="2218"/>
    </row>
    <row r="6" spans="1:13" ht="15" customHeight="1">
      <c r="A6" s="2204"/>
      <c r="B6" s="2205"/>
      <c r="C6" s="2206"/>
      <c r="D6" s="2219" t="s">
        <v>313</v>
      </c>
      <c r="E6" s="2220"/>
      <c r="F6" s="2220"/>
      <c r="G6" s="2220"/>
      <c r="H6" s="2220"/>
      <c r="I6" s="2220"/>
      <c r="J6" s="2220"/>
      <c r="K6" s="2221"/>
    </row>
    <row r="7" spans="1:13" ht="15" customHeight="1">
      <c r="A7" s="483"/>
      <c r="B7" s="484"/>
      <c r="C7" s="484"/>
      <c r="D7" s="484"/>
      <c r="E7" s="484"/>
      <c r="F7" s="484"/>
      <c r="G7" s="484"/>
      <c r="H7" s="484"/>
      <c r="I7" s="484"/>
      <c r="J7" s="484"/>
      <c r="K7" s="485"/>
      <c r="L7" s="392" t="s">
        <v>314</v>
      </c>
    </row>
    <row r="8" spans="1:13" ht="15" customHeight="1">
      <c r="A8" s="486"/>
      <c r="B8" s="487"/>
      <c r="C8" s="487"/>
      <c r="D8" s="487"/>
      <c r="E8" s="487"/>
      <c r="F8" s="487"/>
      <c r="G8" s="488" t="s">
        <v>9</v>
      </c>
      <c r="H8" s="2195" t="str">
        <f>IF('1. Encabezado'!T7="","",'1. Encabezado'!T7)</f>
        <v/>
      </c>
      <c r="I8" s="2195"/>
      <c r="J8" s="2195"/>
      <c r="K8" s="489"/>
      <c r="L8" s="393" t="s">
        <v>315</v>
      </c>
    </row>
    <row r="9" spans="1:13" ht="15" customHeight="1">
      <c r="A9" s="486"/>
      <c r="B9" s="487"/>
      <c r="C9" s="487"/>
      <c r="D9" s="487"/>
      <c r="E9" s="487"/>
      <c r="F9" s="487"/>
      <c r="G9" s="441"/>
      <c r="H9" s="2222" t="str">
        <f>IF(H8="",L12,CONCATENATE(L8," ",L9," ",L10," ", L11))</f>
        <v>Pagina xx de xx</v>
      </c>
      <c r="I9" s="2222"/>
      <c r="J9" s="2222"/>
      <c r="K9" s="489"/>
      <c r="L9" s="530" t="str">
        <f>IF(H8="","",4)</f>
        <v/>
      </c>
    </row>
    <row r="10" spans="1:13" ht="15" customHeight="1">
      <c r="A10" s="486"/>
      <c r="B10" s="487"/>
      <c r="C10" s="487"/>
      <c r="D10" s="487"/>
      <c r="E10" s="487"/>
      <c r="F10" s="487"/>
      <c r="G10" s="487"/>
      <c r="H10" s="487"/>
      <c r="I10" s="487"/>
      <c r="J10" s="487"/>
      <c r="K10" s="489"/>
      <c r="L10" s="394" t="s">
        <v>316</v>
      </c>
    </row>
    <row r="11" spans="1:13" ht="15" customHeight="1">
      <c r="A11" s="486"/>
      <c r="B11" s="487"/>
      <c r="C11" s="487"/>
      <c r="D11" s="487"/>
      <c r="E11" s="487"/>
      <c r="F11" s="487"/>
      <c r="G11" s="487"/>
      <c r="H11" s="487"/>
      <c r="I11" s="487"/>
      <c r="J11" s="487"/>
      <c r="K11" s="489"/>
      <c r="L11" s="531">
        <f>IF('1. Encabezado'!AB10="","",'1. Encabezado'!AB10)</f>
        <v>17</v>
      </c>
    </row>
    <row r="12" spans="1:13" ht="15" customHeight="1">
      <c r="A12" s="491"/>
      <c r="B12" s="492"/>
      <c r="C12" s="493"/>
      <c r="D12" s="493"/>
      <c r="E12" s="493"/>
      <c r="F12" s="493"/>
      <c r="G12" s="493"/>
      <c r="H12" s="493"/>
      <c r="I12" s="493"/>
      <c r="J12" s="493"/>
      <c r="K12" s="494"/>
      <c r="L12" s="395" t="s">
        <v>317</v>
      </c>
    </row>
    <row r="13" spans="1:13" ht="45" customHeight="1">
      <c r="A13" s="495"/>
      <c r="B13" s="2223" t="s">
        <v>326</v>
      </c>
      <c r="C13" s="2224"/>
      <c r="D13" s="2224"/>
      <c r="E13" s="2224"/>
      <c r="F13" s="2224"/>
      <c r="G13" s="2224"/>
      <c r="H13" s="2224"/>
      <c r="I13" s="2224"/>
      <c r="J13" s="2225"/>
      <c r="K13" s="496"/>
    </row>
    <row r="14" spans="1:13" ht="45" customHeight="1">
      <c r="A14" s="495"/>
      <c r="B14" s="2226" t="s">
        <v>327</v>
      </c>
      <c r="C14" s="2227"/>
      <c r="D14" s="2227"/>
      <c r="E14" s="2227"/>
      <c r="F14" s="2227"/>
      <c r="G14" s="2227"/>
      <c r="H14" s="497" t="s">
        <v>70</v>
      </c>
      <c r="I14" s="2228" t="str">
        <f>IF(H8="","",1)</f>
        <v/>
      </c>
      <c r="J14" s="2229"/>
      <c r="K14" s="496"/>
      <c r="L14" s="482" t="str">
        <f>+IF(I16="","",((I16-I17)/I16*100))</f>
        <v/>
      </c>
    </row>
    <row r="15" spans="1:13" ht="45" customHeight="1">
      <c r="A15" s="495"/>
      <c r="B15" s="2226" t="s">
        <v>328</v>
      </c>
      <c r="C15" s="2227"/>
      <c r="D15" s="2227"/>
      <c r="E15" s="2227"/>
      <c r="F15" s="2227"/>
      <c r="G15" s="2227"/>
      <c r="H15" s="498"/>
      <c r="I15" s="2230" t="str">
        <f>+IF(H8="","",M16)</f>
        <v/>
      </c>
      <c r="J15" s="2231"/>
      <c r="K15" s="496"/>
      <c r="L15" s="499"/>
      <c r="M15" s="499" t="s">
        <v>329</v>
      </c>
    </row>
    <row r="16" spans="1:13" ht="45" customHeight="1">
      <c r="A16" s="500"/>
      <c r="B16" s="2179" t="s">
        <v>330</v>
      </c>
      <c r="C16" s="2180"/>
      <c r="D16" s="2180"/>
      <c r="E16" s="2180"/>
      <c r="F16" s="2180"/>
      <c r="G16" s="2180"/>
      <c r="H16" s="501" t="s">
        <v>58</v>
      </c>
      <c r="I16" s="2181" t="str">
        <f>+IF(H8="","",'Gradacion '!I52)</f>
        <v/>
      </c>
      <c r="J16" s="2182"/>
      <c r="K16" s="502"/>
      <c r="L16" s="503" t="s">
        <v>331</v>
      </c>
      <c r="M16" s="504" t="s">
        <v>332</v>
      </c>
    </row>
    <row r="17" spans="1:21" ht="45" customHeight="1">
      <c r="A17" s="500"/>
      <c r="B17" s="2183" t="s">
        <v>333</v>
      </c>
      <c r="C17" s="2184"/>
      <c r="D17" s="2184"/>
      <c r="E17" s="2184"/>
      <c r="F17" s="2184"/>
      <c r="G17" s="2184"/>
      <c r="H17" s="501" t="s">
        <v>58</v>
      </c>
      <c r="I17" s="2181" t="str">
        <f>+IF(H8="","",'Gradacion '!AG52)</f>
        <v/>
      </c>
      <c r="J17" s="2182"/>
      <c r="K17" s="502"/>
      <c r="L17" s="503"/>
      <c r="M17" s="505" t="s">
        <v>334</v>
      </c>
    </row>
    <row r="18" spans="1:21" ht="45" customHeight="1">
      <c r="A18" s="500"/>
      <c r="B18" s="2185" t="s">
        <v>335</v>
      </c>
      <c r="C18" s="2186"/>
      <c r="D18" s="2186"/>
      <c r="E18" s="2186"/>
      <c r="F18" s="2186"/>
      <c r="G18" s="2186"/>
      <c r="H18" s="506" t="s">
        <v>62</v>
      </c>
      <c r="I18" s="2187" t="str">
        <f>+IF(I15="","",(IF(L14&lt;10,FIXED(L14,1,0),FIXED(L14,0,0))))</f>
        <v/>
      </c>
      <c r="J18" s="2188"/>
      <c r="K18" s="502"/>
    </row>
    <row r="19" spans="1:21" s="512" customFormat="1" ht="15" customHeight="1">
      <c r="A19" s="500"/>
      <c r="B19" s="507"/>
      <c r="C19" s="508"/>
      <c r="D19" s="508"/>
      <c r="E19" s="508"/>
      <c r="F19" s="508"/>
      <c r="G19" s="508"/>
      <c r="H19" s="509"/>
      <c r="I19" s="510"/>
      <c r="J19" s="510"/>
      <c r="K19" s="502"/>
      <c r="L19" s="511"/>
    </row>
    <row r="20" spans="1:21" s="512" customFormat="1" ht="15" customHeight="1">
      <c r="A20" s="500"/>
      <c r="B20" s="507"/>
      <c r="C20" s="508"/>
      <c r="D20" s="508"/>
      <c r="E20" s="508"/>
      <c r="F20" s="508"/>
      <c r="G20" s="508"/>
      <c r="H20" s="509"/>
      <c r="I20" s="510"/>
      <c r="J20" s="510"/>
      <c r="K20" s="502"/>
      <c r="L20" s="511"/>
    </row>
    <row r="21" spans="1:21" s="512" customFormat="1" ht="15" customHeight="1">
      <c r="A21" s="500"/>
      <c r="B21" s="2180" t="s">
        <v>169</v>
      </c>
      <c r="C21" s="2180"/>
      <c r="D21" s="2196"/>
      <c r="E21" s="2196"/>
      <c r="F21" s="1331" t="str">
        <f>IF(D21="","","al")</f>
        <v/>
      </c>
      <c r="G21" s="2197"/>
      <c r="H21" s="2197"/>
      <c r="I21" s="510"/>
      <c r="J21" s="510"/>
      <c r="K21" s="502"/>
      <c r="L21" s="511"/>
    </row>
    <row r="22" spans="1:21" s="520" customFormat="1" ht="15" customHeight="1">
      <c r="A22" s="513"/>
      <c r="B22" s="514"/>
      <c r="C22" s="514"/>
      <c r="D22" s="515"/>
      <c r="E22" s="516"/>
      <c r="F22" s="514"/>
      <c r="G22" s="517"/>
      <c r="H22" s="517"/>
      <c r="I22" s="518"/>
      <c r="J22" s="514"/>
      <c r="K22" s="519"/>
    </row>
    <row r="23" spans="1:21" s="520" customFormat="1" ht="15" customHeight="1">
      <c r="A23" s="521"/>
      <c r="B23" s="2189" t="s">
        <v>10</v>
      </c>
      <c r="C23" s="2189"/>
      <c r="D23" s="2190"/>
      <c r="E23" s="2190"/>
      <c r="F23" s="2190"/>
      <c r="G23" s="2190"/>
      <c r="H23" s="2190"/>
      <c r="I23" s="2190"/>
      <c r="J23" s="2190"/>
      <c r="K23" s="522"/>
    </row>
    <row r="24" spans="1:21" s="520" customFormat="1" ht="15" customHeight="1">
      <c r="A24" s="523"/>
      <c r="B24" s="2191"/>
      <c r="C24" s="2191"/>
      <c r="D24" s="2191"/>
      <c r="E24" s="2191"/>
      <c r="F24" s="2191"/>
      <c r="G24" s="2191"/>
      <c r="H24" s="2191"/>
      <c r="I24" s="2191"/>
      <c r="J24" s="2191"/>
      <c r="K24" s="524"/>
    </row>
    <row r="25" spans="1:21" s="520" customFormat="1" ht="15" customHeight="1">
      <c r="A25" s="523"/>
      <c r="B25" s="2191"/>
      <c r="C25" s="2191"/>
      <c r="D25" s="2191"/>
      <c r="E25" s="2191"/>
      <c r="F25" s="2191"/>
      <c r="G25" s="2191"/>
      <c r="H25" s="2191"/>
      <c r="I25" s="2191"/>
      <c r="J25" s="2191"/>
      <c r="K25" s="524"/>
    </row>
    <row r="26" spans="1:21" s="520" customFormat="1" ht="15" customHeight="1" thickBot="1">
      <c r="A26" s="525"/>
      <c r="B26" s="2192"/>
      <c r="C26" s="2192"/>
      <c r="D26" s="2192"/>
      <c r="E26" s="2192"/>
      <c r="F26" s="2192"/>
      <c r="G26" s="2192"/>
      <c r="H26" s="2192"/>
      <c r="I26" s="2192"/>
      <c r="J26" s="2192"/>
      <c r="K26" s="526"/>
    </row>
    <row r="27" spans="1:21" s="520" customFormat="1" ht="15" customHeight="1" thickTop="1" thickBot="1">
      <c r="A27" s="2193" t="s">
        <v>13</v>
      </c>
      <c r="B27" s="2193"/>
      <c r="C27" s="2193"/>
      <c r="D27" s="2193"/>
      <c r="E27" s="2193"/>
      <c r="F27" s="2193"/>
      <c r="G27" s="2193"/>
      <c r="H27" s="2193"/>
      <c r="I27" s="2193"/>
      <c r="J27" s="2193"/>
      <c r="K27" s="2193"/>
    </row>
    <row r="28" spans="1:21" s="520" customFormat="1" ht="15" customHeight="1" thickTop="1">
      <c r="A28" s="2194"/>
      <c r="B28" s="2194"/>
      <c r="C28" s="2194"/>
      <c r="D28" s="2194"/>
      <c r="E28" s="2194"/>
      <c r="F28" s="2194"/>
      <c r="G28" s="2194"/>
      <c r="H28" s="2194"/>
      <c r="I28" s="2194"/>
      <c r="J28" s="2194"/>
      <c r="K28" s="2194"/>
    </row>
    <row r="29" spans="1:21" s="527" customFormat="1" ht="15" customHeight="1">
      <c r="A29" s="2178" t="s">
        <v>306</v>
      </c>
      <c r="B29" s="2178"/>
      <c r="C29" s="2178"/>
      <c r="D29" s="2178"/>
      <c r="E29" s="2178"/>
      <c r="F29" s="2178"/>
      <c r="G29" s="2178"/>
      <c r="H29" s="2178"/>
      <c r="I29" s="2178"/>
      <c r="J29" s="2178"/>
      <c r="K29" s="2178"/>
    </row>
    <row r="30" spans="1:21" s="520" customFormat="1" ht="15" customHeight="1">
      <c r="A30" s="2178"/>
      <c r="B30" s="2178"/>
      <c r="C30" s="2178"/>
      <c r="D30" s="2178"/>
      <c r="E30" s="2178"/>
      <c r="F30" s="2178"/>
      <c r="G30" s="2178"/>
      <c r="H30" s="2178"/>
      <c r="I30" s="2178"/>
      <c r="J30" s="2178"/>
      <c r="K30" s="2178"/>
      <c r="L30" s="528"/>
      <c r="M30" s="528"/>
      <c r="N30" s="528"/>
      <c r="O30" s="528"/>
      <c r="P30" s="528"/>
      <c r="Q30" s="528"/>
      <c r="R30" s="528"/>
      <c r="S30" s="528"/>
      <c r="T30" s="528"/>
      <c r="U30" s="528"/>
    </row>
    <row r="31" spans="1:21" s="520" customFormat="1" ht="30" customHeight="1">
      <c r="A31" s="482"/>
      <c r="B31" s="482"/>
      <c r="C31" s="482"/>
      <c r="D31" s="482"/>
      <c r="E31" s="482"/>
      <c r="F31" s="482"/>
      <c r="G31" s="482"/>
      <c r="H31" s="482"/>
      <c r="I31" s="482"/>
      <c r="J31" s="482"/>
      <c r="K31" s="482"/>
      <c r="L31" s="529"/>
      <c r="M31" s="529"/>
      <c r="N31" s="529"/>
      <c r="O31" s="529"/>
      <c r="P31" s="529"/>
      <c r="Q31" s="529"/>
      <c r="R31" s="529"/>
      <c r="S31" s="529"/>
      <c r="T31" s="529"/>
      <c r="U31" s="529"/>
    </row>
  </sheetData>
  <sheetProtection algorithmName="SHA-512" hashValue="0yHCGTMQ6Pts/u+/mlyKC/9/STWfN7/eCFnB3AanI69Y34yl/q2f+8e9T/06mCpTh+C0JjPO2QR1E/CjxbZd8A==" saltValue="/pdU2Efy6iTLPLq8B6qSfQ==" spinCount="100000" sheet="1" formatCells="0"/>
  <mergeCells count="27">
    <mergeCell ref="H8:J8"/>
    <mergeCell ref="B21:C21"/>
    <mergeCell ref="D21:E21"/>
    <mergeCell ref="G21:H21"/>
    <mergeCell ref="A1:C6"/>
    <mergeCell ref="D1:K4"/>
    <mergeCell ref="D5:H5"/>
    <mergeCell ref="I5:K5"/>
    <mergeCell ref="D6:K6"/>
    <mergeCell ref="H9:J9"/>
    <mergeCell ref="B13:J13"/>
    <mergeCell ref="B14:G14"/>
    <mergeCell ref="I14:J14"/>
    <mergeCell ref="B15:G15"/>
    <mergeCell ref="I15:J15"/>
    <mergeCell ref="A29:K30"/>
    <mergeCell ref="B16:G16"/>
    <mergeCell ref="I16:J16"/>
    <mergeCell ref="B17:G17"/>
    <mergeCell ref="I17:J17"/>
    <mergeCell ref="B18:G18"/>
    <mergeCell ref="I18:J18"/>
    <mergeCell ref="B23:C23"/>
    <mergeCell ref="D23:J23"/>
    <mergeCell ref="B24:J26"/>
    <mergeCell ref="A27:K27"/>
    <mergeCell ref="A28:K28"/>
  </mergeCells>
  <printOptions horizontalCentered="1"/>
  <pageMargins left="0.59055118110236227" right="0.39370078740157483" top="0.59055118110236227" bottom="0.59055118110236227" header="0" footer="0.19685039370078741"/>
  <pageSetup orientation="portrait" r:id="rId1"/>
  <headerFooter alignWithMargins="0">
    <oddFooter>&amp;L&amp;"Arial,Normal"&amp;6Calle 26 No. 57-41 Torre 8 Piso 8 CEMSA - CP: 1113111            
Pbx: 3779555  - Información: Línea 195     
www.umv.gov.co111311&amp;C&amp;6Página 1 de 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O86"/>
  <sheetViews>
    <sheetView showGridLines="0" view="pageBreakPreview" topLeftCell="A31" zoomScaleSheetLayoutView="100" zoomScalePageLayoutView="70" workbookViewId="0">
      <selection activeCell="N40" sqref="N40"/>
    </sheetView>
  </sheetViews>
  <sheetFormatPr baseColWidth="10" defaultColWidth="9.140625" defaultRowHeight="12.75"/>
  <cols>
    <col min="1" max="19" width="3.5703125" style="863" customWidth="1"/>
    <col min="20" max="23" width="5" style="863" customWidth="1"/>
    <col min="24" max="24" width="3.5703125" style="863" customWidth="1"/>
    <col min="25" max="25" width="15" style="863" customWidth="1"/>
    <col min="26" max="26" width="6.28515625" style="863" customWidth="1"/>
    <col min="27" max="27" width="16.5703125" style="863" customWidth="1"/>
    <col min="28" max="28" width="7.7109375" style="863" customWidth="1"/>
    <col min="29" max="29" width="11.7109375" style="863" customWidth="1"/>
    <col min="30" max="30" width="16.5703125" style="863" customWidth="1"/>
    <col min="31" max="55" width="9.140625" style="863" customWidth="1"/>
    <col min="56" max="267" width="9.140625" style="863"/>
    <col min="268" max="269" width="7.7109375" style="863" customWidth="1"/>
    <col min="270" max="270" width="7.28515625" style="863" customWidth="1"/>
    <col min="271" max="271" width="9.140625" style="863" customWidth="1"/>
    <col min="272" max="272" width="7" style="863" customWidth="1"/>
    <col min="273" max="273" width="7.85546875" style="863" customWidth="1"/>
    <col min="274" max="274" width="9.85546875" style="863" customWidth="1"/>
    <col min="275" max="275" width="10.140625" style="863" customWidth="1"/>
    <col min="276" max="276" width="9" style="863" customWidth="1"/>
    <col min="277" max="277" width="9.42578125" style="863" customWidth="1"/>
    <col min="278" max="278" width="8.5703125" style="863" customWidth="1"/>
    <col min="279" max="279" width="6.42578125" style="863" customWidth="1"/>
    <col min="280" max="280" width="9.140625" style="863" customWidth="1"/>
    <col min="281" max="281" width="22.28515625" style="863" customWidth="1"/>
    <col min="282" max="282" width="25.7109375" style="863" customWidth="1"/>
    <col min="283" max="283" width="11.28515625" style="863" customWidth="1"/>
    <col min="284" max="284" width="19.85546875" style="863" customWidth="1"/>
    <col min="285" max="285" width="27.7109375" style="863" customWidth="1"/>
    <col min="286" max="286" width="10.28515625" style="863" customWidth="1"/>
    <col min="287" max="523" width="9.140625" style="863"/>
    <col min="524" max="525" width="7.7109375" style="863" customWidth="1"/>
    <col min="526" max="526" width="7.28515625" style="863" customWidth="1"/>
    <col min="527" max="527" width="9.140625" style="863" customWidth="1"/>
    <col min="528" max="528" width="7" style="863" customWidth="1"/>
    <col min="529" max="529" width="7.85546875" style="863" customWidth="1"/>
    <col min="530" max="530" width="9.85546875" style="863" customWidth="1"/>
    <col min="531" max="531" width="10.140625" style="863" customWidth="1"/>
    <col min="532" max="532" width="9" style="863" customWidth="1"/>
    <col min="533" max="533" width="9.42578125" style="863" customWidth="1"/>
    <col min="534" max="534" width="8.5703125" style="863" customWidth="1"/>
    <col min="535" max="535" width="6.42578125" style="863" customWidth="1"/>
    <col min="536" max="536" width="9.140625" style="863" customWidth="1"/>
    <col min="537" max="537" width="22.28515625" style="863" customWidth="1"/>
    <col min="538" max="538" width="25.7109375" style="863" customWidth="1"/>
    <col min="539" max="539" width="11.28515625" style="863" customWidth="1"/>
    <col min="540" max="540" width="19.85546875" style="863" customWidth="1"/>
    <col min="541" max="541" width="27.7109375" style="863" customWidth="1"/>
    <col min="542" max="542" width="10.28515625" style="863" customWidth="1"/>
    <col min="543" max="779" width="9.140625" style="863"/>
    <col min="780" max="781" width="7.7109375" style="863" customWidth="1"/>
    <col min="782" max="782" width="7.28515625" style="863" customWidth="1"/>
    <col min="783" max="783" width="9.140625" style="863" customWidth="1"/>
    <col min="784" max="784" width="7" style="863" customWidth="1"/>
    <col min="785" max="785" width="7.85546875" style="863" customWidth="1"/>
    <col min="786" max="786" width="9.85546875" style="863" customWidth="1"/>
    <col min="787" max="787" width="10.140625" style="863" customWidth="1"/>
    <col min="788" max="788" width="9" style="863" customWidth="1"/>
    <col min="789" max="789" width="9.42578125" style="863" customWidth="1"/>
    <col min="790" max="790" width="8.5703125" style="863" customWidth="1"/>
    <col min="791" max="791" width="6.42578125" style="863" customWidth="1"/>
    <col min="792" max="792" width="9.140625" style="863" customWidth="1"/>
    <col min="793" max="793" width="22.28515625" style="863" customWidth="1"/>
    <col min="794" max="794" width="25.7109375" style="863" customWidth="1"/>
    <col min="795" max="795" width="11.28515625" style="863" customWidth="1"/>
    <col min="796" max="796" width="19.85546875" style="863" customWidth="1"/>
    <col min="797" max="797" width="27.7109375" style="863" customWidth="1"/>
    <col min="798" max="798" width="10.28515625" style="863" customWidth="1"/>
    <col min="799" max="1035" width="9.140625" style="863"/>
    <col min="1036" max="1037" width="7.7109375" style="863" customWidth="1"/>
    <col min="1038" max="1038" width="7.28515625" style="863" customWidth="1"/>
    <col min="1039" max="1039" width="9.140625" style="863" customWidth="1"/>
    <col min="1040" max="1040" width="7" style="863" customWidth="1"/>
    <col min="1041" max="1041" width="7.85546875" style="863" customWidth="1"/>
    <col min="1042" max="1042" width="9.85546875" style="863" customWidth="1"/>
    <col min="1043" max="1043" width="10.140625" style="863" customWidth="1"/>
    <col min="1044" max="1044" width="9" style="863" customWidth="1"/>
    <col min="1045" max="1045" width="9.42578125" style="863" customWidth="1"/>
    <col min="1046" max="1046" width="8.5703125" style="863" customWidth="1"/>
    <col min="1047" max="1047" width="6.42578125" style="863" customWidth="1"/>
    <col min="1048" max="1048" width="9.140625" style="863" customWidth="1"/>
    <col min="1049" max="1049" width="22.28515625" style="863" customWidth="1"/>
    <col min="1050" max="1050" width="25.7109375" style="863" customWidth="1"/>
    <col min="1051" max="1051" width="11.28515625" style="863" customWidth="1"/>
    <col min="1052" max="1052" width="19.85546875" style="863" customWidth="1"/>
    <col min="1053" max="1053" width="27.7109375" style="863" customWidth="1"/>
    <col min="1054" max="1054" width="10.28515625" style="863" customWidth="1"/>
    <col min="1055" max="1291" width="9.140625" style="863"/>
    <col min="1292" max="1293" width="7.7109375" style="863" customWidth="1"/>
    <col min="1294" max="1294" width="7.28515625" style="863" customWidth="1"/>
    <col min="1295" max="1295" width="9.140625" style="863" customWidth="1"/>
    <col min="1296" max="1296" width="7" style="863" customWidth="1"/>
    <col min="1297" max="1297" width="7.85546875" style="863" customWidth="1"/>
    <col min="1298" max="1298" width="9.85546875" style="863" customWidth="1"/>
    <col min="1299" max="1299" width="10.140625" style="863" customWidth="1"/>
    <col min="1300" max="1300" width="9" style="863" customWidth="1"/>
    <col min="1301" max="1301" width="9.42578125" style="863" customWidth="1"/>
    <col min="1302" max="1302" width="8.5703125" style="863" customWidth="1"/>
    <col min="1303" max="1303" width="6.42578125" style="863" customWidth="1"/>
    <col min="1304" max="1304" width="9.140625" style="863" customWidth="1"/>
    <col min="1305" max="1305" width="22.28515625" style="863" customWidth="1"/>
    <col min="1306" max="1306" width="25.7109375" style="863" customWidth="1"/>
    <col min="1307" max="1307" width="11.28515625" style="863" customWidth="1"/>
    <col min="1308" max="1308" width="19.85546875" style="863" customWidth="1"/>
    <col min="1309" max="1309" width="27.7109375" style="863" customWidth="1"/>
    <col min="1310" max="1310" width="10.28515625" style="863" customWidth="1"/>
    <col min="1311" max="1547" width="9.140625" style="863"/>
    <col min="1548" max="1549" width="7.7109375" style="863" customWidth="1"/>
    <col min="1550" max="1550" width="7.28515625" style="863" customWidth="1"/>
    <col min="1551" max="1551" width="9.140625" style="863" customWidth="1"/>
    <col min="1552" max="1552" width="7" style="863" customWidth="1"/>
    <col min="1553" max="1553" width="7.85546875" style="863" customWidth="1"/>
    <col min="1554" max="1554" width="9.85546875" style="863" customWidth="1"/>
    <col min="1555" max="1555" width="10.140625" style="863" customWidth="1"/>
    <col min="1556" max="1556" width="9" style="863" customWidth="1"/>
    <col min="1557" max="1557" width="9.42578125" style="863" customWidth="1"/>
    <col min="1558" max="1558" width="8.5703125" style="863" customWidth="1"/>
    <col min="1559" max="1559" width="6.42578125" style="863" customWidth="1"/>
    <col min="1560" max="1560" width="9.140625" style="863" customWidth="1"/>
    <col min="1561" max="1561" width="22.28515625" style="863" customWidth="1"/>
    <col min="1562" max="1562" width="25.7109375" style="863" customWidth="1"/>
    <col min="1563" max="1563" width="11.28515625" style="863" customWidth="1"/>
    <col min="1564" max="1564" width="19.85546875" style="863" customWidth="1"/>
    <col min="1565" max="1565" width="27.7109375" style="863" customWidth="1"/>
    <col min="1566" max="1566" width="10.28515625" style="863" customWidth="1"/>
    <col min="1567" max="1803" width="9.140625" style="863"/>
    <col min="1804" max="1805" width="7.7109375" style="863" customWidth="1"/>
    <col min="1806" max="1806" width="7.28515625" style="863" customWidth="1"/>
    <col min="1807" max="1807" width="9.140625" style="863" customWidth="1"/>
    <col min="1808" max="1808" width="7" style="863" customWidth="1"/>
    <col min="1809" max="1809" width="7.85546875" style="863" customWidth="1"/>
    <col min="1810" max="1810" width="9.85546875" style="863" customWidth="1"/>
    <col min="1811" max="1811" width="10.140625" style="863" customWidth="1"/>
    <col min="1812" max="1812" width="9" style="863" customWidth="1"/>
    <col min="1813" max="1813" width="9.42578125" style="863" customWidth="1"/>
    <col min="1814" max="1814" width="8.5703125" style="863" customWidth="1"/>
    <col min="1815" max="1815" width="6.42578125" style="863" customWidth="1"/>
    <col min="1816" max="1816" width="9.140625" style="863" customWidth="1"/>
    <col min="1817" max="1817" width="22.28515625" style="863" customWidth="1"/>
    <col min="1818" max="1818" width="25.7109375" style="863" customWidth="1"/>
    <col min="1819" max="1819" width="11.28515625" style="863" customWidth="1"/>
    <col min="1820" max="1820" width="19.85546875" style="863" customWidth="1"/>
    <col min="1821" max="1821" width="27.7109375" style="863" customWidth="1"/>
    <col min="1822" max="1822" width="10.28515625" style="863" customWidth="1"/>
    <col min="1823" max="2059" width="9.140625" style="863"/>
    <col min="2060" max="2061" width="7.7109375" style="863" customWidth="1"/>
    <col min="2062" max="2062" width="7.28515625" style="863" customWidth="1"/>
    <col min="2063" max="2063" width="9.140625" style="863" customWidth="1"/>
    <col min="2064" max="2064" width="7" style="863" customWidth="1"/>
    <col min="2065" max="2065" width="7.85546875" style="863" customWidth="1"/>
    <col min="2066" max="2066" width="9.85546875" style="863" customWidth="1"/>
    <col min="2067" max="2067" width="10.140625" style="863" customWidth="1"/>
    <col min="2068" max="2068" width="9" style="863" customWidth="1"/>
    <col min="2069" max="2069" width="9.42578125" style="863" customWidth="1"/>
    <col min="2070" max="2070" width="8.5703125" style="863" customWidth="1"/>
    <col min="2071" max="2071" width="6.42578125" style="863" customWidth="1"/>
    <col min="2072" max="2072" width="9.140625" style="863" customWidth="1"/>
    <col min="2073" max="2073" width="22.28515625" style="863" customWidth="1"/>
    <col min="2074" max="2074" width="25.7109375" style="863" customWidth="1"/>
    <col min="2075" max="2075" width="11.28515625" style="863" customWidth="1"/>
    <col min="2076" max="2076" width="19.85546875" style="863" customWidth="1"/>
    <col min="2077" max="2077" width="27.7109375" style="863" customWidth="1"/>
    <col min="2078" max="2078" width="10.28515625" style="863" customWidth="1"/>
    <col min="2079" max="2315" width="9.140625" style="863"/>
    <col min="2316" max="2317" width="7.7109375" style="863" customWidth="1"/>
    <col min="2318" max="2318" width="7.28515625" style="863" customWidth="1"/>
    <col min="2319" max="2319" width="9.140625" style="863" customWidth="1"/>
    <col min="2320" max="2320" width="7" style="863" customWidth="1"/>
    <col min="2321" max="2321" width="7.85546875" style="863" customWidth="1"/>
    <col min="2322" max="2322" width="9.85546875" style="863" customWidth="1"/>
    <col min="2323" max="2323" width="10.140625" style="863" customWidth="1"/>
    <col min="2324" max="2324" width="9" style="863" customWidth="1"/>
    <col min="2325" max="2325" width="9.42578125" style="863" customWidth="1"/>
    <col min="2326" max="2326" width="8.5703125" style="863" customWidth="1"/>
    <col min="2327" max="2327" width="6.42578125" style="863" customWidth="1"/>
    <col min="2328" max="2328" width="9.140625" style="863" customWidth="1"/>
    <col min="2329" max="2329" width="22.28515625" style="863" customWidth="1"/>
    <col min="2330" max="2330" width="25.7109375" style="863" customWidth="1"/>
    <col min="2331" max="2331" width="11.28515625" style="863" customWidth="1"/>
    <col min="2332" max="2332" width="19.85546875" style="863" customWidth="1"/>
    <col min="2333" max="2333" width="27.7109375" style="863" customWidth="1"/>
    <col min="2334" max="2334" width="10.28515625" style="863" customWidth="1"/>
    <col min="2335" max="2571" width="9.140625" style="863"/>
    <col min="2572" max="2573" width="7.7109375" style="863" customWidth="1"/>
    <col min="2574" max="2574" width="7.28515625" style="863" customWidth="1"/>
    <col min="2575" max="2575" width="9.140625" style="863" customWidth="1"/>
    <col min="2576" max="2576" width="7" style="863" customWidth="1"/>
    <col min="2577" max="2577" width="7.85546875" style="863" customWidth="1"/>
    <col min="2578" max="2578" width="9.85546875" style="863" customWidth="1"/>
    <col min="2579" max="2579" width="10.140625" style="863" customWidth="1"/>
    <col min="2580" max="2580" width="9" style="863" customWidth="1"/>
    <col min="2581" max="2581" width="9.42578125" style="863" customWidth="1"/>
    <col min="2582" max="2582" width="8.5703125" style="863" customWidth="1"/>
    <col min="2583" max="2583" width="6.42578125" style="863" customWidth="1"/>
    <col min="2584" max="2584" width="9.140625" style="863" customWidth="1"/>
    <col min="2585" max="2585" width="22.28515625" style="863" customWidth="1"/>
    <col min="2586" max="2586" width="25.7109375" style="863" customWidth="1"/>
    <col min="2587" max="2587" width="11.28515625" style="863" customWidth="1"/>
    <col min="2588" max="2588" width="19.85546875" style="863" customWidth="1"/>
    <col min="2589" max="2589" width="27.7109375" style="863" customWidth="1"/>
    <col min="2590" max="2590" width="10.28515625" style="863" customWidth="1"/>
    <col min="2591" max="2827" width="9.140625" style="863"/>
    <col min="2828" max="2829" width="7.7109375" style="863" customWidth="1"/>
    <col min="2830" max="2830" width="7.28515625" style="863" customWidth="1"/>
    <col min="2831" max="2831" width="9.140625" style="863" customWidth="1"/>
    <col min="2832" max="2832" width="7" style="863" customWidth="1"/>
    <col min="2833" max="2833" width="7.85546875" style="863" customWidth="1"/>
    <col min="2834" max="2834" width="9.85546875" style="863" customWidth="1"/>
    <col min="2835" max="2835" width="10.140625" style="863" customWidth="1"/>
    <col min="2836" max="2836" width="9" style="863" customWidth="1"/>
    <col min="2837" max="2837" width="9.42578125" style="863" customWidth="1"/>
    <col min="2838" max="2838" width="8.5703125" style="863" customWidth="1"/>
    <col min="2839" max="2839" width="6.42578125" style="863" customWidth="1"/>
    <col min="2840" max="2840" width="9.140625" style="863" customWidth="1"/>
    <col min="2841" max="2841" width="22.28515625" style="863" customWidth="1"/>
    <col min="2842" max="2842" width="25.7109375" style="863" customWidth="1"/>
    <col min="2843" max="2843" width="11.28515625" style="863" customWidth="1"/>
    <col min="2844" max="2844" width="19.85546875" style="863" customWidth="1"/>
    <col min="2845" max="2845" width="27.7109375" style="863" customWidth="1"/>
    <col min="2846" max="2846" width="10.28515625" style="863" customWidth="1"/>
    <col min="2847" max="3083" width="9.140625" style="863"/>
    <col min="3084" max="3085" width="7.7109375" style="863" customWidth="1"/>
    <col min="3086" max="3086" width="7.28515625" style="863" customWidth="1"/>
    <col min="3087" max="3087" width="9.140625" style="863" customWidth="1"/>
    <col min="3088" max="3088" width="7" style="863" customWidth="1"/>
    <col min="3089" max="3089" width="7.85546875" style="863" customWidth="1"/>
    <col min="3090" max="3090" width="9.85546875" style="863" customWidth="1"/>
    <col min="3091" max="3091" width="10.140625" style="863" customWidth="1"/>
    <col min="3092" max="3092" width="9" style="863" customWidth="1"/>
    <col min="3093" max="3093" width="9.42578125" style="863" customWidth="1"/>
    <col min="3094" max="3094" width="8.5703125" style="863" customWidth="1"/>
    <col min="3095" max="3095" width="6.42578125" style="863" customWidth="1"/>
    <col min="3096" max="3096" width="9.140625" style="863" customWidth="1"/>
    <col min="3097" max="3097" width="22.28515625" style="863" customWidth="1"/>
    <col min="3098" max="3098" width="25.7109375" style="863" customWidth="1"/>
    <col min="3099" max="3099" width="11.28515625" style="863" customWidth="1"/>
    <col min="3100" max="3100" width="19.85546875" style="863" customWidth="1"/>
    <col min="3101" max="3101" width="27.7109375" style="863" customWidth="1"/>
    <col min="3102" max="3102" width="10.28515625" style="863" customWidth="1"/>
    <col min="3103" max="3339" width="9.140625" style="863"/>
    <col min="3340" max="3341" width="7.7109375" style="863" customWidth="1"/>
    <col min="3342" max="3342" width="7.28515625" style="863" customWidth="1"/>
    <col min="3343" max="3343" width="9.140625" style="863" customWidth="1"/>
    <col min="3344" max="3344" width="7" style="863" customWidth="1"/>
    <col min="3345" max="3345" width="7.85546875" style="863" customWidth="1"/>
    <col min="3346" max="3346" width="9.85546875" style="863" customWidth="1"/>
    <col min="3347" max="3347" width="10.140625" style="863" customWidth="1"/>
    <col min="3348" max="3348" width="9" style="863" customWidth="1"/>
    <col min="3349" max="3349" width="9.42578125" style="863" customWidth="1"/>
    <col min="3350" max="3350" width="8.5703125" style="863" customWidth="1"/>
    <col min="3351" max="3351" width="6.42578125" style="863" customWidth="1"/>
    <col min="3352" max="3352" width="9.140625" style="863" customWidth="1"/>
    <col min="3353" max="3353" width="22.28515625" style="863" customWidth="1"/>
    <col min="3354" max="3354" width="25.7109375" style="863" customWidth="1"/>
    <col min="3355" max="3355" width="11.28515625" style="863" customWidth="1"/>
    <col min="3356" max="3356" width="19.85546875" style="863" customWidth="1"/>
    <col min="3357" max="3357" width="27.7109375" style="863" customWidth="1"/>
    <col min="3358" max="3358" width="10.28515625" style="863" customWidth="1"/>
    <col min="3359" max="3595" width="9.140625" style="863"/>
    <col min="3596" max="3597" width="7.7109375" style="863" customWidth="1"/>
    <col min="3598" max="3598" width="7.28515625" style="863" customWidth="1"/>
    <col min="3599" max="3599" width="9.140625" style="863" customWidth="1"/>
    <col min="3600" max="3600" width="7" style="863" customWidth="1"/>
    <col min="3601" max="3601" width="7.85546875" style="863" customWidth="1"/>
    <col min="3602" max="3602" width="9.85546875" style="863" customWidth="1"/>
    <col min="3603" max="3603" width="10.140625" style="863" customWidth="1"/>
    <col min="3604" max="3604" width="9" style="863" customWidth="1"/>
    <col min="3605" max="3605" width="9.42578125" style="863" customWidth="1"/>
    <col min="3606" max="3606" width="8.5703125" style="863" customWidth="1"/>
    <col min="3607" max="3607" width="6.42578125" style="863" customWidth="1"/>
    <col min="3608" max="3608" width="9.140625" style="863" customWidth="1"/>
    <col min="3609" max="3609" width="22.28515625" style="863" customWidth="1"/>
    <col min="3610" max="3610" width="25.7109375" style="863" customWidth="1"/>
    <col min="3611" max="3611" width="11.28515625" style="863" customWidth="1"/>
    <col min="3612" max="3612" width="19.85546875" style="863" customWidth="1"/>
    <col min="3613" max="3613" width="27.7109375" style="863" customWidth="1"/>
    <col min="3614" max="3614" width="10.28515625" style="863" customWidth="1"/>
    <col min="3615" max="3851" width="9.140625" style="863"/>
    <col min="3852" max="3853" width="7.7109375" style="863" customWidth="1"/>
    <col min="3854" max="3854" width="7.28515625" style="863" customWidth="1"/>
    <col min="3855" max="3855" width="9.140625" style="863" customWidth="1"/>
    <col min="3856" max="3856" width="7" style="863" customWidth="1"/>
    <col min="3857" max="3857" width="7.85546875" style="863" customWidth="1"/>
    <col min="3858" max="3858" width="9.85546875" style="863" customWidth="1"/>
    <col min="3859" max="3859" width="10.140625" style="863" customWidth="1"/>
    <col min="3860" max="3860" width="9" style="863" customWidth="1"/>
    <col min="3861" max="3861" width="9.42578125" style="863" customWidth="1"/>
    <col min="3862" max="3862" width="8.5703125" style="863" customWidth="1"/>
    <col min="3863" max="3863" width="6.42578125" style="863" customWidth="1"/>
    <col min="3864" max="3864" width="9.140625" style="863" customWidth="1"/>
    <col min="3865" max="3865" width="22.28515625" style="863" customWidth="1"/>
    <col min="3866" max="3866" width="25.7109375" style="863" customWidth="1"/>
    <col min="3867" max="3867" width="11.28515625" style="863" customWidth="1"/>
    <col min="3868" max="3868" width="19.85546875" style="863" customWidth="1"/>
    <col min="3869" max="3869" width="27.7109375" style="863" customWidth="1"/>
    <col min="3870" max="3870" width="10.28515625" style="863" customWidth="1"/>
    <col min="3871" max="4107" width="9.140625" style="863"/>
    <col min="4108" max="4109" width="7.7109375" style="863" customWidth="1"/>
    <col min="4110" max="4110" width="7.28515625" style="863" customWidth="1"/>
    <col min="4111" max="4111" width="9.140625" style="863" customWidth="1"/>
    <col min="4112" max="4112" width="7" style="863" customWidth="1"/>
    <col min="4113" max="4113" width="7.85546875" style="863" customWidth="1"/>
    <col min="4114" max="4114" width="9.85546875" style="863" customWidth="1"/>
    <col min="4115" max="4115" width="10.140625" style="863" customWidth="1"/>
    <col min="4116" max="4116" width="9" style="863" customWidth="1"/>
    <col min="4117" max="4117" width="9.42578125" style="863" customWidth="1"/>
    <col min="4118" max="4118" width="8.5703125" style="863" customWidth="1"/>
    <col min="4119" max="4119" width="6.42578125" style="863" customWidth="1"/>
    <col min="4120" max="4120" width="9.140625" style="863" customWidth="1"/>
    <col min="4121" max="4121" width="22.28515625" style="863" customWidth="1"/>
    <col min="4122" max="4122" width="25.7109375" style="863" customWidth="1"/>
    <col min="4123" max="4123" width="11.28515625" style="863" customWidth="1"/>
    <col min="4124" max="4124" width="19.85546875" style="863" customWidth="1"/>
    <col min="4125" max="4125" width="27.7109375" style="863" customWidth="1"/>
    <col min="4126" max="4126" width="10.28515625" style="863" customWidth="1"/>
    <col min="4127" max="4363" width="9.140625" style="863"/>
    <col min="4364" max="4365" width="7.7109375" style="863" customWidth="1"/>
    <col min="4366" max="4366" width="7.28515625" style="863" customWidth="1"/>
    <col min="4367" max="4367" width="9.140625" style="863" customWidth="1"/>
    <col min="4368" max="4368" width="7" style="863" customWidth="1"/>
    <col min="4369" max="4369" width="7.85546875" style="863" customWidth="1"/>
    <col min="4370" max="4370" width="9.85546875" style="863" customWidth="1"/>
    <col min="4371" max="4371" width="10.140625" style="863" customWidth="1"/>
    <col min="4372" max="4372" width="9" style="863" customWidth="1"/>
    <col min="4373" max="4373" width="9.42578125" style="863" customWidth="1"/>
    <col min="4374" max="4374" width="8.5703125" style="863" customWidth="1"/>
    <col min="4375" max="4375" width="6.42578125" style="863" customWidth="1"/>
    <col min="4376" max="4376" width="9.140625" style="863" customWidth="1"/>
    <col min="4377" max="4377" width="22.28515625" style="863" customWidth="1"/>
    <col min="4378" max="4378" width="25.7109375" style="863" customWidth="1"/>
    <col min="4379" max="4379" width="11.28515625" style="863" customWidth="1"/>
    <col min="4380" max="4380" width="19.85546875" style="863" customWidth="1"/>
    <col min="4381" max="4381" width="27.7109375" style="863" customWidth="1"/>
    <col min="4382" max="4382" width="10.28515625" style="863" customWidth="1"/>
    <col min="4383" max="4619" width="9.140625" style="863"/>
    <col min="4620" max="4621" width="7.7109375" style="863" customWidth="1"/>
    <col min="4622" max="4622" width="7.28515625" style="863" customWidth="1"/>
    <col min="4623" max="4623" width="9.140625" style="863" customWidth="1"/>
    <col min="4624" max="4624" width="7" style="863" customWidth="1"/>
    <col min="4625" max="4625" width="7.85546875" style="863" customWidth="1"/>
    <col min="4626" max="4626" width="9.85546875" style="863" customWidth="1"/>
    <col min="4627" max="4627" width="10.140625" style="863" customWidth="1"/>
    <col min="4628" max="4628" width="9" style="863" customWidth="1"/>
    <col min="4629" max="4629" width="9.42578125" style="863" customWidth="1"/>
    <col min="4630" max="4630" width="8.5703125" style="863" customWidth="1"/>
    <col min="4631" max="4631" width="6.42578125" style="863" customWidth="1"/>
    <col min="4632" max="4632" width="9.140625" style="863" customWidth="1"/>
    <col min="4633" max="4633" width="22.28515625" style="863" customWidth="1"/>
    <col min="4634" max="4634" width="25.7109375" style="863" customWidth="1"/>
    <col min="4635" max="4635" width="11.28515625" style="863" customWidth="1"/>
    <col min="4636" max="4636" width="19.85546875" style="863" customWidth="1"/>
    <col min="4637" max="4637" width="27.7109375" style="863" customWidth="1"/>
    <col min="4638" max="4638" width="10.28515625" style="863" customWidth="1"/>
    <col min="4639" max="4875" width="9.140625" style="863"/>
    <col min="4876" max="4877" width="7.7109375" style="863" customWidth="1"/>
    <col min="4878" max="4878" width="7.28515625" style="863" customWidth="1"/>
    <col min="4879" max="4879" width="9.140625" style="863" customWidth="1"/>
    <col min="4880" max="4880" width="7" style="863" customWidth="1"/>
    <col min="4881" max="4881" width="7.85546875" style="863" customWidth="1"/>
    <col min="4882" max="4882" width="9.85546875" style="863" customWidth="1"/>
    <col min="4883" max="4883" width="10.140625" style="863" customWidth="1"/>
    <col min="4884" max="4884" width="9" style="863" customWidth="1"/>
    <col min="4885" max="4885" width="9.42578125" style="863" customWidth="1"/>
    <col min="4886" max="4886" width="8.5703125" style="863" customWidth="1"/>
    <col min="4887" max="4887" width="6.42578125" style="863" customWidth="1"/>
    <col min="4888" max="4888" width="9.140625" style="863" customWidth="1"/>
    <col min="4889" max="4889" width="22.28515625" style="863" customWidth="1"/>
    <col min="4890" max="4890" width="25.7109375" style="863" customWidth="1"/>
    <col min="4891" max="4891" width="11.28515625" style="863" customWidth="1"/>
    <col min="4892" max="4892" width="19.85546875" style="863" customWidth="1"/>
    <col min="4893" max="4893" width="27.7109375" style="863" customWidth="1"/>
    <col min="4894" max="4894" width="10.28515625" style="863" customWidth="1"/>
    <col min="4895" max="5131" width="9.140625" style="863"/>
    <col min="5132" max="5133" width="7.7109375" style="863" customWidth="1"/>
    <col min="5134" max="5134" width="7.28515625" style="863" customWidth="1"/>
    <col min="5135" max="5135" width="9.140625" style="863" customWidth="1"/>
    <col min="5136" max="5136" width="7" style="863" customWidth="1"/>
    <col min="5137" max="5137" width="7.85546875" style="863" customWidth="1"/>
    <col min="5138" max="5138" width="9.85546875" style="863" customWidth="1"/>
    <col min="5139" max="5139" width="10.140625" style="863" customWidth="1"/>
    <col min="5140" max="5140" width="9" style="863" customWidth="1"/>
    <col min="5141" max="5141" width="9.42578125" style="863" customWidth="1"/>
    <col min="5142" max="5142" width="8.5703125" style="863" customWidth="1"/>
    <col min="5143" max="5143" width="6.42578125" style="863" customWidth="1"/>
    <col min="5144" max="5144" width="9.140625" style="863" customWidth="1"/>
    <col min="5145" max="5145" width="22.28515625" style="863" customWidth="1"/>
    <col min="5146" max="5146" width="25.7109375" style="863" customWidth="1"/>
    <col min="5147" max="5147" width="11.28515625" style="863" customWidth="1"/>
    <col min="5148" max="5148" width="19.85546875" style="863" customWidth="1"/>
    <col min="5149" max="5149" width="27.7109375" style="863" customWidth="1"/>
    <col min="5150" max="5150" width="10.28515625" style="863" customWidth="1"/>
    <col min="5151" max="5387" width="9.140625" style="863"/>
    <col min="5388" max="5389" width="7.7109375" style="863" customWidth="1"/>
    <col min="5390" max="5390" width="7.28515625" style="863" customWidth="1"/>
    <col min="5391" max="5391" width="9.140625" style="863" customWidth="1"/>
    <col min="5392" max="5392" width="7" style="863" customWidth="1"/>
    <col min="5393" max="5393" width="7.85546875" style="863" customWidth="1"/>
    <col min="5394" max="5394" width="9.85546875" style="863" customWidth="1"/>
    <col min="5395" max="5395" width="10.140625" style="863" customWidth="1"/>
    <col min="5396" max="5396" width="9" style="863" customWidth="1"/>
    <col min="5397" max="5397" width="9.42578125" style="863" customWidth="1"/>
    <col min="5398" max="5398" width="8.5703125" style="863" customWidth="1"/>
    <col min="5399" max="5399" width="6.42578125" style="863" customWidth="1"/>
    <col min="5400" max="5400" width="9.140625" style="863" customWidth="1"/>
    <col min="5401" max="5401" width="22.28515625" style="863" customWidth="1"/>
    <col min="5402" max="5402" width="25.7109375" style="863" customWidth="1"/>
    <col min="5403" max="5403" width="11.28515625" style="863" customWidth="1"/>
    <col min="5404" max="5404" width="19.85546875" style="863" customWidth="1"/>
    <col min="5405" max="5405" width="27.7109375" style="863" customWidth="1"/>
    <col min="5406" max="5406" width="10.28515625" style="863" customWidth="1"/>
    <col min="5407" max="5643" width="9.140625" style="863"/>
    <col min="5644" max="5645" width="7.7109375" style="863" customWidth="1"/>
    <col min="5646" max="5646" width="7.28515625" style="863" customWidth="1"/>
    <col min="5647" max="5647" width="9.140625" style="863" customWidth="1"/>
    <col min="5648" max="5648" width="7" style="863" customWidth="1"/>
    <col min="5649" max="5649" width="7.85546875" style="863" customWidth="1"/>
    <col min="5650" max="5650" width="9.85546875" style="863" customWidth="1"/>
    <col min="5651" max="5651" width="10.140625" style="863" customWidth="1"/>
    <col min="5652" max="5652" width="9" style="863" customWidth="1"/>
    <col min="5653" max="5653" width="9.42578125" style="863" customWidth="1"/>
    <col min="5654" max="5654" width="8.5703125" style="863" customWidth="1"/>
    <col min="5655" max="5655" width="6.42578125" style="863" customWidth="1"/>
    <col min="5656" max="5656" width="9.140625" style="863" customWidth="1"/>
    <col min="5657" max="5657" width="22.28515625" style="863" customWidth="1"/>
    <col min="5658" max="5658" width="25.7109375" style="863" customWidth="1"/>
    <col min="5659" max="5659" width="11.28515625" style="863" customWidth="1"/>
    <col min="5660" max="5660" width="19.85546875" style="863" customWidth="1"/>
    <col min="5661" max="5661" width="27.7109375" style="863" customWidth="1"/>
    <col min="5662" max="5662" width="10.28515625" style="863" customWidth="1"/>
    <col min="5663" max="5899" width="9.140625" style="863"/>
    <col min="5900" max="5901" width="7.7109375" style="863" customWidth="1"/>
    <col min="5902" max="5902" width="7.28515625" style="863" customWidth="1"/>
    <col min="5903" max="5903" width="9.140625" style="863" customWidth="1"/>
    <col min="5904" max="5904" width="7" style="863" customWidth="1"/>
    <col min="5905" max="5905" width="7.85546875" style="863" customWidth="1"/>
    <col min="5906" max="5906" width="9.85546875" style="863" customWidth="1"/>
    <col min="5907" max="5907" width="10.140625" style="863" customWidth="1"/>
    <col min="5908" max="5908" width="9" style="863" customWidth="1"/>
    <col min="5909" max="5909" width="9.42578125" style="863" customWidth="1"/>
    <col min="5910" max="5910" width="8.5703125" style="863" customWidth="1"/>
    <col min="5911" max="5911" width="6.42578125" style="863" customWidth="1"/>
    <col min="5912" max="5912" width="9.140625" style="863" customWidth="1"/>
    <col min="5913" max="5913" width="22.28515625" style="863" customWidth="1"/>
    <col min="5914" max="5914" width="25.7109375" style="863" customWidth="1"/>
    <col min="5915" max="5915" width="11.28515625" style="863" customWidth="1"/>
    <col min="5916" max="5916" width="19.85546875" style="863" customWidth="1"/>
    <col min="5917" max="5917" width="27.7109375" style="863" customWidth="1"/>
    <col min="5918" max="5918" width="10.28515625" style="863" customWidth="1"/>
    <col min="5919" max="6155" width="9.140625" style="863"/>
    <col min="6156" max="6157" width="7.7109375" style="863" customWidth="1"/>
    <col min="6158" max="6158" width="7.28515625" style="863" customWidth="1"/>
    <col min="6159" max="6159" width="9.140625" style="863" customWidth="1"/>
    <col min="6160" max="6160" width="7" style="863" customWidth="1"/>
    <col min="6161" max="6161" width="7.85546875" style="863" customWidth="1"/>
    <col min="6162" max="6162" width="9.85546875" style="863" customWidth="1"/>
    <col min="6163" max="6163" width="10.140625" style="863" customWidth="1"/>
    <col min="6164" max="6164" width="9" style="863" customWidth="1"/>
    <col min="6165" max="6165" width="9.42578125" style="863" customWidth="1"/>
    <col min="6166" max="6166" width="8.5703125" style="863" customWidth="1"/>
    <col min="6167" max="6167" width="6.42578125" style="863" customWidth="1"/>
    <col min="6168" max="6168" width="9.140625" style="863" customWidth="1"/>
    <col min="6169" max="6169" width="22.28515625" style="863" customWidth="1"/>
    <col min="6170" max="6170" width="25.7109375" style="863" customWidth="1"/>
    <col min="6171" max="6171" width="11.28515625" style="863" customWidth="1"/>
    <col min="6172" max="6172" width="19.85546875" style="863" customWidth="1"/>
    <col min="6173" max="6173" width="27.7109375" style="863" customWidth="1"/>
    <col min="6174" max="6174" width="10.28515625" style="863" customWidth="1"/>
    <col min="6175" max="6411" width="9.140625" style="863"/>
    <col min="6412" max="6413" width="7.7109375" style="863" customWidth="1"/>
    <col min="6414" max="6414" width="7.28515625" style="863" customWidth="1"/>
    <col min="6415" max="6415" width="9.140625" style="863" customWidth="1"/>
    <col min="6416" max="6416" width="7" style="863" customWidth="1"/>
    <col min="6417" max="6417" width="7.85546875" style="863" customWidth="1"/>
    <col min="6418" max="6418" width="9.85546875" style="863" customWidth="1"/>
    <col min="6419" max="6419" width="10.140625" style="863" customWidth="1"/>
    <col min="6420" max="6420" width="9" style="863" customWidth="1"/>
    <col min="6421" max="6421" width="9.42578125" style="863" customWidth="1"/>
    <col min="6422" max="6422" width="8.5703125" style="863" customWidth="1"/>
    <col min="6423" max="6423" width="6.42578125" style="863" customWidth="1"/>
    <col min="6424" max="6424" width="9.140625" style="863" customWidth="1"/>
    <col min="6425" max="6425" width="22.28515625" style="863" customWidth="1"/>
    <col min="6426" max="6426" width="25.7109375" style="863" customWidth="1"/>
    <col min="6427" max="6427" width="11.28515625" style="863" customWidth="1"/>
    <col min="6428" max="6428" width="19.85546875" style="863" customWidth="1"/>
    <col min="6429" max="6429" width="27.7109375" style="863" customWidth="1"/>
    <col min="6430" max="6430" width="10.28515625" style="863" customWidth="1"/>
    <col min="6431" max="6667" width="9.140625" style="863"/>
    <col min="6668" max="6669" width="7.7109375" style="863" customWidth="1"/>
    <col min="6670" max="6670" width="7.28515625" style="863" customWidth="1"/>
    <col min="6671" max="6671" width="9.140625" style="863" customWidth="1"/>
    <col min="6672" max="6672" width="7" style="863" customWidth="1"/>
    <col min="6673" max="6673" width="7.85546875" style="863" customWidth="1"/>
    <col min="6674" max="6674" width="9.85546875" style="863" customWidth="1"/>
    <col min="6675" max="6675" width="10.140625" style="863" customWidth="1"/>
    <col min="6676" max="6676" width="9" style="863" customWidth="1"/>
    <col min="6677" max="6677" width="9.42578125" style="863" customWidth="1"/>
    <col min="6678" max="6678" width="8.5703125" style="863" customWidth="1"/>
    <col min="6679" max="6679" width="6.42578125" style="863" customWidth="1"/>
    <col min="6680" max="6680" width="9.140625" style="863" customWidth="1"/>
    <col min="6681" max="6681" width="22.28515625" style="863" customWidth="1"/>
    <col min="6682" max="6682" width="25.7109375" style="863" customWidth="1"/>
    <col min="6683" max="6683" width="11.28515625" style="863" customWidth="1"/>
    <col min="6684" max="6684" width="19.85546875" style="863" customWidth="1"/>
    <col min="6685" max="6685" width="27.7109375" style="863" customWidth="1"/>
    <col min="6686" max="6686" width="10.28515625" style="863" customWidth="1"/>
    <col min="6687" max="6923" width="9.140625" style="863"/>
    <col min="6924" max="6925" width="7.7109375" style="863" customWidth="1"/>
    <col min="6926" max="6926" width="7.28515625" style="863" customWidth="1"/>
    <col min="6927" max="6927" width="9.140625" style="863" customWidth="1"/>
    <col min="6928" max="6928" width="7" style="863" customWidth="1"/>
    <col min="6929" max="6929" width="7.85546875" style="863" customWidth="1"/>
    <col min="6930" max="6930" width="9.85546875" style="863" customWidth="1"/>
    <col min="6931" max="6931" width="10.140625" style="863" customWidth="1"/>
    <col min="6932" max="6932" width="9" style="863" customWidth="1"/>
    <col min="6933" max="6933" width="9.42578125" style="863" customWidth="1"/>
    <col min="6934" max="6934" width="8.5703125" style="863" customWidth="1"/>
    <col min="6935" max="6935" width="6.42578125" style="863" customWidth="1"/>
    <col min="6936" max="6936" width="9.140625" style="863" customWidth="1"/>
    <col min="6937" max="6937" width="22.28515625" style="863" customWidth="1"/>
    <col min="6938" max="6938" width="25.7109375" style="863" customWidth="1"/>
    <col min="6939" max="6939" width="11.28515625" style="863" customWidth="1"/>
    <col min="6940" max="6940" width="19.85546875" style="863" customWidth="1"/>
    <col min="6941" max="6941" width="27.7109375" style="863" customWidth="1"/>
    <col min="6942" max="6942" width="10.28515625" style="863" customWidth="1"/>
    <col min="6943" max="7179" width="9.140625" style="863"/>
    <col min="7180" max="7181" width="7.7109375" style="863" customWidth="1"/>
    <col min="7182" max="7182" width="7.28515625" style="863" customWidth="1"/>
    <col min="7183" max="7183" width="9.140625" style="863" customWidth="1"/>
    <col min="7184" max="7184" width="7" style="863" customWidth="1"/>
    <col min="7185" max="7185" width="7.85546875" style="863" customWidth="1"/>
    <col min="7186" max="7186" width="9.85546875" style="863" customWidth="1"/>
    <col min="7187" max="7187" width="10.140625" style="863" customWidth="1"/>
    <col min="7188" max="7188" width="9" style="863" customWidth="1"/>
    <col min="7189" max="7189" width="9.42578125" style="863" customWidth="1"/>
    <col min="7190" max="7190" width="8.5703125" style="863" customWidth="1"/>
    <col min="7191" max="7191" width="6.42578125" style="863" customWidth="1"/>
    <col min="7192" max="7192" width="9.140625" style="863" customWidth="1"/>
    <col min="7193" max="7193" width="22.28515625" style="863" customWidth="1"/>
    <col min="7194" max="7194" width="25.7109375" style="863" customWidth="1"/>
    <col min="7195" max="7195" width="11.28515625" style="863" customWidth="1"/>
    <col min="7196" max="7196" width="19.85546875" style="863" customWidth="1"/>
    <col min="7197" max="7197" width="27.7109375" style="863" customWidth="1"/>
    <col min="7198" max="7198" width="10.28515625" style="863" customWidth="1"/>
    <col min="7199" max="7435" width="9.140625" style="863"/>
    <col min="7436" max="7437" width="7.7109375" style="863" customWidth="1"/>
    <col min="7438" max="7438" width="7.28515625" style="863" customWidth="1"/>
    <col min="7439" max="7439" width="9.140625" style="863" customWidth="1"/>
    <col min="7440" max="7440" width="7" style="863" customWidth="1"/>
    <col min="7441" max="7441" width="7.85546875" style="863" customWidth="1"/>
    <col min="7442" max="7442" width="9.85546875" style="863" customWidth="1"/>
    <col min="7443" max="7443" width="10.140625" style="863" customWidth="1"/>
    <col min="7444" max="7444" width="9" style="863" customWidth="1"/>
    <col min="7445" max="7445" width="9.42578125" style="863" customWidth="1"/>
    <col min="7446" max="7446" width="8.5703125" style="863" customWidth="1"/>
    <col min="7447" max="7447" width="6.42578125" style="863" customWidth="1"/>
    <col min="7448" max="7448" width="9.140625" style="863" customWidth="1"/>
    <col min="7449" max="7449" width="22.28515625" style="863" customWidth="1"/>
    <col min="7450" max="7450" width="25.7109375" style="863" customWidth="1"/>
    <col min="7451" max="7451" width="11.28515625" style="863" customWidth="1"/>
    <col min="7452" max="7452" width="19.85546875" style="863" customWidth="1"/>
    <col min="7453" max="7453" width="27.7109375" style="863" customWidth="1"/>
    <col min="7454" max="7454" width="10.28515625" style="863" customWidth="1"/>
    <col min="7455" max="7691" width="9.140625" style="863"/>
    <col min="7692" max="7693" width="7.7109375" style="863" customWidth="1"/>
    <col min="7694" max="7694" width="7.28515625" style="863" customWidth="1"/>
    <col min="7695" max="7695" width="9.140625" style="863" customWidth="1"/>
    <col min="7696" max="7696" width="7" style="863" customWidth="1"/>
    <col min="7697" max="7697" width="7.85546875" style="863" customWidth="1"/>
    <col min="7698" max="7698" width="9.85546875" style="863" customWidth="1"/>
    <col min="7699" max="7699" width="10.140625" style="863" customWidth="1"/>
    <col min="7700" max="7700" width="9" style="863" customWidth="1"/>
    <col min="7701" max="7701" width="9.42578125" style="863" customWidth="1"/>
    <col min="7702" max="7702" width="8.5703125" style="863" customWidth="1"/>
    <col min="7703" max="7703" width="6.42578125" style="863" customWidth="1"/>
    <col min="7704" max="7704" width="9.140625" style="863" customWidth="1"/>
    <col min="7705" max="7705" width="22.28515625" style="863" customWidth="1"/>
    <col min="7706" max="7706" width="25.7109375" style="863" customWidth="1"/>
    <col min="7707" max="7707" width="11.28515625" style="863" customWidth="1"/>
    <col min="7708" max="7708" width="19.85546875" style="863" customWidth="1"/>
    <col min="7709" max="7709" width="27.7109375" style="863" customWidth="1"/>
    <col min="7710" max="7710" width="10.28515625" style="863" customWidth="1"/>
    <col min="7711" max="7947" width="9.140625" style="863"/>
    <col min="7948" max="7949" width="7.7109375" style="863" customWidth="1"/>
    <col min="7950" max="7950" width="7.28515625" style="863" customWidth="1"/>
    <col min="7951" max="7951" width="9.140625" style="863" customWidth="1"/>
    <col min="7952" max="7952" width="7" style="863" customWidth="1"/>
    <col min="7953" max="7953" width="7.85546875" style="863" customWidth="1"/>
    <col min="7954" max="7954" width="9.85546875" style="863" customWidth="1"/>
    <col min="7955" max="7955" width="10.140625" style="863" customWidth="1"/>
    <col min="7956" max="7956" width="9" style="863" customWidth="1"/>
    <col min="7957" max="7957" width="9.42578125" style="863" customWidth="1"/>
    <col min="7958" max="7958" width="8.5703125" style="863" customWidth="1"/>
    <col min="7959" max="7959" width="6.42578125" style="863" customWidth="1"/>
    <col min="7960" max="7960" width="9.140625" style="863" customWidth="1"/>
    <col min="7961" max="7961" width="22.28515625" style="863" customWidth="1"/>
    <col min="7962" max="7962" width="25.7109375" style="863" customWidth="1"/>
    <col min="7963" max="7963" width="11.28515625" style="863" customWidth="1"/>
    <col min="7964" max="7964" width="19.85546875" style="863" customWidth="1"/>
    <col min="7965" max="7965" width="27.7109375" style="863" customWidth="1"/>
    <col min="7966" max="7966" width="10.28515625" style="863" customWidth="1"/>
    <col min="7967" max="8203" width="9.140625" style="863"/>
    <col min="8204" max="8205" width="7.7109375" style="863" customWidth="1"/>
    <col min="8206" max="8206" width="7.28515625" style="863" customWidth="1"/>
    <col min="8207" max="8207" width="9.140625" style="863" customWidth="1"/>
    <col min="8208" max="8208" width="7" style="863" customWidth="1"/>
    <col min="8209" max="8209" width="7.85546875" style="863" customWidth="1"/>
    <col min="8210" max="8210" width="9.85546875" style="863" customWidth="1"/>
    <col min="8211" max="8211" width="10.140625" style="863" customWidth="1"/>
    <col min="8212" max="8212" width="9" style="863" customWidth="1"/>
    <col min="8213" max="8213" width="9.42578125" style="863" customWidth="1"/>
    <col min="8214" max="8214" width="8.5703125" style="863" customWidth="1"/>
    <col min="8215" max="8215" width="6.42578125" style="863" customWidth="1"/>
    <col min="8216" max="8216" width="9.140625" style="863" customWidth="1"/>
    <col min="8217" max="8217" width="22.28515625" style="863" customWidth="1"/>
    <col min="8218" max="8218" width="25.7109375" style="863" customWidth="1"/>
    <col min="8219" max="8219" width="11.28515625" style="863" customWidth="1"/>
    <col min="8220" max="8220" width="19.85546875" style="863" customWidth="1"/>
    <col min="8221" max="8221" width="27.7109375" style="863" customWidth="1"/>
    <col min="8222" max="8222" width="10.28515625" style="863" customWidth="1"/>
    <col min="8223" max="8459" width="9.140625" style="863"/>
    <col min="8460" max="8461" width="7.7109375" style="863" customWidth="1"/>
    <col min="8462" max="8462" width="7.28515625" style="863" customWidth="1"/>
    <col min="8463" max="8463" width="9.140625" style="863" customWidth="1"/>
    <col min="8464" max="8464" width="7" style="863" customWidth="1"/>
    <col min="8465" max="8465" width="7.85546875" style="863" customWidth="1"/>
    <col min="8466" max="8466" width="9.85546875" style="863" customWidth="1"/>
    <col min="8467" max="8467" width="10.140625" style="863" customWidth="1"/>
    <col min="8468" max="8468" width="9" style="863" customWidth="1"/>
    <col min="8469" max="8469" width="9.42578125" style="863" customWidth="1"/>
    <col min="8470" max="8470" width="8.5703125" style="863" customWidth="1"/>
    <col min="8471" max="8471" width="6.42578125" style="863" customWidth="1"/>
    <col min="8472" max="8472" width="9.140625" style="863" customWidth="1"/>
    <col min="8473" max="8473" width="22.28515625" style="863" customWidth="1"/>
    <col min="8474" max="8474" width="25.7109375" style="863" customWidth="1"/>
    <col min="8475" max="8475" width="11.28515625" style="863" customWidth="1"/>
    <col min="8476" max="8476" width="19.85546875" style="863" customWidth="1"/>
    <col min="8477" max="8477" width="27.7109375" style="863" customWidth="1"/>
    <col min="8478" max="8478" width="10.28515625" style="863" customWidth="1"/>
    <col min="8479" max="8715" width="9.140625" style="863"/>
    <col min="8716" max="8717" width="7.7109375" style="863" customWidth="1"/>
    <col min="8718" max="8718" width="7.28515625" style="863" customWidth="1"/>
    <col min="8719" max="8719" width="9.140625" style="863" customWidth="1"/>
    <col min="8720" max="8720" width="7" style="863" customWidth="1"/>
    <col min="8721" max="8721" width="7.85546875" style="863" customWidth="1"/>
    <col min="8722" max="8722" width="9.85546875" style="863" customWidth="1"/>
    <col min="8723" max="8723" width="10.140625" style="863" customWidth="1"/>
    <col min="8724" max="8724" width="9" style="863" customWidth="1"/>
    <col min="8725" max="8725" width="9.42578125" style="863" customWidth="1"/>
    <col min="8726" max="8726" width="8.5703125" style="863" customWidth="1"/>
    <col min="8727" max="8727" width="6.42578125" style="863" customWidth="1"/>
    <col min="8728" max="8728" width="9.140625" style="863" customWidth="1"/>
    <col min="8729" max="8729" width="22.28515625" style="863" customWidth="1"/>
    <col min="8730" max="8730" width="25.7109375" style="863" customWidth="1"/>
    <col min="8731" max="8731" width="11.28515625" style="863" customWidth="1"/>
    <col min="8732" max="8732" width="19.85546875" style="863" customWidth="1"/>
    <col min="8733" max="8733" width="27.7109375" style="863" customWidth="1"/>
    <col min="8734" max="8734" width="10.28515625" style="863" customWidth="1"/>
    <col min="8735" max="8971" width="9.140625" style="863"/>
    <col min="8972" max="8973" width="7.7109375" style="863" customWidth="1"/>
    <col min="8974" max="8974" width="7.28515625" style="863" customWidth="1"/>
    <col min="8975" max="8975" width="9.140625" style="863" customWidth="1"/>
    <col min="8976" max="8976" width="7" style="863" customWidth="1"/>
    <col min="8977" max="8977" width="7.85546875" style="863" customWidth="1"/>
    <col min="8978" max="8978" width="9.85546875" style="863" customWidth="1"/>
    <col min="8979" max="8979" width="10.140625" style="863" customWidth="1"/>
    <col min="8980" max="8980" width="9" style="863" customWidth="1"/>
    <col min="8981" max="8981" width="9.42578125" style="863" customWidth="1"/>
    <col min="8982" max="8982" width="8.5703125" style="863" customWidth="1"/>
    <col min="8983" max="8983" width="6.42578125" style="863" customWidth="1"/>
    <col min="8984" max="8984" width="9.140625" style="863" customWidth="1"/>
    <col min="8985" max="8985" width="22.28515625" style="863" customWidth="1"/>
    <col min="8986" max="8986" width="25.7109375" style="863" customWidth="1"/>
    <col min="8987" max="8987" width="11.28515625" style="863" customWidth="1"/>
    <col min="8988" max="8988" width="19.85546875" style="863" customWidth="1"/>
    <col min="8989" max="8989" width="27.7109375" style="863" customWidth="1"/>
    <col min="8990" max="8990" width="10.28515625" style="863" customWidth="1"/>
    <col min="8991" max="9227" width="9.140625" style="863"/>
    <col min="9228" max="9229" width="7.7109375" style="863" customWidth="1"/>
    <col min="9230" max="9230" width="7.28515625" style="863" customWidth="1"/>
    <col min="9231" max="9231" width="9.140625" style="863" customWidth="1"/>
    <col min="9232" max="9232" width="7" style="863" customWidth="1"/>
    <col min="9233" max="9233" width="7.85546875" style="863" customWidth="1"/>
    <col min="9234" max="9234" width="9.85546875" style="863" customWidth="1"/>
    <col min="9235" max="9235" width="10.140625" style="863" customWidth="1"/>
    <col min="9236" max="9236" width="9" style="863" customWidth="1"/>
    <col min="9237" max="9237" width="9.42578125" style="863" customWidth="1"/>
    <col min="9238" max="9238" width="8.5703125" style="863" customWidth="1"/>
    <col min="9239" max="9239" width="6.42578125" style="863" customWidth="1"/>
    <col min="9240" max="9240" width="9.140625" style="863" customWidth="1"/>
    <col min="9241" max="9241" width="22.28515625" style="863" customWidth="1"/>
    <col min="9242" max="9242" width="25.7109375" style="863" customWidth="1"/>
    <col min="9243" max="9243" width="11.28515625" style="863" customWidth="1"/>
    <col min="9244" max="9244" width="19.85546875" style="863" customWidth="1"/>
    <col min="9245" max="9245" width="27.7109375" style="863" customWidth="1"/>
    <col min="9246" max="9246" width="10.28515625" style="863" customWidth="1"/>
    <col min="9247" max="9483" width="9.140625" style="863"/>
    <col min="9484" max="9485" width="7.7109375" style="863" customWidth="1"/>
    <col min="9486" max="9486" width="7.28515625" style="863" customWidth="1"/>
    <col min="9487" max="9487" width="9.140625" style="863" customWidth="1"/>
    <col min="9488" max="9488" width="7" style="863" customWidth="1"/>
    <col min="9489" max="9489" width="7.85546875" style="863" customWidth="1"/>
    <col min="9490" max="9490" width="9.85546875" style="863" customWidth="1"/>
    <col min="9491" max="9491" width="10.140625" style="863" customWidth="1"/>
    <col min="9492" max="9492" width="9" style="863" customWidth="1"/>
    <col min="9493" max="9493" width="9.42578125" style="863" customWidth="1"/>
    <col min="9494" max="9494" width="8.5703125" style="863" customWidth="1"/>
    <col min="9495" max="9495" width="6.42578125" style="863" customWidth="1"/>
    <col min="9496" max="9496" width="9.140625" style="863" customWidth="1"/>
    <col min="9497" max="9497" width="22.28515625" style="863" customWidth="1"/>
    <col min="9498" max="9498" width="25.7109375" style="863" customWidth="1"/>
    <col min="9499" max="9499" width="11.28515625" style="863" customWidth="1"/>
    <col min="9500" max="9500" width="19.85546875" style="863" customWidth="1"/>
    <col min="9501" max="9501" width="27.7109375" style="863" customWidth="1"/>
    <col min="9502" max="9502" width="10.28515625" style="863" customWidth="1"/>
    <col min="9503" max="9739" width="9.140625" style="863"/>
    <col min="9740" max="9741" width="7.7109375" style="863" customWidth="1"/>
    <col min="9742" max="9742" width="7.28515625" style="863" customWidth="1"/>
    <col min="9743" max="9743" width="9.140625" style="863" customWidth="1"/>
    <col min="9744" max="9744" width="7" style="863" customWidth="1"/>
    <col min="9745" max="9745" width="7.85546875" style="863" customWidth="1"/>
    <col min="9746" max="9746" width="9.85546875" style="863" customWidth="1"/>
    <col min="9747" max="9747" width="10.140625" style="863" customWidth="1"/>
    <col min="9748" max="9748" width="9" style="863" customWidth="1"/>
    <col min="9749" max="9749" width="9.42578125" style="863" customWidth="1"/>
    <col min="9750" max="9750" width="8.5703125" style="863" customWidth="1"/>
    <col min="9751" max="9751" width="6.42578125" style="863" customWidth="1"/>
    <col min="9752" max="9752" width="9.140625" style="863" customWidth="1"/>
    <col min="9753" max="9753" width="22.28515625" style="863" customWidth="1"/>
    <col min="9754" max="9754" width="25.7109375" style="863" customWidth="1"/>
    <col min="9755" max="9755" width="11.28515625" style="863" customWidth="1"/>
    <col min="9756" max="9756" width="19.85546875" style="863" customWidth="1"/>
    <col min="9757" max="9757" width="27.7109375" style="863" customWidth="1"/>
    <col min="9758" max="9758" width="10.28515625" style="863" customWidth="1"/>
    <col min="9759" max="9995" width="9.140625" style="863"/>
    <col min="9996" max="9997" width="7.7109375" style="863" customWidth="1"/>
    <col min="9998" max="9998" width="7.28515625" style="863" customWidth="1"/>
    <col min="9999" max="9999" width="9.140625" style="863" customWidth="1"/>
    <col min="10000" max="10000" width="7" style="863" customWidth="1"/>
    <col min="10001" max="10001" width="7.85546875" style="863" customWidth="1"/>
    <col min="10002" max="10002" width="9.85546875" style="863" customWidth="1"/>
    <col min="10003" max="10003" width="10.140625" style="863" customWidth="1"/>
    <col min="10004" max="10004" width="9" style="863" customWidth="1"/>
    <col min="10005" max="10005" width="9.42578125" style="863" customWidth="1"/>
    <col min="10006" max="10006" width="8.5703125" style="863" customWidth="1"/>
    <col min="10007" max="10007" width="6.42578125" style="863" customWidth="1"/>
    <col min="10008" max="10008" width="9.140625" style="863" customWidth="1"/>
    <col min="10009" max="10009" width="22.28515625" style="863" customWidth="1"/>
    <col min="10010" max="10010" width="25.7109375" style="863" customWidth="1"/>
    <col min="10011" max="10011" width="11.28515625" style="863" customWidth="1"/>
    <col min="10012" max="10012" width="19.85546875" style="863" customWidth="1"/>
    <col min="10013" max="10013" width="27.7109375" style="863" customWidth="1"/>
    <col min="10014" max="10014" width="10.28515625" style="863" customWidth="1"/>
    <col min="10015" max="10251" width="9.140625" style="863"/>
    <col min="10252" max="10253" width="7.7109375" style="863" customWidth="1"/>
    <col min="10254" max="10254" width="7.28515625" style="863" customWidth="1"/>
    <col min="10255" max="10255" width="9.140625" style="863" customWidth="1"/>
    <col min="10256" max="10256" width="7" style="863" customWidth="1"/>
    <col min="10257" max="10257" width="7.85546875" style="863" customWidth="1"/>
    <col min="10258" max="10258" width="9.85546875" style="863" customWidth="1"/>
    <col min="10259" max="10259" width="10.140625" style="863" customWidth="1"/>
    <col min="10260" max="10260" width="9" style="863" customWidth="1"/>
    <col min="10261" max="10261" width="9.42578125" style="863" customWidth="1"/>
    <col min="10262" max="10262" width="8.5703125" style="863" customWidth="1"/>
    <col min="10263" max="10263" width="6.42578125" style="863" customWidth="1"/>
    <col min="10264" max="10264" width="9.140625" style="863" customWidth="1"/>
    <col min="10265" max="10265" width="22.28515625" style="863" customWidth="1"/>
    <col min="10266" max="10266" width="25.7109375" style="863" customWidth="1"/>
    <col min="10267" max="10267" width="11.28515625" style="863" customWidth="1"/>
    <col min="10268" max="10268" width="19.85546875" style="863" customWidth="1"/>
    <col min="10269" max="10269" width="27.7109375" style="863" customWidth="1"/>
    <col min="10270" max="10270" width="10.28515625" style="863" customWidth="1"/>
    <col min="10271" max="10507" width="9.140625" style="863"/>
    <col min="10508" max="10509" width="7.7109375" style="863" customWidth="1"/>
    <col min="10510" max="10510" width="7.28515625" style="863" customWidth="1"/>
    <col min="10511" max="10511" width="9.140625" style="863" customWidth="1"/>
    <col min="10512" max="10512" width="7" style="863" customWidth="1"/>
    <col min="10513" max="10513" width="7.85546875" style="863" customWidth="1"/>
    <col min="10514" max="10514" width="9.85546875" style="863" customWidth="1"/>
    <col min="10515" max="10515" width="10.140625" style="863" customWidth="1"/>
    <col min="10516" max="10516" width="9" style="863" customWidth="1"/>
    <col min="10517" max="10517" width="9.42578125" style="863" customWidth="1"/>
    <col min="10518" max="10518" width="8.5703125" style="863" customWidth="1"/>
    <col min="10519" max="10519" width="6.42578125" style="863" customWidth="1"/>
    <col min="10520" max="10520" width="9.140625" style="863" customWidth="1"/>
    <col min="10521" max="10521" width="22.28515625" style="863" customWidth="1"/>
    <col min="10522" max="10522" width="25.7109375" style="863" customWidth="1"/>
    <col min="10523" max="10523" width="11.28515625" style="863" customWidth="1"/>
    <col min="10524" max="10524" width="19.85546875" style="863" customWidth="1"/>
    <col min="10525" max="10525" width="27.7109375" style="863" customWidth="1"/>
    <col min="10526" max="10526" width="10.28515625" style="863" customWidth="1"/>
    <col min="10527" max="10763" width="9.140625" style="863"/>
    <col min="10764" max="10765" width="7.7109375" style="863" customWidth="1"/>
    <col min="10766" max="10766" width="7.28515625" style="863" customWidth="1"/>
    <col min="10767" max="10767" width="9.140625" style="863" customWidth="1"/>
    <col min="10768" max="10768" width="7" style="863" customWidth="1"/>
    <col min="10769" max="10769" width="7.85546875" style="863" customWidth="1"/>
    <col min="10770" max="10770" width="9.85546875" style="863" customWidth="1"/>
    <col min="10771" max="10771" width="10.140625" style="863" customWidth="1"/>
    <col min="10772" max="10772" width="9" style="863" customWidth="1"/>
    <col min="10773" max="10773" width="9.42578125" style="863" customWidth="1"/>
    <col min="10774" max="10774" width="8.5703125" style="863" customWidth="1"/>
    <col min="10775" max="10775" width="6.42578125" style="863" customWidth="1"/>
    <col min="10776" max="10776" width="9.140625" style="863" customWidth="1"/>
    <col min="10777" max="10777" width="22.28515625" style="863" customWidth="1"/>
    <col min="10778" max="10778" width="25.7109375" style="863" customWidth="1"/>
    <col min="10779" max="10779" width="11.28515625" style="863" customWidth="1"/>
    <col min="10780" max="10780" width="19.85546875" style="863" customWidth="1"/>
    <col min="10781" max="10781" width="27.7109375" style="863" customWidth="1"/>
    <col min="10782" max="10782" width="10.28515625" style="863" customWidth="1"/>
    <col min="10783" max="11019" width="9.140625" style="863"/>
    <col min="11020" max="11021" width="7.7109375" style="863" customWidth="1"/>
    <col min="11022" max="11022" width="7.28515625" style="863" customWidth="1"/>
    <col min="11023" max="11023" width="9.140625" style="863" customWidth="1"/>
    <col min="11024" max="11024" width="7" style="863" customWidth="1"/>
    <col min="11025" max="11025" width="7.85546875" style="863" customWidth="1"/>
    <col min="11026" max="11026" width="9.85546875" style="863" customWidth="1"/>
    <col min="11027" max="11027" width="10.140625" style="863" customWidth="1"/>
    <col min="11028" max="11028" width="9" style="863" customWidth="1"/>
    <col min="11029" max="11029" width="9.42578125" style="863" customWidth="1"/>
    <col min="11030" max="11030" width="8.5703125" style="863" customWidth="1"/>
    <col min="11031" max="11031" width="6.42578125" style="863" customWidth="1"/>
    <col min="11032" max="11032" width="9.140625" style="863" customWidth="1"/>
    <col min="11033" max="11033" width="22.28515625" style="863" customWidth="1"/>
    <col min="11034" max="11034" width="25.7109375" style="863" customWidth="1"/>
    <col min="11035" max="11035" width="11.28515625" style="863" customWidth="1"/>
    <col min="11036" max="11036" width="19.85546875" style="863" customWidth="1"/>
    <col min="11037" max="11037" width="27.7109375" style="863" customWidth="1"/>
    <col min="11038" max="11038" width="10.28515625" style="863" customWidth="1"/>
    <col min="11039" max="11275" width="9.140625" style="863"/>
    <col min="11276" max="11277" width="7.7109375" style="863" customWidth="1"/>
    <col min="11278" max="11278" width="7.28515625" style="863" customWidth="1"/>
    <col min="11279" max="11279" width="9.140625" style="863" customWidth="1"/>
    <col min="11280" max="11280" width="7" style="863" customWidth="1"/>
    <col min="11281" max="11281" width="7.85546875" style="863" customWidth="1"/>
    <col min="11282" max="11282" width="9.85546875" style="863" customWidth="1"/>
    <col min="11283" max="11283" width="10.140625" style="863" customWidth="1"/>
    <col min="11284" max="11284" width="9" style="863" customWidth="1"/>
    <col min="11285" max="11285" width="9.42578125" style="863" customWidth="1"/>
    <col min="11286" max="11286" width="8.5703125" style="863" customWidth="1"/>
    <col min="11287" max="11287" width="6.42578125" style="863" customWidth="1"/>
    <col min="11288" max="11288" width="9.140625" style="863" customWidth="1"/>
    <col min="11289" max="11289" width="22.28515625" style="863" customWidth="1"/>
    <col min="11290" max="11290" width="25.7109375" style="863" customWidth="1"/>
    <col min="11291" max="11291" width="11.28515625" style="863" customWidth="1"/>
    <col min="11292" max="11292" width="19.85546875" style="863" customWidth="1"/>
    <col min="11293" max="11293" width="27.7109375" style="863" customWidth="1"/>
    <col min="11294" max="11294" width="10.28515625" style="863" customWidth="1"/>
    <col min="11295" max="11531" width="9.140625" style="863"/>
    <col min="11532" max="11533" width="7.7109375" style="863" customWidth="1"/>
    <col min="11534" max="11534" width="7.28515625" style="863" customWidth="1"/>
    <col min="11535" max="11535" width="9.140625" style="863" customWidth="1"/>
    <col min="11536" max="11536" width="7" style="863" customWidth="1"/>
    <col min="11537" max="11537" width="7.85546875" style="863" customWidth="1"/>
    <col min="11538" max="11538" width="9.85546875" style="863" customWidth="1"/>
    <col min="11539" max="11539" width="10.140625" style="863" customWidth="1"/>
    <col min="11540" max="11540" width="9" style="863" customWidth="1"/>
    <col min="11541" max="11541" width="9.42578125" style="863" customWidth="1"/>
    <col min="11542" max="11542" width="8.5703125" style="863" customWidth="1"/>
    <col min="11543" max="11543" width="6.42578125" style="863" customWidth="1"/>
    <col min="11544" max="11544" width="9.140625" style="863" customWidth="1"/>
    <col min="11545" max="11545" width="22.28515625" style="863" customWidth="1"/>
    <col min="11546" max="11546" width="25.7109375" style="863" customWidth="1"/>
    <col min="11547" max="11547" width="11.28515625" style="863" customWidth="1"/>
    <col min="11548" max="11548" width="19.85546875" style="863" customWidth="1"/>
    <col min="11549" max="11549" width="27.7109375" style="863" customWidth="1"/>
    <col min="11550" max="11550" width="10.28515625" style="863" customWidth="1"/>
    <col min="11551" max="11787" width="9.140625" style="863"/>
    <col min="11788" max="11789" width="7.7109375" style="863" customWidth="1"/>
    <col min="11790" max="11790" width="7.28515625" style="863" customWidth="1"/>
    <col min="11791" max="11791" width="9.140625" style="863" customWidth="1"/>
    <col min="11792" max="11792" width="7" style="863" customWidth="1"/>
    <col min="11793" max="11793" width="7.85546875" style="863" customWidth="1"/>
    <col min="11794" max="11794" width="9.85546875" style="863" customWidth="1"/>
    <col min="11795" max="11795" width="10.140625" style="863" customWidth="1"/>
    <col min="11796" max="11796" width="9" style="863" customWidth="1"/>
    <col min="11797" max="11797" width="9.42578125" style="863" customWidth="1"/>
    <col min="11798" max="11798" width="8.5703125" style="863" customWidth="1"/>
    <col min="11799" max="11799" width="6.42578125" style="863" customWidth="1"/>
    <col min="11800" max="11800" width="9.140625" style="863" customWidth="1"/>
    <col min="11801" max="11801" width="22.28515625" style="863" customWidth="1"/>
    <col min="11802" max="11802" width="25.7109375" style="863" customWidth="1"/>
    <col min="11803" max="11803" width="11.28515625" style="863" customWidth="1"/>
    <col min="11804" max="11804" width="19.85546875" style="863" customWidth="1"/>
    <col min="11805" max="11805" width="27.7109375" style="863" customWidth="1"/>
    <col min="11806" max="11806" width="10.28515625" style="863" customWidth="1"/>
    <col min="11807" max="12043" width="9.140625" style="863"/>
    <col min="12044" max="12045" width="7.7109375" style="863" customWidth="1"/>
    <col min="12046" max="12046" width="7.28515625" style="863" customWidth="1"/>
    <col min="12047" max="12047" width="9.140625" style="863" customWidth="1"/>
    <col min="12048" max="12048" width="7" style="863" customWidth="1"/>
    <col min="12049" max="12049" width="7.85546875" style="863" customWidth="1"/>
    <col min="12050" max="12050" width="9.85546875" style="863" customWidth="1"/>
    <col min="12051" max="12051" width="10.140625" style="863" customWidth="1"/>
    <col min="12052" max="12052" width="9" style="863" customWidth="1"/>
    <col min="12053" max="12053" width="9.42578125" style="863" customWidth="1"/>
    <col min="12054" max="12054" width="8.5703125" style="863" customWidth="1"/>
    <col min="12055" max="12055" width="6.42578125" style="863" customWidth="1"/>
    <col min="12056" max="12056" width="9.140625" style="863" customWidth="1"/>
    <col min="12057" max="12057" width="22.28515625" style="863" customWidth="1"/>
    <col min="12058" max="12058" width="25.7109375" style="863" customWidth="1"/>
    <col min="12059" max="12059" width="11.28515625" style="863" customWidth="1"/>
    <col min="12060" max="12060" width="19.85546875" style="863" customWidth="1"/>
    <col min="12061" max="12061" width="27.7109375" style="863" customWidth="1"/>
    <col min="12062" max="12062" width="10.28515625" style="863" customWidth="1"/>
    <col min="12063" max="12299" width="9.140625" style="863"/>
    <col min="12300" max="12301" width="7.7109375" style="863" customWidth="1"/>
    <col min="12302" max="12302" width="7.28515625" style="863" customWidth="1"/>
    <col min="12303" max="12303" width="9.140625" style="863" customWidth="1"/>
    <col min="12304" max="12304" width="7" style="863" customWidth="1"/>
    <col min="12305" max="12305" width="7.85546875" style="863" customWidth="1"/>
    <col min="12306" max="12306" width="9.85546875" style="863" customWidth="1"/>
    <col min="12307" max="12307" width="10.140625" style="863" customWidth="1"/>
    <col min="12308" max="12308" width="9" style="863" customWidth="1"/>
    <col min="12309" max="12309" width="9.42578125" style="863" customWidth="1"/>
    <col min="12310" max="12310" width="8.5703125" style="863" customWidth="1"/>
    <col min="12311" max="12311" width="6.42578125" style="863" customWidth="1"/>
    <col min="12312" max="12312" width="9.140625" style="863" customWidth="1"/>
    <col min="12313" max="12313" width="22.28515625" style="863" customWidth="1"/>
    <col min="12314" max="12314" width="25.7109375" style="863" customWidth="1"/>
    <col min="12315" max="12315" width="11.28515625" style="863" customWidth="1"/>
    <col min="12316" max="12316" width="19.85546875" style="863" customWidth="1"/>
    <col min="12317" max="12317" width="27.7109375" style="863" customWidth="1"/>
    <col min="12318" max="12318" width="10.28515625" style="863" customWidth="1"/>
    <col min="12319" max="12555" width="9.140625" style="863"/>
    <col min="12556" max="12557" width="7.7109375" style="863" customWidth="1"/>
    <col min="12558" max="12558" width="7.28515625" style="863" customWidth="1"/>
    <col min="12559" max="12559" width="9.140625" style="863" customWidth="1"/>
    <col min="12560" max="12560" width="7" style="863" customWidth="1"/>
    <col min="12561" max="12561" width="7.85546875" style="863" customWidth="1"/>
    <col min="12562" max="12562" width="9.85546875" style="863" customWidth="1"/>
    <col min="12563" max="12563" width="10.140625" style="863" customWidth="1"/>
    <col min="12564" max="12564" width="9" style="863" customWidth="1"/>
    <col min="12565" max="12565" width="9.42578125" style="863" customWidth="1"/>
    <col min="12566" max="12566" width="8.5703125" style="863" customWidth="1"/>
    <col min="12567" max="12567" width="6.42578125" style="863" customWidth="1"/>
    <col min="12568" max="12568" width="9.140625" style="863" customWidth="1"/>
    <col min="12569" max="12569" width="22.28515625" style="863" customWidth="1"/>
    <col min="12570" max="12570" width="25.7109375" style="863" customWidth="1"/>
    <col min="12571" max="12571" width="11.28515625" style="863" customWidth="1"/>
    <col min="12572" max="12572" width="19.85546875" style="863" customWidth="1"/>
    <col min="12573" max="12573" width="27.7109375" style="863" customWidth="1"/>
    <col min="12574" max="12574" width="10.28515625" style="863" customWidth="1"/>
    <col min="12575" max="12811" width="9.140625" style="863"/>
    <col min="12812" max="12813" width="7.7109375" style="863" customWidth="1"/>
    <col min="12814" max="12814" width="7.28515625" style="863" customWidth="1"/>
    <col min="12815" max="12815" width="9.140625" style="863" customWidth="1"/>
    <col min="12816" max="12816" width="7" style="863" customWidth="1"/>
    <col min="12817" max="12817" width="7.85546875" style="863" customWidth="1"/>
    <col min="12818" max="12818" width="9.85546875" style="863" customWidth="1"/>
    <col min="12819" max="12819" width="10.140625" style="863" customWidth="1"/>
    <col min="12820" max="12820" width="9" style="863" customWidth="1"/>
    <col min="12821" max="12821" width="9.42578125" style="863" customWidth="1"/>
    <col min="12822" max="12822" width="8.5703125" style="863" customWidth="1"/>
    <col min="12823" max="12823" width="6.42578125" style="863" customWidth="1"/>
    <col min="12824" max="12824" width="9.140625" style="863" customWidth="1"/>
    <col min="12825" max="12825" width="22.28515625" style="863" customWidth="1"/>
    <col min="12826" max="12826" width="25.7109375" style="863" customWidth="1"/>
    <col min="12827" max="12827" width="11.28515625" style="863" customWidth="1"/>
    <col min="12828" max="12828" width="19.85546875" style="863" customWidth="1"/>
    <col min="12829" max="12829" width="27.7109375" style="863" customWidth="1"/>
    <col min="12830" max="12830" width="10.28515625" style="863" customWidth="1"/>
    <col min="12831" max="13067" width="9.140625" style="863"/>
    <col min="13068" max="13069" width="7.7109375" style="863" customWidth="1"/>
    <col min="13070" max="13070" width="7.28515625" style="863" customWidth="1"/>
    <col min="13071" max="13071" width="9.140625" style="863" customWidth="1"/>
    <col min="13072" max="13072" width="7" style="863" customWidth="1"/>
    <col min="13073" max="13073" width="7.85546875" style="863" customWidth="1"/>
    <col min="13074" max="13074" width="9.85546875" style="863" customWidth="1"/>
    <col min="13075" max="13075" width="10.140625" style="863" customWidth="1"/>
    <col min="13076" max="13076" width="9" style="863" customWidth="1"/>
    <col min="13077" max="13077" width="9.42578125" style="863" customWidth="1"/>
    <col min="13078" max="13078" width="8.5703125" style="863" customWidth="1"/>
    <col min="13079" max="13079" width="6.42578125" style="863" customWidth="1"/>
    <col min="13080" max="13080" width="9.140625" style="863" customWidth="1"/>
    <col min="13081" max="13081" width="22.28515625" style="863" customWidth="1"/>
    <col min="13082" max="13082" width="25.7109375" style="863" customWidth="1"/>
    <col min="13083" max="13083" width="11.28515625" style="863" customWidth="1"/>
    <col min="13084" max="13084" width="19.85546875" style="863" customWidth="1"/>
    <col min="13085" max="13085" width="27.7109375" style="863" customWidth="1"/>
    <col min="13086" max="13086" width="10.28515625" style="863" customWidth="1"/>
    <col min="13087" max="13323" width="9.140625" style="863"/>
    <col min="13324" max="13325" width="7.7109375" style="863" customWidth="1"/>
    <col min="13326" max="13326" width="7.28515625" style="863" customWidth="1"/>
    <col min="13327" max="13327" width="9.140625" style="863" customWidth="1"/>
    <col min="13328" max="13328" width="7" style="863" customWidth="1"/>
    <col min="13329" max="13329" width="7.85546875" style="863" customWidth="1"/>
    <col min="13330" max="13330" width="9.85546875" style="863" customWidth="1"/>
    <col min="13331" max="13331" width="10.140625" style="863" customWidth="1"/>
    <col min="13332" max="13332" width="9" style="863" customWidth="1"/>
    <col min="13333" max="13333" width="9.42578125" style="863" customWidth="1"/>
    <col min="13334" max="13334" width="8.5703125" style="863" customWidth="1"/>
    <col min="13335" max="13335" width="6.42578125" style="863" customWidth="1"/>
    <col min="13336" max="13336" width="9.140625" style="863" customWidth="1"/>
    <col min="13337" max="13337" width="22.28515625" style="863" customWidth="1"/>
    <col min="13338" max="13338" width="25.7109375" style="863" customWidth="1"/>
    <col min="13339" max="13339" width="11.28515625" style="863" customWidth="1"/>
    <col min="13340" max="13340" width="19.85546875" style="863" customWidth="1"/>
    <col min="13341" max="13341" width="27.7109375" style="863" customWidth="1"/>
    <col min="13342" max="13342" width="10.28515625" style="863" customWidth="1"/>
    <col min="13343" max="13579" width="9.140625" style="863"/>
    <col min="13580" max="13581" width="7.7109375" style="863" customWidth="1"/>
    <col min="13582" max="13582" width="7.28515625" style="863" customWidth="1"/>
    <col min="13583" max="13583" width="9.140625" style="863" customWidth="1"/>
    <col min="13584" max="13584" width="7" style="863" customWidth="1"/>
    <col min="13585" max="13585" width="7.85546875" style="863" customWidth="1"/>
    <col min="13586" max="13586" width="9.85546875" style="863" customWidth="1"/>
    <col min="13587" max="13587" width="10.140625" style="863" customWidth="1"/>
    <col min="13588" max="13588" width="9" style="863" customWidth="1"/>
    <col min="13589" max="13589" width="9.42578125" style="863" customWidth="1"/>
    <col min="13590" max="13590" width="8.5703125" style="863" customWidth="1"/>
    <col min="13591" max="13591" width="6.42578125" style="863" customWidth="1"/>
    <col min="13592" max="13592" width="9.140625" style="863" customWidth="1"/>
    <col min="13593" max="13593" width="22.28515625" style="863" customWidth="1"/>
    <col min="13594" max="13594" width="25.7109375" style="863" customWidth="1"/>
    <col min="13595" max="13595" width="11.28515625" style="863" customWidth="1"/>
    <col min="13596" max="13596" width="19.85546875" style="863" customWidth="1"/>
    <col min="13597" max="13597" width="27.7109375" style="863" customWidth="1"/>
    <col min="13598" max="13598" width="10.28515625" style="863" customWidth="1"/>
    <col min="13599" max="13835" width="9.140625" style="863"/>
    <col min="13836" max="13837" width="7.7109375" style="863" customWidth="1"/>
    <col min="13838" max="13838" width="7.28515625" style="863" customWidth="1"/>
    <col min="13839" max="13839" width="9.140625" style="863" customWidth="1"/>
    <col min="13840" max="13840" width="7" style="863" customWidth="1"/>
    <col min="13841" max="13841" width="7.85546875" style="863" customWidth="1"/>
    <col min="13842" max="13842" width="9.85546875" style="863" customWidth="1"/>
    <col min="13843" max="13843" width="10.140625" style="863" customWidth="1"/>
    <col min="13844" max="13844" width="9" style="863" customWidth="1"/>
    <col min="13845" max="13845" width="9.42578125" style="863" customWidth="1"/>
    <col min="13846" max="13846" width="8.5703125" style="863" customWidth="1"/>
    <col min="13847" max="13847" width="6.42578125" style="863" customWidth="1"/>
    <col min="13848" max="13848" width="9.140625" style="863" customWidth="1"/>
    <col min="13849" max="13849" width="22.28515625" style="863" customWidth="1"/>
    <col min="13850" max="13850" width="25.7109375" style="863" customWidth="1"/>
    <col min="13851" max="13851" width="11.28515625" style="863" customWidth="1"/>
    <col min="13852" max="13852" width="19.85546875" style="863" customWidth="1"/>
    <col min="13853" max="13853" width="27.7109375" style="863" customWidth="1"/>
    <col min="13854" max="13854" width="10.28515625" style="863" customWidth="1"/>
    <col min="13855" max="14091" width="9.140625" style="863"/>
    <col min="14092" max="14093" width="7.7109375" style="863" customWidth="1"/>
    <col min="14094" max="14094" width="7.28515625" style="863" customWidth="1"/>
    <col min="14095" max="14095" width="9.140625" style="863" customWidth="1"/>
    <col min="14096" max="14096" width="7" style="863" customWidth="1"/>
    <col min="14097" max="14097" width="7.85546875" style="863" customWidth="1"/>
    <col min="14098" max="14098" width="9.85546875" style="863" customWidth="1"/>
    <col min="14099" max="14099" width="10.140625" style="863" customWidth="1"/>
    <col min="14100" max="14100" width="9" style="863" customWidth="1"/>
    <col min="14101" max="14101" width="9.42578125" style="863" customWidth="1"/>
    <col min="14102" max="14102" width="8.5703125" style="863" customWidth="1"/>
    <col min="14103" max="14103" width="6.42578125" style="863" customWidth="1"/>
    <col min="14104" max="14104" width="9.140625" style="863" customWidth="1"/>
    <col min="14105" max="14105" width="22.28515625" style="863" customWidth="1"/>
    <col min="14106" max="14106" width="25.7109375" style="863" customWidth="1"/>
    <col min="14107" max="14107" width="11.28515625" style="863" customWidth="1"/>
    <col min="14108" max="14108" width="19.85546875" style="863" customWidth="1"/>
    <col min="14109" max="14109" width="27.7109375" style="863" customWidth="1"/>
    <col min="14110" max="14110" width="10.28515625" style="863" customWidth="1"/>
    <col min="14111" max="14347" width="9.140625" style="863"/>
    <col min="14348" max="14349" width="7.7109375" style="863" customWidth="1"/>
    <col min="14350" max="14350" width="7.28515625" style="863" customWidth="1"/>
    <col min="14351" max="14351" width="9.140625" style="863" customWidth="1"/>
    <col min="14352" max="14352" width="7" style="863" customWidth="1"/>
    <col min="14353" max="14353" width="7.85546875" style="863" customWidth="1"/>
    <col min="14354" max="14354" width="9.85546875" style="863" customWidth="1"/>
    <col min="14355" max="14355" width="10.140625" style="863" customWidth="1"/>
    <col min="14356" max="14356" width="9" style="863" customWidth="1"/>
    <col min="14357" max="14357" width="9.42578125" style="863" customWidth="1"/>
    <col min="14358" max="14358" width="8.5703125" style="863" customWidth="1"/>
    <col min="14359" max="14359" width="6.42578125" style="863" customWidth="1"/>
    <col min="14360" max="14360" width="9.140625" style="863" customWidth="1"/>
    <col min="14361" max="14361" width="22.28515625" style="863" customWidth="1"/>
    <col min="14362" max="14362" width="25.7109375" style="863" customWidth="1"/>
    <col min="14363" max="14363" width="11.28515625" style="863" customWidth="1"/>
    <col min="14364" max="14364" width="19.85546875" style="863" customWidth="1"/>
    <col min="14365" max="14365" width="27.7109375" style="863" customWidth="1"/>
    <col min="14366" max="14366" width="10.28515625" style="863" customWidth="1"/>
    <col min="14367" max="14603" width="9.140625" style="863"/>
    <col min="14604" max="14605" width="7.7109375" style="863" customWidth="1"/>
    <col min="14606" max="14606" width="7.28515625" style="863" customWidth="1"/>
    <col min="14607" max="14607" width="9.140625" style="863" customWidth="1"/>
    <col min="14608" max="14608" width="7" style="863" customWidth="1"/>
    <col min="14609" max="14609" width="7.85546875" style="863" customWidth="1"/>
    <col min="14610" max="14610" width="9.85546875" style="863" customWidth="1"/>
    <col min="14611" max="14611" width="10.140625" style="863" customWidth="1"/>
    <col min="14612" max="14612" width="9" style="863" customWidth="1"/>
    <col min="14613" max="14613" width="9.42578125" style="863" customWidth="1"/>
    <col min="14614" max="14614" width="8.5703125" style="863" customWidth="1"/>
    <col min="14615" max="14615" width="6.42578125" style="863" customWidth="1"/>
    <col min="14616" max="14616" width="9.140625" style="863" customWidth="1"/>
    <col min="14617" max="14617" width="22.28515625" style="863" customWidth="1"/>
    <col min="14618" max="14618" width="25.7109375" style="863" customWidth="1"/>
    <col min="14619" max="14619" width="11.28515625" style="863" customWidth="1"/>
    <col min="14620" max="14620" width="19.85546875" style="863" customWidth="1"/>
    <col min="14621" max="14621" width="27.7109375" style="863" customWidth="1"/>
    <col min="14622" max="14622" width="10.28515625" style="863" customWidth="1"/>
    <col min="14623" max="14859" width="9.140625" style="863"/>
    <col min="14860" max="14861" width="7.7109375" style="863" customWidth="1"/>
    <col min="14862" max="14862" width="7.28515625" style="863" customWidth="1"/>
    <col min="14863" max="14863" width="9.140625" style="863" customWidth="1"/>
    <col min="14864" max="14864" width="7" style="863" customWidth="1"/>
    <col min="14865" max="14865" width="7.85546875" style="863" customWidth="1"/>
    <col min="14866" max="14866" width="9.85546875" style="863" customWidth="1"/>
    <col min="14867" max="14867" width="10.140625" style="863" customWidth="1"/>
    <col min="14868" max="14868" width="9" style="863" customWidth="1"/>
    <col min="14869" max="14869" width="9.42578125" style="863" customWidth="1"/>
    <col min="14870" max="14870" width="8.5703125" style="863" customWidth="1"/>
    <col min="14871" max="14871" width="6.42578125" style="863" customWidth="1"/>
    <col min="14872" max="14872" width="9.140625" style="863" customWidth="1"/>
    <col min="14873" max="14873" width="22.28515625" style="863" customWidth="1"/>
    <col min="14874" max="14874" width="25.7109375" style="863" customWidth="1"/>
    <col min="14875" max="14875" width="11.28515625" style="863" customWidth="1"/>
    <col min="14876" max="14876" width="19.85546875" style="863" customWidth="1"/>
    <col min="14877" max="14877" width="27.7109375" style="863" customWidth="1"/>
    <col min="14878" max="14878" width="10.28515625" style="863" customWidth="1"/>
    <col min="14879" max="15115" width="9.140625" style="863"/>
    <col min="15116" max="15117" width="7.7109375" style="863" customWidth="1"/>
    <col min="15118" max="15118" width="7.28515625" style="863" customWidth="1"/>
    <col min="15119" max="15119" width="9.140625" style="863" customWidth="1"/>
    <col min="15120" max="15120" width="7" style="863" customWidth="1"/>
    <col min="15121" max="15121" width="7.85546875" style="863" customWidth="1"/>
    <col min="15122" max="15122" width="9.85546875" style="863" customWidth="1"/>
    <col min="15123" max="15123" width="10.140625" style="863" customWidth="1"/>
    <col min="15124" max="15124" width="9" style="863" customWidth="1"/>
    <col min="15125" max="15125" width="9.42578125" style="863" customWidth="1"/>
    <col min="15126" max="15126" width="8.5703125" style="863" customWidth="1"/>
    <col min="15127" max="15127" width="6.42578125" style="863" customWidth="1"/>
    <col min="15128" max="15128" width="9.140625" style="863" customWidth="1"/>
    <col min="15129" max="15129" width="22.28515625" style="863" customWidth="1"/>
    <col min="15130" max="15130" width="25.7109375" style="863" customWidth="1"/>
    <col min="15131" max="15131" width="11.28515625" style="863" customWidth="1"/>
    <col min="15132" max="15132" width="19.85546875" style="863" customWidth="1"/>
    <col min="15133" max="15133" width="27.7109375" style="863" customWidth="1"/>
    <col min="15134" max="15134" width="10.28515625" style="863" customWidth="1"/>
    <col min="15135" max="15371" width="9.140625" style="863"/>
    <col min="15372" max="15373" width="7.7109375" style="863" customWidth="1"/>
    <col min="15374" max="15374" width="7.28515625" style="863" customWidth="1"/>
    <col min="15375" max="15375" width="9.140625" style="863" customWidth="1"/>
    <col min="15376" max="15376" width="7" style="863" customWidth="1"/>
    <col min="15377" max="15377" width="7.85546875" style="863" customWidth="1"/>
    <col min="15378" max="15378" width="9.85546875" style="863" customWidth="1"/>
    <col min="15379" max="15379" width="10.140625" style="863" customWidth="1"/>
    <col min="15380" max="15380" width="9" style="863" customWidth="1"/>
    <col min="15381" max="15381" width="9.42578125" style="863" customWidth="1"/>
    <col min="15382" max="15382" width="8.5703125" style="863" customWidth="1"/>
    <col min="15383" max="15383" width="6.42578125" style="863" customWidth="1"/>
    <col min="15384" max="15384" width="9.140625" style="863" customWidth="1"/>
    <col min="15385" max="15385" width="22.28515625" style="863" customWidth="1"/>
    <col min="15386" max="15386" width="25.7109375" style="863" customWidth="1"/>
    <col min="15387" max="15387" width="11.28515625" style="863" customWidth="1"/>
    <col min="15388" max="15388" width="19.85546875" style="863" customWidth="1"/>
    <col min="15389" max="15389" width="27.7109375" style="863" customWidth="1"/>
    <col min="15390" max="15390" width="10.28515625" style="863" customWidth="1"/>
    <col min="15391" max="15627" width="9.140625" style="863"/>
    <col min="15628" max="15629" width="7.7109375" style="863" customWidth="1"/>
    <col min="15630" max="15630" width="7.28515625" style="863" customWidth="1"/>
    <col min="15631" max="15631" width="9.140625" style="863" customWidth="1"/>
    <col min="15632" max="15632" width="7" style="863" customWidth="1"/>
    <col min="15633" max="15633" width="7.85546875" style="863" customWidth="1"/>
    <col min="15634" max="15634" width="9.85546875" style="863" customWidth="1"/>
    <col min="15635" max="15635" width="10.140625" style="863" customWidth="1"/>
    <col min="15636" max="15636" width="9" style="863" customWidth="1"/>
    <col min="15637" max="15637" width="9.42578125" style="863" customWidth="1"/>
    <col min="15638" max="15638" width="8.5703125" style="863" customWidth="1"/>
    <col min="15639" max="15639" width="6.42578125" style="863" customWidth="1"/>
    <col min="15640" max="15640" width="9.140625" style="863" customWidth="1"/>
    <col min="15641" max="15641" width="22.28515625" style="863" customWidth="1"/>
    <col min="15642" max="15642" width="25.7109375" style="863" customWidth="1"/>
    <col min="15643" max="15643" width="11.28515625" style="863" customWidth="1"/>
    <col min="15644" max="15644" width="19.85546875" style="863" customWidth="1"/>
    <col min="15645" max="15645" width="27.7109375" style="863" customWidth="1"/>
    <col min="15646" max="15646" width="10.28515625" style="863" customWidth="1"/>
    <col min="15647" max="15883" width="9.140625" style="863"/>
    <col min="15884" max="15885" width="7.7109375" style="863" customWidth="1"/>
    <col min="15886" max="15886" width="7.28515625" style="863" customWidth="1"/>
    <col min="15887" max="15887" width="9.140625" style="863" customWidth="1"/>
    <col min="15888" max="15888" width="7" style="863" customWidth="1"/>
    <col min="15889" max="15889" width="7.85546875" style="863" customWidth="1"/>
    <col min="15890" max="15890" width="9.85546875" style="863" customWidth="1"/>
    <col min="15891" max="15891" width="10.140625" style="863" customWidth="1"/>
    <col min="15892" max="15892" width="9" style="863" customWidth="1"/>
    <col min="15893" max="15893" width="9.42578125" style="863" customWidth="1"/>
    <col min="15894" max="15894" width="8.5703125" style="863" customWidth="1"/>
    <col min="15895" max="15895" width="6.42578125" style="863" customWidth="1"/>
    <col min="15896" max="15896" width="9.140625" style="863" customWidth="1"/>
    <col min="15897" max="15897" width="22.28515625" style="863" customWidth="1"/>
    <col min="15898" max="15898" width="25.7109375" style="863" customWidth="1"/>
    <col min="15899" max="15899" width="11.28515625" style="863" customWidth="1"/>
    <col min="15900" max="15900" width="19.85546875" style="863" customWidth="1"/>
    <col min="15901" max="15901" width="27.7109375" style="863" customWidth="1"/>
    <col min="15902" max="15902" width="10.28515625" style="863" customWidth="1"/>
    <col min="15903" max="16139" width="9.140625" style="863"/>
    <col min="16140" max="16141" width="7.7109375" style="863" customWidth="1"/>
    <col min="16142" max="16142" width="7.28515625" style="863" customWidth="1"/>
    <col min="16143" max="16143" width="9.140625" style="863" customWidth="1"/>
    <col min="16144" max="16144" width="7" style="863" customWidth="1"/>
    <col min="16145" max="16145" width="7.85546875" style="863" customWidth="1"/>
    <col min="16146" max="16146" width="9.85546875" style="863" customWidth="1"/>
    <col min="16147" max="16147" width="10.140625" style="863" customWidth="1"/>
    <col min="16148" max="16148" width="9" style="863" customWidth="1"/>
    <col min="16149" max="16149" width="9.42578125" style="863" customWidth="1"/>
    <col min="16150" max="16150" width="8.5703125" style="863" customWidth="1"/>
    <col min="16151" max="16151" width="6.42578125" style="863" customWidth="1"/>
    <col min="16152" max="16152" width="9.140625" style="863" customWidth="1"/>
    <col min="16153" max="16153" width="22.28515625" style="863" customWidth="1"/>
    <col min="16154" max="16154" width="25.7109375" style="863" customWidth="1"/>
    <col min="16155" max="16155" width="11.28515625" style="863" customWidth="1"/>
    <col min="16156" max="16156" width="19.85546875" style="863" customWidth="1"/>
    <col min="16157" max="16157" width="27.7109375" style="863" customWidth="1"/>
    <col min="16158" max="16158" width="10.28515625" style="863" customWidth="1"/>
    <col min="16159" max="16384" width="9.140625" style="863"/>
  </cols>
  <sheetData>
    <row r="1" spans="1:39" ht="15" customHeight="1">
      <c r="A1" s="2232"/>
      <c r="B1" s="2233"/>
      <c r="C1" s="2233"/>
      <c r="D1" s="2233"/>
      <c r="E1" s="2233"/>
      <c r="F1" s="2233"/>
      <c r="G1" s="2234"/>
      <c r="H1" s="2241" t="s">
        <v>507</v>
      </c>
      <c r="I1" s="2242"/>
      <c r="J1" s="2242"/>
      <c r="K1" s="2242"/>
      <c r="L1" s="2242"/>
      <c r="M1" s="2242"/>
      <c r="N1" s="2242"/>
      <c r="O1" s="2242"/>
      <c r="P1" s="2242"/>
      <c r="Q1" s="2242"/>
      <c r="R1" s="2242"/>
      <c r="S1" s="2242"/>
      <c r="T1" s="2242"/>
      <c r="U1" s="2242"/>
      <c r="V1" s="2242"/>
      <c r="W1" s="2242"/>
      <c r="X1" s="2243"/>
      <c r="Y1" s="859"/>
      <c r="Z1" s="860"/>
      <c r="AA1" s="861"/>
      <c r="AB1" s="861"/>
      <c r="AC1" s="862"/>
      <c r="AD1" s="861"/>
    </row>
    <row r="2" spans="1:39" s="868" customFormat="1" ht="15" customHeight="1">
      <c r="A2" s="2235"/>
      <c r="B2" s="2236"/>
      <c r="C2" s="2236"/>
      <c r="D2" s="2236"/>
      <c r="E2" s="2236"/>
      <c r="F2" s="2236"/>
      <c r="G2" s="2237"/>
      <c r="H2" s="2244"/>
      <c r="I2" s="2245"/>
      <c r="J2" s="2245"/>
      <c r="K2" s="2245"/>
      <c r="L2" s="2245"/>
      <c r="M2" s="2245"/>
      <c r="N2" s="2245"/>
      <c r="O2" s="2245"/>
      <c r="P2" s="2245"/>
      <c r="Q2" s="2245"/>
      <c r="R2" s="2245"/>
      <c r="S2" s="2245"/>
      <c r="T2" s="2245"/>
      <c r="U2" s="2245"/>
      <c r="V2" s="2245"/>
      <c r="W2" s="2245"/>
      <c r="X2" s="2246"/>
      <c r="Y2" s="864"/>
      <c r="Z2" s="865"/>
      <c r="AA2" s="865"/>
      <c r="AB2" s="866"/>
      <c r="AC2" s="867"/>
      <c r="AD2" s="866"/>
    </row>
    <row r="3" spans="1:39" ht="15" customHeight="1">
      <c r="A3" s="2235"/>
      <c r="B3" s="2236"/>
      <c r="C3" s="2236"/>
      <c r="D3" s="2236"/>
      <c r="E3" s="2236"/>
      <c r="F3" s="2236"/>
      <c r="G3" s="2237"/>
      <c r="H3" s="2247"/>
      <c r="I3" s="2248"/>
      <c r="J3" s="2248"/>
      <c r="K3" s="2248"/>
      <c r="L3" s="2248"/>
      <c r="M3" s="2248"/>
      <c r="N3" s="2248"/>
      <c r="O3" s="2248"/>
      <c r="P3" s="2248"/>
      <c r="Q3" s="2248"/>
      <c r="R3" s="2248"/>
      <c r="S3" s="2248"/>
      <c r="T3" s="2248"/>
      <c r="U3" s="2248"/>
      <c r="V3" s="2248"/>
      <c r="W3" s="2248"/>
      <c r="X3" s="2249"/>
      <c r="Y3" s="859"/>
      <c r="AB3" s="861"/>
      <c r="AC3" s="862"/>
      <c r="AD3" s="861"/>
    </row>
    <row r="4" spans="1:39" ht="15" customHeight="1">
      <c r="A4" s="2235"/>
      <c r="B4" s="2236"/>
      <c r="C4" s="2236"/>
      <c r="D4" s="2236"/>
      <c r="E4" s="2236"/>
      <c r="F4" s="2236"/>
      <c r="G4" s="2237"/>
      <c r="H4" s="2250" t="s">
        <v>508</v>
      </c>
      <c r="I4" s="2251"/>
      <c r="J4" s="2251"/>
      <c r="K4" s="2251"/>
      <c r="L4" s="2251"/>
      <c r="M4" s="2251"/>
      <c r="N4" s="2251"/>
      <c r="O4" s="2251"/>
      <c r="P4" s="2251"/>
      <c r="Q4" s="2251"/>
      <c r="R4" s="2251"/>
      <c r="S4" s="2251"/>
      <c r="T4" s="2252"/>
      <c r="U4" s="2251" t="s">
        <v>509</v>
      </c>
      <c r="V4" s="2251"/>
      <c r="W4" s="2251"/>
      <c r="X4" s="2252"/>
      <c r="Y4" s="859"/>
      <c r="AB4" s="869"/>
      <c r="AC4" s="870"/>
      <c r="AD4" s="871"/>
    </row>
    <row r="5" spans="1:39" ht="15" customHeight="1">
      <c r="A5" s="2238"/>
      <c r="B5" s="2239"/>
      <c r="C5" s="2239"/>
      <c r="D5" s="2239"/>
      <c r="E5" s="2239"/>
      <c r="F5" s="2239"/>
      <c r="G5" s="2240"/>
      <c r="H5" s="2253" t="s">
        <v>313</v>
      </c>
      <c r="I5" s="2254"/>
      <c r="J5" s="2254"/>
      <c r="K5" s="2254"/>
      <c r="L5" s="2254"/>
      <c r="M5" s="2254"/>
      <c r="N5" s="2254"/>
      <c r="O5" s="2254"/>
      <c r="P5" s="2254"/>
      <c r="Q5" s="2254"/>
      <c r="R5" s="2254"/>
      <c r="S5" s="2254"/>
      <c r="T5" s="2254"/>
      <c r="U5" s="2254"/>
      <c r="V5" s="2254"/>
      <c r="W5" s="2254"/>
      <c r="X5" s="2255"/>
      <c r="Y5" s="859"/>
      <c r="AB5" s="869"/>
      <c r="AC5" s="870"/>
      <c r="AD5" s="871"/>
    </row>
    <row r="6" spans="1:39" ht="15" customHeight="1">
      <c r="A6" s="872"/>
      <c r="B6" s="873"/>
      <c r="C6" s="873"/>
      <c r="D6" s="873"/>
      <c r="E6" s="873"/>
      <c r="F6" s="873"/>
      <c r="G6" s="873"/>
      <c r="H6" s="873"/>
      <c r="I6" s="873"/>
      <c r="J6" s="873"/>
      <c r="K6" s="873"/>
      <c r="L6" s="873"/>
      <c r="M6" s="873"/>
      <c r="N6" s="874"/>
      <c r="O6" s="874"/>
      <c r="P6" s="874"/>
      <c r="Q6" s="874"/>
      <c r="R6" s="874"/>
      <c r="S6" s="874"/>
      <c r="T6" s="875"/>
      <c r="U6" s="875"/>
      <c r="V6" s="876"/>
      <c r="W6" s="876"/>
      <c r="X6" s="877"/>
      <c r="Y6" s="878" t="s">
        <v>314</v>
      </c>
      <c r="Z6" s="2263" t="s">
        <v>510</v>
      </c>
      <c r="AA6" s="2264"/>
      <c r="AB6" s="2264"/>
      <c r="AC6" s="2265"/>
      <c r="AD6" s="879" t="s">
        <v>511</v>
      </c>
      <c r="AE6" s="2256" t="s">
        <v>512</v>
      </c>
      <c r="AF6" s="2256"/>
      <c r="AG6" s="2256"/>
      <c r="AH6" s="2257" t="s">
        <v>513</v>
      </c>
      <c r="AI6" s="2258"/>
      <c r="AJ6" s="2259"/>
      <c r="AK6" s="880"/>
      <c r="AL6" s="881"/>
      <c r="AM6" s="881"/>
    </row>
    <row r="7" spans="1:39" ht="15" customHeight="1">
      <c r="A7" s="449"/>
      <c r="B7" s="450"/>
      <c r="C7" s="450"/>
      <c r="D7" s="450"/>
      <c r="E7" s="450"/>
      <c r="F7" s="450"/>
      <c r="G7" s="450"/>
      <c r="H7" s="450"/>
      <c r="I7" s="450"/>
      <c r="J7" s="450"/>
      <c r="K7" s="450"/>
      <c r="L7" s="450"/>
      <c r="M7" s="450"/>
      <c r="N7" s="450"/>
      <c r="O7" s="450"/>
      <c r="P7" s="450"/>
      <c r="Q7" s="1788" t="s">
        <v>9</v>
      </c>
      <c r="R7" s="1788"/>
      <c r="S7" s="2195" t="str">
        <f>+IF('1. Encabezado'!T7="","",'1. Encabezado'!T7)</f>
        <v/>
      </c>
      <c r="T7" s="2195"/>
      <c r="U7" s="2195"/>
      <c r="V7" s="2195"/>
      <c r="W7" s="2195"/>
      <c r="X7" s="882"/>
      <c r="Y7" s="547" t="s">
        <v>315</v>
      </c>
      <c r="Z7" s="2260" t="str">
        <f>IF(N21="","",IF(OR(N21=Z8,N21&lt;AB8),"ESTA DENTRO DEL ALCANCE DE ACREDITACIÓN","ESTA FUERA DEL ALCANCE"))</f>
        <v/>
      </c>
      <c r="AA7" s="2261"/>
      <c r="AB7" s="2261"/>
      <c r="AC7" s="2262"/>
      <c r="AD7" s="883" t="s">
        <v>514</v>
      </c>
      <c r="AE7" s="884" t="str">
        <f>IF(AC12="","",ABS(MID(AC12,SEARCH(",",AC12,1),2)))</f>
        <v/>
      </c>
      <c r="AF7" s="885" t="str">
        <f>IF(AC12="","",TRUNC(AC12,0))</f>
        <v/>
      </c>
      <c r="AG7" s="884" t="str">
        <f>IF(AC12="","",ABS(MID(AC12,SEARCH(",",AC12,1),3)))</f>
        <v/>
      </c>
      <c r="AH7" s="886">
        <f>N14</f>
        <v>0</v>
      </c>
      <c r="AI7" s="886">
        <f>P14</f>
        <v>0</v>
      </c>
      <c r="AJ7" s="886">
        <f>R14</f>
        <v>0</v>
      </c>
      <c r="AK7" s="887"/>
      <c r="AL7" s="888"/>
      <c r="AM7" s="888"/>
    </row>
    <row r="8" spans="1:39" ht="15" customHeight="1">
      <c r="A8" s="449"/>
      <c r="B8" s="450"/>
      <c r="C8" s="450"/>
      <c r="D8" s="450"/>
      <c r="E8" s="450"/>
      <c r="F8" s="450"/>
      <c r="G8" s="450"/>
      <c r="H8" s="450"/>
      <c r="I8" s="450"/>
      <c r="J8" s="450"/>
      <c r="K8" s="450"/>
      <c r="L8" s="450"/>
      <c r="M8" s="450"/>
      <c r="N8" s="450"/>
      <c r="O8" s="450"/>
      <c r="P8" s="450"/>
      <c r="Q8" s="450"/>
      <c r="R8" s="450"/>
      <c r="S8" s="450"/>
      <c r="T8" s="450"/>
      <c r="U8" s="2222" t="str">
        <f>IF(S7="",Y11,CONCATENATE(Y7," ",Y8," ",Y9," ", Y10))</f>
        <v>Pagina xx de xx</v>
      </c>
      <c r="V8" s="2222"/>
      <c r="W8" s="2222"/>
      <c r="X8" s="882"/>
      <c r="Y8" s="1342" t="str">
        <f>IF(S7="","",5)</f>
        <v/>
      </c>
      <c r="Z8" s="889" t="s">
        <v>515</v>
      </c>
      <c r="AA8" s="890" t="s">
        <v>516</v>
      </c>
      <c r="AB8" s="890">
        <v>123</v>
      </c>
      <c r="AC8" s="891" t="s">
        <v>517</v>
      </c>
      <c r="AD8" s="892" t="s">
        <v>518</v>
      </c>
      <c r="AE8" s="884" t="str">
        <f>IF(AC12="","",ABS(AG7-AE7))</f>
        <v/>
      </c>
      <c r="AF8" s="884" t="str">
        <f>IF(AC12="","",IF(AE8&gt;0,AF7+1,IF(AND(AE8=0,ISODD(AE7*10)),AF7+1,AF7)))</f>
        <v/>
      </c>
      <c r="AG8" s="884"/>
      <c r="AH8" s="893" t="str">
        <f>N19</f>
        <v/>
      </c>
      <c r="AI8" s="893" t="str">
        <f>P19</f>
        <v/>
      </c>
      <c r="AJ8" s="893" t="str">
        <f>R19</f>
        <v/>
      </c>
      <c r="AK8" s="887"/>
      <c r="AL8" s="888"/>
      <c r="AM8" s="888"/>
    </row>
    <row r="9" spans="1:39" ht="15" customHeight="1">
      <c r="A9" s="449"/>
      <c r="B9" s="2266" t="s">
        <v>519</v>
      </c>
      <c r="C9" s="2266"/>
      <c r="D9" s="2266"/>
      <c r="E9" s="2267" t="str">
        <f>+IF(S7="","","1")</f>
        <v/>
      </c>
      <c r="F9" s="2267"/>
      <c r="G9" s="2267"/>
      <c r="H9" s="894"/>
      <c r="I9" s="894"/>
      <c r="J9" s="894"/>
      <c r="K9" s="894"/>
      <c r="L9" s="894"/>
      <c r="M9" s="895"/>
      <c r="N9" s="450"/>
      <c r="O9" s="450"/>
      <c r="P9" s="450"/>
      <c r="Q9" s="450"/>
      <c r="R9" s="450"/>
      <c r="S9" s="450"/>
      <c r="T9" s="450"/>
      <c r="U9" s="450"/>
      <c r="V9" s="896"/>
      <c r="W9" s="896"/>
      <c r="X9" s="882"/>
      <c r="Y9" s="556" t="s">
        <v>316</v>
      </c>
      <c r="Z9" s="2263" t="s">
        <v>520</v>
      </c>
      <c r="AA9" s="2264"/>
      <c r="AB9" s="2264"/>
      <c r="AC9" s="2265"/>
      <c r="AD9" s="879" t="s">
        <v>521</v>
      </c>
      <c r="AE9" s="897"/>
      <c r="AH9" s="2268" t="s">
        <v>522</v>
      </c>
      <c r="AI9" s="2269"/>
      <c r="AJ9" s="2270"/>
      <c r="AK9" s="887"/>
      <c r="AL9" s="898"/>
      <c r="AM9" s="888"/>
    </row>
    <row r="10" spans="1:39" ht="15" customHeight="1">
      <c r="A10" s="899"/>
      <c r="B10" s="900"/>
      <c r="C10" s="901"/>
      <c r="D10" s="901"/>
      <c r="E10" s="901"/>
      <c r="F10" s="901"/>
      <c r="G10" s="901"/>
      <c r="H10" s="901"/>
      <c r="I10" s="901"/>
      <c r="J10" s="901"/>
      <c r="K10" s="901"/>
      <c r="L10" s="901"/>
      <c r="M10" s="901"/>
      <c r="N10" s="900"/>
      <c r="O10" s="902"/>
      <c r="P10" s="902"/>
      <c r="Q10" s="902"/>
      <c r="R10" s="902"/>
      <c r="S10" s="902"/>
      <c r="T10" s="903"/>
      <c r="U10" s="902"/>
      <c r="V10" s="902"/>
      <c r="W10" s="902"/>
      <c r="X10" s="904"/>
      <c r="Y10" s="556">
        <f>IF('1. Encabezado'!AB10="","",'1. Encabezado'!AB10)</f>
        <v>17</v>
      </c>
      <c r="Z10" s="2260" t="str">
        <f>IF(N22="","",IF(OR(N22=Z11,N22&lt;AB11),"ESTA DENTRO DEL ALCANCE DE ACREDITACIÓN","ESTA FUERA DEL ALCANCE"))</f>
        <v/>
      </c>
      <c r="AA10" s="2261"/>
      <c r="AB10" s="2261"/>
      <c r="AC10" s="2262"/>
      <c r="AD10" s="905" t="s">
        <v>523</v>
      </c>
      <c r="AE10" s="2271" t="s">
        <v>524</v>
      </c>
      <c r="AF10" s="2271"/>
      <c r="AG10" s="2272"/>
      <c r="AH10" s="906">
        <v>25</v>
      </c>
      <c r="AI10" s="907" t="str">
        <f>IF(N19="","",+N19-5)</f>
        <v/>
      </c>
      <c r="AJ10" s="908"/>
    </row>
    <row r="11" spans="1:39" ht="15" customHeight="1">
      <c r="A11" s="899"/>
      <c r="B11" s="2273" t="s">
        <v>443</v>
      </c>
      <c r="C11" s="2274"/>
      <c r="D11" s="2274"/>
      <c r="E11" s="2274"/>
      <c r="F11" s="2274"/>
      <c r="G11" s="2274"/>
      <c r="H11" s="2274"/>
      <c r="I11" s="2274"/>
      <c r="J11" s="2274"/>
      <c r="K11" s="2274"/>
      <c r="L11" s="2274"/>
      <c r="M11" s="2275"/>
      <c r="N11" s="2276" t="s">
        <v>525</v>
      </c>
      <c r="O11" s="2277"/>
      <c r="P11" s="2277"/>
      <c r="Q11" s="2277"/>
      <c r="R11" s="2277"/>
      <c r="S11" s="2278"/>
      <c r="T11" s="2276" t="s">
        <v>526</v>
      </c>
      <c r="U11" s="2277"/>
      <c r="V11" s="2277"/>
      <c r="W11" s="2278"/>
      <c r="X11" s="904"/>
      <c r="Y11" s="909" t="s">
        <v>317</v>
      </c>
      <c r="Z11" s="889" t="s">
        <v>527</v>
      </c>
      <c r="AA11" s="890" t="s">
        <v>516</v>
      </c>
      <c r="AB11" s="890">
        <v>25</v>
      </c>
      <c r="AC11" s="891" t="s">
        <v>517</v>
      </c>
      <c r="AD11" s="910" t="s">
        <v>528</v>
      </c>
      <c r="AE11" s="884" t="str">
        <f>IF(AC13="","",ABS(MID(AC13,SEARCH(",",AC13,1),2)))</f>
        <v/>
      </c>
      <c r="AF11" s="885" t="str">
        <f>IF(AC13="","",TRUNC(AC13,0))</f>
        <v/>
      </c>
      <c r="AG11" s="911" t="str">
        <f>IF(AC13="","",ABS(MID(AC13,SEARCH(",",AC13,1),3)))</f>
        <v/>
      </c>
      <c r="AH11" s="912">
        <v>25</v>
      </c>
      <c r="AI11" s="913" t="str">
        <f>IF(R19="","",+R19+5)</f>
        <v/>
      </c>
      <c r="AJ11" s="914"/>
    </row>
    <row r="12" spans="1:39" ht="15" customHeight="1">
      <c r="A12" s="915"/>
      <c r="B12" s="2279" t="s">
        <v>97</v>
      </c>
      <c r="C12" s="2280"/>
      <c r="D12" s="2280"/>
      <c r="E12" s="2280"/>
      <c r="F12" s="2280"/>
      <c r="G12" s="2280"/>
      <c r="H12" s="2280"/>
      <c r="I12" s="2280"/>
      <c r="J12" s="2280"/>
      <c r="K12" s="2280"/>
      <c r="L12" s="2280"/>
      <c r="M12" s="2281"/>
      <c r="N12" s="2282"/>
      <c r="O12" s="2283"/>
      <c r="P12" s="2283"/>
      <c r="Q12" s="2283"/>
      <c r="R12" s="2283"/>
      <c r="S12" s="2284"/>
      <c r="T12" s="2282"/>
      <c r="U12" s="2283"/>
      <c r="V12" s="2283"/>
      <c r="W12" s="2284"/>
      <c r="X12" s="916"/>
      <c r="Y12" s="859"/>
      <c r="Z12" s="2285" t="s">
        <v>529</v>
      </c>
      <c r="AA12" s="2286"/>
      <c r="AB12" s="2286"/>
      <c r="AC12" s="917" t="str">
        <f>IF(N12="","",IF(AND(R19="",N12=AD7),"N.L.",(N19+(((25-N14)*(R19-N19))/(R14-N14)))))</f>
        <v/>
      </c>
      <c r="AD12" s="918" t="str">
        <f>+IF(AC12="","","%")</f>
        <v/>
      </c>
      <c r="AE12" s="884" t="str">
        <f>IF(AC13="","",ABS(AG11-AE11))</f>
        <v/>
      </c>
      <c r="AF12" s="884" t="str">
        <f>IF(AC13="","",IF(AE12&gt;0,AF11+1,IF(AND(AE12=0,ISODD(AE11*10)),AF11+1,AF11)))</f>
        <v/>
      </c>
      <c r="AG12" s="884"/>
      <c r="AK12" s="887"/>
      <c r="AL12" s="888"/>
      <c r="AM12" s="900"/>
    </row>
    <row r="13" spans="1:39" ht="15" customHeight="1">
      <c r="A13" s="915"/>
      <c r="B13" s="919" t="s">
        <v>530</v>
      </c>
      <c r="C13" s="920"/>
      <c r="D13" s="920"/>
      <c r="E13" s="920"/>
      <c r="F13" s="920"/>
      <c r="G13" s="920"/>
      <c r="H13" s="920"/>
      <c r="I13" s="920"/>
      <c r="J13" s="920"/>
      <c r="K13" s="920"/>
      <c r="L13" s="920"/>
      <c r="M13" s="921" t="s">
        <v>70</v>
      </c>
      <c r="N13" s="2287" t="str">
        <f>+IF($N$12="","","1")</f>
        <v/>
      </c>
      <c r="O13" s="2288"/>
      <c r="P13" s="2288" t="str">
        <f>+IF($N$12="","","2")</f>
        <v/>
      </c>
      <c r="Q13" s="2288"/>
      <c r="R13" s="2288" t="str">
        <f>+IF($N$12="","","3")</f>
        <v/>
      </c>
      <c r="S13" s="2289"/>
      <c r="T13" s="2287" t="str">
        <f>+IF($T$12="","","1")</f>
        <v/>
      </c>
      <c r="U13" s="2288"/>
      <c r="V13" s="2288" t="str">
        <f>+IF($T$12="","","2")</f>
        <v/>
      </c>
      <c r="W13" s="2289"/>
      <c r="X13" s="916"/>
      <c r="Y13" s="859"/>
      <c r="Z13" s="2290" t="s">
        <v>531</v>
      </c>
      <c r="AA13" s="2291"/>
      <c r="AB13" s="2291"/>
      <c r="AC13" s="922" t="str">
        <f>IF(S7="","",IF(AND(T12="Manual",T15=""),"N.P.",IF(AND(T19="",V19=""),"",AVERAGE(T19,V19))))</f>
        <v/>
      </c>
      <c r="AD13" s="923" t="str">
        <f>+IF(AC13="","","%")</f>
        <v/>
      </c>
    </row>
    <row r="14" spans="1:39" ht="15" customHeight="1">
      <c r="A14" s="915"/>
      <c r="B14" s="924" t="s">
        <v>532</v>
      </c>
      <c r="C14" s="925"/>
      <c r="D14" s="925"/>
      <c r="E14" s="925"/>
      <c r="F14" s="925"/>
      <c r="G14" s="925"/>
      <c r="H14" s="925"/>
      <c r="I14" s="925"/>
      <c r="J14" s="925"/>
      <c r="K14" s="925"/>
      <c r="L14" s="925"/>
      <c r="M14" s="926" t="s">
        <v>70</v>
      </c>
      <c r="N14" s="2295"/>
      <c r="O14" s="2296"/>
      <c r="P14" s="2296"/>
      <c r="Q14" s="2296"/>
      <c r="R14" s="2296"/>
      <c r="S14" s="2297"/>
      <c r="T14" s="2298"/>
      <c r="U14" s="2299"/>
      <c r="V14" s="2299"/>
      <c r="W14" s="2300"/>
      <c r="X14" s="927"/>
      <c r="Y14" s="900"/>
      <c r="Z14" s="928"/>
      <c r="AE14" s="900"/>
    </row>
    <row r="15" spans="1:39" ht="15" customHeight="1">
      <c r="A15" s="915"/>
      <c r="B15" s="924" t="s">
        <v>168</v>
      </c>
      <c r="C15" s="925"/>
      <c r="D15" s="925"/>
      <c r="E15" s="925"/>
      <c r="F15" s="925"/>
      <c r="G15" s="925"/>
      <c r="H15" s="925"/>
      <c r="I15" s="925"/>
      <c r="J15" s="925"/>
      <c r="K15" s="925"/>
      <c r="L15" s="925"/>
      <c r="M15" s="926" t="s">
        <v>70</v>
      </c>
      <c r="N15" s="929" t="str">
        <f>+IF(O15="","","L")</f>
        <v/>
      </c>
      <c r="O15" s="930"/>
      <c r="P15" s="931" t="str">
        <f>+IF(Q15="","","L")</f>
        <v/>
      </c>
      <c r="Q15" s="930"/>
      <c r="R15" s="931" t="str">
        <f>+IF(S15="","","L")</f>
        <v/>
      </c>
      <c r="S15" s="932"/>
      <c r="T15" s="933" t="str">
        <f>+IF(U15="","","L")</f>
        <v/>
      </c>
      <c r="U15" s="934"/>
      <c r="V15" s="935" t="str">
        <f>+IF(W15="","","L")</f>
        <v/>
      </c>
      <c r="W15" s="936"/>
      <c r="X15" s="927"/>
      <c r="Y15" s="900"/>
      <c r="Z15" s="928"/>
    </row>
    <row r="16" spans="1:39" ht="15" customHeight="1">
      <c r="A16" s="915"/>
      <c r="B16" s="924" t="s">
        <v>533</v>
      </c>
      <c r="C16" s="925" t="s">
        <v>534</v>
      </c>
      <c r="D16" s="925"/>
      <c r="E16" s="925"/>
      <c r="F16" s="925"/>
      <c r="G16" s="925"/>
      <c r="H16" s="925"/>
      <c r="I16" s="925"/>
      <c r="J16" s="925"/>
      <c r="K16" s="925"/>
      <c r="L16" s="925"/>
      <c r="M16" s="926" t="s">
        <v>58</v>
      </c>
      <c r="N16" s="2292"/>
      <c r="O16" s="2293"/>
      <c r="P16" s="2293"/>
      <c r="Q16" s="2293"/>
      <c r="R16" s="2293"/>
      <c r="S16" s="2294"/>
      <c r="T16" s="2292"/>
      <c r="U16" s="2293"/>
      <c r="V16" s="2293"/>
      <c r="W16" s="2294"/>
      <c r="X16" s="937"/>
      <c r="Y16" s="900"/>
      <c r="AA16" s="938"/>
      <c r="AB16" s="939"/>
      <c r="AC16" s="940"/>
      <c r="AD16" s="941"/>
    </row>
    <row r="17" spans="1:41" ht="15" customHeight="1">
      <c r="A17" s="915"/>
      <c r="B17" s="924" t="s">
        <v>535</v>
      </c>
      <c r="C17" s="925" t="s">
        <v>536</v>
      </c>
      <c r="D17" s="925"/>
      <c r="E17" s="925"/>
      <c r="F17" s="925"/>
      <c r="G17" s="925"/>
      <c r="H17" s="925"/>
      <c r="I17" s="925"/>
      <c r="J17" s="925"/>
      <c r="K17" s="925"/>
      <c r="L17" s="925"/>
      <c r="M17" s="926" t="s">
        <v>58</v>
      </c>
      <c r="N17" s="2292"/>
      <c r="O17" s="2293"/>
      <c r="P17" s="2293"/>
      <c r="Q17" s="2293"/>
      <c r="R17" s="2293"/>
      <c r="S17" s="2294"/>
      <c r="T17" s="2292"/>
      <c r="U17" s="2293"/>
      <c r="V17" s="2293"/>
      <c r="W17" s="2294"/>
      <c r="X17" s="937"/>
      <c r="Y17" s="881"/>
      <c r="Z17" s="2302"/>
      <c r="AA17" s="2302"/>
      <c r="AB17" s="2302"/>
      <c r="AC17" s="2302"/>
      <c r="AD17" s="2302"/>
      <c r="AE17" s="942"/>
      <c r="AF17" s="900"/>
      <c r="AG17" s="943"/>
      <c r="AH17" s="2301"/>
      <c r="AI17" s="2301"/>
      <c r="AJ17" s="2301"/>
      <c r="AK17" s="2301"/>
      <c r="AL17" s="2301"/>
      <c r="AM17" s="2301"/>
      <c r="AN17" s="944"/>
      <c r="AO17" s="881"/>
    </row>
    <row r="18" spans="1:41" ht="15" customHeight="1">
      <c r="A18" s="915"/>
      <c r="B18" s="924" t="s">
        <v>537</v>
      </c>
      <c r="C18" s="925" t="s">
        <v>538</v>
      </c>
      <c r="D18" s="925"/>
      <c r="E18" s="925"/>
      <c r="F18" s="925"/>
      <c r="G18" s="925"/>
      <c r="H18" s="925"/>
      <c r="I18" s="925"/>
      <c r="J18" s="925"/>
      <c r="K18" s="925"/>
      <c r="L18" s="925"/>
      <c r="M18" s="926" t="s">
        <v>58</v>
      </c>
      <c r="N18" s="2292"/>
      <c r="O18" s="2293"/>
      <c r="P18" s="2293"/>
      <c r="Q18" s="2293"/>
      <c r="R18" s="2293"/>
      <c r="S18" s="2294"/>
      <c r="T18" s="2292"/>
      <c r="U18" s="2293"/>
      <c r="V18" s="2293"/>
      <c r="W18" s="2294"/>
      <c r="X18" s="937"/>
      <c r="Y18" s="887"/>
      <c r="Z18" s="945"/>
      <c r="AA18" s="946"/>
      <c r="AB18" s="947"/>
      <c r="AC18" s="945"/>
      <c r="AD18" s="946"/>
      <c r="AE18" s="948"/>
      <c r="AF18" s="900"/>
      <c r="AG18" s="949"/>
      <c r="AH18" s="887"/>
      <c r="AI18" s="887"/>
      <c r="AJ18" s="887"/>
      <c r="AK18" s="950"/>
      <c r="AL18" s="950"/>
      <c r="AM18" s="950"/>
      <c r="AN18" s="950"/>
      <c r="AO18" s="887"/>
    </row>
    <row r="19" spans="1:41" ht="15" customHeight="1">
      <c r="A19" s="915"/>
      <c r="B19" s="951" t="s">
        <v>539</v>
      </c>
      <c r="C19" s="952" t="s">
        <v>540</v>
      </c>
      <c r="D19" s="952"/>
      <c r="E19" s="952"/>
      <c r="F19" s="952"/>
      <c r="G19" s="952"/>
      <c r="H19" s="952"/>
      <c r="I19" s="952"/>
      <c r="J19" s="952"/>
      <c r="K19" s="953"/>
      <c r="L19" s="952"/>
      <c r="M19" s="954" t="s">
        <v>62</v>
      </c>
      <c r="N19" s="2320" t="str">
        <f>+IF(OR(N16="",N17="",N18="",N15="",N14="",N12="",N13=""),"",((N16-N17)/(N17-N18))*100)</f>
        <v/>
      </c>
      <c r="O19" s="2321"/>
      <c r="P19" s="2321" t="str">
        <f>+IF(OR(P16="",P17="",P18="",P15="",P14="",N12="",P13=""),"",((P16-P17)/(P17-P18))*100)</f>
        <v/>
      </c>
      <c r="Q19" s="2321"/>
      <c r="R19" s="2321" t="str">
        <f>+IF(OR(R16="",R17="",R18="",R15="",R14="",N12="",R13=""),"",((R16-R17)/(R17-R18))*100)</f>
        <v/>
      </c>
      <c r="S19" s="2322"/>
      <c r="T19" s="2320" t="str">
        <f>+IF(OR(T16="",T17="",T18="",T15="",T12="",T13=""),"",((T16-T17)/(T17-T18))*100)</f>
        <v/>
      </c>
      <c r="U19" s="2321"/>
      <c r="V19" s="2321" t="str">
        <f>+IF(OR(V16="",V17="",V18="",V15="",V13="",T12=""),"",((V16-V17)/(V17-V18))*100)</f>
        <v/>
      </c>
      <c r="W19" s="2322"/>
      <c r="X19" s="955"/>
      <c r="Y19" s="887"/>
      <c r="Z19" s="956"/>
      <c r="AA19" s="946"/>
      <c r="AB19" s="957"/>
      <c r="AC19" s="956"/>
      <c r="AD19" s="946"/>
      <c r="AE19" s="947"/>
      <c r="AF19" s="900"/>
      <c r="AG19" s="949"/>
      <c r="AH19" s="887"/>
      <c r="AI19" s="887"/>
      <c r="AJ19" s="887"/>
      <c r="AK19" s="887"/>
      <c r="AL19" s="887"/>
      <c r="AM19" s="887"/>
      <c r="AN19" s="887"/>
      <c r="AO19" s="887"/>
    </row>
    <row r="20" spans="1:41" ht="15" customHeight="1">
      <c r="A20" s="915"/>
      <c r="B20" s="958"/>
      <c r="C20" s="958"/>
      <c r="D20" s="958"/>
      <c r="E20" s="958"/>
      <c r="F20" s="958"/>
      <c r="G20" s="958"/>
      <c r="H20" s="958"/>
      <c r="I20" s="958"/>
      <c r="J20" s="958"/>
      <c r="K20" s="958"/>
      <c r="L20" s="958"/>
      <c r="M20" s="958"/>
      <c r="N20" s="959"/>
      <c r="O20" s="959"/>
      <c r="P20" s="959"/>
      <c r="Q20" s="959"/>
      <c r="R20" s="959"/>
      <c r="S20" s="959"/>
      <c r="T20" s="960"/>
      <c r="U20" s="960"/>
      <c r="V20" s="961"/>
      <c r="W20" s="961"/>
      <c r="X20" s="955"/>
      <c r="Y20" s="898"/>
      <c r="Z20" s="898"/>
      <c r="AA20" s="946"/>
      <c r="AB20" s="962"/>
      <c r="AC20" s="898"/>
      <c r="AD20" s="946"/>
      <c r="AE20" s="939"/>
      <c r="AF20" s="900"/>
      <c r="AG20" s="949"/>
      <c r="AH20" s="898"/>
      <c r="AI20" s="898"/>
      <c r="AJ20" s="898"/>
      <c r="AK20" s="898"/>
      <c r="AL20" s="898"/>
      <c r="AM20" s="898"/>
      <c r="AN20" s="898"/>
      <c r="AO20" s="898"/>
    </row>
    <row r="21" spans="1:41" ht="15" customHeight="1">
      <c r="A21" s="915"/>
      <c r="B21" s="900"/>
      <c r="C21" s="900"/>
      <c r="D21" s="900"/>
      <c r="F21" s="900"/>
      <c r="G21" s="2305" t="s">
        <v>464</v>
      </c>
      <c r="H21" s="2306"/>
      <c r="I21" s="2306"/>
      <c r="J21" s="2306"/>
      <c r="K21" s="2306"/>
      <c r="L21" s="2306"/>
      <c r="M21" s="2306"/>
      <c r="N21" s="2307" t="str">
        <f>IF(AC12="","",IF(AC12="N.L.","N.L.",IF(AE7&lt;0.5,AF7,IF(AE7&gt;0.5,AF7+1,AF8))))</f>
        <v/>
      </c>
      <c r="O21" s="2307"/>
      <c r="P21" s="2307"/>
      <c r="Q21" s="2308" t="str">
        <f>+IF(N21="","","%")</f>
        <v/>
      </c>
      <c r="R21" s="2308"/>
      <c r="S21" s="2309"/>
      <c r="T21" s="963" t="str">
        <f>IF(Z7="ESTA FUERA DEL ALCANCE",Z7,"")</f>
        <v/>
      </c>
      <c r="V21" s="964"/>
      <c r="X21" s="965"/>
      <c r="Y21" s="898"/>
      <c r="Z21" s="966"/>
      <c r="AA21" s="962"/>
      <c r="AB21" s="900"/>
      <c r="AC21" s="967"/>
      <c r="AD21" s="968"/>
      <c r="AE21" s="939"/>
      <c r="AF21" s="900"/>
      <c r="AG21" s="949"/>
      <c r="AH21" s="898"/>
      <c r="AI21" s="898"/>
      <c r="AJ21" s="898"/>
      <c r="AK21" s="898"/>
      <c r="AL21" s="898"/>
      <c r="AM21" s="898"/>
      <c r="AN21" s="898"/>
      <c r="AO21" s="898"/>
    </row>
    <row r="22" spans="1:41" ht="15" customHeight="1">
      <c r="A22" s="915"/>
      <c r="B22" s="900"/>
      <c r="C22" s="900"/>
      <c r="D22" s="900"/>
      <c r="F22" s="900"/>
      <c r="G22" s="2310" t="s">
        <v>541</v>
      </c>
      <c r="H22" s="2311"/>
      <c r="I22" s="2311"/>
      <c r="J22" s="2311"/>
      <c r="K22" s="2311"/>
      <c r="L22" s="2311"/>
      <c r="M22" s="2311"/>
      <c r="N22" s="2312" t="str">
        <f>IF(AC13="","",IF(AC13="N.P.","N.P.",IF(AE11&lt;0.5,AF11,IF(AE11&gt;0.5,AF11+1,AF12))))</f>
        <v/>
      </c>
      <c r="O22" s="2312"/>
      <c r="P22" s="2312"/>
      <c r="Q22" s="2313" t="str">
        <f>+IF(N22="","","%")</f>
        <v/>
      </c>
      <c r="R22" s="2313"/>
      <c r="S22" s="2314"/>
      <c r="T22" s="963" t="str">
        <f>IF(Z10="ESTA FUERA DEL ALCANCE",Z10,"")</f>
        <v/>
      </c>
      <c r="V22" s="969"/>
      <c r="X22" s="965"/>
      <c r="Y22" s="898"/>
      <c r="Z22" s="970"/>
      <c r="AA22" s="971"/>
      <c r="AB22" s="900"/>
      <c r="AC22" s="967"/>
      <c r="AD22" s="972"/>
      <c r="AE22" s="939"/>
      <c r="AF22" s="900"/>
      <c r="AG22" s="949"/>
      <c r="AH22" s="898"/>
      <c r="AI22" s="898"/>
      <c r="AJ22" s="898"/>
      <c r="AK22" s="898"/>
      <c r="AL22" s="898"/>
      <c r="AM22" s="898"/>
      <c r="AN22" s="898"/>
      <c r="AO22" s="898"/>
    </row>
    <row r="23" spans="1:41" ht="15" customHeight="1">
      <c r="A23" s="973" t="s">
        <v>542</v>
      </c>
      <c r="B23" s="900"/>
      <c r="C23" s="900"/>
      <c r="D23" s="900"/>
      <c r="F23" s="900"/>
      <c r="G23" s="2315" t="s">
        <v>465</v>
      </c>
      <c r="H23" s="2316"/>
      <c r="I23" s="2316"/>
      <c r="J23" s="2316"/>
      <c r="K23" s="2316"/>
      <c r="L23" s="2316"/>
      <c r="M23" s="2316"/>
      <c r="N23" s="2317" t="str">
        <f>IF(OR(N21="",N22=""),"",IF(AND(N21="N.L.",N22="N.P."),"N.P.",N21-N22))</f>
        <v/>
      </c>
      <c r="O23" s="2317"/>
      <c r="P23" s="2317"/>
      <c r="Q23" s="2318" t="str">
        <f>+IF(N23="","","%")</f>
        <v/>
      </c>
      <c r="R23" s="2318"/>
      <c r="S23" s="2319"/>
      <c r="T23" s="974"/>
      <c r="V23" s="975"/>
      <c r="X23" s="976"/>
      <c r="Y23" s="888"/>
      <c r="Z23" s="970"/>
      <c r="AA23" s="977"/>
      <c r="AB23" s="900"/>
      <c r="AC23" s="978"/>
      <c r="AD23" s="972"/>
      <c r="AE23" s="979"/>
      <c r="AF23" s="900"/>
      <c r="AG23" s="949"/>
      <c r="AH23" s="888"/>
      <c r="AI23" s="888"/>
      <c r="AJ23" s="888"/>
      <c r="AK23" s="888"/>
      <c r="AL23" s="888"/>
      <c r="AM23" s="888"/>
      <c r="AN23" s="888"/>
      <c r="AO23" s="888"/>
    </row>
    <row r="24" spans="1:41" ht="15" customHeight="1">
      <c r="A24" s="973"/>
      <c r="B24" s="980"/>
      <c r="C24" s="980"/>
      <c r="D24" s="980"/>
      <c r="E24" s="980"/>
      <c r="F24" s="980"/>
      <c r="G24" s="980"/>
      <c r="H24" s="980"/>
      <c r="I24" s="980"/>
      <c r="J24" s="980"/>
      <c r="K24" s="980"/>
      <c r="L24" s="980"/>
      <c r="M24" s="981"/>
      <c r="N24" s="981"/>
      <c r="O24" s="981"/>
      <c r="P24" s="981"/>
      <c r="Q24" s="981"/>
      <c r="R24" s="981"/>
      <c r="S24" s="981"/>
      <c r="T24" s="982"/>
      <c r="U24" s="982"/>
      <c r="V24" s="982"/>
      <c r="W24" s="2303"/>
      <c r="X24" s="2304"/>
      <c r="Y24" s="983"/>
      <c r="AA24" s="983"/>
      <c r="AD24" s="900"/>
      <c r="AE24" s="900"/>
      <c r="AF24" s="984"/>
      <c r="AG24" s="983"/>
      <c r="AH24" s="983"/>
      <c r="AI24" s="983"/>
      <c r="AJ24" s="983"/>
      <c r="AK24" s="900"/>
      <c r="AL24" s="985"/>
      <c r="AM24" s="985"/>
      <c r="AN24" s="985"/>
      <c r="AO24" s="985"/>
    </row>
    <row r="25" spans="1:41" ht="15" customHeight="1">
      <c r="A25" s="986"/>
      <c r="B25" s="987"/>
      <c r="C25" s="987"/>
      <c r="D25" s="987"/>
      <c r="E25" s="987"/>
      <c r="F25" s="987"/>
      <c r="G25" s="987"/>
      <c r="H25" s="987"/>
      <c r="I25" s="987"/>
      <c r="J25" s="987"/>
      <c r="K25" s="987"/>
      <c r="L25" s="987"/>
      <c r="M25" s="987"/>
      <c r="N25" s="987"/>
      <c r="O25" s="987"/>
      <c r="P25" s="988"/>
      <c r="Q25" s="988"/>
      <c r="R25" s="988"/>
      <c r="S25" s="989"/>
      <c r="T25" s="982"/>
      <c r="U25" s="982"/>
      <c r="V25" s="982"/>
      <c r="W25" s="982"/>
      <c r="X25" s="976"/>
      <c r="Y25" s="983"/>
      <c r="AA25" s="990"/>
      <c r="AB25" s="990"/>
      <c r="AC25" s="990"/>
      <c r="AD25" s="900"/>
      <c r="AE25" s="900"/>
      <c r="AF25" s="984"/>
      <c r="AG25" s="983"/>
      <c r="AH25" s="983"/>
      <c r="AI25" s="983"/>
      <c r="AJ25" s="983"/>
      <c r="AK25" s="900"/>
      <c r="AL25" s="985"/>
      <c r="AM25" s="985"/>
      <c r="AN25" s="985"/>
      <c r="AO25" s="985"/>
    </row>
    <row r="26" spans="1:41" ht="15" customHeight="1">
      <c r="A26" s="915"/>
      <c r="B26" s="982"/>
      <c r="C26" s="982"/>
      <c r="D26" s="982"/>
      <c r="E26" s="982"/>
      <c r="F26" s="982"/>
      <c r="G26" s="982"/>
      <c r="H26" s="982"/>
      <c r="I26" s="982"/>
      <c r="J26" s="982"/>
      <c r="K26" s="982"/>
      <c r="L26" s="982"/>
      <c r="M26" s="982"/>
      <c r="N26" s="982"/>
      <c r="O26" s="982"/>
      <c r="P26" s="982"/>
      <c r="Q26" s="982"/>
      <c r="R26" s="982"/>
      <c r="S26" s="982"/>
      <c r="T26" s="982"/>
      <c r="U26" s="982"/>
      <c r="V26" s="982"/>
      <c r="W26" s="982"/>
      <c r="X26" s="976"/>
      <c r="AA26" s="990"/>
      <c r="AB26" s="990"/>
      <c r="AC26" s="990"/>
      <c r="AF26" s="991"/>
      <c r="AG26" s="991"/>
      <c r="AH26" s="992"/>
      <c r="AI26" s="991"/>
      <c r="AJ26" s="992"/>
      <c r="AK26" s="991"/>
      <c r="AL26" s="991"/>
      <c r="AM26" s="991"/>
      <c r="AN26" s="993"/>
      <c r="AO26" s="994"/>
    </row>
    <row r="27" spans="1:41" ht="15" customHeight="1">
      <c r="A27" s="915"/>
      <c r="B27" s="982"/>
      <c r="C27" s="982"/>
      <c r="D27" s="982"/>
      <c r="E27" s="982"/>
      <c r="F27" s="982"/>
      <c r="G27" s="982"/>
      <c r="H27" s="982"/>
      <c r="I27" s="982"/>
      <c r="J27" s="982"/>
      <c r="K27" s="982"/>
      <c r="L27" s="982"/>
      <c r="M27" s="982"/>
      <c r="N27" s="982"/>
      <c r="O27" s="982"/>
      <c r="P27" s="982"/>
      <c r="Q27" s="982"/>
      <c r="R27" s="982"/>
      <c r="S27" s="982"/>
      <c r="T27" s="982"/>
      <c r="U27" s="982"/>
      <c r="V27" s="982"/>
      <c r="W27" s="982"/>
      <c r="X27" s="976"/>
      <c r="Y27" s="879" t="s">
        <v>543</v>
      </c>
      <c r="AF27" s="991"/>
      <c r="AG27" s="991"/>
      <c r="AH27" s="992"/>
      <c r="AI27" s="991"/>
      <c r="AJ27" s="992"/>
      <c r="AK27" s="991"/>
      <c r="AL27" s="991"/>
      <c r="AM27" s="991"/>
      <c r="AN27" s="993"/>
      <c r="AO27" s="994"/>
    </row>
    <row r="28" spans="1:41" ht="15" customHeight="1">
      <c r="A28" s="915"/>
      <c r="B28" s="982"/>
      <c r="C28" s="982"/>
      <c r="D28" s="982"/>
      <c r="E28" s="982"/>
      <c r="F28" s="982"/>
      <c r="G28" s="982"/>
      <c r="H28" s="982"/>
      <c r="I28" s="982"/>
      <c r="J28" s="982"/>
      <c r="K28" s="982"/>
      <c r="L28" s="982"/>
      <c r="M28" s="982"/>
      <c r="N28" s="982"/>
      <c r="O28" s="982"/>
      <c r="P28" s="982"/>
      <c r="Q28" s="982"/>
      <c r="R28" s="982"/>
      <c r="S28" s="982"/>
      <c r="T28" s="982"/>
      <c r="U28" s="982"/>
      <c r="V28" s="982"/>
      <c r="W28" s="982"/>
      <c r="X28" s="976"/>
      <c r="Y28" s="995" t="s">
        <v>544</v>
      </c>
      <c r="Z28" s="996"/>
      <c r="AF28" s="991"/>
      <c r="AG28" s="991"/>
      <c r="AH28" s="992"/>
      <c r="AI28" s="991"/>
      <c r="AJ28" s="984"/>
      <c r="AK28" s="991"/>
      <c r="AL28" s="991"/>
      <c r="AM28" s="991"/>
      <c r="AN28" s="2323"/>
      <c r="AO28" s="2323"/>
    </row>
    <row r="29" spans="1:41" ht="15" customHeight="1">
      <c r="A29" s="915"/>
      <c r="B29" s="982"/>
      <c r="C29" s="982"/>
      <c r="D29" s="982"/>
      <c r="E29" s="982"/>
      <c r="F29" s="982"/>
      <c r="G29" s="982"/>
      <c r="H29" s="982"/>
      <c r="I29" s="982"/>
      <c r="J29" s="982"/>
      <c r="K29" s="982"/>
      <c r="L29" s="982"/>
      <c r="M29" s="982"/>
      <c r="N29" s="982"/>
      <c r="O29" s="982"/>
      <c r="P29" s="982"/>
      <c r="Q29" s="982"/>
      <c r="R29" s="982"/>
      <c r="S29" s="982"/>
      <c r="T29" s="982"/>
      <c r="U29" s="982"/>
      <c r="V29" s="982"/>
      <c r="W29" s="982"/>
      <c r="X29" s="976"/>
      <c r="Y29" s="995" t="str">
        <f>+IF(AI10="","",ROUND(AI10,0))</f>
        <v/>
      </c>
      <c r="AF29" s="991"/>
      <c r="AG29" s="991"/>
      <c r="AH29" s="997"/>
      <c r="AI29" s="991"/>
      <c r="AJ29" s="984"/>
      <c r="AK29" s="991"/>
      <c r="AL29" s="991"/>
      <c r="AM29" s="991"/>
      <c r="AN29" s="2323"/>
      <c r="AO29" s="2323"/>
    </row>
    <row r="30" spans="1:41" ht="15" customHeight="1">
      <c r="A30" s="915"/>
      <c r="B30" s="982"/>
      <c r="C30" s="982"/>
      <c r="D30" s="982"/>
      <c r="E30" s="982"/>
      <c r="F30" s="982"/>
      <c r="G30" s="982"/>
      <c r="H30" s="982"/>
      <c r="I30" s="982"/>
      <c r="J30" s="982"/>
      <c r="K30" s="982"/>
      <c r="L30" s="982"/>
      <c r="M30" s="982"/>
      <c r="N30" s="982"/>
      <c r="O30" s="982"/>
      <c r="P30" s="982"/>
      <c r="Q30" s="982"/>
      <c r="R30" s="982"/>
      <c r="S30" s="982"/>
      <c r="T30" s="982"/>
      <c r="U30" s="982"/>
      <c r="V30" s="982"/>
      <c r="W30" s="982"/>
      <c r="X30" s="976"/>
      <c r="Y30" s="995" t="s">
        <v>545</v>
      </c>
      <c r="Z30" s="2324"/>
      <c r="AA30" s="2324"/>
      <c r="AB30" s="2324"/>
      <c r="AE30" s="900"/>
      <c r="AF30" s="998"/>
      <c r="AG30" s="998"/>
      <c r="AH30" s="999"/>
      <c r="AI30" s="999"/>
      <c r="AJ30" s="1000"/>
      <c r="AK30" s="991"/>
      <c r="AL30" s="991"/>
      <c r="AM30" s="991"/>
      <c r="AN30" s="2323"/>
      <c r="AO30" s="2323"/>
    </row>
    <row r="31" spans="1:41" ht="15" customHeight="1">
      <c r="A31" s="915"/>
      <c r="B31" s="982"/>
      <c r="C31" s="982"/>
      <c r="D31" s="982"/>
      <c r="E31" s="982"/>
      <c r="F31" s="982"/>
      <c r="G31" s="982"/>
      <c r="H31" s="982"/>
      <c r="I31" s="982"/>
      <c r="J31" s="982"/>
      <c r="K31" s="982"/>
      <c r="L31" s="982"/>
      <c r="M31" s="982"/>
      <c r="N31" s="982"/>
      <c r="O31" s="982"/>
      <c r="P31" s="982"/>
      <c r="Q31" s="982"/>
      <c r="R31" s="982"/>
      <c r="S31" s="982"/>
      <c r="T31" s="982"/>
      <c r="U31" s="982"/>
      <c r="V31" s="982"/>
      <c r="W31" s="982"/>
      <c r="X31" s="976"/>
      <c r="Y31" s="1001" t="str">
        <f>+IF(AI11="","",ROUND(AI11,0))</f>
        <v/>
      </c>
      <c r="Z31" s="2324"/>
      <c r="AA31" s="2324"/>
      <c r="AB31" s="2324"/>
      <c r="AC31" s="1002"/>
      <c r="AD31" s="1003"/>
      <c r="AE31" s="881"/>
      <c r="AF31" s="881"/>
      <c r="AG31" s="881"/>
      <c r="AH31" s="881"/>
      <c r="AI31" s="900"/>
      <c r="AJ31" s="900"/>
      <c r="AK31" s="881"/>
      <c r="AL31" s="881"/>
      <c r="AM31" s="900"/>
    </row>
    <row r="32" spans="1:41" ht="15" customHeight="1">
      <c r="A32" s="915"/>
      <c r="B32" s="982"/>
      <c r="C32" s="982"/>
      <c r="D32" s="982"/>
      <c r="E32" s="982"/>
      <c r="F32" s="982"/>
      <c r="G32" s="982"/>
      <c r="H32" s="982"/>
      <c r="I32" s="982"/>
      <c r="J32" s="982"/>
      <c r="K32" s="982"/>
      <c r="L32" s="982"/>
      <c r="M32" s="982"/>
      <c r="N32" s="982"/>
      <c r="O32" s="982"/>
      <c r="P32" s="982"/>
      <c r="Q32" s="982"/>
      <c r="R32" s="982"/>
      <c r="S32" s="982"/>
      <c r="T32" s="982"/>
      <c r="U32" s="982"/>
      <c r="V32" s="982"/>
      <c r="W32" s="982"/>
      <c r="X32" s="976"/>
      <c r="Z32" s="2330"/>
      <c r="AA32" s="2331"/>
      <c r="AB32" s="2331"/>
      <c r="AC32" s="1004"/>
      <c r="AD32" s="1005"/>
      <c r="AE32" s="887"/>
      <c r="AF32" s="888"/>
      <c r="AG32" s="887"/>
      <c r="AH32" s="888"/>
      <c r="AI32" s="900"/>
      <c r="AJ32" s="900"/>
      <c r="AK32" s="1006"/>
      <c r="AL32" s="898"/>
      <c r="AM32" s="900"/>
    </row>
    <row r="33" spans="1:39" ht="15" customHeight="1">
      <c r="A33" s="915"/>
      <c r="B33" s="982"/>
      <c r="C33" s="982"/>
      <c r="D33" s="982"/>
      <c r="E33" s="982"/>
      <c r="F33" s="982"/>
      <c r="G33" s="982"/>
      <c r="H33" s="982"/>
      <c r="I33" s="982"/>
      <c r="J33" s="982"/>
      <c r="K33" s="982"/>
      <c r="L33" s="982"/>
      <c r="M33" s="982"/>
      <c r="N33" s="982"/>
      <c r="O33" s="982"/>
      <c r="P33" s="982"/>
      <c r="Q33" s="982"/>
      <c r="R33" s="982"/>
      <c r="S33" s="982"/>
      <c r="T33" s="982"/>
      <c r="U33" s="982"/>
      <c r="V33" s="982"/>
      <c r="W33" s="982"/>
      <c r="X33" s="976"/>
      <c r="AE33" s="887"/>
      <c r="AF33" s="888"/>
      <c r="AG33" s="887"/>
      <c r="AH33" s="888"/>
      <c r="AI33" s="900"/>
      <c r="AJ33" s="900"/>
      <c r="AK33" s="887"/>
      <c r="AL33" s="898"/>
      <c r="AM33" s="900"/>
    </row>
    <row r="34" spans="1:39" ht="15" customHeight="1">
      <c r="A34" s="915"/>
      <c r="B34" s="982"/>
      <c r="C34" s="982"/>
      <c r="D34" s="982"/>
      <c r="E34" s="982"/>
      <c r="F34" s="982"/>
      <c r="G34" s="982"/>
      <c r="H34" s="982"/>
      <c r="I34" s="982"/>
      <c r="J34" s="982"/>
      <c r="K34" s="982"/>
      <c r="L34" s="982"/>
      <c r="M34" s="982"/>
      <c r="N34" s="982"/>
      <c r="O34" s="982"/>
      <c r="P34" s="982"/>
      <c r="Q34" s="982"/>
      <c r="R34" s="982"/>
      <c r="S34" s="982"/>
      <c r="T34" s="982"/>
      <c r="U34" s="982"/>
      <c r="V34" s="982"/>
      <c r="W34" s="982"/>
      <c r="X34" s="976"/>
      <c r="AE34" s="887"/>
      <c r="AF34" s="888"/>
      <c r="AG34" s="887"/>
      <c r="AH34" s="888"/>
      <c r="AI34" s="900"/>
      <c r="AJ34" s="900"/>
      <c r="AK34" s="887"/>
      <c r="AL34" s="898"/>
      <c r="AM34" s="900"/>
    </row>
    <row r="35" spans="1:39" ht="15" customHeight="1">
      <c r="A35" s="915"/>
      <c r="B35" s="982"/>
      <c r="C35" s="982"/>
      <c r="D35" s="982"/>
      <c r="E35" s="982"/>
      <c r="F35" s="982"/>
      <c r="G35" s="982"/>
      <c r="H35" s="982"/>
      <c r="I35" s="982"/>
      <c r="J35" s="982"/>
      <c r="K35" s="982"/>
      <c r="L35" s="982"/>
      <c r="M35" s="982"/>
      <c r="N35" s="982"/>
      <c r="O35" s="982"/>
      <c r="P35" s="982"/>
      <c r="Q35" s="982"/>
      <c r="R35" s="982"/>
      <c r="S35" s="982"/>
      <c r="T35" s="982"/>
      <c r="U35" s="982"/>
      <c r="V35" s="982"/>
      <c r="W35" s="982"/>
      <c r="X35" s="976"/>
      <c r="AE35" s="1006"/>
      <c r="AF35" s="1007"/>
      <c r="AG35" s="1006"/>
      <c r="AH35" s="1007"/>
      <c r="AI35" s="900"/>
      <c r="AJ35" s="900"/>
      <c r="AK35" s="1006"/>
      <c r="AL35" s="1007"/>
      <c r="AM35" s="900"/>
    </row>
    <row r="36" spans="1:39" ht="15" customHeight="1">
      <c r="A36" s="915"/>
      <c r="B36" s="982"/>
      <c r="C36" s="982"/>
      <c r="D36" s="982"/>
      <c r="E36" s="982"/>
      <c r="F36" s="982"/>
      <c r="G36" s="982"/>
      <c r="H36" s="982"/>
      <c r="I36" s="982"/>
      <c r="J36" s="982"/>
      <c r="K36" s="982"/>
      <c r="L36" s="982"/>
      <c r="M36" s="982"/>
      <c r="N36" s="982"/>
      <c r="O36" s="982"/>
      <c r="P36" s="982"/>
      <c r="Q36" s="982"/>
      <c r="R36" s="982"/>
      <c r="S36" s="982"/>
      <c r="T36" s="982"/>
      <c r="U36" s="982"/>
      <c r="V36" s="982"/>
      <c r="W36" s="982"/>
      <c r="X36" s="976"/>
      <c r="AE36" s="1006"/>
      <c r="AF36" s="1007"/>
      <c r="AG36" s="1006"/>
      <c r="AH36" s="1007"/>
      <c r="AI36" s="900"/>
      <c r="AJ36" s="900"/>
      <c r="AK36" s="1006"/>
      <c r="AL36" s="1007"/>
      <c r="AM36" s="900"/>
    </row>
    <row r="37" spans="1:39" ht="15" customHeight="1">
      <c r="A37" s="915"/>
      <c r="B37" s="982"/>
      <c r="C37" s="982"/>
      <c r="D37" s="982"/>
      <c r="E37" s="982"/>
      <c r="F37" s="982"/>
      <c r="G37" s="982"/>
      <c r="H37" s="982"/>
      <c r="I37" s="982"/>
      <c r="J37" s="982"/>
      <c r="K37" s="982"/>
      <c r="L37" s="982"/>
      <c r="M37" s="982"/>
      <c r="N37" s="982"/>
      <c r="O37" s="982"/>
      <c r="P37" s="982"/>
      <c r="Q37" s="982"/>
      <c r="R37" s="982"/>
      <c r="S37" s="982"/>
      <c r="T37" s="982"/>
      <c r="U37" s="982"/>
      <c r="V37" s="982"/>
      <c r="W37" s="982"/>
      <c r="X37" s="976"/>
      <c r="AE37" s="900"/>
      <c r="AF37" s="900"/>
      <c r="AG37" s="881"/>
      <c r="AH37" s="881"/>
      <c r="AI37" s="900"/>
      <c r="AJ37" s="900"/>
      <c r="AK37" s="900"/>
      <c r="AL37" s="900"/>
      <c r="AM37" s="900"/>
    </row>
    <row r="38" spans="1:39" ht="15" customHeight="1">
      <c r="A38" s="915"/>
      <c r="B38" s="982"/>
      <c r="C38" s="982"/>
      <c r="D38" s="982"/>
      <c r="E38" s="982"/>
      <c r="F38" s="982"/>
      <c r="G38" s="982"/>
      <c r="H38" s="982"/>
      <c r="I38" s="982"/>
      <c r="J38" s="982"/>
      <c r="K38" s="982"/>
      <c r="L38" s="982"/>
      <c r="M38" s="982"/>
      <c r="N38" s="982"/>
      <c r="O38" s="982"/>
      <c r="P38" s="982"/>
      <c r="Q38" s="982"/>
      <c r="R38" s="982"/>
      <c r="S38" s="982"/>
      <c r="T38" s="982"/>
      <c r="U38" s="982"/>
      <c r="V38" s="982"/>
      <c r="W38" s="982"/>
      <c r="X38" s="976"/>
      <c r="AE38" s="900"/>
      <c r="AF38" s="900"/>
      <c r="AG38" s="881"/>
      <c r="AH38" s="881"/>
      <c r="AI38" s="900"/>
      <c r="AJ38" s="900"/>
      <c r="AK38" s="900"/>
      <c r="AL38" s="900"/>
      <c r="AM38" s="900"/>
    </row>
    <row r="39" spans="1:39" ht="15" customHeight="1">
      <c r="A39" s="1008"/>
      <c r="B39" s="1009"/>
      <c r="C39" s="1009"/>
      <c r="D39" s="1009"/>
      <c r="E39" s="1009"/>
      <c r="F39" s="1009"/>
      <c r="G39" s="1009"/>
      <c r="H39" s="1009"/>
      <c r="I39" s="1009"/>
      <c r="J39" s="1009"/>
      <c r="K39" s="1009"/>
      <c r="L39" s="1009"/>
      <c r="M39" s="451"/>
      <c r="N39" s="451"/>
      <c r="O39" s="451"/>
      <c r="P39" s="451"/>
      <c r="Q39" s="451"/>
      <c r="R39" s="451"/>
      <c r="S39" s="451"/>
      <c r="T39" s="1010"/>
      <c r="U39" s="1010"/>
      <c r="V39" s="1010"/>
      <c r="W39" s="1010"/>
      <c r="X39" s="1011"/>
      <c r="Z39" s="1012"/>
      <c r="AA39" s="1012"/>
      <c r="AB39" s="1013"/>
      <c r="AE39" s="881"/>
      <c r="AF39" s="881"/>
      <c r="AG39" s="900"/>
      <c r="AH39" s="900"/>
      <c r="AI39" s="900"/>
      <c r="AJ39" s="900"/>
      <c r="AK39" s="900"/>
      <c r="AL39" s="900"/>
      <c r="AM39" s="900"/>
    </row>
    <row r="40" spans="1:39" ht="15" customHeight="1">
      <c r="A40" s="1008"/>
      <c r="B40" s="2332" t="s">
        <v>169</v>
      </c>
      <c r="C40" s="2332"/>
      <c r="D40" s="2332"/>
      <c r="E40" s="2332"/>
      <c r="F40" s="2332"/>
      <c r="G40" s="2333"/>
      <c r="H40" s="2333"/>
      <c r="I40" s="2333"/>
      <c r="J40" s="1014" t="str">
        <f>+IF(K40="","","al")</f>
        <v/>
      </c>
      <c r="K40" s="2334"/>
      <c r="L40" s="2334"/>
      <c r="M40" s="2334"/>
      <c r="Q40" s="1015"/>
      <c r="R40" s="1015"/>
      <c r="S40" s="451"/>
      <c r="T40" s="1010"/>
      <c r="U40" s="1010"/>
      <c r="V40" s="1010"/>
      <c r="W40" s="1010"/>
      <c r="X40" s="1011"/>
      <c r="Z40" s="1016"/>
      <c r="AA40" s="1016"/>
      <c r="AB40" s="900"/>
      <c r="AE40" s="881"/>
      <c r="AF40" s="881"/>
      <c r="AG40" s="900"/>
      <c r="AH40" s="900"/>
      <c r="AI40" s="900"/>
      <c r="AJ40" s="900"/>
      <c r="AK40" s="900"/>
      <c r="AL40" s="900"/>
      <c r="AM40" s="900"/>
    </row>
    <row r="41" spans="1:39" ht="15" customHeight="1">
      <c r="A41" s="1008"/>
      <c r="B41" s="1009"/>
      <c r="C41" s="1009"/>
      <c r="D41" s="1009"/>
      <c r="E41" s="1009"/>
      <c r="F41" s="1009"/>
      <c r="G41" s="1009"/>
      <c r="H41" s="1009"/>
      <c r="I41" s="1009"/>
      <c r="J41" s="1009"/>
      <c r="K41" s="1009"/>
      <c r="L41" s="1009"/>
      <c r="M41" s="451"/>
      <c r="N41" s="451"/>
      <c r="O41" s="451"/>
      <c r="P41" s="451"/>
      <c r="Q41" s="451"/>
      <c r="R41" s="451"/>
      <c r="S41" s="451"/>
      <c r="T41" s="1010"/>
      <c r="U41" s="1010"/>
      <c r="V41" s="1010"/>
      <c r="W41" s="1010"/>
      <c r="X41" s="1011"/>
      <c r="AE41" s="900"/>
      <c r="AF41" s="900"/>
      <c r="AG41" s="900"/>
      <c r="AH41" s="900"/>
      <c r="AI41" s="900"/>
      <c r="AJ41" s="900"/>
      <c r="AK41" s="900"/>
      <c r="AL41" s="900"/>
      <c r="AM41" s="900"/>
    </row>
    <row r="42" spans="1:39" ht="15" customHeight="1">
      <c r="A42" s="1017"/>
      <c r="B42" s="2335" t="s">
        <v>546</v>
      </c>
      <c r="C42" s="2335"/>
      <c r="D42" s="2335"/>
      <c r="E42" s="2335"/>
      <c r="F42" s="2336"/>
      <c r="G42" s="2336"/>
      <c r="H42" s="2336"/>
      <c r="I42" s="2336"/>
      <c r="J42" s="2336"/>
      <c r="K42" s="2336"/>
      <c r="L42" s="2336"/>
      <c r="M42" s="2336"/>
      <c r="N42" s="2336"/>
      <c r="O42" s="2336"/>
      <c r="P42" s="2336"/>
      <c r="Q42" s="2336"/>
      <c r="R42" s="2336"/>
      <c r="S42" s="2336"/>
      <c r="T42" s="2336"/>
      <c r="U42" s="2336"/>
      <c r="V42" s="2336"/>
      <c r="W42" s="2336"/>
      <c r="X42" s="1018"/>
    </row>
    <row r="43" spans="1:39" ht="15" customHeight="1">
      <c r="A43" s="1008"/>
      <c r="B43" s="2325"/>
      <c r="C43" s="2325"/>
      <c r="D43" s="2325"/>
      <c r="E43" s="2325"/>
      <c r="F43" s="2325"/>
      <c r="G43" s="2325"/>
      <c r="H43" s="2325"/>
      <c r="I43" s="2325"/>
      <c r="J43" s="2325"/>
      <c r="K43" s="2325"/>
      <c r="L43" s="2325"/>
      <c r="M43" s="2325"/>
      <c r="N43" s="2325"/>
      <c r="O43" s="2325"/>
      <c r="P43" s="2325"/>
      <c r="Q43" s="2325"/>
      <c r="R43" s="2325"/>
      <c r="S43" s="2325"/>
      <c r="T43" s="2325"/>
      <c r="U43" s="2325"/>
      <c r="V43" s="2325"/>
      <c r="W43" s="2325"/>
      <c r="X43" s="1011"/>
    </row>
    <row r="44" spans="1:39" ht="15" customHeight="1" thickBot="1">
      <c r="A44" s="1019"/>
      <c r="B44" s="2326"/>
      <c r="C44" s="2326"/>
      <c r="D44" s="2326"/>
      <c r="E44" s="2326"/>
      <c r="F44" s="2326"/>
      <c r="G44" s="2326"/>
      <c r="H44" s="2326"/>
      <c r="I44" s="2326"/>
      <c r="J44" s="2326"/>
      <c r="K44" s="2326"/>
      <c r="L44" s="2326"/>
      <c r="M44" s="2326"/>
      <c r="N44" s="2326"/>
      <c r="O44" s="2326"/>
      <c r="P44" s="2326"/>
      <c r="Q44" s="2326"/>
      <c r="R44" s="2326"/>
      <c r="S44" s="2326"/>
      <c r="T44" s="2326"/>
      <c r="U44" s="2326"/>
      <c r="V44" s="2326"/>
      <c r="W44" s="2326"/>
      <c r="X44" s="1020"/>
      <c r="AE44" s="1021"/>
    </row>
    <row r="45" spans="1:39" ht="15" customHeight="1" thickTop="1" thickBot="1">
      <c r="A45" s="2327" t="s">
        <v>13</v>
      </c>
      <c r="B45" s="2327"/>
      <c r="C45" s="2327"/>
      <c r="D45" s="2327"/>
      <c r="E45" s="2327"/>
      <c r="F45" s="2327"/>
      <c r="G45" s="2327"/>
      <c r="H45" s="2327"/>
      <c r="I45" s="2327"/>
      <c r="J45" s="2327"/>
      <c r="K45" s="2327"/>
      <c r="L45" s="2327"/>
      <c r="M45" s="2327"/>
      <c r="N45" s="2327"/>
      <c r="O45" s="2327"/>
      <c r="P45" s="2327"/>
      <c r="Q45" s="2327"/>
      <c r="R45" s="2327"/>
      <c r="S45" s="2327"/>
      <c r="T45" s="2327"/>
      <c r="U45" s="2327"/>
      <c r="V45" s="2327"/>
      <c r="W45" s="2327"/>
      <c r="X45" s="2327"/>
      <c r="Z45" s="888"/>
      <c r="AA45" s="888"/>
      <c r="AB45" s="888"/>
      <c r="AC45" s="887"/>
      <c r="AE45" s="1021"/>
    </row>
    <row r="46" spans="1:39" ht="15" customHeight="1" thickTop="1">
      <c r="A46" s="2328"/>
      <c r="B46" s="2328"/>
      <c r="C46" s="2328"/>
      <c r="D46" s="2328"/>
      <c r="E46" s="2328"/>
      <c r="F46" s="2328"/>
      <c r="G46" s="2328"/>
      <c r="H46" s="2328"/>
      <c r="I46" s="2328"/>
      <c r="J46" s="2328"/>
      <c r="K46" s="2328"/>
      <c r="L46" s="2328"/>
      <c r="M46" s="2328"/>
      <c r="N46" s="2328"/>
      <c r="O46" s="2328"/>
      <c r="P46" s="2328"/>
      <c r="Q46" s="2328"/>
      <c r="R46" s="2328"/>
      <c r="S46" s="2328"/>
      <c r="T46" s="2328"/>
      <c r="U46" s="2328"/>
      <c r="V46" s="2328"/>
      <c r="W46" s="2328"/>
      <c r="X46" s="2328"/>
      <c r="Z46" s="1022"/>
      <c r="AA46" s="1022"/>
      <c r="AB46" s="1022"/>
      <c r="AC46" s="900"/>
      <c r="AE46" s="1021"/>
    </row>
    <row r="47" spans="1:39" ht="15" customHeight="1">
      <c r="A47" s="2329" t="s">
        <v>306</v>
      </c>
      <c r="B47" s="2329"/>
      <c r="C47" s="2329"/>
      <c r="D47" s="2329"/>
      <c r="E47" s="2329"/>
      <c r="F47" s="2329"/>
      <c r="G47" s="2329"/>
      <c r="H47" s="2329"/>
      <c r="I47" s="2329"/>
      <c r="J47" s="2329"/>
      <c r="K47" s="2329"/>
      <c r="L47" s="2329"/>
      <c r="M47" s="2329"/>
      <c r="N47" s="2329"/>
      <c r="O47" s="2329"/>
      <c r="P47" s="2329"/>
      <c r="Q47" s="2329"/>
      <c r="R47" s="2329"/>
      <c r="S47" s="2329"/>
      <c r="T47" s="2329"/>
      <c r="U47" s="2329"/>
      <c r="V47" s="2329"/>
      <c r="W47" s="2329"/>
      <c r="X47" s="2329"/>
      <c r="Z47" s="1023"/>
      <c r="AA47" s="1023"/>
      <c r="AB47" s="1023"/>
      <c r="AC47" s="1022"/>
      <c r="AD47" s="1022"/>
      <c r="AE47" s="1021"/>
    </row>
    <row r="48" spans="1:39" ht="15" customHeight="1">
      <c r="A48" s="2329"/>
      <c r="B48" s="2329"/>
      <c r="C48" s="2329"/>
      <c r="D48" s="2329"/>
      <c r="E48" s="2329"/>
      <c r="F48" s="2329"/>
      <c r="G48" s="2329"/>
      <c r="H48" s="2329"/>
      <c r="I48" s="2329"/>
      <c r="J48" s="2329"/>
      <c r="K48" s="2329"/>
      <c r="L48" s="2329"/>
      <c r="M48" s="2329"/>
      <c r="N48" s="2329"/>
      <c r="O48" s="2329"/>
      <c r="P48" s="2329"/>
      <c r="Q48" s="2329"/>
      <c r="R48" s="2329"/>
      <c r="S48" s="2329"/>
      <c r="T48" s="2329"/>
      <c r="U48" s="2329"/>
      <c r="V48" s="2329"/>
      <c r="W48" s="2329"/>
      <c r="X48" s="2329"/>
      <c r="Z48" s="1023"/>
      <c r="AA48" s="1023"/>
      <c r="AB48" s="1023"/>
      <c r="AC48" s="1023"/>
      <c r="AD48" s="1024"/>
      <c r="AE48" s="1021"/>
    </row>
    <row r="49" spans="1:36" ht="15" customHeight="1">
      <c r="A49" s="897"/>
      <c r="B49" s="897"/>
      <c r="C49" s="897"/>
      <c r="D49" s="897"/>
      <c r="E49" s="897"/>
      <c r="F49" s="897"/>
      <c r="G49" s="897"/>
      <c r="H49" s="897"/>
      <c r="I49" s="897"/>
      <c r="J49" s="897"/>
      <c r="K49" s="897"/>
      <c r="L49" s="897"/>
      <c r="M49" s="897"/>
      <c r="N49" s="897"/>
      <c r="O49" s="897"/>
      <c r="P49" s="897"/>
      <c r="Q49" s="897"/>
      <c r="R49" s="897"/>
      <c r="S49" s="897"/>
      <c r="T49" s="897"/>
      <c r="U49" s="897"/>
      <c r="V49" s="897"/>
      <c r="W49" s="897"/>
      <c r="X49" s="897"/>
      <c r="Z49" s="1023"/>
      <c r="AA49" s="1023"/>
      <c r="AB49" s="1023"/>
      <c r="AC49" s="1023"/>
      <c r="AD49" s="971"/>
      <c r="AE49" s="1021"/>
    </row>
    <row r="50" spans="1:36" ht="15" customHeight="1">
      <c r="A50" s="897"/>
      <c r="B50" s="897"/>
      <c r="C50" s="897"/>
      <c r="D50" s="897"/>
      <c r="E50" s="897"/>
      <c r="F50" s="897"/>
      <c r="G50" s="897"/>
      <c r="H50" s="897"/>
      <c r="I50" s="897"/>
      <c r="J50" s="897"/>
      <c r="K50" s="897"/>
      <c r="L50" s="897"/>
      <c r="M50" s="897"/>
      <c r="N50" s="897"/>
      <c r="O50" s="897"/>
      <c r="P50" s="897"/>
      <c r="Q50" s="897"/>
      <c r="R50" s="897"/>
      <c r="S50" s="897"/>
      <c r="T50" s="897"/>
      <c r="U50" s="897"/>
      <c r="V50" s="897"/>
      <c r="W50" s="897"/>
      <c r="X50" s="897"/>
      <c r="AC50" s="1023"/>
      <c r="AD50" s="971"/>
      <c r="AE50" s="1021"/>
    </row>
    <row r="51" spans="1:36" s="868" customFormat="1" ht="15" customHeight="1">
      <c r="A51" s="863"/>
      <c r="B51" s="1025"/>
      <c r="C51" s="1025"/>
      <c r="D51" s="1025"/>
      <c r="E51" s="1025"/>
      <c r="F51" s="1025"/>
      <c r="G51" s="1025"/>
      <c r="H51" s="1025"/>
      <c r="I51" s="1025"/>
      <c r="J51" s="1025"/>
      <c r="K51" s="1025"/>
      <c r="L51" s="1025"/>
      <c r="M51" s="1025"/>
      <c r="N51" s="1025"/>
      <c r="O51" s="1025"/>
      <c r="P51" s="1025"/>
      <c r="Q51" s="1025"/>
      <c r="R51" s="1025"/>
      <c r="S51" s="1025"/>
      <c r="T51" s="1025"/>
      <c r="U51" s="897"/>
      <c r="V51" s="897"/>
      <c r="W51" s="897"/>
      <c r="X51" s="897"/>
      <c r="AE51" s="1026"/>
    </row>
    <row r="52" spans="1:36" ht="15" customHeight="1">
      <c r="A52" s="897"/>
      <c r="B52" s="897"/>
      <c r="C52" s="897"/>
      <c r="D52" s="897"/>
      <c r="E52" s="897"/>
      <c r="F52" s="897"/>
      <c r="G52" s="897"/>
      <c r="H52" s="897"/>
      <c r="I52" s="897"/>
      <c r="J52" s="897"/>
      <c r="K52" s="897"/>
      <c r="L52" s="897"/>
      <c r="M52" s="897"/>
      <c r="N52" s="897"/>
      <c r="O52" s="897"/>
      <c r="P52" s="897"/>
      <c r="Q52" s="897"/>
      <c r="R52" s="897"/>
      <c r="S52" s="897"/>
      <c r="T52" s="897"/>
      <c r="U52" s="897"/>
      <c r="V52" s="897"/>
      <c r="W52" s="897"/>
      <c r="X52" s="897"/>
      <c r="AD52" s="1027"/>
      <c r="AE52" s="1021"/>
    </row>
    <row r="53" spans="1:36" ht="15" customHeight="1">
      <c r="A53" s="897"/>
      <c r="B53" s="897"/>
      <c r="C53" s="897"/>
      <c r="D53" s="897"/>
      <c r="E53" s="897"/>
      <c r="F53" s="897"/>
      <c r="G53" s="897"/>
      <c r="H53" s="897"/>
      <c r="I53" s="897"/>
      <c r="J53" s="897"/>
      <c r="K53" s="897"/>
      <c r="L53" s="897"/>
      <c r="M53" s="897"/>
      <c r="N53" s="897"/>
      <c r="O53" s="897"/>
      <c r="P53" s="897"/>
      <c r="Q53" s="897"/>
      <c r="R53" s="897"/>
      <c r="S53" s="897"/>
      <c r="T53" s="897"/>
      <c r="U53" s="897"/>
      <c r="V53" s="897"/>
      <c r="W53" s="897"/>
      <c r="X53" s="897"/>
      <c r="AE53" s="1021"/>
    </row>
    <row r="54" spans="1:36" ht="15" customHeight="1">
      <c r="A54" s="897"/>
      <c r="B54" s="897"/>
      <c r="C54" s="897"/>
      <c r="D54" s="897"/>
      <c r="E54" s="897"/>
      <c r="F54" s="897"/>
      <c r="G54" s="897"/>
      <c r="H54" s="897"/>
      <c r="I54" s="897"/>
      <c r="J54" s="897"/>
      <c r="K54" s="897"/>
      <c r="L54" s="897"/>
      <c r="M54" s="897"/>
      <c r="N54" s="897"/>
      <c r="O54" s="897"/>
      <c r="P54" s="897"/>
      <c r="Q54" s="897"/>
      <c r="R54" s="897"/>
      <c r="S54" s="897"/>
      <c r="T54" s="897"/>
      <c r="U54" s="897"/>
      <c r="V54" s="897"/>
      <c r="W54" s="897"/>
      <c r="X54" s="897"/>
      <c r="AE54" s="1021"/>
    </row>
    <row r="55" spans="1:36" ht="15" customHeight="1">
      <c r="A55" s="897"/>
      <c r="B55" s="897"/>
      <c r="C55" s="897"/>
      <c r="D55" s="897"/>
      <c r="E55" s="897"/>
      <c r="F55" s="897"/>
      <c r="G55" s="897"/>
      <c r="H55" s="897"/>
      <c r="I55" s="897"/>
      <c r="J55" s="897"/>
      <c r="K55" s="897"/>
      <c r="L55" s="897"/>
      <c r="M55" s="897"/>
      <c r="N55" s="897"/>
      <c r="O55" s="897"/>
      <c r="P55" s="897"/>
      <c r="Q55" s="897"/>
      <c r="R55" s="897"/>
      <c r="S55" s="897"/>
      <c r="T55" s="897"/>
      <c r="U55" s="897"/>
      <c r="V55" s="897"/>
      <c r="W55" s="897"/>
      <c r="X55" s="897"/>
      <c r="Y55" s="859"/>
    </row>
    <row r="56" spans="1:36" ht="14.1" customHeight="1">
      <c r="A56" s="897"/>
      <c r="B56" s="897"/>
      <c r="C56" s="897"/>
      <c r="D56" s="897"/>
      <c r="E56" s="897"/>
      <c r="F56" s="897"/>
      <c r="G56" s="897"/>
      <c r="H56" s="897"/>
      <c r="I56" s="897"/>
      <c r="J56" s="897"/>
      <c r="K56" s="897"/>
      <c r="L56" s="897"/>
      <c r="M56" s="897"/>
      <c r="N56" s="897"/>
      <c r="O56" s="897"/>
      <c r="P56" s="897"/>
      <c r="Q56" s="897"/>
      <c r="R56" s="897"/>
      <c r="S56" s="897"/>
      <c r="T56" s="897"/>
      <c r="U56" s="897"/>
      <c r="V56" s="897"/>
      <c r="W56" s="897"/>
      <c r="X56" s="897"/>
      <c r="Y56" s="859"/>
    </row>
    <row r="57" spans="1:36" ht="12" customHeight="1">
      <c r="A57" s="897"/>
      <c r="B57" s="897"/>
      <c r="C57" s="897"/>
      <c r="D57" s="897"/>
      <c r="E57" s="897"/>
      <c r="F57" s="897"/>
      <c r="G57" s="897"/>
      <c r="H57" s="897"/>
      <c r="I57" s="897"/>
      <c r="J57" s="897"/>
      <c r="K57" s="897"/>
      <c r="L57" s="897"/>
      <c r="M57" s="897"/>
      <c r="N57" s="897"/>
      <c r="O57" s="897"/>
      <c r="P57" s="897"/>
      <c r="Q57" s="897"/>
      <c r="R57" s="897"/>
      <c r="S57" s="897"/>
      <c r="T57" s="897"/>
      <c r="U57" s="897"/>
      <c r="V57" s="897"/>
      <c r="W57" s="897"/>
      <c r="X57" s="897"/>
      <c r="Y57" s="897"/>
    </row>
    <row r="58" spans="1:36" ht="18" customHeight="1">
      <c r="A58" s="897"/>
      <c r="B58" s="897"/>
      <c r="C58" s="897"/>
      <c r="D58" s="897"/>
      <c r="E58" s="897"/>
      <c r="F58" s="897"/>
      <c r="G58" s="897"/>
      <c r="H58" s="897"/>
      <c r="I58" s="897"/>
      <c r="J58" s="897"/>
      <c r="K58" s="897"/>
      <c r="L58" s="897"/>
      <c r="M58" s="897"/>
      <c r="N58" s="897"/>
      <c r="O58" s="897"/>
      <c r="P58" s="1028"/>
      <c r="Q58" s="1028"/>
      <c r="R58" s="1028"/>
      <c r="S58" s="897"/>
      <c r="T58" s="897"/>
      <c r="U58" s="897"/>
      <c r="V58" s="897"/>
      <c r="W58" s="897"/>
      <c r="X58" s="897"/>
      <c r="Y58" s="897"/>
      <c r="Z58" s="897"/>
      <c r="AA58" s="900"/>
    </row>
    <row r="59" spans="1:36" ht="27.95" customHeight="1">
      <c r="A59" s="897"/>
      <c r="B59" s="897"/>
      <c r="C59" s="897"/>
      <c r="D59" s="897"/>
      <c r="E59" s="897"/>
      <c r="F59" s="897"/>
      <c r="G59" s="897"/>
      <c r="H59" s="897"/>
      <c r="I59" s="897"/>
      <c r="J59" s="897"/>
      <c r="K59" s="897"/>
      <c r="L59" s="897"/>
      <c r="M59" s="897"/>
      <c r="N59" s="897"/>
      <c r="O59" s="897"/>
      <c r="P59" s="897"/>
      <c r="Q59" s="897"/>
      <c r="R59" s="897"/>
      <c r="S59" s="897"/>
      <c r="T59" s="897"/>
      <c r="U59" s="897"/>
      <c r="V59" s="897"/>
      <c r="W59" s="897"/>
      <c r="X59" s="897"/>
      <c r="Y59" s="897"/>
      <c r="Z59" s="897"/>
      <c r="AA59" s="900"/>
      <c r="AD59" s="1029"/>
    </row>
    <row r="60" spans="1:36" ht="14.1" customHeight="1">
      <c r="A60" s="897"/>
      <c r="B60" s="897"/>
      <c r="C60" s="897"/>
      <c r="D60" s="897"/>
      <c r="E60" s="897"/>
      <c r="F60" s="897"/>
      <c r="G60" s="897"/>
      <c r="H60" s="897"/>
      <c r="I60" s="897"/>
      <c r="J60" s="897"/>
      <c r="K60" s="897"/>
      <c r="L60" s="897"/>
      <c r="M60" s="897"/>
      <c r="N60" s="897"/>
      <c r="O60" s="897"/>
      <c r="P60" s="897"/>
      <c r="Q60" s="897"/>
      <c r="R60" s="897"/>
      <c r="S60" s="897"/>
      <c r="T60" s="897"/>
      <c r="U60" s="897"/>
      <c r="V60" s="897"/>
      <c r="W60" s="897"/>
      <c r="X60" s="897"/>
      <c r="Y60" s="897"/>
      <c r="Z60" s="897"/>
      <c r="AA60" s="900"/>
      <c r="AD60" s="1030"/>
      <c r="AF60" s="900"/>
      <c r="AG60" s="900"/>
      <c r="AH60" s="900"/>
      <c r="AI60" s="900"/>
      <c r="AJ60" s="900"/>
    </row>
    <row r="61" spans="1:36" ht="14.1" customHeight="1">
      <c r="A61" s="897"/>
      <c r="B61" s="897"/>
      <c r="C61" s="897"/>
      <c r="D61" s="897"/>
      <c r="E61" s="897"/>
      <c r="F61" s="897"/>
      <c r="G61" s="897"/>
      <c r="H61" s="897"/>
      <c r="I61" s="897"/>
      <c r="J61" s="897"/>
      <c r="K61" s="897"/>
      <c r="L61" s="897"/>
      <c r="M61" s="897"/>
      <c r="N61" s="897"/>
      <c r="O61" s="897"/>
      <c r="P61" s="897"/>
      <c r="Q61" s="897"/>
      <c r="R61" s="897"/>
      <c r="S61" s="897"/>
      <c r="T61" s="897"/>
      <c r="U61" s="897"/>
      <c r="V61" s="897"/>
      <c r="W61" s="897"/>
      <c r="X61" s="897"/>
      <c r="Y61" s="897"/>
      <c r="Z61" s="897"/>
      <c r="AA61" s="900"/>
    </row>
    <row r="62" spans="1:36" ht="14.1" customHeight="1">
      <c r="A62" s="897"/>
      <c r="B62" s="897"/>
      <c r="C62" s="897"/>
      <c r="D62" s="897"/>
      <c r="E62" s="897"/>
      <c r="F62" s="897"/>
      <c r="G62" s="897"/>
      <c r="H62" s="897"/>
      <c r="I62" s="897"/>
      <c r="J62" s="897"/>
      <c r="K62" s="897"/>
      <c r="L62" s="897"/>
      <c r="M62" s="897"/>
      <c r="N62" s="897"/>
      <c r="O62" s="897"/>
      <c r="P62" s="897"/>
      <c r="Q62" s="897"/>
      <c r="R62" s="897"/>
      <c r="S62" s="897"/>
      <c r="T62" s="897"/>
      <c r="U62" s="897"/>
      <c r="V62" s="897"/>
      <c r="W62" s="897"/>
      <c r="X62" s="897"/>
      <c r="Y62" s="897"/>
      <c r="Z62" s="897"/>
      <c r="AA62" s="900"/>
    </row>
    <row r="63" spans="1:36" ht="14.1" customHeight="1">
      <c r="A63" s="897"/>
      <c r="B63" s="897"/>
      <c r="C63" s="897"/>
      <c r="D63" s="897"/>
      <c r="E63" s="897"/>
      <c r="F63" s="897"/>
      <c r="G63" s="897"/>
      <c r="H63" s="897"/>
      <c r="I63" s="897"/>
      <c r="J63" s="897"/>
      <c r="K63" s="897"/>
      <c r="L63" s="897"/>
      <c r="M63" s="897"/>
      <c r="N63" s="897"/>
      <c r="O63" s="897"/>
      <c r="P63" s="897"/>
      <c r="Q63" s="897"/>
      <c r="R63" s="897"/>
      <c r="S63" s="897"/>
      <c r="T63" s="897"/>
      <c r="U63" s="897"/>
      <c r="V63" s="897"/>
      <c r="W63" s="897"/>
      <c r="X63" s="897"/>
      <c r="Y63" s="897"/>
      <c r="Z63" s="897"/>
      <c r="AA63" s="900"/>
    </row>
    <row r="64" spans="1:36" ht="20.100000000000001" customHeight="1">
      <c r="A64" s="897"/>
      <c r="B64" s="897"/>
      <c r="C64" s="897"/>
      <c r="D64" s="897"/>
      <c r="E64" s="897"/>
      <c r="F64" s="897"/>
      <c r="G64" s="897"/>
      <c r="H64" s="897"/>
      <c r="I64" s="897"/>
      <c r="J64" s="897"/>
      <c r="K64" s="897"/>
      <c r="L64" s="897"/>
      <c r="M64" s="897"/>
      <c r="N64" s="897"/>
      <c r="O64" s="897"/>
      <c r="P64" s="897"/>
      <c r="Q64" s="897"/>
      <c r="R64" s="897"/>
      <c r="S64" s="897"/>
      <c r="T64" s="897"/>
      <c r="U64" s="897"/>
      <c r="V64" s="897"/>
      <c r="W64" s="897"/>
      <c r="X64" s="897"/>
      <c r="Y64" s="897"/>
    </row>
    <row r="65" spans="1:26" ht="30" customHeight="1">
      <c r="A65" s="897"/>
      <c r="B65" s="897"/>
      <c r="C65" s="897"/>
      <c r="D65" s="897"/>
      <c r="E65" s="897"/>
      <c r="F65" s="897"/>
      <c r="G65" s="897"/>
      <c r="H65" s="897"/>
      <c r="I65" s="897"/>
      <c r="J65" s="897"/>
      <c r="K65" s="897"/>
      <c r="L65" s="897"/>
      <c r="M65" s="897"/>
      <c r="N65" s="897"/>
      <c r="O65" s="897"/>
      <c r="P65" s="897"/>
      <c r="Q65" s="897"/>
      <c r="R65" s="897"/>
      <c r="S65" s="897"/>
      <c r="T65" s="897"/>
      <c r="U65" s="897"/>
      <c r="V65" s="897"/>
      <c r="W65" s="897"/>
      <c r="X65" s="897"/>
      <c r="Y65" s="897"/>
    </row>
    <row r="66" spans="1:26">
      <c r="A66" s="897"/>
      <c r="B66" s="897"/>
      <c r="C66" s="897"/>
      <c r="D66" s="897"/>
      <c r="E66" s="897"/>
      <c r="F66" s="897"/>
      <c r="G66" s="897"/>
      <c r="H66" s="897"/>
      <c r="I66" s="897"/>
      <c r="J66" s="897"/>
      <c r="K66" s="897"/>
      <c r="L66" s="897"/>
      <c r="M66" s="897"/>
      <c r="N66" s="897"/>
      <c r="O66" s="897"/>
      <c r="P66" s="897"/>
      <c r="Q66" s="897"/>
      <c r="R66" s="897"/>
      <c r="S66" s="897"/>
      <c r="T66" s="897"/>
      <c r="U66" s="897"/>
      <c r="V66" s="897"/>
      <c r="W66" s="897"/>
      <c r="X66" s="897"/>
      <c r="Y66" s="897"/>
    </row>
    <row r="67" spans="1:26">
      <c r="A67" s="897"/>
      <c r="B67" s="897"/>
      <c r="C67" s="897"/>
      <c r="D67" s="897"/>
      <c r="E67" s="897"/>
      <c r="F67" s="897"/>
      <c r="G67" s="897"/>
      <c r="H67" s="897"/>
      <c r="I67" s="897"/>
      <c r="J67" s="897"/>
      <c r="K67" s="897"/>
      <c r="L67" s="897"/>
      <c r="M67" s="897"/>
      <c r="N67" s="897"/>
      <c r="O67" s="897"/>
      <c r="P67" s="897"/>
      <c r="Q67" s="897"/>
      <c r="R67" s="897"/>
      <c r="S67" s="897"/>
      <c r="T67" s="897"/>
      <c r="U67" s="897"/>
      <c r="V67" s="897"/>
      <c r="W67" s="897"/>
      <c r="X67" s="897"/>
      <c r="Y67" s="897"/>
    </row>
    <row r="68" spans="1:26">
      <c r="A68" s="897"/>
      <c r="B68" s="897"/>
      <c r="C68" s="897"/>
      <c r="D68" s="897"/>
      <c r="E68" s="897"/>
      <c r="F68" s="897"/>
      <c r="G68" s="897"/>
      <c r="H68" s="897"/>
      <c r="I68" s="897"/>
      <c r="J68" s="897"/>
      <c r="K68" s="897"/>
      <c r="L68" s="897"/>
      <c r="M68" s="897"/>
      <c r="N68" s="897"/>
      <c r="O68" s="897"/>
      <c r="P68" s="897"/>
      <c r="Q68" s="897"/>
      <c r="R68" s="897"/>
      <c r="S68" s="897"/>
      <c r="T68" s="897"/>
      <c r="U68" s="897"/>
      <c r="V68" s="897"/>
      <c r="W68" s="897"/>
      <c r="X68" s="897"/>
      <c r="Y68" s="897"/>
    </row>
    <row r="69" spans="1:26">
      <c r="A69" s="897"/>
      <c r="B69" s="897"/>
      <c r="C69" s="897"/>
      <c r="D69" s="897"/>
      <c r="E69" s="897"/>
      <c r="F69" s="897"/>
      <c r="G69" s="897"/>
      <c r="H69" s="897"/>
      <c r="I69" s="897"/>
      <c r="J69" s="897"/>
      <c r="K69" s="897"/>
      <c r="L69" s="897"/>
      <c r="M69" s="897"/>
      <c r="N69" s="897"/>
      <c r="O69" s="897"/>
      <c r="P69" s="897"/>
      <c r="Q69" s="897"/>
      <c r="R69" s="897"/>
      <c r="S69" s="897"/>
      <c r="T69" s="897"/>
      <c r="U69" s="897"/>
      <c r="V69" s="897"/>
      <c r="W69" s="897"/>
      <c r="X69" s="897"/>
      <c r="Y69" s="897"/>
    </row>
    <row r="70" spans="1:26">
      <c r="Y70" s="897"/>
    </row>
    <row r="71" spans="1:26">
      <c r="Y71" s="897"/>
      <c r="Z71" s="897"/>
    </row>
    <row r="72" spans="1:26">
      <c r="Y72" s="897"/>
      <c r="Z72" s="897"/>
    </row>
    <row r="73" spans="1:26">
      <c r="Y73" s="897"/>
      <c r="Z73" s="897"/>
    </row>
    <row r="74" spans="1:26">
      <c r="Y74" s="897"/>
      <c r="Z74" s="897"/>
    </row>
    <row r="75" spans="1:26">
      <c r="Y75" s="897"/>
      <c r="Z75" s="897"/>
    </row>
    <row r="76" spans="1:26">
      <c r="Y76" s="897"/>
      <c r="Z76" s="897"/>
    </row>
    <row r="77" spans="1:26">
      <c r="Y77" s="897"/>
      <c r="Z77" s="897"/>
    </row>
    <row r="78" spans="1:26">
      <c r="Y78" s="897"/>
      <c r="Z78" s="897"/>
    </row>
    <row r="79" spans="1:26">
      <c r="Y79" s="897"/>
      <c r="Z79" s="897"/>
    </row>
    <row r="80" spans="1:26">
      <c r="Y80" s="897"/>
      <c r="Z80" s="897"/>
    </row>
    <row r="81" spans="25:26">
      <c r="Y81" s="897"/>
      <c r="Z81" s="897"/>
    </row>
    <row r="82" spans="25:26">
      <c r="Y82" s="897"/>
      <c r="Z82" s="897"/>
    </row>
    <row r="83" spans="25:26">
      <c r="Y83" s="897"/>
      <c r="Z83" s="897"/>
    </row>
    <row r="84" spans="25:26">
      <c r="Y84" s="897"/>
    </row>
    <row r="85" spans="25:26">
      <c r="Y85" s="897"/>
    </row>
    <row r="86" spans="25:26">
      <c r="Y86" s="897"/>
    </row>
  </sheetData>
  <sheetProtection algorithmName="SHA-512" hashValue="D2SxiicKtiRlh8bepM6Ky/KWYGYm8hkHxW3XlWtJqiJRL+rDXYlGEmpNu2Zm4dmyuWrIjViEerEH/cdidVkrAg==" saltValue="w22kTvF+9piWQf5v3FTNkQ==" spinCount="100000" sheet="1" formatCells="0"/>
  <mergeCells count="85">
    <mergeCell ref="A45:X45"/>
    <mergeCell ref="A46:X46"/>
    <mergeCell ref="A47:X48"/>
    <mergeCell ref="Z32:AB32"/>
    <mergeCell ref="B40:F40"/>
    <mergeCell ref="G40:I40"/>
    <mergeCell ref="K40:M40"/>
    <mergeCell ref="B42:E42"/>
    <mergeCell ref="F42:W42"/>
    <mergeCell ref="AN28:AO28"/>
    <mergeCell ref="AN29:AO29"/>
    <mergeCell ref="Z30:AB30"/>
    <mergeCell ref="AN30:AO30"/>
    <mergeCell ref="B43:W44"/>
    <mergeCell ref="Z31:AB31"/>
    <mergeCell ref="W24:X24"/>
    <mergeCell ref="G21:M21"/>
    <mergeCell ref="N21:P21"/>
    <mergeCell ref="Q21:S21"/>
    <mergeCell ref="AC17:AD17"/>
    <mergeCell ref="G22:M22"/>
    <mergeCell ref="N22:P22"/>
    <mergeCell ref="Q22:S22"/>
    <mergeCell ref="G23:M23"/>
    <mergeCell ref="N23:P23"/>
    <mergeCell ref="Q23:S23"/>
    <mergeCell ref="N19:O19"/>
    <mergeCell ref="P19:Q19"/>
    <mergeCell ref="R19:S19"/>
    <mergeCell ref="T19:U19"/>
    <mergeCell ref="V19:W19"/>
    <mergeCell ref="AK17:AM17"/>
    <mergeCell ref="N18:O18"/>
    <mergeCell ref="P18:Q18"/>
    <mergeCell ref="R18:S18"/>
    <mergeCell ref="T18:U18"/>
    <mergeCell ref="V18:W18"/>
    <mergeCell ref="N17:O17"/>
    <mergeCell ref="P17:Q17"/>
    <mergeCell ref="R17:S17"/>
    <mergeCell ref="T17:U17"/>
    <mergeCell ref="V17:W17"/>
    <mergeCell ref="Z17:AB17"/>
    <mergeCell ref="AH17:AJ17"/>
    <mergeCell ref="N14:O14"/>
    <mergeCell ref="P14:Q14"/>
    <mergeCell ref="R14:S14"/>
    <mergeCell ref="T14:U14"/>
    <mergeCell ref="V14:W14"/>
    <mergeCell ref="N16:O16"/>
    <mergeCell ref="P16:Q16"/>
    <mergeCell ref="R16:S16"/>
    <mergeCell ref="T16:U16"/>
    <mergeCell ref="V16:W16"/>
    <mergeCell ref="Z12:AB12"/>
    <mergeCell ref="N13:O13"/>
    <mergeCell ref="P13:Q13"/>
    <mergeCell ref="R13:S13"/>
    <mergeCell ref="T13:U13"/>
    <mergeCell ref="V13:W13"/>
    <mergeCell ref="Z13:AB13"/>
    <mergeCell ref="B11:M11"/>
    <mergeCell ref="N11:S11"/>
    <mergeCell ref="T11:W11"/>
    <mergeCell ref="B12:M12"/>
    <mergeCell ref="N12:S12"/>
    <mergeCell ref="T12:W12"/>
    <mergeCell ref="B9:D9"/>
    <mergeCell ref="E9:G9"/>
    <mergeCell ref="Z9:AC9"/>
    <mergeCell ref="AH9:AJ9"/>
    <mergeCell ref="Z10:AC10"/>
    <mergeCell ref="AE10:AG10"/>
    <mergeCell ref="AE6:AG6"/>
    <mergeCell ref="AH6:AJ6"/>
    <mergeCell ref="Q7:R7"/>
    <mergeCell ref="S7:W7"/>
    <mergeCell ref="Z7:AC7"/>
    <mergeCell ref="Z6:AC6"/>
    <mergeCell ref="U8:W8"/>
    <mergeCell ref="A1:G5"/>
    <mergeCell ref="H1:X3"/>
    <mergeCell ref="H4:T4"/>
    <mergeCell ref="U4:X4"/>
    <mergeCell ref="H5:X5"/>
  </mergeCells>
  <conditionalFormatting sqref="K40:M40">
    <cfRule type="cellIs" dxfId="25" priority="1" operator="equal">
      <formula>$G$40</formula>
    </cfRule>
    <cfRule type="cellIs" dxfId="24" priority="2" operator="lessThan">
      <formula>$G$40</formula>
    </cfRule>
  </conditionalFormatting>
  <dataValidations count="2">
    <dataValidation type="list" allowBlank="1" showInputMessage="1" showErrorMessage="1" sqref="N12:S12">
      <formula1>$AD$7:$AD$8</formula1>
    </dataValidation>
    <dataValidation type="list" allowBlank="1" showInputMessage="1" showErrorMessage="1" sqref="AC4:AC5 T12:W12">
      <formula1>$AD$10:$AD$11</formula1>
    </dataValidation>
  </dataValidations>
  <printOptions horizontalCentered="1" gridLinesSet="0"/>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colBreaks count="1" manualBreakCount="1">
    <brk id="24" max="69" man="1"/>
  </colBreaks>
  <drawing r:id="rId2"/>
  <extLst>
    <ext xmlns:x14="http://schemas.microsoft.com/office/spreadsheetml/2009/9/main" uri="{CCE6A557-97BC-4b89-ADB6-D9C93CAAB3DF}">
      <x14:dataValidations xmlns:xm="http://schemas.microsoft.com/office/excel/2006/main" count="2">
        <x14:dataValidation type="date" allowBlank="1" showInputMessage="1" showErrorMessage="1">
          <x14:formula1>
            <xm:f>'1. Encabezado'!I27</xm:f>
          </x14:formula1>
          <x14:formula2>
            <xm:f>'1. Encabezado'!I28</xm:f>
          </x14:formula2>
          <xm:sqref>G40:I40</xm:sqref>
        </x14:dataValidation>
        <x14:dataValidation type="date" allowBlank="1" showInputMessage="1" showErrorMessage="1">
          <x14:formula1>
            <xm:f>'1. Encabezado'!I27</xm:f>
          </x14:formula1>
          <x14:formula2>
            <xm:f>'1. Encabezado'!I28</xm:f>
          </x14:formula2>
          <xm:sqref>K40:M40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X76"/>
  <sheetViews>
    <sheetView showGridLines="0" view="pageBreakPreview" topLeftCell="A22" zoomScaleSheetLayoutView="100" workbookViewId="0">
      <selection activeCell="B29" sqref="B29:J32"/>
    </sheetView>
  </sheetViews>
  <sheetFormatPr baseColWidth="10" defaultColWidth="9.140625" defaultRowHeight="12.75"/>
  <cols>
    <col min="1" max="1" width="3.5703125" style="1033" customWidth="1"/>
    <col min="2" max="10" width="9.7109375" style="1033" customWidth="1"/>
    <col min="11" max="11" width="3.5703125" style="1033" customWidth="1"/>
    <col min="12" max="12" width="16.42578125" style="1033" customWidth="1"/>
    <col min="13" max="13" width="10.5703125" style="1034" bestFit="1" customWidth="1"/>
    <col min="14" max="15" width="17.42578125" style="1034" customWidth="1"/>
    <col min="16" max="16" width="9.140625" style="1034" customWidth="1"/>
    <col min="17" max="17" width="6.85546875" style="1034" customWidth="1"/>
    <col min="18" max="18" width="13.7109375" style="1034" customWidth="1"/>
    <col min="19" max="19" width="8.7109375" style="1033" customWidth="1"/>
    <col min="20" max="20" width="3.85546875" style="1033" customWidth="1"/>
    <col min="21" max="21" width="6.85546875" style="1033" customWidth="1"/>
    <col min="22" max="22" width="23.28515625" style="1033" customWidth="1"/>
    <col min="23" max="28" width="9.140625" style="1033" customWidth="1"/>
    <col min="29" max="16384" width="9.140625" style="1033"/>
  </cols>
  <sheetData>
    <row r="1" spans="1:24" ht="15" customHeight="1">
      <c r="A1" s="1031"/>
      <c r="B1" s="1032"/>
      <c r="C1" s="1032"/>
      <c r="D1" s="1032"/>
      <c r="E1" s="2241" t="s">
        <v>547</v>
      </c>
      <c r="F1" s="2242"/>
      <c r="G1" s="2242"/>
      <c r="H1" s="2242"/>
      <c r="I1" s="2242"/>
      <c r="J1" s="2242"/>
      <c r="K1" s="2243"/>
    </row>
    <row r="2" spans="1:24" ht="15" customHeight="1">
      <c r="A2" s="1035"/>
      <c r="B2" s="1036"/>
      <c r="C2" s="1036"/>
      <c r="D2" s="1036"/>
      <c r="E2" s="2244"/>
      <c r="F2" s="2245"/>
      <c r="G2" s="2245"/>
      <c r="H2" s="2245"/>
      <c r="I2" s="2245"/>
      <c r="J2" s="2245"/>
      <c r="K2" s="2246"/>
    </row>
    <row r="3" spans="1:24" ht="15" customHeight="1">
      <c r="A3" s="1035"/>
      <c r="B3" s="1036"/>
      <c r="C3" s="1036"/>
      <c r="D3" s="1036"/>
      <c r="E3" s="2247"/>
      <c r="F3" s="2248"/>
      <c r="G3" s="2248"/>
      <c r="H3" s="2248"/>
      <c r="I3" s="2248"/>
      <c r="J3" s="2248"/>
      <c r="K3" s="2249"/>
    </row>
    <row r="4" spans="1:24" ht="15" customHeight="1">
      <c r="A4" s="1035"/>
      <c r="B4" s="1036"/>
      <c r="C4" s="1036"/>
      <c r="D4" s="1036"/>
      <c r="E4" s="2337" t="s">
        <v>548</v>
      </c>
      <c r="F4" s="2338"/>
      <c r="G4" s="2338"/>
      <c r="H4" s="2338"/>
      <c r="I4" s="2338" t="s">
        <v>549</v>
      </c>
      <c r="J4" s="2338"/>
      <c r="K4" s="2339"/>
    </row>
    <row r="5" spans="1:24" ht="15" customHeight="1">
      <c r="A5" s="1037"/>
      <c r="B5" s="1038"/>
      <c r="C5" s="1038"/>
      <c r="D5" s="1038"/>
      <c r="E5" s="2337" t="s">
        <v>313</v>
      </c>
      <c r="F5" s="2338"/>
      <c r="G5" s="2338"/>
      <c r="H5" s="2338"/>
      <c r="I5" s="2338"/>
      <c r="J5" s="2338"/>
      <c r="K5" s="2339"/>
    </row>
    <row r="6" spans="1:24" ht="15" customHeight="1">
      <c r="A6" s="872"/>
      <c r="B6" s="873"/>
      <c r="C6" s="873"/>
      <c r="D6" s="1039"/>
      <c r="E6" s="1039"/>
      <c r="F6" s="1039"/>
      <c r="G6" s="1039"/>
      <c r="H6" s="1039"/>
      <c r="I6" s="1040"/>
      <c r="J6" s="1040"/>
      <c r="K6" s="1041"/>
      <c r="L6" s="1042" t="s">
        <v>314</v>
      </c>
      <c r="M6" s="1043" t="s">
        <v>97</v>
      </c>
      <c r="N6" s="2340" t="s">
        <v>550</v>
      </c>
      <c r="O6" s="1044" t="s">
        <v>551</v>
      </c>
      <c r="P6" s="2264" t="s">
        <v>552</v>
      </c>
      <c r="Q6" s="2264"/>
      <c r="R6" s="2264"/>
      <c r="S6" s="2264"/>
      <c r="T6" s="2346" t="s">
        <v>553</v>
      </c>
      <c r="U6" s="2347"/>
      <c r="V6" s="2348"/>
    </row>
    <row r="7" spans="1:24" ht="15" customHeight="1">
      <c r="A7" s="1045"/>
      <c r="B7" s="1046"/>
      <c r="C7" s="1036"/>
      <c r="D7" s="1010"/>
      <c r="E7" s="1010"/>
      <c r="F7" s="1010"/>
      <c r="G7" s="1047" t="s">
        <v>9</v>
      </c>
      <c r="H7" s="2352" t="str">
        <f>+IF('1. Encabezado'!T7="","",'1. Encabezado'!T7)</f>
        <v/>
      </c>
      <c r="I7" s="2352"/>
      <c r="J7" s="2352"/>
      <c r="K7" s="1048"/>
      <c r="L7" s="1049" t="s">
        <v>315</v>
      </c>
      <c r="M7" s="1050" t="s">
        <v>554</v>
      </c>
      <c r="N7" s="2341"/>
      <c r="O7" s="1051" t="s">
        <v>555</v>
      </c>
      <c r="P7" s="2353" t="str">
        <f>IF(H7="","",IF(OR(G22&lt;P8,G22&gt;R8,I22&lt;P8,I22&gt;R8),"Esta fuera del alcance","Esta dentro del alcance"))</f>
        <v/>
      </c>
      <c r="Q7" s="2354"/>
      <c r="R7" s="2354"/>
      <c r="S7" s="2353"/>
      <c r="T7" s="2349"/>
      <c r="U7" s="2350"/>
      <c r="V7" s="2351"/>
    </row>
    <row r="8" spans="1:24" ht="15" customHeight="1">
      <c r="A8" s="449"/>
      <c r="B8" s="450"/>
      <c r="C8" s="450"/>
      <c r="D8" s="1010"/>
      <c r="E8" s="1010"/>
      <c r="F8" s="1010"/>
      <c r="G8" s="1010"/>
      <c r="H8" s="1010"/>
      <c r="I8" s="2222" t="str">
        <f>IF(H7="",L11,CONCATENATE(L7," ",L8," ",L9," ", L10))</f>
        <v>Pagina xx de xx</v>
      </c>
      <c r="J8" s="2222"/>
      <c r="K8" s="1052"/>
      <c r="L8" s="1198" t="str">
        <f>IF(H7="","",6)</f>
        <v/>
      </c>
      <c r="M8" s="1053" t="s">
        <v>556</v>
      </c>
      <c r="N8" s="2341"/>
      <c r="O8" s="1051" t="s">
        <v>557</v>
      </c>
      <c r="P8" s="890">
        <v>5</v>
      </c>
      <c r="Q8" s="890" t="s">
        <v>516</v>
      </c>
      <c r="R8" s="890">
        <v>81</v>
      </c>
      <c r="S8" s="890" t="s">
        <v>517</v>
      </c>
      <c r="T8" s="2355" t="s">
        <v>558</v>
      </c>
      <c r="U8" s="2356"/>
      <c r="V8" s="1054" t="str">
        <f>+H23</f>
        <v/>
      </c>
    </row>
    <row r="9" spans="1:24" ht="15" customHeight="1">
      <c r="A9" s="449"/>
      <c r="B9" s="894" t="s">
        <v>519</v>
      </c>
      <c r="C9" s="1055" t="str">
        <f>+IF(H7="","","1")</f>
        <v/>
      </c>
      <c r="D9" s="1010"/>
      <c r="E9" s="1010"/>
      <c r="F9" s="1010"/>
      <c r="G9" s="1010"/>
      <c r="H9" s="1010"/>
      <c r="I9" s="450"/>
      <c r="J9" s="450"/>
      <c r="K9" s="1052"/>
      <c r="L9" s="568" t="s">
        <v>316</v>
      </c>
      <c r="N9" s="1056" t="s">
        <v>559</v>
      </c>
      <c r="O9" s="1057" t="s">
        <v>560</v>
      </c>
      <c r="T9" s="1058" t="s">
        <v>561</v>
      </c>
      <c r="U9" s="958">
        <v>80</v>
      </c>
      <c r="V9" s="1059">
        <v>8.1999999999999993</v>
      </c>
    </row>
    <row r="10" spans="1:24" ht="15" customHeight="1">
      <c r="A10" s="1060"/>
      <c r="B10" s="448"/>
      <c r="C10" s="448"/>
      <c r="D10" s="1061"/>
      <c r="E10" s="1061"/>
      <c r="F10" s="1061"/>
      <c r="G10" s="1061"/>
      <c r="H10" s="1061"/>
      <c r="I10" s="452"/>
      <c r="J10" s="452"/>
      <c r="K10" s="1062"/>
      <c r="L10" s="1063">
        <f>IF('1. Encabezado'!AB10="","",'1. Encabezado'!AB10)</f>
        <v>17</v>
      </c>
      <c r="N10" s="1053" t="s">
        <v>562</v>
      </c>
      <c r="O10" s="1064" t="s">
        <v>563</v>
      </c>
      <c r="T10" s="1065" t="s">
        <v>564</v>
      </c>
      <c r="U10" s="958">
        <v>80</v>
      </c>
      <c r="V10" s="955">
        <v>4.2</v>
      </c>
    </row>
    <row r="11" spans="1:24" ht="15" customHeight="1">
      <c r="A11" s="1066"/>
      <c r="B11" s="2357"/>
      <c r="C11" s="2357"/>
      <c r="D11" s="2357"/>
      <c r="E11" s="2357"/>
      <c r="F11" s="2357"/>
      <c r="G11" s="2357"/>
      <c r="H11" s="2357"/>
      <c r="I11" s="2357"/>
      <c r="J11" s="2357"/>
      <c r="K11" s="1067"/>
      <c r="L11" s="1068" t="s">
        <v>317</v>
      </c>
      <c r="T11" s="2355" t="s">
        <v>565</v>
      </c>
      <c r="U11" s="2356"/>
      <c r="V11" s="1011" t="str">
        <f>+IF(M21="","",ABS((M21-N21)))</f>
        <v/>
      </c>
    </row>
    <row r="12" spans="1:24" ht="30" customHeight="1">
      <c r="A12" s="1035"/>
      <c r="B12" s="2358" t="s">
        <v>566</v>
      </c>
      <c r="C12" s="2359"/>
      <c r="D12" s="2359"/>
      <c r="E12" s="2359"/>
      <c r="F12" s="2359"/>
      <c r="G12" s="2360"/>
      <c r="H12" s="2360"/>
      <c r="I12" s="2360"/>
      <c r="J12" s="2361"/>
      <c r="K12" s="1069"/>
      <c r="T12" s="2362" t="s">
        <v>567</v>
      </c>
      <c r="U12" s="2363"/>
      <c r="V12" s="1070" t="str">
        <f>IF(V8="","",IF(AND(V8&lt;=U9,V11&lt;V9),"Cumple con la precisión",IF(AND(V8&gt;U10,V11&lt;V10),"Cumple con la precisión","No cumple con la precisión")))</f>
        <v/>
      </c>
    </row>
    <row r="13" spans="1:24" s="1072" customFormat="1" ht="30" customHeight="1">
      <c r="A13" s="1035"/>
      <c r="B13" s="2364" t="s">
        <v>568</v>
      </c>
      <c r="C13" s="2365"/>
      <c r="D13" s="2365"/>
      <c r="E13" s="2365"/>
      <c r="F13" s="2365"/>
      <c r="G13" s="2366"/>
      <c r="H13" s="2366"/>
      <c r="I13" s="2366"/>
      <c r="J13" s="2367"/>
      <c r="K13" s="1071"/>
    </row>
    <row r="14" spans="1:24" ht="30" customHeight="1">
      <c r="A14" s="1035"/>
      <c r="B14" s="2342" t="s">
        <v>569</v>
      </c>
      <c r="C14" s="2343"/>
      <c r="D14" s="2343"/>
      <c r="E14" s="2343"/>
      <c r="F14" s="2343"/>
      <c r="G14" s="2344"/>
      <c r="H14" s="2344"/>
      <c r="I14" s="2344"/>
      <c r="J14" s="2345"/>
      <c r="K14" s="1071"/>
      <c r="L14" s="1073"/>
      <c r="M14" s="1074"/>
      <c r="N14" s="1074"/>
      <c r="O14" s="1074"/>
      <c r="P14" s="1074"/>
      <c r="Q14" s="1075"/>
      <c r="R14" s="1075"/>
      <c r="S14" s="1076"/>
      <c r="T14" s="1077"/>
      <c r="U14" s="1036"/>
      <c r="V14" s="1036"/>
      <c r="W14" s="1036"/>
      <c r="X14" s="1036"/>
    </row>
    <row r="15" spans="1:24" s="1036" customFormat="1" ht="30" customHeight="1">
      <c r="A15" s="1035"/>
      <c r="C15" s="1078"/>
      <c r="D15" s="1079"/>
      <c r="E15" s="1080"/>
      <c r="F15" s="1080"/>
      <c r="G15" s="1078"/>
      <c r="H15" s="1078"/>
      <c r="I15" s="1078"/>
      <c r="J15" s="1078"/>
      <c r="K15" s="1081"/>
      <c r="L15" s="1082"/>
      <c r="M15" s="1074"/>
      <c r="N15" s="1074"/>
      <c r="O15" s="1074"/>
      <c r="P15" s="1074"/>
      <c r="Q15" s="1075"/>
      <c r="R15" s="1075"/>
      <c r="S15" s="1080"/>
      <c r="T15" s="1083"/>
      <c r="U15" s="1083"/>
      <c r="V15" s="1083"/>
      <c r="W15" s="1083"/>
    </row>
    <row r="16" spans="1:24" s="1036" customFormat="1" ht="30" customHeight="1">
      <c r="A16" s="1035"/>
      <c r="B16" s="2368" t="s">
        <v>570</v>
      </c>
      <c r="C16" s="2369"/>
      <c r="D16" s="2369"/>
      <c r="E16" s="2369"/>
      <c r="F16" s="2369"/>
      <c r="G16" s="2369"/>
      <c r="H16" s="2369"/>
      <c r="I16" s="2369"/>
      <c r="J16" s="2370"/>
      <c r="K16" s="1084"/>
      <c r="L16" s="1085"/>
      <c r="Q16" s="1075"/>
      <c r="V16" s="1086"/>
      <c r="W16" s="1086"/>
    </row>
    <row r="17" spans="1:24" s="1036" customFormat="1" ht="30" customHeight="1">
      <c r="A17" s="1035"/>
      <c r="B17" s="2371" t="s">
        <v>69</v>
      </c>
      <c r="C17" s="2372"/>
      <c r="D17" s="2372"/>
      <c r="E17" s="2372"/>
      <c r="F17" s="1087" t="s">
        <v>70</v>
      </c>
      <c r="G17" s="2373" t="str">
        <f>+IF(H7="","","1")</f>
        <v/>
      </c>
      <c r="H17" s="2373"/>
      <c r="I17" s="2373" t="str">
        <f>+IF(H7="","","2")</f>
        <v/>
      </c>
      <c r="J17" s="2374"/>
      <c r="K17" s="1084"/>
      <c r="L17" s="2375" t="s">
        <v>571</v>
      </c>
      <c r="M17" s="2375"/>
      <c r="N17" s="2376"/>
      <c r="Q17" s="1075"/>
      <c r="V17" s="1086"/>
      <c r="W17" s="1086"/>
    </row>
    <row r="18" spans="1:24" s="1036" customFormat="1" ht="15" customHeight="1">
      <c r="A18" s="1035"/>
      <c r="B18" s="2383" t="s">
        <v>572</v>
      </c>
      <c r="C18" s="2384"/>
      <c r="D18" s="2384"/>
      <c r="E18" s="2384"/>
      <c r="F18" s="2387" t="s">
        <v>71</v>
      </c>
      <c r="G18" s="2389" t="str">
        <f>+IF(G19="","","Inicial")</f>
        <v/>
      </c>
      <c r="H18" s="2389"/>
      <c r="I18" s="2389" t="str">
        <f>+IF(I19="","","Final")</f>
        <v/>
      </c>
      <c r="J18" s="2390"/>
      <c r="K18" s="1084"/>
      <c r="L18" s="1088" t="str">
        <f>+B17</f>
        <v>Ensayo</v>
      </c>
      <c r="M18" s="1088" t="str">
        <f>+G17</f>
        <v/>
      </c>
      <c r="N18" s="1089" t="str">
        <f>+I17</f>
        <v/>
      </c>
      <c r="Q18" s="1075"/>
      <c r="V18" s="1086"/>
      <c r="W18" s="1086"/>
    </row>
    <row r="19" spans="1:24" s="1036" customFormat="1" ht="15" customHeight="1">
      <c r="A19" s="1035"/>
      <c r="B19" s="2385"/>
      <c r="C19" s="2386"/>
      <c r="D19" s="2386"/>
      <c r="E19" s="2386"/>
      <c r="F19" s="2388"/>
      <c r="G19" s="2377"/>
      <c r="H19" s="2391"/>
      <c r="I19" s="2377"/>
      <c r="J19" s="2378"/>
      <c r="K19" s="1084"/>
      <c r="L19" s="1090" t="str">
        <f>+B20</f>
        <v>Lectura de arcilla</v>
      </c>
      <c r="M19" s="1091"/>
      <c r="N19" s="1092"/>
      <c r="Q19" s="1075"/>
      <c r="U19" s="1093"/>
      <c r="V19" s="1093"/>
      <c r="W19" s="1093"/>
    </row>
    <row r="20" spans="1:24" s="1036" customFormat="1" ht="30" customHeight="1">
      <c r="A20" s="1035"/>
      <c r="B20" s="2379" t="s">
        <v>573</v>
      </c>
      <c r="C20" s="2380"/>
      <c r="D20" s="2380"/>
      <c r="E20" s="2380"/>
      <c r="F20" s="1094" t="s">
        <v>574</v>
      </c>
      <c r="G20" s="2381" t="str">
        <f>+IF(M19="","",M19*25.4)</f>
        <v/>
      </c>
      <c r="H20" s="2381"/>
      <c r="I20" s="2381" t="str">
        <f>+IF(N19="","",N19*25.4)</f>
        <v/>
      </c>
      <c r="J20" s="2382"/>
      <c r="K20" s="1084"/>
      <c r="L20" s="1090" t="str">
        <f>+B21</f>
        <v xml:space="preserve">Lectura de arena </v>
      </c>
      <c r="M20" s="1095"/>
      <c r="N20" s="1096"/>
      <c r="Q20" s="1075"/>
      <c r="U20" s="1097"/>
      <c r="V20" s="1097"/>
      <c r="W20" s="1097"/>
    </row>
    <row r="21" spans="1:24" s="1036" customFormat="1" ht="30" customHeight="1">
      <c r="A21" s="1035"/>
      <c r="B21" s="2379" t="s">
        <v>575</v>
      </c>
      <c r="C21" s="2380"/>
      <c r="D21" s="2380"/>
      <c r="E21" s="2380"/>
      <c r="F21" s="1094" t="s">
        <v>574</v>
      </c>
      <c r="G21" s="2381" t="str">
        <f>+IF(M20="","",M20*25.4)</f>
        <v/>
      </c>
      <c r="H21" s="2381"/>
      <c r="I21" s="2381" t="str">
        <f>+IF(N20="","",N20*25.4)</f>
        <v/>
      </c>
      <c r="J21" s="2382"/>
      <c r="K21" s="1084"/>
      <c r="L21" s="1098" t="s">
        <v>576</v>
      </c>
      <c r="M21" s="1099" t="str">
        <f>IF(OR(M19="",M20=""),"",((M20/M19)*100))</f>
        <v/>
      </c>
      <c r="N21" s="1100" t="str">
        <f>IF(OR(N19="",N20=""),"",((N20/N19)*100))</f>
        <v/>
      </c>
      <c r="O21" s="1101"/>
      <c r="P21" s="1101"/>
      <c r="Q21" s="1075"/>
      <c r="R21" s="1075"/>
      <c r="S21" s="1080"/>
      <c r="T21" s="1102"/>
      <c r="U21" s="1103"/>
      <c r="V21" s="1104"/>
      <c r="W21" s="1105"/>
    </row>
    <row r="22" spans="1:24" s="1036" customFormat="1" ht="30" customHeight="1">
      <c r="A22" s="1035"/>
      <c r="B22" s="2379" t="s">
        <v>577</v>
      </c>
      <c r="C22" s="2380"/>
      <c r="D22" s="2380"/>
      <c r="E22" s="2380"/>
      <c r="F22" s="1094" t="s">
        <v>62</v>
      </c>
      <c r="G22" s="2392" t="str">
        <f>+IF(OR(G20="",G21="",G18=""),"",ROUNDUP(((G21/G20)*100),0))</f>
        <v/>
      </c>
      <c r="H22" s="2392"/>
      <c r="I22" s="2392" t="str">
        <f>+IF(OR(I20="",I21="",I18=""),"",ROUNDUP(((I21/I20)*100),0))</f>
        <v/>
      </c>
      <c r="J22" s="2393"/>
      <c r="K22" s="1084"/>
      <c r="N22" s="1101"/>
      <c r="O22" s="1101"/>
      <c r="P22" s="1101"/>
      <c r="Q22" s="1075"/>
      <c r="R22" s="1075"/>
      <c r="S22" s="1106"/>
      <c r="T22" s="1077"/>
    </row>
    <row r="23" spans="1:24" s="157" customFormat="1" ht="30" customHeight="1">
      <c r="A23" s="572"/>
      <c r="B23" s="2394" t="s">
        <v>578</v>
      </c>
      <c r="C23" s="2395"/>
      <c r="D23" s="2395"/>
      <c r="E23" s="2395"/>
      <c r="F23" s="1107" t="s">
        <v>62</v>
      </c>
      <c r="G23" s="1108"/>
      <c r="H23" s="2396" t="str">
        <f>IF(G22="","",ROUNDUP((AVERAGE(G22:J22)),0))</f>
        <v/>
      </c>
      <c r="I23" s="2396"/>
      <c r="J23" s="1109" t="str">
        <f>IF(AND(V12="No cumple con la precisión",P7="Esta fuera del alcance"),"No cumple con la precisión y esta fuera del alcance",IF(AND(V12="Cumple con la precisión",P7="Esta fuera del alcance"),"Esta fuera del alcance",IF(AND(V12="No cumple con la precisión",P7="Esta dentro del alcance"),"No cumple con la precisión"," ")))</f>
        <v xml:space="preserve"> </v>
      </c>
      <c r="K23" s="1084"/>
    </row>
    <row r="24" spans="1:24" s="157" customFormat="1" ht="15" customHeight="1">
      <c r="A24" s="572"/>
      <c r="B24" s="596"/>
      <c r="C24" s="1110"/>
      <c r="D24" s="1110"/>
      <c r="E24" s="1110"/>
      <c r="F24" s="1111"/>
      <c r="G24" s="596"/>
      <c r="H24" s="1112"/>
      <c r="I24" s="1112"/>
      <c r="J24" s="1113"/>
      <c r="K24" s="1084"/>
      <c r="L24" s="596"/>
      <c r="M24" s="596"/>
    </row>
    <row r="25" spans="1:24" s="157" customFormat="1" ht="15" customHeight="1">
      <c r="A25" s="572"/>
      <c r="B25" s="596"/>
      <c r="C25" s="1110"/>
      <c r="D25" s="1110"/>
      <c r="E25" s="1110"/>
      <c r="F25" s="1111"/>
      <c r="G25" s="596"/>
      <c r="H25" s="1112"/>
      <c r="I25" s="1112"/>
      <c r="J25" s="1113"/>
      <c r="K25" s="1084"/>
      <c r="L25" s="596"/>
      <c r="M25" s="596"/>
    </row>
    <row r="26" spans="1:24" s="157" customFormat="1" ht="15" customHeight="1">
      <c r="A26" s="572"/>
      <c r="B26" s="2397" t="s">
        <v>169</v>
      </c>
      <c r="C26" s="2397"/>
      <c r="D26" s="2398"/>
      <c r="E26" s="2398"/>
      <c r="F26" s="1111"/>
      <c r="G26" s="596"/>
      <c r="H26" s="1112"/>
      <c r="I26" s="1112"/>
      <c r="J26" s="1113"/>
      <c r="K26" s="1084"/>
      <c r="L26" s="596"/>
      <c r="M26" s="596"/>
    </row>
    <row r="27" spans="1:24" s="228" customFormat="1" ht="15" customHeight="1">
      <c r="A27" s="572"/>
      <c r="B27" s="596"/>
      <c r="C27" s="1110"/>
      <c r="D27" s="1110"/>
      <c r="E27" s="1110"/>
      <c r="F27" s="1111"/>
      <c r="G27" s="596"/>
      <c r="H27" s="1112"/>
      <c r="I27" s="1112"/>
      <c r="J27" s="1113"/>
      <c r="K27" s="1084"/>
    </row>
    <row r="28" spans="1:24" ht="15" customHeight="1">
      <c r="A28" s="1114"/>
      <c r="B28" s="2399" t="s">
        <v>10</v>
      </c>
      <c r="C28" s="2399"/>
      <c r="D28" s="2400"/>
      <c r="E28" s="2400"/>
      <c r="F28" s="2400"/>
      <c r="G28" s="2400"/>
      <c r="H28" s="2400"/>
      <c r="I28" s="2400"/>
      <c r="J28" s="2400"/>
      <c r="K28" s="1115"/>
      <c r="M28" s="1075"/>
      <c r="T28" s="1036"/>
      <c r="U28" s="1036"/>
      <c r="V28" s="1036"/>
      <c r="W28" s="1036"/>
      <c r="X28" s="1036"/>
    </row>
    <row r="29" spans="1:24" ht="15" customHeight="1">
      <c r="A29" s="1116"/>
      <c r="B29" s="2401"/>
      <c r="C29" s="2401"/>
      <c r="D29" s="2401"/>
      <c r="E29" s="2401"/>
      <c r="F29" s="2401"/>
      <c r="G29" s="2401"/>
      <c r="H29" s="2401"/>
      <c r="I29" s="2401"/>
      <c r="J29" s="2401"/>
      <c r="K29" s="1084"/>
      <c r="T29" s="1036"/>
      <c r="U29" s="1036"/>
      <c r="V29" s="1036"/>
      <c r="W29" s="1036"/>
      <c r="X29" s="1036"/>
    </row>
    <row r="30" spans="1:24" ht="15" customHeight="1">
      <c r="A30" s="1116"/>
      <c r="B30" s="2401"/>
      <c r="C30" s="2401"/>
      <c r="D30" s="2401"/>
      <c r="E30" s="2401"/>
      <c r="F30" s="2401"/>
      <c r="G30" s="2401"/>
      <c r="H30" s="2401"/>
      <c r="I30" s="2401"/>
      <c r="J30" s="2401"/>
      <c r="K30" s="1084"/>
      <c r="T30" s="1036"/>
      <c r="U30" s="1036"/>
      <c r="V30" s="1036"/>
      <c r="W30" s="1036"/>
      <c r="X30" s="1036"/>
    </row>
    <row r="31" spans="1:24" ht="15" customHeight="1">
      <c r="A31" s="1117"/>
      <c r="B31" s="2401"/>
      <c r="C31" s="2401"/>
      <c r="D31" s="2401"/>
      <c r="E31" s="2401"/>
      <c r="F31" s="2401"/>
      <c r="G31" s="2401"/>
      <c r="H31" s="2401"/>
      <c r="I31" s="2401"/>
      <c r="J31" s="2401"/>
      <c r="K31" s="1118"/>
      <c r="T31" s="1036"/>
      <c r="U31" s="1036"/>
      <c r="V31" s="1036"/>
      <c r="W31" s="1036"/>
      <c r="X31" s="1036"/>
    </row>
    <row r="32" spans="1:24" ht="15" customHeight="1" thickBot="1">
      <c r="A32" s="572"/>
      <c r="B32" s="2401"/>
      <c r="C32" s="2401"/>
      <c r="D32" s="2401"/>
      <c r="E32" s="2401"/>
      <c r="F32" s="2401"/>
      <c r="G32" s="2401"/>
      <c r="H32" s="2401"/>
      <c r="I32" s="2401"/>
      <c r="J32" s="2401"/>
      <c r="K32" s="1119"/>
      <c r="M32" s="1034" t="s">
        <v>0</v>
      </c>
      <c r="T32" s="1036"/>
      <c r="U32" s="1036"/>
      <c r="V32" s="1036"/>
      <c r="W32" s="1036"/>
      <c r="X32" s="1036"/>
    </row>
    <row r="33" spans="1:24" ht="15" customHeight="1" thickTop="1" thickBot="1">
      <c r="A33" s="2402" t="s">
        <v>579</v>
      </c>
      <c r="B33" s="2402"/>
      <c r="C33" s="2402"/>
      <c r="D33" s="2402"/>
      <c r="E33" s="2402"/>
      <c r="F33" s="2402"/>
      <c r="G33" s="2402"/>
      <c r="H33" s="2402"/>
      <c r="I33" s="2402"/>
      <c r="J33" s="2402"/>
      <c r="K33" s="2402"/>
      <c r="T33" s="1036"/>
      <c r="U33" s="1036"/>
      <c r="V33" s="1036"/>
      <c r="W33" s="1036"/>
      <c r="X33" s="1036"/>
    </row>
    <row r="34" spans="1:24" ht="15" customHeight="1" thickTop="1">
      <c r="A34" s="2403"/>
      <c r="B34" s="2403"/>
      <c r="C34" s="2403"/>
      <c r="D34" s="2403"/>
      <c r="E34" s="2403"/>
      <c r="F34" s="2403"/>
      <c r="G34" s="2403"/>
      <c r="H34" s="2403"/>
      <c r="I34" s="2403"/>
      <c r="J34" s="2403"/>
      <c r="K34" s="2403"/>
      <c r="T34" s="1036"/>
      <c r="U34" s="1036"/>
      <c r="V34" s="1036"/>
      <c r="W34" s="1036"/>
      <c r="X34" s="1036"/>
    </row>
    <row r="35" spans="1:24" ht="15" customHeight="1">
      <c r="A35" s="2329" t="s">
        <v>580</v>
      </c>
      <c r="B35" s="2329"/>
      <c r="C35" s="2329"/>
      <c r="D35" s="2329"/>
      <c r="E35" s="2329"/>
      <c r="F35" s="2329"/>
      <c r="G35" s="2329"/>
      <c r="H35" s="2329"/>
      <c r="I35" s="2329"/>
      <c r="J35" s="2329"/>
      <c r="K35" s="2329"/>
      <c r="T35" s="1036"/>
      <c r="U35" s="1036"/>
      <c r="V35" s="1036"/>
      <c r="W35" s="1036"/>
      <c r="X35" s="1036"/>
    </row>
    <row r="36" spans="1:24">
      <c r="A36" s="2329"/>
      <c r="B36" s="2329"/>
      <c r="C36" s="2329"/>
      <c r="D36" s="2329"/>
      <c r="E36" s="2329"/>
      <c r="F36" s="2329"/>
      <c r="G36" s="2329"/>
      <c r="H36" s="2329"/>
      <c r="I36" s="2329"/>
      <c r="J36" s="2329"/>
      <c r="K36" s="2329"/>
      <c r="T36" s="1036"/>
      <c r="U36" s="1036"/>
      <c r="V36" s="1036"/>
      <c r="W36" s="1036"/>
      <c r="X36" s="1036"/>
    </row>
    <row r="37" spans="1:24">
      <c r="T37" s="1036"/>
      <c r="U37" s="1036"/>
      <c r="V37" s="1036"/>
      <c r="W37" s="1036"/>
      <c r="X37" s="1036"/>
    </row>
    <row r="38" spans="1:24">
      <c r="T38" s="1036"/>
      <c r="U38" s="1036"/>
      <c r="V38" s="1036"/>
      <c r="W38" s="1036"/>
      <c r="X38" s="1036"/>
    </row>
    <row r="39" spans="1:24">
      <c r="T39" s="1036"/>
      <c r="U39" s="1036"/>
      <c r="V39" s="1036"/>
      <c r="W39" s="1036"/>
      <c r="X39" s="1036"/>
    </row>
    <row r="40" spans="1:24">
      <c r="T40" s="1036"/>
      <c r="U40" s="1036"/>
      <c r="V40" s="1036"/>
      <c r="W40" s="1036"/>
      <c r="X40" s="1036"/>
    </row>
    <row r="41" spans="1:24">
      <c r="T41" s="1036"/>
      <c r="U41" s="1036"/>
      <c r="V41" s="1036"/>
      <c r="W41" s="1036"/>
      <c r="X41" s="1036"/>
    </row>
    <row r="42" spans="1:24">
      <c r="T42" s="1036"/>
      <c r="U42" s="1036"/>
      <c r="V42" s="1036"/>
      <c r="W42" s="1036"/>
      <c r="X42" s="1036"/>
    </row>
    <row r="43" spans="1:24">
      <c r="T43" s="1036"/>
      <c r="U43" s="1036"/>
      <c r="V43" s="1036"/>
      <c r="W43" s="1036"/>
      <c r="X43" s="1036"/>
    </row>
    <row r="44" spans="1:24">
      <c r="T44" s="1036"/>
      <c r="U44" s="1036"/>
      <c r="V44" s="1036"/>
      <c r="W44" s="1036"/>
      <c r="X44" s="1036"/>
    </row>
    <row r="45" spans="1:24">
      <c r="T45" s="1036"/>
      <c r="U45" s="1036"/>
      <c r="V45" s="1036"/>
      <c r="W45" s="1036"/>
      <c r="X45" s="1036"/>
    </row>
    <row r="46" spans="1:24">
      <c r="T46" s="1036"/>
      <c r="U46" s="1036"/>
      <c r="V46" s="1036"/>
      <c r="W46" s="1036"/>
      <c r="X46" s="1036"/>
    </row>
    <row r="47" spans="1:24">
      <c r="T47" s="1036"/>
      <c r="U47" s="1036"/>
      <c r="V47" s="1036"/>
      <c r="W47" s="1036"/>
      <c r="X47" s="1036"/>
    </row>
    <row r="48" spans="1:24">
      <c r="T48" s="1036"/>
      <c r="U48" s="1036"/>
      <c r="V48" s="1036"/>
      <c r="W48" s="1036"/>
      <c r="X48" s="1036"/>
    </row>
    <row r="49" spans="20:24">
      <c r="T49" s="1036"/>
      <c r="U49" s="1036"/>
      <c r="V49" s="1036"/>
      <c r="W49" s="1036"/>
      <c r="X49" s="1036"/>
    </row>
    <row r="50" spans="20:24">
      <c r="T50" s="1036"/>
      <c r="U50" s="1036"/>
      <c r="V50" s="1036"/>
      <c r="W50" s="1036"/>
      <c r="X50" s="1036"/>
    </row>
    <row r="51" spans="20:24">
      <c r="T51" s="1036"/>
      <c r="U51" s="1036"/>
      <c r="V51" s="1036"/>
      <c r="W51" s="1036"/>
      <c r="X51" s="1036"/>
    </row>
    <row r="52" spans="20:24">
      <c r="T52" s="1036"/>
      <c r="U52" s="1036"/>
      <c r="V52" s="1036"/>
      <c r="W52" s="1036"/>
      <c r="X52" s="1036"/>
    </row>
    <row r="53" spans="20:24">
      <c r="T53" s="1036"/>
      <c r="U53" s="1036"/>
      <c r="V53" s="1036"/>
      <c r="W53" s="1036"/>
      <c r="X53" s="1036"/>
    </row>
    <row r="54" spans="20:24">
      <c r="T54" s="1036"/>
      <c r="U54" s="1036"/>
      <c r="V54" s="1036"/>
      <c r="W54" s="1036"/>
      <c r="X54" s="1036"/>
    </row>
    <row r="55" spans="20:24">
      <c r="T55" s="1036"/>
      <c r="U55" s="1036"/>
      <c r="V55" s="1036"/>
      <c r="W55" s="1036"/>
      <c r="X55" s="1036"/>
    </row>
    <row r="56" spans="20:24">
      <c r="T56" s="1036"/>
      <c r="U56" s="1036"/>
      <c r="V56" s="1036"/>
      <c r="W56" s="1036"/>
      <c r="X56" s="1036"/>
    </row>
    <row r="57" spans="20:24">
      <c r="T57" s="1036"/>
      <c r="U57" s="1036"/>
      <c r="V57" s="1036"/>
      <c r="W57" s="1036"/>
      <c r="X57" s="1036"/>
    </row>
    <row r="58" spans="20:24">
      <c r="T58" s="1036"/>
      <c r="U58" s="1036"/>
      <c r="V58" s="1036"/>
      <c r="W58" s="1036"/>
      <c r="X58" s="1036"/>
    </row>
    <row r="59" spans="20:24">
      <c r="T59" s="1036"/>
      <c r="U59" s="1036"/>
      <c r="V59" s="1036"/>
      <c r="W59" s="1036"/>
      <c r="X59" s="1036"/>
    </row>
    <row r="60" spans="20:24">
      <c r="T60" s="1036"/>
      <c r="U60" s="1036"/>
      <c r="V60" s="1036"/>
      <c r="W60" s="1036"/>
      <c r="X60" s="1036"/>
    </row>
    <row r="61" spans="20:24">
      <c r="T61" s="1036"/>
      <c r="U61" s="1036"/>
      <c r="V61" s="1036"/>
      <c r="W61" s="1036"/>
      <c r="X61" s="1036"/>
    </row>
    <row r="62" spans="20:24">
      <c r="T62" s="1036"/>
      <c r="U62" s="1036"/>
      <c r="V62" s="1036"/>
      <c r="W62" s="1036"/>
      <c r="X62" s="1036"/>
    </row>
    <row r="63" spans="20:24">
      <c r="T63" s="1036"/>
      <c r="U63" s="1036"/>
      <c r="V63" s="1036"/>
      <c r="W63" s="1036"/>
      <c r="X63" s="1036"/>
    </row>
    <row r="64" spans="20:24">
      <c r="T64" s="1036"/>
      <c r="U64" s="1036"/>
      <c r="V64" s="1036"/>
      <c r="W64" s="1036"/>
      <c r="X64" s="1036"/>
    </row>
    <row r="65" spans="20:24">
      <c r="T65" s="1036"/>
      <c r="U65" s="1036"/>
      <c r="V65" s="1036"/>
      <c r="W65" s="1036"/>
      <c r="X65" s="1036"/>
    </row>
    <row r="66" spans="20:24">
      <c r="T66" s="1036"/>
      <c r="U66" s="1036"/>
      <c r="V66" s="1036"/>
      <c r="W66" s="1036"/>
      <c r="X66" s="1036"/>
    </row>
    <row r="67" spans="20:24">
      <c r="T67" s="1036"/>
      <c r="U67" s="1036"/>
      <c r="V67" s="1036"/>
      <c r="W67" s="1036"/>
      <c r="X67" s="1036"/>
    </row>
    <row r="68" spans="20:24">
      <c r="T68" s="1036"/>
      <c r="U68" s="1036"/>
      <c r="V68" s="1036"/>
      <c r="W68" s="1036"/>
      <c r="X68" s="1036"/>
    </row>
    <row r="69" spans="20:24">
      <c r="T69" s="1036"/>
      <c r="U69" s="1036"/>
      <c r="V69" s="1036"/>
      <c r="W69" s="1036"/>
      <c r="X69" s="1036"/>
    </row>
    <row r="70" spans="20:24">
      <c r="T70" s="1036"/>
      <c r="U70" s="1036"/>
      <c r="V70" s="1036"/>
      <c r="W70" s="1036"/>
      <c r="X70" s="1036"/>
    </row>
    <row r="71" spans="20:24">
      <c r="T71" s="1036"/>
      <c r="U71" s="1036"/>
      <c r="V71" s="1036"/>
      <c r="W71" s="1036"/>
      <c r="X71" s="1036"/>
    </row>
    <row r="72" spans="20:24">
      <c r="T72" s="1036"/>
      <c r="U72" s="1036"/>
      <c r="V72" s="1036"/>
      <c r="W72" s="1036"/>
      <c r="X72" s="1036"/>
    </row>
    <row r="73" spans="20:24">
      <c r="T73" s="1036"/>
      <c r="U73" s="1036"/>
      <c r="V73" s="1036"/>
      <c r="W73" s="1036"/>
      <c r="X73" s="1036"/>
    </row>
    <row r="74" spans="20:24">
      <c r="T74" s="1036"/>
      <c r="U74" s="1036"/>
      <c r="V74" s="1036"/>
      <c r="W74" s="1036"/>
      <c r="X74" s="1036"/>
    </row>
    <row r="75" spans="20:24">
      <c r="T75" s="1036"/>
      <c r="U75" s="1036"/>
      <c r="V75" s="1036"/>
      <c r="W75" s="1036"/>
      <c r="X75" s="1036"/>
    </row>
    <row r="76" spans="20:24">
      <c r="T76" s="1036"/>
      <c r="U76" s="1036"/>
      <c r="V76" s="1036"/>
      <c r="W76" s="1036"/>
      <c r="X76" s="1036"/>
    </row>
  </sheetData>
  <sheetProtection algorithmName="SHA-512" hashValue="2/K5hAebL3iBgPIXMD6QoCQG/+B4HOVfJ/8VdPsEWYpMcEFXTBcStgQJAI8wIWT9DAg7ecNZAJQu1KnqQAKQvg==" saltValue="BwQ6LU6J0c95FVhlzd12Yg==" spinCount="100000" sheet="1" formatCells="0"/>
  <mergeCells count="50">
    <mergeCell ref="A35:K36"/>
    <mergeCell ref="B22:E22"/>
    <mergeCell ref="G22:H22"/>
    <mergeCell ref="I22:J22"/>
    <mergeCell ref="B23:E23"/>
    <mergeCell ref="H23:I23"/>
    <mergeCell ref="B26:C26"/>
    <mergeCell ref="D26:E26"/>
    <mergeCell ref="B28:C28"/>
    <mergeCell ref="D28:J28"/>
    <mergeCell ref="B29:J32"/>
    <mergeCell ref="A33:K33"/>
    <mergeCell ref="A34:K34"/>
    <mergeCell ref="I19:J19"/>
    <mergeCell ref="B20:E20"/>
    <mergeCell ref="G20:H20"/>
    <mergeCell ref="I20:J20"/>
    <mergeCell ref="B21:E21"/>
    <mergeCell ref="G21:H21"/>
    <mergeCell ref="I21:J21"/>
    <mergeCell ref="B18:E19"/>
    <mergeCell ref="F18:F19"/>
    <mergeCell ref="G18:H18"/>
    <mergeCell ref="I18:J18"/>
    <mergeCell ref="G19:H19"/>
    <mergeCell ref="B16:J16"/>
    <mergeCell ref="B17:E17"/>
    <mergeCell ref="G17:H17"/>
    <mergeCell ref="I17:J17"/>
    <mergeCell ref="L17:N17"/>
    <mergeCell ref="B14:F14"/>
    <mergeCell ref="G14:J14"/>
    <mergeCell ref="T6:V7"/>
    <mergeCell ref="H7:J7"/>
    <mergeCell ref="P7:S7"/>
    <mergeCell ref="I8:J8"/>
    <mergeCell ref="T8:U8"/>
    <mergeCell ref="B11:J11"/>
    <mergeCell ref="T11:U11"/>
    <mergeCell ref="P6:S6"/>
    <mergeCell ref="B12:F12"/>
    <mergeCell ref="G12:J12"/>
    <mergeCell ref="T12:U12"/>
    <mergeCell ref="B13:F13"/>
    <mergeCell ref="G13:J13"/>
    <mergeCell ref="E1:K3"/>
    <mergeCell ref="E4:H4"/>
    <mergeCell ref="I4:K4"/>
    <mergeCell ref="E5:K5"/>
    <mergeCell ref="N6:N8"/>
  </mergeCells>
  <dataValidations count="3">
    <dataValidation type="list" allowBlank="1" showInputMessage="1" showErrorMessage="1" sqref="G12">
      <formula1>$N$9:$N$10</formula1>
    </dataValidation>
    <dataValidation type="list" allowBlank="1" showInputMessage="1" showErrorMessage="1" sqref="G13">
      <formula1>$M$7:$M$8</formula1>
    </dataValidation>
    <dataValidation type="list" allowBlank="1" showInputMessage="1" showErrorMessage="1" sqref="G14:J14">
      <formula1>$O$7:$O$10</formula1>
    </dataValidation>
  </dataValidations>
  <printOptions horizontalCentered="1" gridLinesSet="0"/>
  <pageMargins left="0.59055118110236227" right="0.39370078740157483" top="0.59055118110236227" bottom="0.59055118110236227" header="0" footer="0.19685039370078741"/>
  <pageSetup orientation="portrait" r:id="rId1"/>
  <headerFooter scaleWithDoc="0">
    <oddFooter>&amp;L&amp;"Arial,Normal"&amp;6Calle 26 No. 57-41 Torre 8 Piso 8 CEMSA - CP: 1113111            
Pbx: 3779555  - Información: Línea 195     
www.umv.gov.co111311&amp;C&amp;"Arial,Normal"&amp;6Página 1 de 1</oddFooter>
  </headerFooter>
  <drawing r:id="rId2"/>
  <legacyDrawing r:id="rId3"/>
  <extLst>
    <ext xmlns:x14="http://schemas.microsoft.com/office/spreadsheetml/2009/9/main" uri="{CCE6A557-97BC-4b89-ADB6-D9C93CAAB3DF}">
      <x14:dataValidations xmlns:xm="http://schemas.microsoft.com/office/excel/2006/main" count="1">
        <x14:dataValidation type="date" allowBlank="1" showInputMessage="1" showErrorMessage="1">
          <x14:formula1>
            <xm:f>'1. Encabezado'!I27</xm:f>
          </x14:formula1>
          <x14:formula2>
            <xm:f>'1. Encabezado'!I28</xm:f>
          </x14:formula2>
          <xm:sqref>D26:E26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39"/>
  <sheetViews>
    <sheetView showGridLines="0" view="pageBreakPreview" topLeftCell="A22" zoomScaleSheetLayoutView="100" workbookViewId="0">
      <selection activeCell="B28" sqref="B28:L32"/>
    </sheetView>
  </sheetViews>
  <sheetFormatPr baseColWidth="10" defaultColWidth="9.140625" defaultRowHeight="12.75"/>
  <cols>
    <col min="1" max="1" width="3.5703125" style="634" customWidth="1"/>
    <col min="2" max="2" width="11.5703125" style="634" customWidth="1"/>
    <col min="3" max="3" width="5.5703125" style="634" customWidth="1"/>
    <col min="4" max="4" width="7.5703125" style="634" customWidth="1"/>
    <col min="5" max="5" width="5.28515625" style="634" customWidth="1"/>
    <col min="6" max="6" width="10.85546875" style="634" customWidth="1"/>
    <col min="7" max="7" width="9" style="634" customWidth="1"/>
    <col min="8" max="8" width="5.5703125" style="634" customWidth="1"/>
    <col min="9" max="9" width="8.42578125" style="634" customWidth="1"/>
    <col min="10" max="10" width="10.7109375" style="634" customWidth="1"/>
    <col min="11" max="11" width="7.140625" style="634" customWidth="1"/>
    <col min="12" max="12" width="6.7109375" style="634" customWidth="1"/>
    <col min="13" max="13" width="3.5703125" style="634" customWidth="1"/>
    <col min="14" max="14" width="13.7109375" style="634" customWidth="1"/>
    <col min="15" max="15" width="9.140625" style="634"/>
    <col min="16" max="16" width="11.28515625" style="634" customWidth="1"/>
    <col min="17" max="16384" width="9.140625" style="634"/>
  </cols>
  <sheetData>
    <row r="1" spans="1:18" ht="15" customHeight="1">
      <c r="A1" s="2462"/>
      <c r="B1" s="2463"/>
      <c r="C1" s="2466" t="s">
        <v>645</v>
      </c>
      <c r="D1" s="2467"/>
      <c r="E1" s="2467"/>
      <c r="F1" s="2467"/>
      <c r="G1" s="2467"/>
      <c r="H1" s="2467"/>
      <c r="I1" s="2467"/>
      <c r="J1" s="2467"/>
      <c r="K1" s="2467"/>
      <c r="L1" s="2467"/>
      <c r="M1" s="2468"/>
      <c r="N1" s="1203"/>
    </row>
    <row r="2" spans="1:18" ht="15" customHeight="1">
      <c r="A2" s="2464"/>
      <c r="B2" s="1790"/>
      <c r="C2" s="2469"/>
      <c r="D2" s="2470"/>
      <c r="E2" s="2470"/>
      <c r="F2" s="2470"/>
      <c r="G2" s="2470"/>
      <c r="H2" s="2470"/>
      <c r="I2" s="2470"/>
      <c r="J2" s="2470"/>
      <c r="K2" s="2470"/>
      <c r="L2" s="2470"/>
      <c r="M2" s="2471"/>
      <c r="N2" s="1203"/>
    </row>
    <row r="3" spans="1:18" ht="15" customHeight="1">
      <c r="A3" s="2464"/>
      <c r="B3" s="1790"/>
      <c r="C3" s="2469"/>
      <c r="D3" s="2470"/>
      <c r="E3" s="2470"/>
      <c r="F3" s="2470"/>
      <c r="G3" s="2470"/>
      <c r="H3" s="2470"/>
      <c r="I3" s="2470"/>
      <c r="J3" s="2470"/>
      <c r="K3" s="2470"/>
      <c r="L3" s="2470"/>
      <c r="M3" s="2471"/>
      <c r="N3" s="1203"/>
    </row>
    <row r="4" spans="1:18" ht="15" customHeight="1">
      <c r="A4" s="2464"/>
      <c r="B4" s="1790"/>
      <c r="C4" s="2472" t="s">
        <v>646</v>
      </c>
      <c r="D4" s="2472"/>
      <c r="E4" s="2472"/>
      <c r="F4" s="2472"/>
      <c r="G4" s="2472"/>
      <c r="H4" s="2472"/>
      <c r="I4" s="2472"/>
      <c r="J4" s="2472" t="s">
        <v>647</v>
      </c>
      <c r="K4" s="2472"/>
      <c r="L4" s="2472"/>
      <c r="M4" s="2472"/>
      <c r="N4" s="1204"/>
    </row>
    <row r="5" spans="1:18" ht="15" customHeight="1">
      <c r="A5" s="2465"/>
      <c r="B5" s="1791"/>
      <c r="C5" s="2473" t="s">
        <v>648</v>
      </c>
      <c r="D5" s="2473"/>
      <c r="E5" s="2473"/>
      <c r="F5" s="2473"/>
      <c r="G5" s="2473"/>
      <c r="H5" s="2473"/>
      <c r="I5" s="2473"/>
      <c r="J5" s="2473"/>
      <c r="K5" s="2473"/>
      <c r="L5" s="2473"/>
      <c r="M5" s="2473"/>
      <c r="N5" s="1204"/>
    </row>
    <row r="6" spans="1:18" ht="15" customHeight="1">
      <c r="A6" s="2474"/>
      <c r="B6" s="2475"/>
      <c r="C6" s="2475"/>
      <c r="D6" s="2475"/>
      <c r="E6" s="2475"/>
      <c r="F6" s="2475"/>
      <c r="G6" s="2475"/>
      <c r="H6" s="2475"/>
      <c r="I6" s="2475"/>
      <c r="J6" s="2475"/>
      <c r="K6" s="2475"/>
      <c r="L6" s="2475"/>
      <c r="M6" s="1493"/>
      <c r="N6" s="1494" t="s">
        <v>314</v>
      </c>
    </row>
    <row r="7" spans="1:18" ht="15" customHeight="1">
      <c r="A7" s="581"/>
      <c r="B7" s="1205"/>
      <c r="C7" s="1206"/>
      <c r="D7" s="1206"/>
      <c r="E7" s="1206"/>
      <c r="F7" s="635"/>
      <c r="G7" s="2476" t="s">
        <v>9</v>
      </c>
      <c r="H7" s="2476"/>
      <c r="I7" s="2477" t="str">
        <f>+IF('1. Encabezado'!T7="","",'1. Encabezado'!T7)</f>
        <v/>
      </c>
      <c r="J7" s="2477"/>
      <c r="K7" s="2477"/>
      <c r="L7" s="1207"/>
      <c r="M7" s="1208"/>
      <c r="N7" s="1196" t="s">
        <v>315</v>
      </c>
    </row>
    <row r="8" spans="1:18" ht="15" customHeight="1">
      <c r="A8" s="581"/>
      <c r="B8" s="1205"/>
      <c r="C8" s="1206"/>
      <c r="D8" s="1206"/>
      <c r="E8" s="1206"/>
      <c r="F8" s="836"/>
      <c r="G8" s="448"/>
      <c r="H8" s="448"/>
      <c r="I8" s="2478" t="str">
        <f>IF(I7="",N11:N11,CONCATENATE(N7," ",N8," ",N9," ", N10:N10))</f>
        <v>Pagina xx de xx</v>
      </c>
      <c r="J8" s="2478"/>
      <c r="K8" s="2478"/>
      <c r="L8" s="1209"/>
      <c r="M8" s="1210"/>
      <c r="N8" s="1198" t="str">
        <f>IF(I7="","",7)</f>
        <v/>
      </c>
    </row>
    <row r="9" spans="1:18" ht="15" customHeight="1">
      <c r="A9" s="581"/>
      <c r="B9" s="1205"/>
      <c r="C9" s="1206"/>
      <c r="D9" s="1206"/>
      <c r="E9" s="1206"/>
      <c r="F9" s="1205"/>
      <c r="G9" s="1206"/>
      <c r="H9" s="1206"/>
      <c r="I9" s="1205"/>
      <c r="J9" s="1205"/>
      <c r="K9" s="1211"/>
      <c r="L9" s="1211"/>
      <c r="M9" s="1212"/>
      <c r="N9" s="1213" t="s">
        <v>316</v>
      </c>
    </row>
    <row r="10" spans="1:18" ht="15" customHeight="1">
      <c r="A10" s="581"/>
      <c r="B10" s="1214"/>
      <c r="C10" s="1214"/>
      <c r="D10" s="1214"/>
      <c r="E10" s="1215"/>
      <c r="F10" s="1215"/>
      <c r="G10" s="1215"/>
      <c r="H10" s="1215"/>
      <c r="I10" s="1214"/>
      <c r="J10" s="1214"/>
      <c r="K10" s="1216"/>
      <c r="L10" s="1216"/>
      <c r="M10" s="1217"/>
      <c r="N10" s="1200">
        <f>IF('[38]1. Encabezado'!AB10="","",'[38]1. Encabezado'!AB10)</f>
        <v>11</v>
      </c>
    </row>
    <row r="11" spans="1:18" ht="15" customHeight="1">
      <c r="A11" s="581"/>
      <c r="B11" s="1490"/>
      <c r="C11" s="1490"/>
      <c r="D11" s="1490"/>
      <c r="E11" s="1490"/>
      <c r="F11" s="2479"/>
      <c r="G11" s="2479"/>
      <c r="H11" s="2479"/>
      <c r="I11" s="1490"/>
      <c r="J11" s="1490"/>
      <c r="K11" s="1490"/>
      <c r="L11" s="1490"/>
      <c r="M11" s="1218"/>
      <c r="N11" s="1201" t="s">
        <v>317</v>
      </c>
    </row>
    <row r="12" spans="1:18" ht="15" customHeight="1">
      <c r="A12" s="581"/>
      <c r="B12" s="1490"/>
      <c r="C12" s="1490"/>
      <c r="D12" s="1490"/>
      <c r="E12" s="1490"/>
      <c r="F12" s="1490"/>
      <c r="G12" s="1490"/>
      <c r="H12" s="1490"/>
      <c r="I12" s="1490"/>
      <c r="J12" s="1490"/>
      <c r="K12" s="1490"/>
      <c r="L12" s="1490"/>
      <c r="M12" s="1218"/>
    </row>
    <row r="13" spans="1:18" ht="24.75" customHeight="1">
      <c r="A13" s="581"/>
      <c r="B13" s="2480" t="s">
        <v>649</v>
      </c>
      <c r="C13" s="2481"/>
      <c r="D13" s="2481"/>
      <c r="E13" s="2481"/>
      <c r="F13" s="2481"/>
      <c r="G13" s="2481"/>
      <c r="H13" s="2481"/>
      <c r="I13" s="2481"/>
      <c r="J13" s="2481"/>
      <c r="K13" s="2481"/>
      <c r="L13" s="2482"/>
      <c r="M13" s="1219"/>
      <c r="N13" s="2405" t="s">
        <v>750</v>
      </c>
      <c r="O13" s="2405"/>
      <c r="P13" s="2405"/>
    </row>
    <row r="14" spans="1:18" s="157" customFormat="1" ht="50.25" customHeight="1">
      <c r="A14" s="572"/>
      <c r="B14" s="2454" t="s">
        <v>650</v>
      </c>
      <c r="C14" s="2455"/>
      <c r="D14" s="2455"/>
      <c r="E14" s="2455"/>
      <c r="F14" s="1220" t="s">
        <v>651</v>
      </c>
      <c r="G14" s="2455" t="s">
        <v>652</v>
      </c>
      <c r="H14" s="2454" t="s">
        <v>653</v>
      </c>
      <c r="I14" s="2457"/>
      <c r="J14" s="1495" t="s">
        <v>654</v>
      </c>
      <c r="K14" s="2454" t="s">
        <v>655</v>
      </c>
      <c r="L14" s="2457"/>
      <c r="M14" s="1221"/>
      <c r="N14" s="2458">
        <v>5</v>
      </c>
      <c r="O14" s="2458"/>
      <c r="P14" s="2458"/>
    </row>
    <row r="15" spans="1:18" ht="23.25" customHeight="1">
      <c r="A15" s="581"/>
      <c r="B15" s="2459" t="s">
        <v>24</v>
      </c>
      <c r="C15" s="2460"/>
      <c r="D15" s="2460" t="s">
        <v>25</v>
      </c>
      <c r="E15" s="2460"/>
      <c r="F15" s="1222" t="s">
        <v>656</v>
      </c>
      <c r="G15" s="2456"/>
      <c r="H15" s="2459" t="s">
        <v>657</v>
      </c>
      <c r="I15" s="2461"/>
      <c r="J15" s="1333" t="s">
        <v>62</v>
      </c>
      <c r="K15" s="2459" t="s">
        <v>658</v>
      </c>
      <c r="L15" s="2461"/>
      <c r="M15" s="1223"/>
      <c r="P15" s="1496" t="s">
        <v>751</v>
      </c>
      <c r="Q15" s="2450" t="s">
        <v>655</v>
      </c>
      <c r="R15" s="2450"/>
    </row>
    <row r="16" spans="1:18" ht="51.75" customHeight="1">
      <c r="A16" s="581"/>
      <c r="B16" s="2451" t="s">
        <v>147</v>
      </c>
      <c r="C16" s="2452"/>
      <c r="D16" s="2453" t="s">
        <v>148</v>
      </c>
      <c r="E16" s="2452"/>
      <c r="F16" s="1224"/>
      <c r="G16" s="1225" t="s">
        <v>659</v>
      </c>
      <c r="H16" s="2441"/>
      <c r="I16" s="2442"/>
      <c r="J16" s="1505" t="str">
        <f>IF(I7="","",'Gradacion '!BB38)</f>
        <v/>
      </c>
      <c r="K16" s="2443" t="str">
        <f>+IF(F16="","",((F16-H16)/F16)*100)</f>
        <v/>
      </c>
      <c r="L16" s="2444"/>
      <c r="M16" s="1223"/>
      <c r="P16" s="1497" t="str">
        <f>+IF(J16="","",J16/$P$20)</f>
        <v/>
      </c>
      <c r="Q16" s="2405" t="str">
        <f>+IF(AND(J16&lt;$N$14,J17&gt;$N$14),K17,IF(AND(J16&lt;$N$14,J17&lt;$N$14,J18&gt;$N$14),K18,IF(AND(J16&lt;$N$14,J17&lt;$N$14,J18&lt;$N$14,J19&gt;$N$14),K19,K16)))</f>
        <v/>
      </c>
      <c r="R16" s="2405"/>
    </row>
    <row r="17" spans="1:18" ht="24.95" customHeight="1">
      <c r="A17" s="581"/>
      <c r="B17" s="2438" t="s">
        <v>148</v>
      </c>
      <c r="C17" s="2439"/>
      <c r="D17" s="2440" t="s">
        <v>33</v>
      </c>
      <c r="E17" s="2439"/>
      <c r="F17" s="1224"/>
      <c r="G17" s="1225" t="s">
        <v>659</v>
      </c>
      <c r="H17" s="2441"/>
      <c r="I17" s="2442"/>
      <c r="J17" s="1334" t="str">
        <f>IF(I7="","",'Gradacion '!BB39+'Gradacion '!BB40)</f>
        <v/>
      </c>
      <c r="K17" s="2443" t="str">
        <f>+IF(F17="","",((F17-H17)/F17)*100)</f>
        <v/>
      </c>
      <c r="L17" s="2444"/>
      <c r="M17" s="1226"/>
      <c r="P17" s="1497" t="str">
        <f t="shared" ref="P17:P19" si="0">+IF(J17="","",J17/$P$20)</f>
        <v/>
      </c>
      <c r="Q17" s="2405" t="str">
        <f>+IF(AND(J17&lt;$N$14,J18&gt;$N$14),K18,IF(AND(J17&lt;$N$14,J18&lt;$N$14,J16&gt;=$N$14),K16,IF(AND(J17&lt;$N$14,J18&lt;$N$14,J16&lt;$N$14,J19&gt;$N$14),K19,K17)))</f>
        <v/>
      </c>
      <c r="R17" s="2405"/>
    </row>
    <row r="18" spans="1:18" ht="24.95" customHeight="1">
      <c r="A18" s="581"/>
      <c r="B18" s="2438" t="s">
        <v>33</v>
      </c>
      <c r="C18" s="2439"/>
      <c r="D18" s="2440" t="s">
        <v>37</v>
      </c>
      <c r="E18" s="2439"/>
      <c r="F18" s="1224"/>
      <c r="G18" s="1225" t="s">
        <v>157</v>
      </c>
      <c r="H18" s="2441"/>
      <c r="I18" s="2442"/>
      <c r="J18" s="1334" t="str">
        <f>IF(I7="","",'Gradacion '!BB41+'Gradacion '!BB42)</f>
        <v/>
      </c>
      <c r="K18" s="2443" t="str">
        <f>+IF(F18="","",((F18-H18)/F18)*100)</f>
        <v/>
      </c>
      <c r="L18" s="2444"/>
      <c r="M18" s="1226"/>
      <c r="P18" s="1497" t="str">
        <f t="shared" si="0"/>
        <v/>
      </c>
      <c r="Q18" s="2405" t="str">
        <f>+IF(AND(J18&lt;$N$14,J19&gt;$N$14),K19,IF(AND(J18&lt;$N$14,J19&lt;$N$14,J17&gt;$N$14),K17,IF(AND(J18&lt;$N$14,J19&lt;$N$14,J17&lt;$N$14,J16&gt;$N$14),K16,K18)))</f>
        <v/>
      </c>
      <c r="R18" s="2405"/>
    </row>
    <row r="19" spans="1:18" ht="24.95" customHeight="1">
      <c r="A19" s="581"/>
      <c r="B19" s="2445" t="s">
        <v>37</v>
      </c>
      <c r="C19" s="2446"/>
      <c r="D19" s="2447" t="s">
        <v>157</v>
      </c>
      <c r="E19" s="2446"/>
      <c r="F19" s="1227"/>
      <c r="G19" s="1228" t="s">
        <v>158</v>
      </c>
      <c r="H19" s="2448"/>
      <c r="I19" s="2449"/>
      <c r="J19" s="1335" t="str">
        <f>IF(I7="","",'Gradacion '!BB43+'Gradacion '!BB44)</f>
        <v/>
      </c>
      <c r="K19" s="2425" t="str">
        <f>+IF(F19="","",((F19-H19)/F19)*100)</f>
        <v/>
      </c>
      <c r="L19" s="2426"/>
      <c r="M19" s="1226"/>
      <c r="P19" s="1497" t="str">
        <f t="shared" si="0"/>
        <v/>
      </c>
      <c r="Q19" s="2405" t="str">
        <f>+IF(AND(J19&lt;$N$14,J18&gt;$N$14),K18,IF(AND(J19&lt;$N$14,J18&lt;$N$14,J17&gt;$N$14),K17,IF(AND(J19&lt;$N$14,J18&lt;$N$14,J17&lt;$N$14,J16&gt;$N$14),K16,K19)))</f>
        <v/>
      </c>
      <c r="R19" s="2405"/>
    </row>
    <row r="20" spans="1:18" ht="24.95" customHeight="1">
      <c r="A20" s="581"/>
      <c r="B20" s="2435" t="s">
        <v>660</v>
      </c>
      <c r="C20" s="2436"/>
      <c r="D20" s="2436"/>
      <c r="E20" s="2436"/>
      <c r="F20" s="2436"/>
      <c r="G20" s="2436"/>
      <c r="H20" s="2436"/>
      <c r="I20" s="2436"/>
      <c r="J20" s="2436"/>
      <c r="K20" s="2436"/>
      <c r="L20" s="2437"/>
      <c r="M20" s="1219"/>
      <c r="O20" s="634" t="s">
        <v>752</v>
      </c>
      <c r="P20" s="1498" t="str">
        <f>IF(I7="","",SUM(J16:J19)+J21)</f>
        <v/>
      </c>
      <c r="Q20" s="2405"/>
      <c r="R20" s="2405"/>
    </row>
    <row r="21" spans="1:18" ht="24.95" customHeight="1">
      <c r="A21" s="581"/>
      <c r="B21" s="2427" t="s">
        <v>157</v>
      </c>
      <c r="C21" s="2428"/>
      <c r="D21" s="2429" t="s">
        <v>661</v>
      </c>
      <c r="E21" s="2430"/>
      <c r="F21" s="1229"/>
      <c r="G21" s="1230" t="s">
        <v>662</v>
      </c>
      <c r="H21" s="2431"/>
      <c r="I21" s="2432"/>
      <c r="J21" s="1231" t="str">
        <f>IF(F21="","",'Gradacion '!BB45+'Gradacion '!BB46+IF(F19="","",'Gradacion '!BB43+'Gradacion '!BB47))</f>
        <v/>
      </c>
      <c r="K21" s="2433" t="str">
        <f>IF(F21="","",(F21-H21)/F21*100)</f>
        <v/>
      </c>
      <c r="L21" s="2434"/>
      <c r="M21" s="1232"/>
      <c r="P21" s="1497" t="str">
        <f>+IF(J21="","",J21/$P$20)</f>
        <v/>
      </c>
      <c r="Q21" s="2404" t="str">
        <f>+K21</f>
        <v/>
      </c>
      <c r="R21" s="2405"/>
    </row>
    <row r="22" spans="1:18" s="157" customFormat="1" ht="24.95" customHeight="1">
      <c r="A22" s="581"/>
      <c r="B22" s="2415" t="s">
        <v>663</v>
      </c>
      <c r="C22" s="2416"/>
      <c r="D22" s="2416"/>
      <c r="E22" s="2416"/>
      <c r="F22" s="2416"/>
      <c r="G22" s="2416"/>
      <c r="H22" s="2416"/>
      <c r="I22" s="2416"/>
      <c r="J22" s="2419" t="str">
        <f>+IF(I7="","",((P17*Q17)+(P18*Q18)+(P19*Q19)+(P21*Q21)+(P16*Q16)))</f>
        <v/>
      </c>
      <c r="K22" s="2421" t="str">
        <f>+IF(J22="","","%")</f>
        <v/>
      </c>
      <c r="L22" s="2422"/>
      <c r="M22" s="1233"/>
    </row>
    <row r="23" spans="1:18" s="157" customFormat="1" ht="24.95" customHeight="1">
      <c r="A23" s="572"/>
      <c r="B23" s="2417"/>
      <c r="C23" s="2418"/>
      <c r="D23" s="2418"/>
      <c r="E23" s="2418"/>
      <c r="F23" s="2418"/>
      <c r="G23" s="2418"/>
      <c r="H23" s="2418"/>
      <c r="I23" s="2418"/>
      <c r="J23" s="2420"/>
      <c r="K23" s="2423"/>
      <c r="L23" s="2424"/>
      <c r="M23" s="1233"/>
    </row>
    <row r="24" spans="1:18" s="157" customFormat="1" ht="15" customHeight="1">
      <c r="A24" s="572"/>
      <c r="B24" s="1234"/>
      <c r="C24" s="1234"/>
      <c r="D24" s="1234"/>
      <c r="E24" s="1234"/>
      <c r="F24" s="1234"/>
      <c r="G24" s="1234"/>
      <c r="H24" s="1234"/>
      <c r="I24" s="1234"/>
      <c r="J24" s="1234"/>
      <c r="K24" s="1235"/>
      <c r="L24" s="1235"/>
      <c r="M24" s="1233"/>
    </row>
    <row r="25" spans="1:18" s="157" customFormat="1" ht="15" customHeight="1">
      <c r="A25" s="572"/>
      <c r="B25" s="2408" t="s">
        <v>633</v>
      </c>
      <c r="C25" s="2408"/>
      <c r="D25" s="2409"/>
      <c r="E25" s="2409"/>
      <c r="F25" s="1336" t="str">
        <f>IF(D25="","","al")</f>
        <v/>
      </c>
      <c r="G25" s="2410"/>
      <c r="H25" s="2410"/>
      <c r="I25" s="1234"/>
      <c r="J25" s="1234"/>
      <c r="K25" s="1235"/>
      <c r="L25" s="1235"/>
      <c r="M25" s="1233"/>
    </row>
    <row r="26" spans="1:18" s="157" customFormat="1" ht="15" customHeight="1">
      <c r="A26" s="328"/>
      <c r="B26" s="1499"/>
      <c r="C26" s="1499"/>
      <c r="D26" s="1499"/>
      <c r="E26" s="1499"/>
      <c r="F26" s="1499"/>
      <c r="G26" s="1499"/>
      <c r="H26" s="1499"/>
      <c r="I26" s="1499"/>
      <c r="J26" s="1499"/>
      <c r="K26" s="1500"/>
      <c r="L26" s="1500"/>
      <c r="M26" s="1236"/>
    </row>
    <row r="27" spans="1:18" s="1237" customFormat="1" ht="15" customHeight="1">
      <c r="A27" s="1501"/>
      <c r="B27" s="2411" t="s">
        <v>10</v>
      </c>
      <c r="C27" s="2411"/>
      <c r="D27" s="2412"/>
      <c r="E27" s="2412"/>
      <c r="F27" s="2412"/>
      <c r="G27" s="2412"/>
      <c r="H27" s="2412"/>
      <c r="I27" s="2412"/>
      <c r="J27" s="2412"/>
      <c r="K27" s="2412"/>
      <c r="L27" s="2412"/>
      <c r="M27" s="1502"/>
    </row>
    <row r="28" spans="1:18" s="1237" customFormat="1" ht="15" customHeight="1">
      <c r="A28" s="572"/>
      <c r="B28" s="2413"/>
      <c r="C28" s="2413"/>
      <c r="D28" s="2413"/>
      <c r="E28" s="2413"/>
      <c r="F28" s="2413"/>
      <c r="G28" s="2413"/>
      <c r="H28" s="2413"/>
      <c r="I28" s="2413"/>
      <c r="J28" s="2413"/>
      <c r="K28" s="2413"/>
      <c r="L28" s="2413"/>
      <c r="M28" s="1238"/>
    </row>
    <row r="29" spans="1:18" s="1239" customFormat="1" ht="15" customHeight="1">
      <c r="A29" s="572"/>
      <c r="B29" s="2413"/>
      <c r="C29" s="2413"/>
      <c r="D29" s="2413"/>
      <c r="E29" s="2413"/>
      <c r="F29" s="2413"/>
      <c r="G29" s="2413"/>
      <c r="H29" s="2413"/>
      <c r="I29" s="2413"/>
      <c r="J29" s="2413"/>
      <c r="K29" s="2413"/>
      <c r="L29" s="2413"/>
      <c r="M29" s="1238"/>
    </row>
    <row r="30" spans="1:18" s="1239" customFormat="1" ht="15" customHeight="1">
      <c r="A30" s="572"/>
      <c r="B30" s="2413"/>
      <c r="C30" s="2413"/>
      <c r="D30" s="2413"/>
      <c r="E30" s="2413"/>
      <c r="F30" s="2413"/>
      <c r="G30" s="2413"/>
      <c r="H30" s="2413"/>
      <c r="I30" s="2413"/>
      <c r="J30" s="2413"/>
      <c r="K30" s="2413"/>
      <c r="L30" s="2413"/>
      <c r="M30" s="1238"/>
    </row>
    <row r="31" spans="1:18" s="1239" customFormat="1" ht="15" customHeight="1">
      <c r="A31" s="1240"/>
      <c r="B31" s="2413"/>
      <c r="C31" s="2413"/>
      <c r="D31" s="2413"/>
      <c r="E31" s="2413"/>
      <c r="F31" s="2413"/>
      <c r="G31" s="2413"/>
      <c r="H31" s="2413"/>
      <c r="I31" s="2413"/>
      <c r="J31" s="2413"/>
      <c r="K31" s="2413"/>
      <c r="L31" s="2413"/>
      <c r="M31" s="1492"/>
    </row>
    <row r="32" spans="1:18" s="1239" customFormat="1" ht="15" customHeight="1" thickBot="1">
      <c r="A32" s="1503"/>
      <c r="B32" s="2414"/>
      <c r="C32" s="2414"/>
      <c r="D32" s="2414"/>
      <c r="E32" s="2414"/>
      <c r="F32" s="2414"/>
      <c r="G32" s="2414"/>
      <c r="H32" s="2414"/>
      <c r="I32" s="2414"/>
      <c r="J32" s="2414"/>
      <c r="K32" s="2414"/>
      <c r="L32" s="2414"/>
      <c r="M32" s="1241"/>
    </row>
    <row r="33" spans="1:27" s="1239" customFormat="1" ht="15" customHeight="1" thickTop="1" thickBot="1">
      <c r="A33" s="2406" t="s">
        <v>13</v>
      </c>
      <c r="B33" s="2406"/>
      <c r="C33" s="2406"/>
      <c r="D33" s="2406"/>
      <c r="E33" s="2406"/>
      <c r="F33" s="2406"/>
      <c r="G33" s="2406"/>
      <c r="H33" s="2406"/>
      <c r="I33" s="2406"/>
      <c r="J33" s="2406"/>
      <c r="K33" s="2406"/>
      <c r="L33" s="2406"/>
      <c r="M33" s="2406"/>
    </row>
    <row r="34" spans="1:27" s="1239" customFormat="1" ht="15" customHeight="1" thickTop="1">
      <c r="A34" s="2407"/>
      <c r="B34" s="2407"/>
      <c r="C34" s="2407"/>
      <c r="D34" s="2407"/>
      <c r="E34" s="2407"/>
      <c r="F34" s="2407"/>
      <c r="G34" s="2407"/>
      <c r="H34" s="2407"/>
      <c r="I34" s="2407"/>
      <c r="J34" s="2407"/>
      <c r="K34" s="2407"/>
      <c r="L34" s="2407"/>
      <c r="M34" s="1491"/>
    </row>
    <row r="35" spans="1:27" s="1239" customFormat="1" ht="15" customHeight="1">
      <c r="A35" s="2329" t="s">
        <v>306</v>
      </c>
      <c r="B35" s="2329"/>
      <c r="C35" s="2329"/>
      <c r="D35" s="2329"/>
      <c r="E35" s="2329"/>
      <c r="F35" s="2329"/>
      <c r="G35" s="2329"/>
      <c r="H35" s="2329"/>
      <c r="I35" s="2329"/>
      <c r="J35" s="2329"/>
      <c r="K35" s="2329"/>
      <c r="L35" s="2329"/>
      <c r="M35" s="2329"/>
    </row>
    <row r="36" spans="1:27" ht="15" customHeight="1">
      <c r="A36" s="2329"/>
      <c r="B36" s="2329"/>
      <c r="C36" s="2329"/>
      <c r="D36" s="2329"/>
      <c r="E36" s="2329"/>
      <c r="F36" s="2329"/>
      <c r="G36" s="2329"/>
      <c r="H36" s="2329"/>
      <c r="I36" s="2329"/>
      <c r="J36" s="2329"/>
      <c r="K36" s="2329"/>
      <c r="L36" s="2329"/>
      <c r="M36" s="2329"/>
      <c r="W36" s="1239"/>
      <c r="X36" s="1239"/>
      <c r="Y36" s="1239"/>
      <c r="Z36" s="1239"/>
      <c r="AA36" s="1239"/>
    </row>
    <row r="37" spans="1:27" ht="15" customHeight="1">
      <c r="A37" s="1239"/>
      <c r="K37" s="635"/>
      <c r="L37" s="635"/>
      <c r="M37" s="635"/>
    </row>
    <row r="38" spans="1:27" ht="15" customHeight="1">
      <c r="A38" s="1239"/>
    </row>
    <row r="39" spans="1:27" ht="14.25">
      <c r="A39" s="1239"/>
    </row>
  </sheetData>
  <sheetProtection algorithmName="SHA-512" hashValue="7vwD8shgymPXi7Oq5HDJDxPJ7MYYZwH04gjCH+6xNZMEtQlSYk2hp4Nbl+aRtY/lpVf+o2zqoVUQNNNttK1MQA==" saltValue="hKfFYRYeFQ1RFjohTfURjw==" spinCount="100000" sheet="1" objects="1" scenarios="1" formatCells="0" formatColumns="0" formatRows="0"/>
  <mergeCells count="61">
    <mergeCell ref="N13:P13"/>
    <mergeCell ref="A1:B5"/>
    <mergeCell ref="C1:M3"/>
    <mergeCell ref="C4:I4"/>
    <mergeCell ref="J4:M4"/>
    <mergeCell ref="C5:M5"/>
    <mergeCell ref="A6:L6"/>
    <mergeCell ref="G7:H7"/>
    <mergeCell ref="I7:K7"/>
    <mergeCell ref="I8:K8"/>
    <mergeCell ref="F11:H11"/>
    <mergeCell ref="B13:L13"/>
    <mergeCell ref="B14:E14"/>
    <mergeCell ref="G14:G15"/>
    <mergeCell ref="H14:I14"/>
    <mergeCell ref="K14:L14"/>
    <mergeCell ref="N14:P14"/>
    <mergeCell ref="B15:C15"/>
    <mergeCell ref="D15:E15"/>
    <mergeCell ref="H15:I15"/>
    <mergeCell ref="K15:L15"/>
    <mergeCell ref="Q15:R15"/>
    <mergeCell ref="B16:C16"/>
    <mergeCell ref="D16:E16"/>
    <mergeCell ref="H16:I16"/>
    <mergeCell ref="K16:L16"/>
    <mergeCell ref="Q16:R16"/>
    <mergeCell ref="Q19:R19"/>
    <mergeCell ref="B20:L20"/>
    <mergeCell ref="Q20:R20"/>
    <mergeCell ref="B17:C17"/>
    <mergeCell ref="D17:E17"/>
    <mergeCell ref="H17:I17"/>
    <mergeCell ref="K17:L17"/>
    <mergeCell ref="Q17:R17"/>
    <mergeCell ref="B18:C18"/>
    <mergeCell ref="D18:E18"/>
    <mergeCell ref="H18:I18"/>
    <mergeCell ref="K18:L18"/>
    <mergeCell ref="Q18:R18"/>
    <mergeCell ref="B19:C19"/>
    <mergeCell ref="D19:E19"/>
    <mergeCell ref="H19:I19"/>
    <mergeCell ref="K19:L19"/>
    <mergeCell ref="B21:C21"/>
    <mergeCell ref="D21:E21"/>
    <mergeCell ref="H21:I21"/>
    <mergeCell ref="K21:L21"/>
    <mergeCell ref="Q21:R21"/>
    <mergeCell ref="A33:M33"/>
    <mergeCell ref="A34:L34"/>
    <mergeCell ref="A35:M36"/>
    <mergeCell ref="B25:C25"/>
    <mergeCell ref="D25:E25"/>
    <mergeCell ref="G25:H25"/>
    <mergeCell ref="B27:C27"/>
    <mergeCell ref="D27:L27"/>
    <mergeCell ref="B28:L32"/>
    <mergeCell ref="B22:I23"/>
    <mergeCell ref="J22:J23"/>
    <mergeCell ref="K22:L23"/>
  </mergeCells>
  <printOptions horizontalCentered="1"/>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CD64"/>
  <sheetViews>
    <sheetView showGridLines="0" showZeros="0" view="pageBreakPreview" topLeftCell="A40" zoomScaleSheetLayoutView="100" workbookViewId="0">
      <selection activeCell="F42" sqref="F42:AH42"/>
    </sheetView>
  </sheetViews>
  <sheetFormatPr baseColWidth="10" defaultColWidth="2.7109375" defaultRowHeight="12.95" customHeight="1"/>
  <cols>
    <col min="1" max="1" width="2.7109375" style="60" customWidth="1"/>
    <col min="2" max="2" width="3.28515625" style="60" customWidth="1"/>
    <col min="3" max="3" width="3.7109375" style="60" customWidth="1"/>
    <col min="4" max="4" width="3.42578125" style="60" customWidth="1"/>
    <col min="5" max="5" width="4.140625" style="60" customWidth="1"/>
    <col min="6" max="6" width="2.85546875" style="60" customWidth="1"/>
    <col min="7" max="7" width="6.140625" style="60" customWidth="1"/>
    <col min="8" max="8" width="7.28515625" style="60" customWidth="1"/>
    <col min="9" max="9" width="3.42578125" style="60" customWidth="1"/>
    <col min="10" max="10" width="2.85546875" style="60" customWidth="1"/>
    <col min="11" max="11" width="2.28515625" style="60" customWidth="1"/>
    <col min="12" max="12" width="2" style="60" customWidth="1"/>
    <col min="13" max="13" width="2.42578125" style="60" customWidth="1"/>
    <col min="14" max="14" width="3" style="60" customWidth="1"/>
    <col min="15" max="15" width="1" style="60" customWidth="1"/>
    <col min="16" max="16" width="3" style="60" customWidth="1"/>
    <col min="17" max="17" width="2.28515625" style="60" customWidth="1"/>
    <col min="18" max="18" width="2.140625" style="60" customWidth="1"/>
    <col min="19" max="19" width="2" style="60" customWidth="1"/>
    <col min="20" max="20" width="2.85546875" style="60" customWidth="1"/>
    <col min="21" max="21" width="2.42578125" style="60" customWidth="1"/>
    <col min="22" max="22" width="0.85546875" style="60" customWidth="1"/>
    <col min="23" max="23" width="1.85546875" style="60" customWidth="1"/>
    <col min="24" max="24" width="3" style="60" customWidth="1"/>
    <col min="25" max="25" width="2" style="60" customWidth="1"/>
    <col min="26" max="26" width="1.28515625" style="60" customWidth="1"/>
    <col min="27" max="27" width="3.5703125" style="60" customWidth="1"/>
    <col min="28" max="28" width="2.7109375" style="60" customWidth="1"/>
    <col min="29" max="29" width="3.28515625" style="60" customWidth="1"/>
    <col min="30" max="30" width="2" style="60" customWidth="1"/>
    <col min="31" max="31" width="1.85546875" style="60" customWidth="1"/>
    <col min="32" max="32" width="2.7109375" style="60" customWidth="1"/>
    <col min="33" max="34" width="2.140625" style="60" customWidth="1"/>
    <col min="35" max="35" width="11.7109375" style="60" customWidth="1"/>
    <col min="36" max="36" width="2.7109375" style="60" customWidth="1"/>
    <col min="37" max="37" width="4" style="60" customWidth="1"/>
    <col min="38" max="59" width="2.7109375" style="60" customWidth="1"/>
    <col min="60" max="60" width="1.5703125" style="60" customWidth="1"/>
    <col min="61" max="255" width="2.7109375" style="60"/>
    <col min="256" max="258" width="2.7109375" style="60" customWidth="1"/>
    <col min="259" max="259" width="3.7109375" style="60" customWidth="1"/>
    <col min="260" max="261" width="5" style="60" customWidth="1"/>
    <col min="262" max="262" width="5.5703125" style="60" customWidth="1"/>
    <col min="263" max="263" width="5.140625" style="60" customWidth="1"/>
    <col min="264" max="264" width="4.42578125" style="60" customWidth="1"/>
    <col min="265" max="265" width="2.7109375" style="60" customWidth="1"/>
    <col min="266" max="266" width="2.5703125" style="60" customWidth="1"/>
    <col min="267" max="268" width="2.7109375" style="60" customWidth="1"/>
    <col min="269" max="272" width="3" style="60" customWidth="1"/>
    <col min="273" max="276" width="2.7109375" style="60" customWidth="1"/>
    <col min="277" max="277" width="2.85546875" style="60" customWidth="1"/>
    <col min="278" max="283" width="2.7109375" style="60" customWidth="1"/>
    <col min="284" max="284" width="3.42578125" style="60" customWidth="1"/>
    <col min="285" max="285" width="2.7109375" style="60" customWidth="1"/>
    <col min="286" max="290" width="3.5703125" style="60" customWidth="1"/>
    <col min="291" max="315" width="2.7109375" style="60" customWidth="1"/>
    <col min="316" max="316" width="1.5703125" style="60" customWidth="1"/>
    <col min="317" max="511" width="2.7109375" style="60"/>
    <col min="512" max="514" width="2.7109375" style="60" customWidth="1"/>
    <col min="515" max="515" width="3.7109375" style="60" customWidth="1"/>
    <col min="516" max="517" width="5" style="60" customWidth="1"/>
    <col min="518" max="518" width="5.5703125" style="60" customWidth="1"/>
    <col min="519" max="519" width="5.140625" style="60" customWidth="1"/>
    <col min="520" max="520" width="4.42578125" style="60" customWidth="1"/>
    <col min="521" max="521" width="2.7109375" style="60" customWidth="1"/>
    <col min="522" max="522" width="2.5703125" style="60" customWidth="1"/>
    <col min="523" max="524" width="2.7109375" style="60" customWidth="1"/>
    <col min="525" max="528" width="3" style="60" customWidth="1"/>
    <col min="529" max="532" width="2.7109375" style="60" customWidth="1"/>
    <col min="533" max="533" width="2.85546875" style="60" customWidth="1"/>
    <col min="534" max="539" width="2.7109375" style="60" customWidth="1"/>
    <col min="540" max="540" width="3.42578125" style="60" customWidth="1"/>
    <col min="541" max="541" width="2.7109375" style="60" customWidth="1"/>
    <col min="542" max="546" width="3.5703125" style="60" customWidth="1"/>
    <col min="547" max="571" width="2.7109375" style="60" customWidth="1"/>
    <col min="572" max="572" width="1.5703125" style="60" customWidth="1"/>
    <col min="573" max="767" width="2.7109375" style="60"/>
    <col min="768" max="770" width="2.7109375" style="60" customWidth="1"/>
    <col min="771" max="771" width="3.7109375" style="60" customWidth="1"/>
    <col min="772" max="773" width="5" style="60" customWidth="1"/>
    <col min="774" max="774" width="5.5703125" style="60" customWidth="1"/>
    <col min="775" max="775" width="5.140625" style="60" customWidth="1"/>
    <col min="776" max="776" width="4.42578125" style="60" customWidth="1"/>
    <col min="777" max="777" width="2.7109375" style="60" customWidth="1"/>
    <col min="778" max="778" width="2.5703125" style="60" customWidth="1"/>
    <col min="779" max="780" width="2.7109375" style="60" customWidth="1"/>
    <col min="781" max="784" width="3" style="60" customWidth="1"/>
    <col min="785" max="788" width="2.7109375" style="60" customWidth="1"/>
    <col min="789" max="789" width="2.85546875" style="60" customWidth="1"/>
    <col min="790" max="795" width="2.7109375" style="60" customWidth="1"/>
    <col min="796" max="796" width="3.42578125" style="60" customWidth="1"/>
    <col min="797" max="797" width="2.7109375" style="60" customWidth="1"/>
    <col min="798" max="802" width="3.5703125" style="60" customWidth="1"/>
    <col min="803" max="827" width="2.7109375" style="60" customWidth="1"/>
    <col min="828" max="828" width="1.5703125" style="60" customWidth="1"/>
    <col min="829" max="1023" width="2.7109375" style="60"/>
    <col min="1024" max="1026" width="2.7109375" style="60" customWidth="1"/>
    <col min="1027" max="1027" width="3.7109375" style="60" customWidth="1"/>
    <col min="1028" max="1029" width="5" style="60" customWidth="1"/>
    <col min="1030" max="1030" width="5.5703125" style="60" customWidth="1"/>
    <col min="1031" max="1031" width="5.140625" style="60" customWidth="1"/>
    <col min="1032" max="1032" width="4.42578125" style="60" customWidth="1"/>
    <col min="1033" max="1033" width="2.7109375" style="60" customWidth="1"/>
    <col min="1034" max="1034" width="2.5703125" style="60" customWidth="1"/>
    <col min="1035" max="1036" width="2.7109375" style="60" customWidth="1"/>
    <col min="1037" max="1040" width="3" style="60" customWidth="1"/>
    <col min="1041" max="1044" width="2.7109375" style="60" customWidth="1"/>
    <col min="1045" max="1045" width="2.85546875" style="60" customWidth="1"/>
    <col min="1046" max="1051" width="2.7109375" style="60" customWidth="1"/>
    <col min="1052" max="1052" width="3.42578125" style="60" customWidth="1"/>
    <col min="1053" max="1053" width="2.7109375" style="60" customWidth="1"/>
    <col min="1054" max="1058" width="3.5703125" style="60" customWidth="1"/>
    <col min="1059" max="1083" width="2.7109375" style="60" customWidth="1"/>
    <col min="1084" max="1084" width="1.5703125" style="60" customWidth="1"/>
    <col min="1085" max="1279" width="2.7109375" style="60"/>
    <col min="1280" max="1282" width="2.7109375" style="60" customWidth="1"/>
    <col min="1283" max="1283" width="3.7109375" style="60" customWidth="1"/>
    <col min="1284" max="1285" width="5" style="60" customWidth="1"/>
    <col min="1286" max="1286" width="5.5703125" style="60" customWidth="1"/>
    <col min="1287" max="1287" width="5.140625" style="60" customWidth="1"/>
    <col min="1288" max="1288" width="4.42578125" style="60" customWidth="1"/>
    <col min="1289" max="1289" width="2.7109375" style="60" customWidth="1"/>
    <col min="1290" max="1290" width="2.5703125" style="60" customWidth="1"/>
    <col min="1291" max="1292" width="2.7109375" style="60" customWidth="1"/>
    <col min="1293" max="1296" width="3" style="60" customWidth="1"/>
    <col min="1297" max="1300" width="2.7109375" style="60" customWidth="1"/>
    <col min="1301" max="1301" width="2.85546875" style="60" customWidth="1"/>
    <col min="1302" max="1307" width="2.7109375" style="60" customWidth="1"/>
    <col min="1308" max="1308" width="3.42578125" style="60" customWidth="1"/>
    <col min="1309" max="1309" width="2.7109375" style="60" customWidth="1"/>
    <col min="1310" max="1314" width="3.5703125" style="60" customWidth="1"/>
    <col min="1315" max="1339" width="2.7109375" style="60" customWidth="1"/>
    <col min="1340" max="1340" width="1.5703125" style="60" customWidth="1"/>
    <col min="1341" max="1535" width="2.7109375" style="60"/>
    <col min="1536" max="1538" width="2.7109375" style="60" customWidth="1"/>
    <col min="1539" max="1539" width="3.7109375" style="60" customWidth="1"/>
    <col min="1540" max="1541" width="5" style="60" customWidth="1"/>
    <col min="1542" max="1542" width="5.5703125" style="60" customWidth="1"/>
    <col min="1543" max="1543" width="5.140625" style="60" customWidth="1"/>
    <col min="1544" max="1544" width="4.42578125" style="60" customWidth="1"/>
    <col min="1545" max="1545" width="2.7109375" style="60" customWidth="1"/>
    <col min="1546" max="1546" width="2.5703125" style="60" customWidth="1"/>
    <col min="1547" max="1548" width="2.7109375" style="60" customWidth="1"/>
    <col min="1549" max="1552" width="3" style="60" customWidth="1"/>
    <col min="1553" max="1556" width="2.7109375" style="60" customWidth="1"/>
    <col min="1557" max="1557" width="2.85546875" style="60" customWidth="1"/>
    <col min="1558" max="1563" width="2.7109375" style="60" customWidth="1"/>
    <col min="1564" max="1564" width="3.42578125" style="60" customWidth="1"/>
    <col min="1565" max="1565" width="2.7109375" style="60" customWidth="1"/>
    <col min="1566" max="1570" width="3.5703125" style="60" customWidth="1"/>
    <col min="1571" max="1595" width="2.7109375" style="60" customWidth="1"/>
    <col min="1596" max="1596" width="1.5703125" style="60" customWidth="1"/>
    <col min="1597" max="1791" width="2.7109375" style="60"/>
    <col min="1792" max="1794" width="2.7109375" style="60" customWidth="1"/>
    <col min="1795" max="1795" width="3.7109375" style="60" customWidth="1"/>
    <col min="1796" max="1797" width="5" style="60" customWidth="1"/>
    <col min="1798" max="1798" width="5.5703125" style="60" customWidth="1"/>
    <col min="1799" max="1799" width="5.140625" style="60" customWidth="1"/>
    <col min="1800" max="1800" width="4.42578125" style="60" customWidth="1"/>
    <col min="1801" max="1801" width="2.7109375" style="60" customWidth="1"/>
    <col min="1802" max="1802" width="2.5703125" style="60" customWidth="1"/>
    <col min="1803" max="1804" width="2.7109375" style="60" customWidth="1"/>
    <col min="1805" max="1808" width="3" style="60" customWidth="1"/>
    <col min="1809" max="1812" width="2.7109375" style="60" customWidth="1"/>
    <col min="1813" max="1813" width="2.85546875" style="60" customWidth="1"/>
    <col min="1814" max="1819" width="2.7109375" style="60" customWidth="1"/>
    <col min="1820" max="1820" width="3.42578125" style="60" customWidth="1"/>
    <col min="1821" max="1821" width="2.7109375" style="60" customWidth="1"/>
    <col min="1822" max="1826" width="3.5703125" style="60" customWidth="1"/>
    <col min="1827" max="1851" width="2.7109375" style="60" customWidth="1"/>
    <col min="1852" max="1852" width="1.5703125" style="60" customWidth="1"/>
    <col min="1853" max="2047" width="2.7109375" style="60"/>
    <col min="2048" max="2050" width="2.7109375" style="60" customWidth="1"/>
    <col min="2051" max="2051" width="3.7109375" style="60" customWidth="1"/>
    <col min="2052" max="2053" width="5" style="60" customWidth="1"/>
    <col min="2054" max="2054" width="5.5703125" style="60" customWidth="1"/>
    <col min="2055" max="2055" width="5.140625" style="60" customWidth="1"/>
    <col min="2056" max="2056" width="4.42578125" style="60" customWidth="1"/>
    <col min="2057" max="2057" width="2.7109375" style="60" customWidth="1"/>
    <col min="2058" max="2058" width="2.5703125" style="60" customWidth="1"/>
    <col min="2059" max="2060" width="2.7109375" style="60" customWidth="1"/>
    <col min="2061" max="2064" width="3" style="60" customWidth="1"/>
    <col min="2065" max="2068" width="2.7109375" style="60" customWidth="1"/>
    <col min="2069" max="2069" width="2.85546875" style="60" customWidth="1"/>
    <col min="2070" max="2075" width="2.7109375" style="60" customWidth="1"/>
    <col min="2076" max="2076" width="3.42578125" style="60" customWidth="1"/>
    <col min="2077" max="2077" width="2.7109375" style="60" customWidth="1"/>
    <col min="2078" max="2082" width="3.5703125" style="60" customWidth="1"/>
    <col min="2083" max="2107" width="2.7109375" style="60" customWidth="1"/>
    <col min="2108" max="2108" width="1.5703125" style="60" customWidth="1"/>
    <col min="2109" max="2303" width="2.7109375" style="60"/>
    <col min="2304" max="2306" width="2.7109375" style="60" customWidth="1"/>
    <col min="2307" max="2307" width="3.7109375" style="60" customWidth="1"/>
    <col min="2308" max="2309" width="5" style="60" customWidth="1"/>
    <col min="2310" max="2310" width="5.5703125" style="60" customWidth="1"/>
    <col min="2311" max="2311" width="5.140625" style="60" customWidth="1"/>
    <col min="2312" max="2312" width="4.42578125" style="60" customWidth="1"/>
    <col min="2313" max="2313" width="2.7109375" style="60" customWidth="1"/>
    <col min="2314" max="2314" width="2.5703125" style="60" customWidth="1"/>
    <col min="2315" max="2316" width="2.7109375" style="60" customWidth="1"/>
    <col min="2317" max="2320" width="3" style="60" customWidth="1"/>
    <col min="2321" max="2324" width="2.7109375" style="60" customWidth="1"/>
    <col min="2325" max="2325" width="2.85546875" style="60" customWidth="1"/>
    <col min="2326" max="2331" width="2.7109375" style="60" customWidth="1"/>
    <col min="2332" max="2332" width="3.42578125" style="60" customWidth="1"/>
    <col min="2333" max="2333" width="2.7109375" style="60" customWidth="1"/>
    <col min="2334" max="2338" width="3.5703125" style="60" customWidth="1"/>
    <col min="2339" max="2363" width="2.7109375" style="60" customWidth="1"/>
    <col min="2364" max="2364" width="1.5703125" style="60" customWidth="1"/>
    <col min="2365" max="2559" width="2.7109375" style="60"/>
    <col min="2560" max="2562" width="2.7109375" style="60" customWidth="1"/>
    <col min="2563" max="2563" width="3.7109375" style="60" customWidth="1"/>
    <col min="2564" max="2565" width="5" style="60" customWidth="1"/>
    <col min="2566" max="2566" width="5.5703125" style="60" customWidth="1"/>
    <col min="2567" max="2567" width="5.140625" style="60" customWidth="1"/>
    <col min="2568" max="2568" width="4.42578125" style="60" customWidth="1"/>
    <col min="2569" max="2569" width="2.7109375" style="60" customWidth="1"/>
    <col min="2570" max="2570" width="2.5703125" style="60" customWidth="1"/>
    <col min="2571" max="2572" width="2.7109375" style="60" customWidth="1"/>
    <col min="2573" max="2576" width="3" style="60" customWidth="1"/>
    <col min="2577" max="2580" width="2.7109375" style="60" customWidth="1"/>
    <col min="2581" max="2581" width="2.85546875" style="60" customWidth="1"/>
    <col min="2582" max="2587" width="2.7109375" style="60" customWidth="1"/>
    <col min="2588" max="2588" width="3.42578125" style="60" customWidth="1"/>
    <col min="2589" max="2589" width="2.7109375" style="60" customWidth="1"/>
    <col min="2590" max="2594" width="3.5703125" style="60" customWidth="1"/>
    <col min="2595" max="2619" width="2.7109375" style="60" customWidth="1"/>
    <col min="2620" max="2620" width="1.5703125" style="60" customWidth="1"/>
    <col min="2621" max="2815" width="2.7109375" style="60"/>
    <col min="2816" max="2818" width="2.7109375" style="60" customWidth="1"/>
    <col min="2819" max="2819" width="3.7109375" style="60" customWidth="1"/>
    <col min="2820" max="2821" width="5" style="60" customWidth="1"/>
    <col min="2822" max="2822" width="5.5703125" style="60" customWidth="1"/>
    <col min="2823" max="2823" width="5.140625" style="60" customWidth="1"/>
    <col min="2824" max="2824" width="4.42578125" style="60" customWidth="1"/>
    <col min="2825" max="2825" width="2.7109375" style="60" customWidth="1"/>
    <col min="2826" max="2826" width="2.5703125" style="60" customWidth="1"/>
    <col min="2827" max="2828" width="2.7109375" style="60" customWidth="1"/>
    <col min="2829" max="2832" width="3" style="60" customWidth="1"/>
    <col min="2833" max="2836" width="2.7109375" style="60" customWidth="1"/>
    <col min="2837" max="2837" width="2.85546875" style="60" customWidth="1"/>
    <col min="2838" max="2843" width="2.7109375" style="60" customWidth="1"/>
    <col min="2844" max="2844" width="3.42578125" style="60" customWidth="1"/>
    <col min="2845" max="2845" width="2.7109375" style="60" customWidth="1"/>
    <col min="2846" max="2850" width="3.5703125" style="60" customWidth="1"/>
    <col min="2851" max="2875" width="2.7109375" style="60" customWidth="1"/>
    <col min="2876" max="2876" width="1.5703125" style="60" customWidth="1"/>
    <col min="2877" max="3071" width="2.7109375" style="60"/>
    <col min="3072" max="3074" width="2.7109375" style="60" customWidth="1"/>
    <col min="3075" max="3075" width="3.7109375" style="60" customWidth="1"/>
    <col min="3076" max="3077" width="5" style="60" customWidth="1"/>
    <col min="3078" max="3078" width="5.5703125" style="60" customWidth="1"/>
    <col min="3079" max="3079" width="5.140625" style="60" customWidth="1"/>
    <col min="3080" max="3080" width="4.42578125" style="60" customWidth="1"/>
    <col min="3081" max="3081" width="2.7109375" style="60" customWidth="1"/>
    <col min="3082" max="3082" width="2.5703125" style="60" customWidth="1"/>
    <col min="3083" max="3084" width="2.7109375" style="60" customWidth="1"/>
    <col min="3085" max="3088" width="3" style="60" customWidth="1"/>
    <col min="3089" max="3092" width="2.7109375" style="60" customWidth="1"/>
    <col min="3093" max="3093" width="2.85546875" style="60" customWidth="1"/>
    <col min="3094" max="3099" width="2.7109375" style="60" customWidth="1"/>
    <col min="3100" max="3100" width="3.42578125" style="60" customWidth="1"/>
    <col min="3101" max="3101" width="2.7109375" style="60" customWidth="1"/>
    <col min="3102" max="3106" width="3.5703125" style="60" customWidth="1"/>
    <col min="3107" max="3131" width="2.7109375" style="60" customWidth="1"/>
    <col min="3132" max="3132" width="1.5703125" style="60" customWidth="1"/>
    <col min="3133" max="3327" width="2.7109375" style="60"/>
    <col min="3328" max="3330" width="2.7109375" style="60" customWidth="1"/>
    <col min="3331" max="3331" width="3.7109375" style="60" customWidth="1"/>
    <col min="3332" max="3333" width="5" style="60" customWidth="1"/>
    <col min="3334" max="3334" width="5.5703125" style="60" customWidth="1"/>
    <col min="3335" max="3335" width="5.140625" style="60" customWidth="1"/>
    <col min="3336" max="3336" width="4.42578125" style="60" customWidth="1"/>
    <col min="3337" max="3337" width="2.7109375" style="60" customWidth="1"/>
    <col min="3338" max="3338" width="2.5703125" style="60" customWidth="1"/>
    <col min="3339" max="3340" width="2.7109375" style="60" customWidth="1"/>
    <col min="3341" max="3344" width="3" style="60" customWidth="1"/>
    <col min="3345" max="3348" width="2.7109375" style="60" customWidth="1"/>
    <col min="3349" max="3349" width="2.85546875" style="60" customWidth="1"/>
    <col min="3350" max="3355" width="2.7109375" style="60" customWidth="1"/>
    <col min="3356" max="3356" width="3.42578125" style="60" customWidth="1"/>
    <col min="3357" max="3357" width="2.7109375" style="60" customWidth="1"/>
    <col min="3358" max="3362" width="3.5703125" style="60" customWidth="1"/>
    <col min="3363" max="3387" width="2.7109375" style="60" customWidth="1"/>
    <col min="3388" max="3388" width="1.5703125" style="60" customWidth="1"/>
    <col min="3389" max="3583" width="2.7109375" style="60"/>
    <col min="3584" max="3586" width="2.7109375" style="60" customWidth="1"/>
    <col min="3587" max="3587" width="3.7109375" style="60" customWidth="1"/>
    <col min="3588" max="3589" width="5" style="60" customWidth="1"/>
    <col min="3590" max="3590" width="5.5703125" style="60" customWidth="1"/>
    <col min="3591" max="3591" width="5.140625" style="60" customWidth="1"/>
    <col min="3592" max="3592" width="4.42578125" style="60" customWidth="1"/>
    <col min="3593" max="3593" width="2.7109375" style="60" customWidth="1"/>
    <col min="3594" max="3594" width="2.5703125" style="60" customWidth="1"/>
    <col min="3595" max="3596" width="2.7109375" style="60" customWidth="1"/>
    <col min="3597" max="3600" width="3" style="60" customWidth="1"/>
    <col min="3601" max="3604" width="2.7109375" style="60" customWidth="1"/>
    <col min="3605" max="3605" width="2.85546875" style="60" customWidth="1"/>
    <col min="3606" max="3611" width="2.7109375" style="60" customWidth="1"/>
    <col min="3612" max="3612" width="3.42578125" style="60" customWidth="1"/>
    <col min="3613" max="3613" width="2.7109375" style="60" customWidth="1"/>
    <col min="3614" max="3618" width="3.5703125" style="60" customWidth="1"/>
    <col min="3619" max="3643" width="2.7109375" style="60" customWidth="1"/>
    <col min="3644" max="3644" width="1.5703125" style="60" customWidth="1"/>
    <col min="3645" max="3839" width="2.7109375" style="60"/>
    <col min="3840" max="3842" width="2.7109375" style="60" customWidth="1"/>
    <col min="3843" max="3843" width="3.7109375" style="60" customWidth="1"/>
    <col min="3844" max="3845" width="5" style="60" customWidth="1"/>
    <col min="3846" max="3846" width="5.5703125" style="60" customWidth="1"/>
    <col min="3847" max="3847" width="5.140625" style="60" customWidth="1"/>
    <col min="3848" max="3848" width="4.42578125" style="60" customWidth="1"/>
    <col min="3849" max="3849" width="2.7109375" style="60" customWidth="1"/>
    <col min="3850" max="3850" width="2.5703125" style="60" customWidth="1"/>
    <col min="3851" max="3852" width="2.7109375" style="60" customWidth="1"/>
    <col min="3853" max="3856" width="3" style="60" customWidth="1"/>
    <col min="3857" max="3860" width="2.7109375" style="60" customWidth="1"/>
    <col min="3861" max="3861" width="2.85546875" style="60" customWidth="1"/>
    <col min="3862" max="3867" width="2.7109375" style="60" customWidth="1"/>
    <col min="3868" max="3868" width="3.42578125" style="60" customWidth="1"/>
    <col min="3869" max="3869" width="2.7109375" style="60" customWidth="1"/>
    <col min="3870" max="3874" width="3.5703125" style="60" customWidth="1"/>
    <col min="3875" max="3899" width="2.7109375" style="60" customWidth="1"/>
    <col min="3900" max="3900" width="1.5703125" style="60" customWidth="1"/>
    <col min="3901" max="4095" width="2.7109375" style="60"/>
    <col min="4096" max="4098" width="2.7109375" style="60" customWidth="1"/>
    <col min="4099" max="4099" width="3.7109375" style="60" customWidth="1"/>
    <col min="4100" max="4101" width="5" style="60" customWidth="1"/>
    <col min="4102" max="4102" width="5.5703125" style="60" customWidth="1"/>
    <col min="4103" max="4103" width="5.140625" style="60" customWidth="1"/>
    <col min="4104" max="4104" width="4.42578125" style="60" customWidth="1"/>
    <col min="4105" max="4105" width="2.7109375" style="60" customWidth="1"/>
    <col min="4106" max="4106" width="2.5703125" style="60" customWidth="1"/>
    <col min="4107" max="4108" width="2.7109375" style="60" customWidth="1"/>
    <col min="4109" max="4112" width="3" style="60" customWidth="1"/>
    <col min="4113" max="4116" width="2.7109375" style="60" customWidth="1"/>
    <col min="4117" max="4117" width="2.85546875" style="60" customWidth="1"/>
    <col min="4118" max="4123" width="2.7109375" style="60" customWidth="1"/>
    <col min="4124" max="4124" width="3.42578125" style="60" customWidth="1"/>
    <col min="4125" max="4125" width="2.7109375" style="60" customWidth="1"/>
    <col min="4126" max="4130" width="3.5703125" style="60" customWidth="1"/>
    <col min="4131" max="4155" width="2.7109375" style="60" customWidth="1"/>
    <col min="4156" max="4156" width="1.5703125" style="60" customWidth="1"/>
    <col min="4157" max="4351" width="2.7109375" style="60"/>
    <col min="4352" max="4354" width="2.7109375" style="60" customWidth="1"/>
    <col min="4355" max="4355" width="3.7109375" style="60" customWidth="1"/>
    <col min="4356" max="4357" width="5" style="60" customWidth="1"/>
    <col min="4358" max="4358" width="5.5703125" style="60" customWidth="1"/>
    <col min="4359" max="4359" width="5.140625" style="60" customWidth="1"/>
    <col min="4360" max="4360" width="4.42578125" style="60" customWidth="1"/>
    <col min="4361" max="4361" width="2.7109375" style="60" customWidth="1"/>
    <col min="4362" max="4362" width="2.5703125" style="60" customWidth="1"/>
    <col min="4363" max="4364" width="2.7109375" style="60" customWidth="1"/>
    <col min="4365" max="4368" width="3" style="60" customWidth="1"/>
    <col min="4369" max="4372" width="2.7109375" style="60" customWidth="1"/>
    <col min="4373" max="4373" width="2.85546875" style="60" customWidth="1"/>
    <col min="4374" max="4379" width="2.7109375" style="60" customWidth="1"/>
    <col min="4380" max="4380" width="3.42578125" style="60" customWidth="1"/>
    <col min="4381" max="4381" width="2.7109375" style="60" customWidth="1"/>
    <col min="4382" max="4386" width="3.5703125" style="60" customWidth="1"/>
    <col min="4387" max="4411" width="2.7109375" style="60" customWidth="1"/>
    <col min="4412" max="4412" width="1.5703125" style="60" customWidth="1"/>
    <col min="4413" max="4607" width="2.7109375" style="60"/>
    <col min="4608" max="4610" width="2.7109375" style="60" customWidth="1"/>
    <col min="4611" max="4611" width="3.7109375" style="60" customWidth="1"/>
    <col min="4612" max="4613" width="5" style="60" customWidth="1"/>
    <col min="4614" max="4614" width="5.5703125" style="60" customWidth="1"/>
    <col min="4615" max="4615" width="5.140625" style="60" customWidth="1"/>
    <col min="4616" max="4616" width="4.42578125" style="60" customWidth="1"/>
    <col min="4617" max="4617" width="2.7109375" style="60" customWidth="1"/>
    <col min="4618" max="4618" width="2.5703125" style="60" customWidth="1"/>
    <col min="4619" max="4620" width="2.7109375" style="60" customWidth="1"/>
    <col min="4621" max="4624" width="3" style="60" customWidth="1"/>
    <col min="4625" max="4628" width="2.7109375" style="60" customWidth="1"/>
    <col min="4629" max="4629" width="2.85546875" style="60" customWidth="1"/>
    <col min="4630" max="4635" width="2.7109375" style="60" customWidth="1"/>
    <col min="4636" max="4636" width="3.42578125" style="60" customWidth="1"/>
    <col min="4637" max="4637" width="2.7109375" style="60" customWidth="1"/>
    <col min="4638" max="4642" width="3.5703125" style="60" customWidth="1"/>
    <col min="4643" max="4667" width="2.7109375" style="60" customWidth="1"/>
    <col min="4668" max="4668" width="1.5703125" style="60" customWidth="1"/>
    <col min="4669" max="4863" width="2.7109375" style="60"/>
    <col min="4864" max="4866" width="2.7109375" style="60" customWidth="1"/>
    <col min="4867" max="4867" width="3.7109375" style="60" customWidth="1"/>
    <col min="4868" max="4869" width="5" style="60" customWidth="1"/>
    <col min="4870" max="4870" width="5.5703125" style="60" customWidth="1"/>
    <col min="4871" max="4871" width="5.140625" style="60" customWidth="1"/>
    <col min="4872" max="4872" width="4.42578125" style="60" customWidth="1"/>
    <col min="4873" max="4873" width="2.7109375" style="60" customWidth="1"/>
    <col min="4874" max="4874" width="2.5703125" style="60" customWidth="1"/>
    <col min="4875" max="4876" width="2.7109375" style="60" customWidth="1"/>
    <col min="4877" max="4880" width="3" style="60" customWidth="1"/>
    <col min="4881" max="4884" width="2.7109375" style="60" customWidth="1"/>
    <col min="4885" max="4885" width="2.85546875" style="60" customWidth="1"/>
    <col min="4886" max="4891" width="2.7109375" style="60" customWidth="1"/>
    <col min="4892" max="4892" width="3.42578125" style="60" customWidth="1"/>
    <col min="4893" max="4893" width="2.7109375" style="60" customWidth="1"/>
    <col min="4894" max="4898" width="3.5703125" style="60" customWidth="1"/>
    <col min="4899" max="4923" width="2.7109375" style="60" customWidth="1"/>
    <col min="4924" max="4924" width="1.5703125" style="60" customWidth="1"/>
    <col min="4925" max="5119" width="2.7109375" style="60"/>
    <col min="5120" max="5122" width="2.7109375" style="60" customWidth="1"/>
    <col min="5123" max="5123" width="3.7109375" style="60" customWidth="1"/>
    <col min="5124" max="5125" width="5" style="60" customWidth="1"/>
    <col min="5126" max="5126" width="5.5703125" style="60" customWidth="1"/>
    <col min="5127" max="5127" width="5.140625" style="60" customWidth="1"/>
    <col min="5128" max="5128" width="4.42578125" style="60" customWidth="1"/>
    <col min="5129" max="5129" width="2.7109375" style="60" customWidth="1"/>
    <col min="5130" max="5130" width="2.5703125" style="60" customWidth="1"/>
    <col min="5131" max="5132" width="2.7109375" style="60" customWidth="1"/>
    <col min="5133" max="5136" width="3" style="60" customWidth="1"/>
    <col min="5137" max="5140" width="2.7109375" style="60" customWidth="1"/>
    <col min="5141" max="5141" width="2.85546875" style="60" customWidth="1"/>
    <col min="5142" max="5147" width="2.7109375" style="60" customWidth="1"/>
    <col min="5148" max="5148" width="3.42578125" style="60" customWidth="1"/>
    <col min="5149" max="5149" width="2.7109375" style="60" customWidth="1"/>
    <col min="5150" max="5154" width="3.5703125" style="60" customWidth="1"/>
    <col min="5155" max="5179" width="2.7109375" style="60" customWidth="1"/>
    <col min="5180" max="5180" width="1.5703125" style="60" customWidth="1"/>
    <col min="5181" max="5375" width="2.7109375" style="60"/>
    <col min="5376" max="5378" width="2.7109375" style="60" customWidth="1"/>
    <col min="5379" max="5379" width="3.7109375" style="60" customWidth="1"/>
    <col min="5380" max="5381" width="5" style="60" customWidth="1"/>
    <col min="5382" max="5382" width="5.5703125" style="60" customWidth="1"/>
    <col min="5383" max="5383" width="5.140625" style="60" customWidth="1"/>
    <col min="5384" max="5384" width="4.42578125" style="60" customWidth="1"/>
    <col min="5385" max="5385" width="2.7109375" style="60" customWidth="1"/>
    <col min="5386" max="5386" width="2.5703125" style="60" customWidth="1"/>
    <col min="5387" max="5388" width="2.7109375" style="60" customWidth="1"/>
    <col min="5389" max="5392" width="3" style="60" customWidth="1"/>
    <col min="5393" max="5396" width="2.7109375" style="60" customWidth="1"/>
    <col min="5397" max="5397" width="2.85546875" style="60" customWidth="1"/>
    <col min="5398" max="5403" width="2.7109375" style="60" customWidth="1"/>
    <col min="5404" max="5404" width="3.42578125" style="60" customWidth="1"/>
    <col min="5405" max="5405" width="2.7109375" style="60" customWidth="1"/>
    <col min="5406" max="5410" width="3.5703125" style="60" customWidth="1"/>
    <col min="5411" max="5435" width="2.7109375" style="60" customWidth="1"/>
    <col min="5436" max="5436" width="1.5703125" style="60" customWidth="1"/>
    <col min="5437" max="5631" width="2.7109375" style="60"/>
    <col min="5632" max="5634" width="2.7109375" style="60" customWidth="1"/>
    <col min="5635" max="5635" width="3.7109375" style="60" customWidth="1"/>
    <col min="5636" max="5637" width="5" style="60" customWidth="1"/>
    <col min="5638" max="5638" width="5.5703125" style="60" customWidth="1"/>
    <col min="5639" max="5639" width="5.140625" style="60" customWidth="1"/>
    <col min="5640" max="5640" width="4.42578125" style="60" customWidth="1"/>
    <col min="5641" max="5641" width="2.7109375" style="60" customWidth="1"/>
    <col min="5642" max="5642" width="2.5703125" style="60" customWidth="1"/>
    <col min="5643" max="5644" width="2.7109375" style="60" customWidth="1"/>
    <col min="5645" max="5648" width="3" style="60" customWidth="1"/>
    <col min="5649" max="5652" width="2.7109375" style="60" customWidth="1"/>
    <col min="5653" max="5653" width="2.85546875" style="60" customWidth="1"/>
    <col min="5654" max="5659" width="2.7109375" style="60" customWidth="1"/>
    <col min="5660" max="5660" width="3.42578125" style="60" customWidth="1"/>
    <col min="5661" max="5661" width="2.7109375" style="60" customWidth="1"/>
    <col min="5662" max="5666" width="3.5703125" style="60" customWidth="1"/>
    <col min="5667" max="5691" width="2.7109375" style="60" customWidth="1"/>
    <col min="5692" max="5692" width="1.5703125" style="60" customWidth="1"/>
    <col min="5693" max="5887" width="2.7109375" style="60"/>
    <col min="5888" max="5890" width="2.7109375" style="60" customWidth="1"/>
    <col min="5891" max="5891" width="3.7109375" style="60" customWidth="1"/>
    <col min="5892" max="5893" width="5" style="60" customWidth="1"/>
    <col min="5894" max="5894" width="5.5703125" style="60" customWidth="1"/>
    <col min="5895" max="5895" width="5.140625" style="60" customWidth="1"/>
    <col min="5896" max="5896" width="4.42578125" style="60" customWidth="1"/>
    <col min="5897" max="5897" width="2.7109375" style="60" customWidth="1"/>
    <col min="5898" max="5898" width="2.5703125" style="60" customWidth="1"/>
    <col min="5899" max="5900" width="2.7109375" style="60" customWidth="1"/>
    <col min="5901" max="5904" width="3" style="60" customWidth="1"/>
    <col min="5905" max="5908" width="2.7109375" style="60" customWidth="1"/>
    <col min="5909" max="5909" width="2.85546875" style="60" customWidth="1"/>
    <col min="5910" max="5915" width="2.7109375" style="60" customWidth="1"/>
    <col min="5916" max="5916" width="3.42578125" style="60" customWidth="1"/>
    <col min="5917" max="5917" width="2.7109375" style="60" customWidth="1"/>
    <col min="5918" max="5922" width="3.5703125" style="60" customWidth="1"/>
    <col min="5923" max="5947" width="2.7109375" style="60" customWidth="1"/>
    <col min="5948" max="5948" width="1.5703125" style="60" customWidth="1"/>
    <col min="5949" max="6143" width="2.7109375" style="60"/>
    <col min="6144" max="6146" width="2.7109375" style="60" customWidth="1"/>
    <col min="6147" max="6147" width="3.7109375" style="60" customWidth="1"/>
    <col min="6148" max="6149" width="5" style="60" customWidth="1"/>
    <col min="6150" max="6150" width="5.5703125" style="60" customWidth="1"/>
    <col min="6151" max="6151" width="5.140625" style="60" customWidth="1"/>
    <col min="6152" max="6152" width="4.42578125" style="60" customWidth="1"/>
    <col min="6153" max="6153" width="2.7109375" style="60" customWidth="1"/>
    <col min="6154" max="6154" width="2.5703125" style="60" customWidth="1"/>
    <col min="6155" max="6156" width="2.7109375" style="60" customWidth="1"/>
    <col min="6157" max="6160" width="3" style="60" customWidth="1"/>
    <col min="6161" max="6164" width="2.7109375" style="60" customWidth="1"/>
    <col min="6165" max="6165" width="2.85546875" style="60" customWidth="1"/>
    <col min="6166" max="6171" width="2.7109375" style="60" customWidth="1"/>
    <col min="6172" max="6172" width="3.42578125" style="60" customWidth="1"/>
    <col min="6173" max="6173" width="2.7109375" style="60" customWidth="1"/>
    <col min="6174" max="6178" width="3.5703125" style="60" customWidth="1"/>
    <col min="6179" max="6203" width="2.7109375" style="60" customWidth="1"/>
    <col min="6204" max="6204" width="1.5703125" style="60" customWidth="1"/>
    <col min="6205" max="6399" width="2.7109375" style="60"/>
    <col min="6400" max="6402" width="2.7109375" style="60" customWidth="1"/>
    <col min="6403" max="6403" width="3.7109375" style="60" customWidth="1"/>
    <col min="6404" max="6405" width="5" style="60" customWidth="1"/>
    <col min="6406" max="6406" width="5.5703125" style="60" customWidth="1"/>
    <col min="6407" max="6407" width="5.140625" style="60" customWidth="1"/>
    <col min="6408" max="6408" width="4.42578125" style="60" customWidth="1"/>
    <col min="6409" max="6409" width="2.7109375" style="60" customWidth="1"/>
    <col min="6410" max="6410" width="2.5703125" style="60" customWidth="1"/>
    <col min="6411" max="6412" width="2.7109375" style="60" customWidth="1"/>
    <col min="6413" max="6416" width="3" style="60" customWidth="1"/>
    <col min="6417" max="6420" width="2.7109375" style="60" customWidth="1"/>
    <col min="6421" max="6421" width="2.85546875" style="60" customWidth="1"/>
    <col min="6422" max="6427" width="2.7109375" style="60" customWidth="1"/>
    <col min="6428" max="6428" width="3.42578125" style="60" customWidth="1"/>
    <col min="6429" max="6429" width="2.7109375" style="60" customWidth="1"/>
    <col min="6430" max="6434" width="3.5703125" style="60" customWidth="1"/>
    <col min="6435" max="6459" width="2.7109375" style="60" customWidth="1"/>
    <col min="6460" max="6460" width="1.5703125" style="60" customWidth="1"/>
    <col min="6461" max="6655" width="2.7109375" style="60"/>
    <col min="6656" max="6658" width="2.7109375" style="60" customWidth="1"/>
    <col min="6659" max="6659" width="3.7109375" style="60" customWidth="1"/>
    <col min="6660" max="6661" width="5" style="60" customWidth="1"/>
    <col min="6662" max="6662" width="5.5703125" style="60" customWidth="1"/>
    <col min="6663" max="6663" width="5.140625" style="60" customWidth="1"/>
    <col min="6664" max="6664" width="4.42578125" style="60" customWidth="1"/>
    <col min="6665" max="6665" width="2.7109375" style="60" customWidth="1"/>
    <col min="6666" max="6666" width="2.5703125" style="60" customWidth="1"/>
    <col min="6667" max="6668" width="2.7109375" style="60" customWidth="1"/>
    <col min="6669" max="6672" width="3" style="60" customWidth="1"/>
    <col min="6673" max="6676" width="2.7109375" style="60" customWidth="1"/>
    <col min="6677" max="6677" width="2.85546875" style="60" customWidth="1"/>
    <col min="6678" max="6683" width="2.7109375" style="60" customWidth="1"/>
    <col min="6684" max="6684" width="3.42578125" style="60" customWidth="1"/>
    <col min="6685" max="6685" width="2.7109375" style="60" customWidth="1"/>
    <col min="6686" max="6690" width="3.5703125" style="60" customWidth="1"/>
    <col min="6691" max="6715" width="2.7109375" style="60" customWidth="1"/>
    <col min="6716" max="6716" width="1.5703125" style="60" customWidth="1"/>
    <col min="6717" max="6911" width="2.7109375" style="60"/>
    <col min="6912" max="6914" width="2.7109375" style="60" customWidth="1"/>
    <col min="6915" max="6915" width="3.7109375" style="60" customWidth="1"/>
    <col min="6916" max="6917" width="5" style="60" customWidth="1"/>
    <col min="6918" max="6918" width="5.5703125" style="60" customWidth="1"/>
    <col min="6919" max="6919" width="5.140625" style="60" customWidth="1"/>
    <col min="6920" max="6920" width="4.42578125" style="60" customWidth="1"/>
    <col min="6921" max="6921" width="2.7109375" style="60" customWidth="1"/>
    <col min="6922" max="6922" width="2.5703125" style="60" customWidth="1"/>
    <col min="6923" max="6924" width="2.7109375" style="60" customWidth="1"/>
    <col min="6925" max="6928" width="3" style="60" customWidth="1"/>
    <col min="6929" max="6932" width="2.7109375" style="60" customWidth="1"/>
    <col min="6933" max="6933" width="2.85546875" style="60" customWidth="1"/>
    <col min="6934" max="6939" width="2.7109375" style="60" customWidth="1"/>
    <col min="6940" max="6940" width="3.42578125" style="60" customWidth="1"/>
    <col min="6941" max="6941" width="2.7109375" style="60" customWidth="1"/>
    <col min="6942" max="6946" width="3.5703125" style="60" customWidth="1"/>
    <col min="6947" max="6971" width="2.7109375" style="60" customWidth="1"/>
    <col min="6972" max="6972" width="1.5703125" style="60" customWidth="1"/>
    <col min="6973" max="7167" width="2.7109375" style="60"/>
    <col min="7168" max="7170" width="2.7109375" style="60" customWidth="1"/>
    <col min="7171" max="7171" width="3.7109375" style="60" customWidth="1"/>
    <col min="7172" max="7173" width="5" style="60" customWidth="1"/>
    <col min="7174" max="7174" width="5.5703125" style="60" customWidth="1"/>
    <col min="7175" max="7175" width="5.140625" style="60" customWidth="1"/>
    <col min="7176" max="7176" width="4.42578125" style="60" customWidth="1"/>
    <col min="7177" max="7177" width="2.7109375" style="60" customWidth="1"/>
    <col min="7178" max="7178" width="2.5703125" style="60" customWidth="1"/>
    <col min="7179" max="7180" width="2.7109375" style="60" customWidth="1"/>
    <col min="7181" max="7184" width="3" style="60" customWidth="1"/>
    <col min="7185" max="7188" width="2.7109375" style="60" customWidth="1"/>
    <col min="7189" max="7189" width="2.85546875" style="60" customWidth="1"/>
    <col min="7190" max="7195" width="2.7109375" style="60" customWidth="1"/>
    <col min="7196" max="7196" width="3.42578125" style="60" customWidth="1"/>
    <col min="7197" max="7197" width="2.7109375" style="60" customWidth="1"/>
    <col min="7198" max="7202" width="3.5703125" style="60" customWidth="1"/>
    <col min="7203" max="7227" width="2.7109375" style="60" customWidth="1"/>
    <col min="7228" max="7228" width="1.5703125" style="60" customWidth="1"/>
    <col min="7229" max="7423" width="2.7109375" style="60"/>
    <col min="7424" max="7426" width="2.7109375" style="60" customWidth="1"/>
    <col min="7427" max="7427" width="3.7109375" style="60" customWidth="1"/>
    <col min="7428" max="7429" width="5" style="60" customWidth="1"/>
    <col min="7430" max="7430" width="5.5703125" style="60" customWidth="1"/>
    <col min="7431" max="7431" width="5.140625" style="60" customWidth="1"/>
    <col min="7432" max="7432" width="4.42578125" style="60" customWidth="1"/>
    <col min="7433" max="7433" width="2.7109375" style="60" customWidth="1"/>
    <col min="7434" max="7434" width="2.5703125" style="60" customWidth="1"/>
    <col min="7435" max="7436" width="2.7109375" style="60" customWidth="1"/>
    <col min="7437" max="7440" width="3" style="60" customWidth="1"/>
    <col min="7441" max="7444" width="2.7109375" style="60" customWidth="1"/>
    <col min="7445" max="7445" width="2.85546875" style="60" customWidth="1"/>
    <col min="7446" max="7451" width="2.7109375" style="60" customWidth="1"/>
    <col min="7452" max="7452" width="3.42578125" style="60" customWidth="1"/>
    <col min="7453" max="7453" width="2.7109375" style="60" customWidth="1"/>
    <col min="7454" max="7458" width="3.5703125" style="60" customWidth="1"/>
    <col min="7459" max="7483" width="2.7109375" style="60" customWidth="1"/>
    <col min="7484" max="7484" width="1.5703125" style="60" customWidth="1"/>
    <col min="7485" max="7679" width="2.7109375" style="60"/>
    <col min="7680" max="7682" width="2.7109375" style="60" customWidth="1"/>
    <col min="7683" max="7683" width="3.7109375" style="60" customWidth="1"/>
    <col min="7684" max="7685" width="5" style="60" customWidth="1"/>
    <col min="7686" max="7686" width="5.5703125" style="60" customWidth="1"/>
    <col min="7687" max="7687" width="5.140625" style="60" customWidth="1"/>
    <col min="7688" max="7688" width="4.42578125" style="60" customWidth="1"/>
    <col min="7689" max="7689" width="2.7109375" style="60" customWidth="1"/>
    <col min="7690" max="7690" width="2.5703125" style="60" customWidth="1"/>
    <col min="7691" max="7692" width="2.7109375" style="60" customWidth="1"/>
    <col min="7693" max="7696" width="3" style="60" customWidth="1"/>
    <col min="7697" max="7700" width="2.7109375" style="60" customWidth="1"/>
    <col min="7701" max="7701" width="2.85546875" style="60" customWidth="1"/>
    <col min="7702" max="7707" width="2.7109375" style="60" customWidth="1"/>
    <col min="7708" max="7708" width="3.42578125" style="60" customWidth="1"/>
    <col min="7709" max="7709" width="2.7109375" style="60" customWidth="1"/>
    <col min="7710" max="7714" width="3.5703125" style="60" customWidth="1"/>
    <col min="7715" max="7739" width="2.7109375" style="60" customWidth="1"/>
    <col min="7740" max="7740" width="1.5703125" style="60" customWidth="1"/>
    <col min="7741" max="7935" width="2.7109375" style="60"/>
    <col min="7936" max="7938" width="2.7109375" style="60" customWidth="1"/>
    <col min="7939" max="7939" width="3.7109375" style="60" customWidth="1"/>
    <col min="7940" max="7941" width="5" style="60" customWidth="1"/>
    <col min="7942" max="7942" width="5.5703125" style="60" customWidth="1"/>
    <col min="7943" max="7943" width="5.140625" style="60" customWidth="1"/>
    <col min="7944" max="7944" width="4.42578125" style="60" customWidth="1"/>
    <col min="7945" max="7945" width="2.7109375" style="60" customWidth="1"/>
    <col min="7946" max="7946" width="2.5703125" style="60" customWidth="1"/>
    <col min="7947" max="7948" width="2.7109375" style="60" customWidth="1"/>
    <col min="7949" max="7952" width="3" style="60" customWidth="1"/>
    <col min="7953" max="7956" width="2.7109375" style="60" customWidth="1"/>
    <col min="7957" max="7957" width="2.85546875" style="60" customWidth="1"/>
    <col min="7958" max="7963" width="2.7109375" style="60" customWidth="1"/>
    <col min="7964" max="7964" width="3.42578125" style="60" customWidth="1"/>
    <col min="7965" max="7965" width="2.7109375" style="60" customWidth="1"/>
    <col min="7966" max="7970" width="3.5703125" style="60" customWidth="1"/>
    <col min="7971" max="7995" width="2.7109375" style="60" customWidth="1"/>
    <col min="7996" max="7996" width="1.5703125" style="60" customWidth="1"/>
    <col min="7997" max="8191" width="2.7109375" style="60"/>
    <col min="8192" max="8194" width="2.7109375" style="60" customWidth="1"/>
    <col min="8195" max="8195" width="3.7109375" style="60" customWidth="1"/>
    <col min="8196" max="8197" width="5" style="60" customWidth="1"/>
    <col min="8198" max="8198" width="5.5703125" style="60" customWidth="1"/>
    <col min="8199" max="8199" width="5.140625" style="60" customWidth="1"/>
    <col min="8200" max="8200" width="4.42578125" style="60" customWidth="1"/>
    <col min="8201" max="8201" width="2.7109375" style="60" customWidth="1"/>
    <col min="8202" max="8202" width="2.5703125" style="60" customWidth="1"/>
    <col min="8203" max="8204" width="2.7109375" style="60" customWidth="1"/>
    <col min="8205" max="8208" width="3" style="60" customWidth="1"/>
    <col min="8209" max="8212" width="2.7109375" style="60" customWidth="1"/>
    <col min="8213" max="8213" width="2.85546875" style="60" customWidth="1"/>
    <col min="8214" max="8219" width="2.7109375" style="60" customWidth="1"/>
    <col min="8220" max="8220" width="3.42578125" style="60" customWidth="1"/>
    <col min="8221" max="8221" width="2.7109375" style="60" customWidth="1"/>
    <col min="8222" max="8226" width="3.5703125" style="60" customWidth="1"/>
    <col min="8227" max="8251" width="2.7109375" style="60" customWidth="1"/>
    <col min="8252" max="8252" width="1.5703125" style="60" customWidth="1"/>
    <col min="8253" max="8447" width="2.7109375" style="60"/>
    <col min="8448" max="8450" width="2.7109375" style="60" customWidth="1"/>
    <col min="8451" max="8451" width="3.7109375" style="60" customWidth="1"/>
    <col min="8452" max="8453" width="5" style="60" customWidth="1"/>
    <col min="8454" max="8454" width="5.5703125" style="60" customWidth="1"/>
    <col min="8455" max="8455" width="5.140625" style="60" customWidth="1"/>
    <col min="8456" max="8456" width="4.42578125" style="60" customWidth="1"/>
    <col min="8457" max="8457" width="2.7109375" style="60" customWidth="1"/>
    <col min="8458" max="8458" width="2.5703125" style="60" customWidth="1"/>
    <col min="8459" max="8460" width="2.7109375" style="60" customWidth="1"/>
    <col min="8461" max="8464" width="3" style="60" customWidth="1"/>
    <col min="8465" max="8468" width="2.7109375" style="60" customWidth="1"/>
    <col min="8469" max="8469" width="2.85546875" style="60" customWidth="1"/>
    <col min="8470" max="8475" width="2.7109375" style="60" customWidth="1"/>
    <col min="8476" max="8476" width="3.42578125" style="60" customWidth="1"/>
    <col min="8477" max="8477" width="2.7109375" style="60" customWidth="1"/>
    <col min="8478" max="8482" width="3.5703125" style="60" customWidth="1"/>
    <col min="8483" max="8507" width="2.7109375" style="60" customWidth="1"/>
    <col min="8508" max="8508" width="1.5703125" style="60" customWidth="1"/>
    <col min="8509" max="8703" width="2.7109375" style="60"/>
    <col min="8704" max="8706" width="2.7109375" style="60" customWidth="1"/>
    <col min="8707" max="8707" width="3.7109375" style="60" customWidth="1"/>
    <col min="8708" max="8709" width="5" style="60" customWidth="1"/>
    <col min="8710" max="8710" width="5.5703125" style="60" customWidth="1"/>
    <col min="8711" max="8711" width="5.140625" style="60" customWidth="1"/>
    <col min="8712" max="8712" width="4.42578125" style="60" customWidth="1"/>
    <col min="8713" max="8713" width="2.7109375" style="60" customWidth="1"/>
    <col min="8714" max="8714" width="2.5703125" style="60" customWidth="1"/>
    <col min="8715" max="8716" width="2.7109375" style="60" customWidth="1"/>
    <col min="8717" max="8720" width="3" style="60" customWidth="1"/>
    <col min="8721" max="8724" width="2.7109375" style="60" customWidth="1"/>
    <col min="8725" max="8725" width="2.85546875" style="60" customWidth="1"/>
    <col min="8726" max="8731" width="2.7109375" style="60" customWidth="1"/>
    <col min="8732" max="8732" width="3.42578125" style="60" customWidth="1"/>
    <col min="8733" max="8733" width="2.7109375" style="60" customWidth="1"/>
    <col min="8734" max="8738" width="3.5703125" style="60" customWidth="1"/>
    <col min="8739" max="8763" width="2.7109375" style="60" customWidth="1"/>
    <col min="8764" max="8764" width="1.5703125" style="60" customWidth="1"/>
    <col min="8765" max="8959" width="2.7109375" style="60"/>
    <col min="8960" max="8962" width="2.7109375" style="60" customWidth="1"/>
    <col min="8963" max="8963" width="3.7109375" style="60" customWidth="1"/>
    <col min="8964" max="8965" width="5" style="60" customWidth="1"/>
    <col min="8966" max="8966" width="5.5703125" style="60" customWidth="1"/>
    <col min="8967" max="8967" width="5.140625" style="60" customWidth="1"/>
    <col min="8968" max="8968" width="4.42578125" style="60" customWidth="1"/>
    <col min="8969" max="8969" width="2.7109375" style="60" customWidth="1"/>
    <col min="8970" max="8970" width="2.5703125" style="60" customWidth="1"/>
    <col min="8971" max="8972" width="2.7109375" style="60" customWidth="1"/>
    <col min="8973" max="8976" width="3" style="60" customWidth="1"/>
    <col min="8977" max="8980" width="2.7109375" style="60" customWidth="1"/>
    <col min="8981" max="8981" width="2.85546875" style="60" customWidth="1"/>
    <col min="8982" max="8987" width="2.7109375" style="60" customWidth="1"/>
    <col min="8988" max="8988" width="3.42578125" style="60" customWidth="1"/>
    <col min="8989" max="8989" width="2.7109375" style="60" customWidth="1"/>
    <col min="8990" max="8994" width="3.5703125" style="60" customWidth="1"/>
    <col min="8995" max="9019" width="2.7109375" style="60" customWidth="1"/>
    <col min="9020" max="9020" width="1.5703125" style="60" customWidth="1"/>
    <col min="9021" max="9215" width="2.7109375" style="60"/>
    <col min="9216" max="9218" width="2.7109375" style="60" customWidth="1"/>
    <col min="9219" max="9219" width="3.7109375" style="60" customWidth="1"/>
    <col min="9220" max="9221" width="5" style="60" customWidth="1"/>
    <col min="9222" max="9222" width="5.5703125" style="60" customWidth="1"/>
    <col min="9223" max="9223" width="5.140625" style="60" customWidth="1"/>
    <col min="9224" max="9224" width="4.42578125" style="60" customWidth="1"/>
    <col min="9225" max="9225" width="2.7109375" style="60" customWidth="1"/>
    <col min="9226" max="9226" width="2.5703125" style="60" customWidth="1"/>
    <col min="9227" max="9228" width="2.7109375" style="60" customWidth="1"/>
    <col min="9229" max="9232" width="3" style="60" customWidth="1"/>
    <col min="9233" max="9236" width="2.7109375" style="60" customWidth="1"/>
    <col min="9237" max="9237" width="2.85546875" style="60" customWidth="1"/>
    <col min="9238" max="9243" width="2.7109375" style="60" customWidth="1"/>
    <col min="9244" max="9244" width="3.42578125" style="60" customWidth="1"/>
    <col min="9245" max="9245" width="2.7109375" style="60" customWidth="1"/>
    <col min="9246" max="9250" width="3.5703125" style="60" customWidth="1"/>
    <col min="9251" max="9275" width="2.7109375" style="60" customWidth="1"/>
    <col min="9276" max="9276" width="1.5703125" style="60" customWidth="1"/>
    <col min="9277" max="9471" width="2.7109375" style="60"/>
    <col min="9472" max="9474" width="2.7109375" style="60" customWidth="1"/>
    <col min="9475" max="9475" width="3.7109375" style="60" customWidth="1"/>
    <col min="9476" max="9477" width="5" style="60" customWidth="1"/>
    <col min="9478" max="9478" width="5.5703125" style="60" customWidth="1"/>
    <col min="9479" max="9479" width="5.140625" style="60" customWidth="1"/>
    <col min="9480" max="9480" width="4.42578125" style="60" customWidth="1"/>
    <col min="9481" max="9481" width="2.7109375" style="60" customWidth="1"/>
    <col min="9482" max="9482" width="2.5703125" style="60" customWidth="1"/>
    <col min="9483" max="9484" width="2.7109375" style="60" customWidth="1"/>
    <col min="9485" max="9488" width="3" style="60" customWidth="1"/>
    <col min="9489" max="9492" width="2.7109375" style="60" customWidth="1"/>
    <col min="9493" max="9493" width="2.85546875" style="60" customWidth="1"/>
    <col min="9494" max="9499" width="2.7109375" style="60" customWidth="1"/>
    <col min="9500" max="9500" width="3.42578125" style="60" customWidth="1"/>
    <col min="9501" max="9501" width="2.7109375" style="60" customWidth="1"/>
    <col min="9502" max="9506" width="3.5703125" style="60" customWidth="1"/>
    <col min="9507" max="9531" width="2.7109375" style="60" customWidth="1"/>
    <col min="9532" max="9532" width="1.5703125" style="60" customWidth="1"/>
    <col min="9533" max="9727" width="2.7109375" style="60"/>
    <col min="9728" max="9730" width="2.7109375" style="60" customWidth="1"/>
    <col min="9731" max="9731" width="3.7109375" style="60" customWidth="1"/>
    <col min="9732" max="9733" width="5" style="60" customWidth="1"/>
    <col min="9734" max="9734" width="5.5703125" style="60" customWidth="1"/>
    <col min="9735" max="9735" width="5.140625" style="60" customWidth="1"/>
    <col min="9736" max="9736" width="4.42578125" style="60" customWidth="1"/>
    <col min="9737" max="9737" width="2.7109375" style="60" customWidth="1"/>
    <col min="9738" max="9738" width="2.5703125" style="60" customWidth="1"/>
    <col min="9739" max="9740" width="2.7109375" style="60" customWidth="1"/>
    <col min="9741" max="9744" width="3" style="60" customWidth="1"/>
    <col min="9745" max="9748" width="2.7109375" style="60" customWidth="1"/>
    <col min="9749" max="9749" width="2.85546875" style="60" customWidth="1"/>
    <col min="9750" max="9755" width="2.7109375" style="60" customWidth="1"/>
    <col min="9756" max="9756" width="3.42578125" style="60" customWidth="1"/>
    <col min="9757" max="9757" width="2.7109375" style="60" customWidth="1"/>
    <col min="9758" max="9762" width="3.5703125" style="60" customWidth="1"/>
    <col min="9763" max="9787" width="2.7109375" style="60" customWidth="1"/>
    <col min="9788" max="9788" width="1.5703125" style="60" customWidth="1"/>
    <col min="9789" max="9983" width="2.7109375" style="60"/>
    <col min="9984" max="9986" width="2.7109375" style="60" customWidth="1"/>
    <col min="9987" max="9987" width="3.7109375" style="60" customWidth="1"/>
    <col min="9988" max="9989" width="5" style="60" customWidth="1"/>
    <col min="9990" max="9990" width="5.5703125" style="60" customWidth="1"/>
    <col min="9991" max="9991" width="5.140625" style="60" customWidth="1"/>
    <col min="9992" max="9992" width="4.42578125" style="60" customWidth="1"/>
    <col min="9993" max="9993" width="2.7109375" style="60" customWidth="1"/>
    <col min="9994" max="9994" width="2.5703125" style="60" customWidth="1"/>
    <col min="9995" max="9996" width="2.7109375" style="60" customWidth="1"/>
    <col min="9997" max="10000" width="3" style="60" customWidth="1"/>
    <col min="10001" max="10004" width="2.7109375" style="60" customWidth="1"/>
    <col min="10005" max="10005" width="2.85546875" style="60" customWidth="1"/>
    <col min="10006" max="10011" width="2.7109375" style="60" customWidth="1"/>
    <col min="10012" max="10012" width="3.42578125" style="60" customWidth="1"/>
    <col min="10013" max="10013" width="2.7109375" style="60" customWidth="1"/>
    <col min="10014" max="10018" width="3.5703125" style="60" customWidth="1"/>
    <col min="10019" max="10043" width="2.7109375" style="60" customWidth="1"/>
    <col min="10044" max="10044" width="1.5703125" style="60" customWidth="1"/>
    <col min="10045" max="10239" width="2.7109375" style="60"/>
    <col min="10240" max="10242" width="2.7109375" style="60" customWidth="1"/>
    <col min="10243" max="10243" width="3.7109375" style="60" customWidth="1"/>
    <col min="10244" max="10245" width="5" style="60" customWidth="1"/>
    <col min="10246" max="10246" width="5.5703125" style="60" customWidth="1"/>
    <col min="10247" max="10247" width="5.140625" style="60" customWidth="1"/>
    <col min="10248" max="10248" width="4.42578125" style="60" customWidth="1"/>
    <col min="10249" max="10249" width="2.7109375" style="60" customWidth="1"/>
    <col min="10250" max="10250" width="2.5703125" style="60" customWidth="1"/>
    <col min="10251" max="10252" width="2.7109375" style="60" customWidth="1"/>
    <col min="10253" max="10256" width="3" style="60" customWidth="1"/>
    <col min="10257" max="10260" width="2.7109375" style="60" customWidth="1"/>
    <col min="10261" max="10261" width="2.85546875" style="60" customWidth="1"/>
    <col min="10262" max="10267" width="2.7109375" style="60" customWidth="1"/>
    <col min="10268" max="10268" width="3.42578125" style="60" customWidth="1"/>
    <col min="10269" max="10269" width="2.7109375" style="60" customWidth="1"/>
    <col min="10270" max="10274" width="3.5703125" style="60" customWidth="1"/>
    <col min="10275" max="10299" width="2.7109375" style="60" customWidth="1"/>
    <col min="10300" max="10300" width="1.5703125" style="60" customWidth="1"/>
    <col min="10301" max="10495" width="2.7109375" style="60"/>
    <col min="10496" max="10498" width="2.7109375" style="60" customWidth="1"/>
    <col min="10499" max="10499" width="3.7109375" style="60" customWidth="1"/>
    <col min="10500" max="10501" width="5" style="60" customWidth="1"/>
    <col min="10502" max="10502" width="5.5703125" style="60" customWidth="1"/>
    <col min="10503" max="10503" width="5.140625" style="60" customWidth="1"/>
    <col min="10504" max="10504" width="4.42578125" style="60" customWidth="1"/>
    <col min="10505" max="10505" width="2.7109375" style="60" customWidth="1"/>
    <col min="10506" max="10506" width="2.5703125" style="60" customWidth="1"/>
    <col min="10507" max="10508" width="2.7109375" style="60" customWidth="1"/>
    <col min="10509" max="10512" width="3" style="60" customWidth="1"/>
    <col min="10513" max="10516" width="2.7109375" style="60" customWidth="1"/>
    <col min="10517" max="10517" width="2.85546875" style="60" customWidth="1"/>
    <col min="10518" max="10523" width="2.7109375" style="60" customWidth="1"/>
    <col min="10524" max="10524" width="3.42578125" style="60" customWidth="1"/>
    <col min="10525" max="10525" width="2.7109375" style="60" customWidth="1"/>
    <col min="10526" max="10530" width="3.5703125" style="60" customWidth="1"/>
    <col min="10531" max="10555" width="2.7109375" style="60" customWidth="1"/>
    <col min="10556" max="10556" width="1.5703125" style="60" customWidth="1"/>
    <col min="10557" max="10751" width="2.7109375" style="60"/>
    <col min="10752" max="10754" width="2.7109375" style="60" customWidth="1"/>
    <col min="10755" max="10755" width="3.7109375" style="60" customWidth="1"/>
    <col min="10756" max="10757" width="5" style="60" customWidth="1"/>
    <col min="10758" max="10758" width="5.5703125" style="60" customWidth="1"/>
    <col min="10759" max="10759" width="5.140625" style="60" customWidth="1"/>
    <col min="10760" max="10760" width="4.42578125" style="60" customWidth="1"/>
    <col min="10761" max="10761" width="2.7109375" style="60" customWidth="1"/>
    <col min="10762" max="10762" width="2.5703125" style="60" customWidth="1"/>
    <col min="10763" max="10764" width="2.7109375" style="60" customWidth="1"/>
    <col min="10765" max="10768" width="3" style="60" customWidth="1"/>
    <col min="10769" max="10772" width="2.7109375" style="60" customWidth="1"/>
    <col min="10773" max="10773" width="2.85546875" style="60" customWidth="1"/>
    <col min="10774" max="10779" width="2.7109375" style="60" customWidth="1"/>
    <col min="10780" max="10780" width="3.42578125" style="60" customWidth="1"/>
    <col min="10781" max="10781" width="2.7109375" style="60" customWidth="1"/>
    <col min="10782" max="10786" width="3.5703125" style="60" customWidth="1"/>
    <col min="10787" max="10811" width="2.7109375" style="60" customWidth="1"/>
    <col min="10812" max="10812" width="1.5703125" style="60" customWidth="1"/>
    <col min="10813" max="11007" width="2.7109375" style="60"/>
    <col min="11008" max="11010" width="2.7109375" style="60" customWidth="1"/>
    <col min="11011" max="11011" width="3.7109375" style="60" customWidth="1"/>
    <col min="11012" max="11013" width="5" style="60" customWidth="1"/>
    <col min="11014" max="11014" width="5.5703125" style="60" customWidth="1"/>
    <col min="11015" max="11015" width="5.140625" style="60" customWidth="1"/>
    <col min="11016" max="11016" width="4.42578125" style="60" customWidth="1"/>
    <col min="11017" max="11017" width="2.7109375" style="60" customWidth="1"/>
    <col min="11018" max="11018" width="2.5703125" style="60" customWidth="1"/>
    <col min="11019" max="11020" width="2.7109375" style="60" customWidth="1"/>
    <col min="11021" max="11024" width="3" style="60" customWidth="1"/>
    <col min="11025" max="11028" width="2.7109375" style="60" customWidth="1"/>
    <col min="11029" max="11029" width="2.85546875" style="60" customWidth="1"/>
    <col min="11030" max="11035" width="2.7109375" style="60" customWidth="1"/>
    <col min="11036" max="11036" width="3.42578125" style="60" customWidth="1"/>
    <col min="11037" max="11037" width="2.7109375" style="60" customWidth="1"/>
    <col min="11038" max="11042" width="3.5703125" style="60" customWidth="1"/>
    <col min="11043" max="11067" width="2.7109375" style="60" customWidth="1"/>
    <col min="11068" max="11068" width="1.5703125" style="60" customWidth="1"/>
    <col min="11069" max="11263" width="2.7109375" style="60"/>
    <col min="11264" max="11266" width="2.7109375" style="60" customWidth="1"/>
    <col min="11267" max="11267" width="3.7109375" style="60" customWidth="1"/>
    <col min="11268" max="11269" width="5" style="60" customWidth="1"/>
    <col min="11270" max="11270" width="5.5703125" style="60" customWidth="1"/>
    <col min="11271" max="11271" width="5.140625" style="60" customWidth="1"/>
    <col min="11272" max="11272" width="4.42578125" style="60" customWidth="1"/>
    <col min="11273" max="11273" width="2.7109375" style="60" customWidth="1"/>
    <col min="11274" max="11274" width="2.5703125" style="60" customWidth="1"/>
    <col min="11275" max="11276" width="2.7109375" style="60" customWidth="1"/>
    <col min="11277" max="11280" width="3" style="60" customWidth="1"/>
    <col min="11281" max="11284" width="2.7109375" style="60" customWidth="1"/>
    <col min="11285" max="11285" width="2.85546875" style="60" customWidth="1"/>
    <col min="11286" max="11291" width="2.7109375" style="60" customWidth="1"/>
    <col min="11292" max="11292" width="3.42578125" style="60" customWidth="1"/>
    <col min="11293" max="11293" width="2.7109375" style="60" customWidth="1"/>
    <col min="11294" max="11298" width="3.5703125" style="60" customWidth="1"/>
    <col min="11299" max="11323" width="2.7109375" style="60" customWidth="1"/>
    <col min="11324" max="11324" width="1.5703125" style="60" customWidth="1"/>
    <col min="11325" max="11519" width="2.7109375" style="60"/>
    <col min="11520" max="11522" width="2.7109375" style="60" customWidth="1"/>
    <col min="11523" max="11523" width="3.7109375" style="60" customWidth="1"/>
    <col min="11524" max="11525" width="5" style="60" customWidth="1"/>
    <col min="11526" max="11526" width="5.5703125" style="60" customWidth="1"/>
    <col min="11527" max="11527" width="5.140625" style="60" customWidth="1"/>
    <col min="11528" max="11528" width="4.42578125" style="60" customWidth="1"/>
    <col min="11529" max="11529" width="2.7109375" style="60" customWidth="1"/>
    <col min="11530" max="11530" width="2.5703125" style="60" customWidth="1"/>
    <col min="11531" max="11532" width="2.7109375" style="60" customWidth="1"/>
    <col min="11533" max="11536" width="3" style="60" customWidth="1"/>
    <col min="11537" max="11540" width="2.7109375" style="60" customWidth="1"/>
    <col min="11541" max="11541" width="2.85546875" style="60" customWidth="1"/>
    <col min="11542" max="11547" width="2.7109375" style="60" customWidth="1"/>
    <col min="11548" max="11548" width="3.42578125" style="60" customWidth="1"/>
    <col min="11549" max="11549" width="2.7109375" style="60" customWidth="1"/>
    <col min="11550" max="11554" width="3.5703125" style="60" customWidth="1"/>
    <col min="11555" max="11579" width="2.7109375" style="60" customWidth="1"/>
    <col min="11580" max="11580" width="1.5703125" style="60" customWidth="1"/>
    <col min="11581" max="11775" width="2.7109375" style="60"/>
    <col min="11776" max="11778" width="2.7109375" style="60" customWidth="1"/>
    <col min="11779" max="11779" width="3.7109375" style="60" customWidth="1"/>
    <col min="11780" max="11781" width="5" style="60" customWidth="1"/>
    <col min="11782" max="11782" width="5.5703125" style="60" customWidth="1"/>
    <col min="11783" max="11783" width="5.140625" style="60" customWidth="1"/>
    <col min="11784" max="11784" width="4.42578125" style="60" customWidth="1"/>
    <col min="11785" max="11785" width="2.7109375" style="60" customWidth="1"/>
    <col min="11786" max="11786" width="2.5703125" style="60" customWidth="1"/>
    <col min="11787" max="11788" width="2.7109375" style="60" customWidth="1"/>
    <col min="11789" max="11792" width="3" style="60" customWidth="1"/>
    <col min="11793" max="11796" width="2.7109375" style="60" customWidth="1"/>
    <col min="11797" max="11797" width="2.85546875" style="60" customWidth="1"/>
    <col min="11798" max="11803" width="2.7109375" style="60" customWidth="1"/>
    <col min="11804" max="11804" width="3.42578125" style="60" customWidth="1"/>
    <col min="11805" max="11805" width="2.7109375" style="60" customWidth="1"/>
    <col min="11806" max="11810" width="3.5703125" style="60" customWidth="1"/>
    <col min="11811" max="11835" width="2.7109375" style="60" customWidth="1"/>
    <col min="11836" max="11836" width="1.5703125" style="60" customWidth="1"/>
    <col min="11837" max="12031" width="2.7109375" style="60"/>
    <col min="12032" max="12034" width="2.7109375" style="60" customWidth="1"/>
    <col min="12035" max="12035" width="3.7109375" style="60" customWidth="1"/>
    <col min="12036" max="12037" width="5" style="60" customWidth="1"/>
    <col min="12038" max="12038" width="5.5703125" style="60" customWidth="1"/>
    <col min="12039" max="12039" width="5.140625" style="60" customWidth="1"/>
    <col min="12040" max="12040" width="4.42578125" style="60" customWidth="1"/>
    <col min="12041" max="12041" width="2.7109375" style="60" customWidth="1"/>
    <col min="12042" max="12042" width="2.5703125" style="60" customWidth="1"/>
    <col min="12043" max="12044" width="2.7109375" style="60" customWidth="1"/>
    <col min="12045" max="12048" width="3" style="60" customWidth="1"/>
    <col min="12049" max="12052" width="2.7109375" style="60" customWidth="1"/>
    <col min="12053" max="12053" width="2.85546875" style="60" customWidth="1"/>
    <col min="12054" max="12059" width="2.7109375" style="60" customWidth="1"/>
    <col min="12060" max="12060" width="3.42578125" style="60" customWidth="1"/>
    <col min="12061" max="12061" width="2.7109375" style="60" customWidth="1"/>
    <col min="12062" max="12066" width="3.5703125" style="60" customWidth="1"/>
    <col min="12067" max="12091" width="2.7109375" style="60" customWidth="1"/>
    <col min="12092" max="12092" width="1.5703125" style="60" customWidth="1"/>
    <col min="12093" max="12287" width="2.7109375" style="60"/>
    <col min="12288" max="12290" width="2.7109375" style="60" customWidth="1"/>
    <col min="12291" max="12291" width="3.7109375" style="60" customWidth="1"/>
    <col min="12292" max="12293" width="5" style="60" customWidth="1"/>
    <col min="12294" max="12294" width="5.5703125" style="60" customWidth="1"/>
    <col min="12295" max="12295" width="5.140625" style="60" customWidth="1"/>
    <col min="12296" max="12296" width="4.42578125" style="60" customWidth="1"/>
    <col min="12297" max="12297" width="2.7109375" style="60" customWidth="1"/>
    <col min="12298" max="12298" width="2.5703125" style="60" customWidth="1"/>
    <col min="12299" max="12300" width="2.7109375" style="60" customWidth="1"/>
    <col min="12301" max="12304" width="3" style="60" customWidth="1"/>
    <col min="12305" max="12308" width="2.7109375" style="60" customWidth="1"/>
    <col min="12309" max="12309" width="2.85546875" style="60" customWidth="1"/>
    <col min="12310" max="12315" width="2.7109375" style="60" customWidth="1"/>
    <col min="12316" max="12316" width="3.42578125" style="60" customWidth="1"/>
    <col min="12317" max="12317" width="2.7109375" style="60" customWidth="1"/>
    <col min="12318" max="12322" width="3.5703125" style="60" customWidth="1"/>
    <col min="12323" max="12347" width="2.7109375" style="60" customWidth="1"/>
    <col min="12348" max="12348" width="1.5703125" style="60" customWidth="1"/>
    <col min="12349" max="12543" width="2.7109375" style="60"/>
    <col min="12544" max="12546" width="2.7109375" style="60" customWidth="1"/>
    <col min="12547" max="12547" width="3.7109375" style="60" customWidth="1"/>
    <col min="12548" max="12549" width="5" style="60" customWidth="1"/>
    <col min="12550" max="12550" width="5.5703125" style="60" customWidth="1"/>
    <col min="12551" max="12551" width="5.140625" style="60" customWidth="1"/>
    <col min="12552" max="12552" width="4.42578125" style="60" customWidth="1"/>
    <col min="12553" max="12553" width="2.7109375" style="60" customWidth="1"/>
    <col min="12554" max="12554" width="2.5703125" style="60" customWidth="1"/>
    <col min="12555" max="12556" width="2.7109375" style="60" customWidth="1"/>
    <col min="12557" max="12560" width="3" style="60" customWidth="1"/>
    <col min="12561" max="12564" width="2.7109375" style="60" customWidth="1"/>
    <col min="12565" max="12565" width="2.85546875" style="60" customWidth="1"/>
    <col min="12566" max="12571" width="2.7109375" style="60" customWidth="1"/>
    <col min="12572" max="12572" width="3.42578125" style="60" customWidth="1"/>
    <col min="12573" max="12573" width="2.7109375" style="60" customWidth="1"/>
    <col min="12574" max="12578" width="3.5703125" style="60" customWidth="1"/>
    <col min="12579" max="12603" width="2.7109375" style="60" customWidth="1"/>
    <col min="12604" max="12604" width="1.5703125" style="60" customWidth="1"/>
    <col min="12605" max="12799" width="2.7109375" style="60"/>
    <col min="12800" max="12802" width="2.7109375" style="60" customWidth="1"/>
    <col min="12803" max="12803" width="3.7109375" style="60" customWidth="1"/>
    <col min="12804" max="12805" width="5" style="60" customWidth="1"/>
    <col min="12806" max="12806" width="5.5703125" style="60" customWidth="1"/>
    <col min="12807" max="12807" width="5.140625" style="60" customWidth="1"/>
    <col min="12808" max="12808" width="4.42578125" style="60" customWidth="1"/>
    <col min="12809" max="12809" width="2.7109375" style="60" customWidth="1"/>
    <col min="12810" max="12810" width="2.5703125" style="60" customWidth="1"/>
    <col min="12811" max="12812" width="2.7109375" style="60" customWidth="1"/>
    <col min="12813" max="12816" width="3" style="60" customWidth="1"/>
    <col min="12817" max="12820" width="2.7109375" style="60" customWidth="1"/>
    <col min="12821" max="12821" width="2.85546875" style="60" customWidth="1"/>
    <col min="12822" max="12827" width="2.7109375" style="60" customWidth="1"/>
    <col min="12828" max="12828" width="3.42578125" style="60" customWidth="1"/>
    <col min="12829" max="12829" width="2.7109375" style="60" customWidth="1"/>
    <col min="12830" max="12834" width="3.5703125" style="60" customWidth="1"/>
    <col min="12835" max="12859" width="2.7109375" style="60" customWidth="1"/>
    <col min="12860" max="12860" width="1.5703125" style="60" customWidth="1"/>
    <col min="12861" max="13055" width="2.7109375" style="60"/>
    <col min="13056" max="13058" width="2.7109375" style="60" customWidth="1"/>
    <col min="13059" max="13059" width="3.7109375" style="60" customWidth="1"/>
    <col min="13060" max="13061" width="5" style="60" customWidth="1"/>
    <col min="13062" max="13062" width="5.5703125" style="60" customWidth="1"/>
    <col min="13063" max="13063" width="5.140625" style="60" customWidth="1"/>
    <col min="13064" max="13064" width="4.42578125" style="60" customWidth="1"/>
    <col min="13065" max="13065" width="2.7109375" style="60" customWidth="1"/>
    <col min="13066" max="13066" width="2.5703125" style="60" customWidth="1"/>
    <col min="13067" max="13068" width="2.7109375" style="60" customWidth="1"/>
    <col min="13069" max="13072" width="3" style="60" customWidth="1"/>
    <col min="13073" max="13076" width="2.7109375" style="60" customWidth="1"/>
    <col min="13077" max="13077" width="2.85546875" style="60" customWidth="1"/>
    <col min="13078" max="13083" width="2.7109375" style="60" customWidth="1"/>
    <col min="13084" max="13084" width="3.42578125" style="60" customWidth="1"/>
    <col min="13085" max="13085" width="2.7109375" style="60" customWidth="1"/>
    <col min="13086" max="13090" width="3.5703125" style="60" customWidth="1"/>
    <col min="13091" max="13115" width="2.7109375" style="60" customWidth="1"/>
    <col min="13116" max="13116" width="1.5703125" style="60" customWidth="1"/>
    <col min="13117" max="13311" width="2.7109375" style="60"/>
    <col min="13312" max="13314" width="2.7109375" style="60" customWidth="1"/>
    <col min="13315" max="13315" width="3.7109375" style="60" customWidth="1"/>
    <col min="13316" max="13317" width="5" style="60" customWidth="1"/>
    <col min="13318" max="13318" width="5.5703125" style="60" customWidth="1"/>
    <col min="13319" max="13319" width="5.140625" style="60" customWidth="1"/>
    <col min="13320" max="13320" width="4.42578125" style="60" customWidth="1"/>
    <col min="13321" max="13321" width="2.7109375" style="60" customWidth="1"/>
    <col min="13322" max="13322" width="2.5703125" style="60" customWidth="1"/>
    <col min="13323" max="13324" width="2.7109375" style="60" customWidth="1"/>
    <col min="13325" max="13328" width="3" style="60" customWidth="1"/>
    <col min="13329" max="13332" width="2.7109375" style="60" customWidth="1"/>
    <col min="13333" max="13333" width="2.85546875" style="60" customWidth="1"/>
    <col min="13334" max="13339" width="2.7109375" style="60" customWidth="1"/>
    <col min="13340" max="13340" width="3.42578125" style="60" customWidth="1"/>
    <col min="13341" max="13341" width="2.7109375" style="60" customWidth="1"/>
    <col min="13342" max="13346" width="3.5703125" style="60" customWidth="1"/>
    <col min="13347" max="13371" width="2.7109375" style="60" customWidth="1"/>
    <col min="13372" max="13372" width="1.5703125" style="60" customWidth="1"/>
    <col min="13373" max="13567" width="2.7109375" style="60"/>
    <col min="13568" max="13570" width="2.7109375" style="60" customWidth="1"/>
    <col min="13571" max="13571" width="3.7109375" style="60" customWidth="1"/>
    <col min="13572" max="13573" width="5" style="60" customWidth="1"/>
    <col min="13574" max="13574" width="5.5703125" style="60" customWidth="1"/>
    <col min="13575" max="13575" width="5.140625" style="60" customWidth="1"/>
    <col min="13576" max="13576" width="4.42578125" style="60" customWidth="1"/>
    <col min="13577" max="13577" width="2.7109375" style="60" customWidth="1"/>
    <col min="13578" max="13578" width="2.5703125" style="60" customWidth="1"/>
    <col min="13579" max="13580" width="2.7109375" style="60" customWidth="1"/>
    <col min="13581" max="13584" width="3" style="60" customWidth="1"/>
    <col min="13585" max="13588" width="2.7109375" style="60" customWidth="1"/>
    <col min="13589" max="13589" width="2.85546875" style="60" customWidth="1"/>
    <col min="13590" max="13595" width="2.7109375" style="60" customWidth="1"/>
    <col min="13596" max="13596" width="3.42578125" style="60" customWidth="1"/>
    <col min="13597" max="13597" width="2.7109375" style="60" customWidth="1"/>
    <col min="13598" max="13602" width="3.5703125" style="60" customWidth="1"/>
    <col min="13603" max="13627" width="2.7109375" style="60" customWidth="1"/>
    <col min="13628" max="13628" width="1.5703125" style="60" customWidth="1"/>
    <col min="13629" max="13823" width="2.7109375" style="60"/>
    <col min="13824" max="13826" width="2.7109375" style="60" customWidth="1"/>
    <col min="13827" max="13827" width="3.7109375" style="60" customWidth="1"/>
    <col min="13828" max="13829" width="5" style="60" customWidth="1"/>
    <col min="13830" max="13830" width="5.5703125" style="60" customWidth="1"/>
    <col min="13831" max="13831" width="5.140625" style="60" customWidth="1"/>
    <col min="13832" max="13832" width="4.42578125" style="60" customWidth="1"/>
    <col min="13833" max="13833" width="2.7109375" style="60" customWidth="1"/>
    <col min="13834" max="13834" width="2.5703125" style="60" customWidth="1"/>
    <col min="13835" max="13836" width="2.7109375" style="60" customWidth="1"/>
    <col min="13837" max="13840" width="3" style="60" customWidth="1"/>
    <col min="13841" max="13844" width="2.7109375" style="60" customWidth="1"/>
    <col min="13845" max="13845" width="2.85546875" style="60" customWidth="1"/>
    <col min="13846" max="13851" width="2.7109375" style="60" customWidth="1"/>
    <col min="13852" max="13852" width="3.42578125" style="60" customWidth="1"/>
    <col min="13853" max="13853" width="2.7109375" style="60" customWidth="1"/>
    <col min="13854" max="13858" width="3.5703125" style="60" customWidth="1"/>
    <col min="13859" max="13883" width="2.7109375" style="60" customWidth="1"/>
    <col min="13884" max="13884" width="1.5703125" style="60" customWidth="1"/>
    <col min="13885" max="14079" width="2.7109375" style="60"/>
    <col min="14080" max="14082" width="2.7109375" style="60" customWidth="1"/>
    <col min="14083" max="14083" width="3.7109375" style="60" customWidth="1"/>
    <col min="14084" max="14085" width="5" style="60" customWidth="1"/>
    <col min="14086" max="14086" width="5.5703125" style="60" customWidth="1"/>
    <col min="14087" max="14087" width="5.140625" style="60" customWidth="1"/>
    <col min="14088" max="14088" width="4.42578125" style="60" customWidth="1"/>
    <col min="14089" max="14089" width="2.7109375" style="60" customWidth="1"/>
    <col min="14090" max="14090" width="2.5703125" style="60" customWidth="1"/>
    <col min="14091" max="14092" width="2.7109375" style="60" customWidth="1"/>
    <col min="14093" max="14096" width="3" style="60" customWidth="1"/>
    <col min="14097" max="14100" width="2.7109375" style="60" customWidth="1"/>
    <col min="14101" max="14101" width="2.85546875" style="60" customWidth="1"/>
    <col min="14102" max="14107" width="2.7109375" style="60" customWidth="1"/>
    <col min="14108" max="14108" width="3.42578125" style="60" customWidth="1"/>
    <col min="14109" max="14109" width="2.7109375" style="60" customWidth="1"/>
    <col min="14110" max="14114" width="3.5703125" style="60" customWidth="1"/>
    <col min="14115" max="14139" width="2.7109375" style="60" customWidth="1"/>
    <col min="14140" max="14140" width="1.5703125" style="60" customWidth="1"/>
    <col min="14141" max="14335" width="2.7109375" style="60"/>
    <col min="14336" max="14338" width="2.7109375" style="60" customWidth="1"/>
    <col min="14339" max="14339" width="3.7109375" style="60" customWidth="1"/>
    <col min="14340" max="14341" width="5" style="60" customWidth="1"/>
    <col min="14342" max="14342" width="5.5703125" style="60" customWidth="1"/>
    <col min="14343" max="14343" width="5.140625" style="60" customWidth="1"/>
    <col min="14344" max="14344" width="4.42578125" style="60" customWidth="1"/>
    <col min="14345" max="14345" width="2.7109375" style="60" customWidth="1"/>
    <col min="14346" max="14346" width="2.5703125" style="60" customWidth="1"/>
    <col min="14347" max="14348" width="2.7109375" style="60" customWidth="1"/>
    <col min="14349" max="14352" width="3" style="60" customWidth="1"/>
    <col min="14353" max="14356" width="2.7109375" style="60" customWidth="1"/>
    <col min="14357" max="14357" width="2.85546875" style="60" customWidth="1"/>
    <col min="14358" max="14363" width="2.7109375" style="60" customWidth="1"/>
    <col min="14364" max="14364" width="3.42578125" style="60" customWidth="1"/>
    <col min="14365" max="14365" width="2.7109375" style="60" customWidth="1"/>
    <col min="14366" max="14370" width="3.5703125" style="60" customWidth="1"/>
    <col min="14371" max="14395" width="2.7109375" style="60" customWidth="1"/>
    <col min="14396" max="14396" width="1.5703125" style="60" customWidth="1"/>
    <col min="14397" max="14591" width="2.7109375" style="60"/>
    <col min="14592" max="14594" width="2.7109375" style="60" customWidth="1"/>
    <col min="14595" max="14595" width="3.7109375" style="60" customWidth="1"/>
    <col min="14596" max="14597" width="5" style="60" customWidth="1"/>
    <col min="14598" max="14598" width="5.5703125" style="60" customWidth="1"/>
    <col min="14599" max="14599" width="5.140625" style="60" customWidth="1"/>
    <col min="14600" max="14600" width="4.42578125" style="60" customWidth="1"/>
    <col min="14601" max="14601" width="2.7109375" style="60" customWidth="1"/>
    <col min="14602" max="14602" width="2.5703125" style="60" customWidth="1"/>
    <col min="14603" max="14604" width="2.7109375" style="60" customWidth="1"/>
    <col min="14605" max="14608" width="3" style="60" customWidth="1"/>
    <col min="14609" max="14612" width="2.7109375" style="60" customWidth="1"/>
    <col min="14613" max="14613" width="2.85546875" style="60" customWidth="1"/>
    <col min="14614" max="14619" width="2.7109375" style="60" customWidth="1"/>
    <col min="14620" max="14620" width="3.42578125" style="60" customWidth="1"/>
    <col min="14621" max="14621" width="2.7109375" style="60" customWidth="1"/>
    <col min="14622" max="14626" width="3.5703125" style="60" customWidth="1"/>
    <col min="14627" max="14651" width="2.7109375" style="60" customWidth="1"/>
    <col min="14652" max="14652" width="1.5703125" style="60" customWidth="1"/>
    <col min="14653" max="14847" width="2.7109375" style="60"/>
    <col min="14848" max="14850" width="2.7109375" style="60" customWidth="1"/>
    <col min="14851" max="14851" width="3.7109375" style="60" customWidth="1"/>
    <col min="14852" max="14853" width="5" style="60" customWidth="1"/>
    <col min="14854" max="14854" width="5.5703125" style="60" customWidth="1"/>
    <col min="14855" max="14855" width="5.140625" style="60" customWidth="1"/>
    <col min="14856" max="14856" width="4.42578125" style="60" customWidth="1"/>
    <col min="14857" max="14857" width="2.7109375" style="60" customWidth="1"/>
    <col min="14858" max="14858" width="2.5703125" style="60" customWidth="1"/>
    <col min="14859" max="14860" width="2.7109375" style="60" customWidth="1"/>
    <col min="14861" max="14864" width="3" style="60" customWidth="1"/>
    <col min="14865" max="14868" width="2.7109375" style="60" customWidth="1"/>
    <col min="14869" max="14869" width="2.85546875" style="60" customWidth="1"/>
    <col min="14870" max="14875" width="2.7109375" style="60" customWidth="1"/>
    <col min="14876" max="14876" width="3.42578125" style="60" customWidth="1"/>
    <col min="14877" max="14877" width="2.7109375" style="60" customWidth="1"/>
    <col min="14878" max="14882" width="3.5703125" style="60" customWidth="1"/>
    <col min="14883" max="14907" width="2.7109375" style="60" customWidth="1"/>
    <col min="14908" max="14908" width="1.5703125" style="60" customWidth="1"/>
    <col min="14909" max="15103" width="2.7109375" style="60"/>
    <col min="15104" max="15106" width="2.7109375" style="60" customWidth="1"/>
    <col min="15107" max="15107" width="3.7109375" style="60" customWidth="1"/>
    <col min="15108" max="15109" width="5" style="60" customWidth="1"/>
    <col min="15110" max="15110" width="5.5703125" style="60" customWidth="1"/>
    <col min="15111" max="15111" width="5.140625" style="60" customWidth="1"/>
    <col min="15112" max="15112" width="4.42578125" style="60" customWidth="1"/>
    <col min="15113" max="15113" width="2.7109375" style="60" customWidth="1"/>
    <col min="15114" max="15114" width="2.5703125" style="60" customWidth="1"/>
    <col min="15115" max="15116" width="2.7109375" style="60" customWidth="1"/>
    <col min="15117" max="15120" width="3" style="60" customWidth="1"/>
    <col min="15121" max="15124" width="2.7109375" style="60" customWidth="1"/>
    <col min="15125" max="15125" width="2.85546875" style="60" customWidth="1"/>
    <col min="15126" max="15131" width="2.7109375" style="60" customWidth="1"/>
    <col min="15132" max="15132" width="3.42578125" style="60" customWidth="1"/>
    <col min="15133" max="15133" width="2.7109375" style="60" customWidth="1"/>
    <col min="15134" max="15138" width="3.5703125" style="60" customWidth="1"/>
    <col min="15139" max="15163" width="2.7109375" style="60" customWidth="1"/>
    <col min="15164" max="15164" width="1.5703125" style="60" customWidth="1"/>
    <col min="15165" max="15359" width="2.7109375" style="60"/>
    <col min="15360" max="15362" width="2.7109375" style="60" customWidth="1"/>
    <col min="15363" max="15363" width="3.7109375" style="60" customWidth="1"/>
    <col min="15364" max="15365" width="5" style="60" customWidth="1"/>
    <col min="15366" max="15366" width="5.5703125" style="60" customWidth="1"/>
    <col min="15367" max="15367" width="5.140625" style="60" customWidth="1"/>
    <col min="15368" max="15368" width="4.42578125" style="60" customWidth="1"/>
    <col min="15369" max="15369" width="2.7109375" style="60" customWidth="1"/>
    <col min="15370" max="15370" width="2.5703125" style="60" customWidth="1"/>
    <col min="15371" max="15372" width="2.7109375" style="60" customWidth="1"/>
    <col min="15373" max="15376" width="3" style="60" customWidth="1"/>
    <col min="15377" max="15380" width="2.7109375" style="60" customWidth="1"/>
    <col min="15381" max="15381" width="2.85546875" style="60" customWidth="1"/>
    <col min="15382" max="15387" width="2.7109375" style="60" customWidth="1"/>
    <col min="15388" max="15388" width="3.42578125" style="60" customWidth="1"/>
    <col min="15389" max="15389" width="2.7109375" style="60" customWidth="1"/>
    <col min="15390" max="15394" width="3.5703125" style="60" customWidth="1"/>
    <col min="15395" max="15419" width="2.7109375" style="60" customWidth="1"/>
    <col min="15420" max="15420" width="1.5703125" style="60" customWidth="1"/>
    <col min="15421" max="15615" width="2.7109375" style="60"/>
    <col min="15616" max="15618" width="2.7109375" style="60" customWidth="1"/>
    <col min="15619" max="15619" width="3.7109375" style="60" customWidth="1"/>
    <col min="15620" max="15621" width="5" style="60" customWidth="1"/>
    <col min="15622" max="15622" width="5.5703125" style="60" customWidth="1"/>
    <col min="15623" max="15623" width="5.140625" style="60" customWidth="1"/>
    <col min="15624" max="15624" width="4.42578125" style="60" customWidth="1"/>
    <col min="15625" max="15625" width="2.7109375" style="60" customWidth="1"/>
    <col min="15626" max="15626" width="2.5703125" style="60" customWidth="1"/>
    <col min="15627" max="15628" width="2.7109375" style="60" customWidth="1"/>
    <col min="15629" max="15632" width="3" style="60" customWidth="1"/>
    <col min="15633" max="15636" width="2.7109375" style="60" customWidth="1"/>
    <col min="15637" max="15637" width="2.85546875" style="60" customWidth="1"/>
    <col min="15638" max="15643" width="2.7109375" style="60" customWidth="1"/>
    <col min="15644" max="15644" width="3.42578125" style="60" customWidth="1"/>
    <col min="15645" max="15645" width="2.7109375" style="60" customWidth="1"/>
    <col min="15646" max="15650" width="3.5703125" style="60" customWidth="1"/>
    <col min="15651" max="15675" width="2.7109375" style="60" customWidth="1"/>
    <col min="15676" max="15676" width="1.5703125" style="60" customWidth="1"/>
    <col min="15677" max="15871" width="2.7109375" style="60"/>
    <col min="15872" max="15874" width="2.7109375" style="60" customWidth="1"/>
    <col min="15875" max="15875" width="3.7109375" style="60" customWidth="1"/>
    <col min="15876" max="15877" width="5" style="60" customWidth="1"/>
    <col min="15878" max="15878" width="5.5703125" style="60" customWidth="1"/>
    <col min="15879" max="15879" width="5.140625" style="60" customWidth="1"/>
    <col min="15880" max="15880" width="4.42578125" style="60" customWidth="1"/>
    <col min="15881" max="15881" width="2.7109375" style="60" customWidth="1"/>
    <col min="15882" max="15882" width="2.5703125" style="60" customWidth="1"/>
    <col min="15883" max="15884" width="2.7109375" style="60" customWidth="1"/>
    <col min="15885" max="15888" width="3" style="60" customWidth="1"/>
    <col min="15889" max="15892" width="2.7109375" style="60" customWidth="1"/>
    <col min="15893" max="15893" width="2.85546875" style="60" customWidth="1"/>
    <col min="15894" max="15899" width="2.7109375" style="60" customWidth="1"/>
    <col min="15900" max="15900" width="3.42578125" style="60" customWidth="1"/>
    <col min="15901" max="15901" width="2.7109375" style="60" customWidth="1"/>
    <col min="15902" max="15906" width="3.5703125" style="60" customWidth="1"/>
    <col min="15907" max="15931" width="2.7109375" style="60" customWidth="1"/>
    <col min="15932" max="15932" width="1.5703125" style="60" customWidth="1"/>
    <col min="15933" max="16127" width="2.7109375" style="60"/>
    <col min="16128" max="16130" width="2.7109375" style="60" customWidth="1"/>
    <col min="16131" max="16131" width="3.7109375" style="60" customWidth="1"/>
    <col min="16132" max="16133" width="5" style="60" customWidth="1"/>
    <col min="16134" max="16134" width="5.5703125" style="60" customWidth="1"/>
    <col min="16135" max="16135" width="5.140625" style="60" customWidth="1"/>
    <col min="16136" max="16136" width="4.42578125" style="60" customWidth="1"/>
    <col min="16137" max="16137" width="2.7109375" style="60" customWidth="1"/>
    <col min="16138" max="16138" width="2.5703125" style="60" customWidth="1"/>
    <col min="16139" max="16140" width="2.7109375" style="60" customWidth="1"/>
    <col min="16141" max="16144" width="3" style="60" customWidth="1"/>
    <col min="16145" max="16148" width="2.7109375" style="60" customWidth="1"/>
    <col min="16149" max="16149" width="2.85546875" style="60" customWidth="1"/>
    <col min="16150" max="16155" width="2.7109375" style="60" customWidth="1"/>
    <col min="16156" max="16156" width="3.42578125" style="60" customWidth="1"/>
    <col min="16157" max="16157" width="2.7109375" style="60" customWidth="1"/>
    <col min="16158" max="16162" width="3.5703125" style="60" customWidth="1"/>
    <col min="16163" max="16187" width="2.7109375" style="60" customWidth="1"/>
    <col min="16188" max="16188" width="1.5703125" style="60" customWidth="1"/>
    <col min="16189" max="16384" width="2.7109375" style="60"/>
  </cols>
  <sheetData>
    <row r="1" spans="1:52" ht="15" customHeight="1">
      <c r="A1" s="2483"/>
      <c r="B1" s="2484"/>
      <c r="C1" s="2484"/>
      <c r="D1" s="2485"/>
      <c r="E1" s="2492" t="s">
        <v>682</v>
      </c>
      <c r="F1" s="2493"/>
      <c r="G1" s="2493"/>
      <c r="H1" s="2493"/>
      <c r="I1" s="2493"/>
      <c r="J1" s="2493"/>
      <c r="K1" s="2493"/>
      <c r="L1" s="2493"/>
      <c r="M1" s="2493"/>
      <c r="N1" s="2493"/>
      <c r="O1" s="2493"/>
      <c r="P1" s="2493"/>
      <c r="Q1" s="2493"/>
      <c r="R1" s="2493"/>
      <c r="S1" s="2493"/>
      <c r="T1" s="2493"/>
      <c r="U1" s="2493"/>
      <c r="V1" s="2493"/>
      <c r="W1" s="2493"/>
      <c r="X1" s="2493"/>
      <c r="Y1" s="2493"/>
      <c r="Z1" s="2493"/>
      <c r="AA1" s="2493"/>
      <c r="AB1" s="2493"/>
      <c r="AC1" s="2493"/>
      <c r="AD1" s="2493"/>
      <c r="AE1" s="2493"/>
      <c r="AF1" s="2493"/>
      <c r="AG1" s="2493"/>
      <c r="AH1" s="2494"/>
    </row>
    <row r="2" spans="1:52" ht="15" customHeight="1">
      <c r="A2" s="2486"/>
      <c r="B2" s="2487"/>
      <c r="C2" s="2487"/>
      <c r="D2" s="2488"/>
      <c r="E2" s="2495"/>
      <c r="F2" s="2496"/>
      <c r="G2" s="2496"/>
      <c r="H2" s="2496"/>
      <c r="I2" s="2496"/>
      <c r="J2" s="2496"/>
      <c r="K2" s="2496"/>
      <c r="L2" s="2496"/>
      <c r="M2" s="2496"/>
      <c r="N2" s="2496"/>
      <c r="O2" s="2496"/>
      <c r="P2" s="2496"/>
      <c r="Q2" s="2496"/>
      <c r="R2" s="2496"/>
      <c r="S2" s="2496"/>
      <c r="T2" s="2496"/>
      <c r="U2" s="2496"/>
      <c r="V2" s="2496"/>
      <c r="W2" s="2496"/>
      <c r="X2" s="2496"/>
      <c r="Y2" s="2496"/>
      <c r="Z2" s="2496"/>
      <c r="AA2" s="2496"/>
      <c r="AB2" s="2496"/>
      <c r="AC2" s="2496"/>
      <c r="AD2" s="2496"/>
      <c r="AE2" s="2496"/>
      <c r="AF2" s="2496"/>
      <c r="AG2" s="2496"/>
      <c r="AH2" s="2497"/>
    </row>
    <row r="3" spans="1:52" ht="15" customHeight="1">
      <c r="A3" s="2486"/>
      <c r="B3" s="2487"/>
      <c r="C3" s="2487"/>
      <c r="D3" s="2488"/>
      <c r="E3" s="2498"/>
      <c r="F3" s="2499"/>
      <c r="G3" s="2499"/>
      <c r="H3" s="2499"/>
      <c r="I3" s="2499"/>
      <c r="J3" s="2499"/>
      <c r="K3" s="2499"/>
      <c r="L3" s="2499"/>
      <c r="M3" s="2499"/>
      <c r="N3" s="2499"/>
      <c r="O3" s="2499"/>
      <c r="P3" s="2499"/>
      <c r="Q3" s="2499"/>
      <c r="R3" s="2499"/>
      <c r="S3" s="2499"/>
      <c r="T3" s="2499"/>
      <c r="U3" s="2499"/>
      <c r="V3" s="2499"/>
      <c r="W3" s="2499"/>
      <c r="X3" s="2499"/>
      <c r="Y3" s="2499"/>
      <c r="Z3" s="2499"/>
      <c r="AA3" s="2499"/>
      <c r="AB3" s="2499"/>
      <c r="AC3" s="2499"/>
      <c r="AD3" s="2499"/>
      <c r="AE3" s="2499"/>
      <c r="AF3" s="2499"/>
      <c r="AG3" s="2499"/>
      <c r="AH3" s="2500"/>
    </row>
    <row r="4" spans="1:52" ht="15" customHeight="1">
      <c r="A4" s="2486"/>
      <c r="B4" s="2487"/>
      <c r="C4" s="2487"/>
      <c r="D4" s="2488"/>
      <c r="E4" s="2501" t="s">
        <v>683</v>
      </c>
      <c r="F4" s="2501"/>
      <c r="G4" s="2501"/>
      <c r="H4" s="2501"/>
      <c r="I4" s="2501"/>
      <c r="J4" s="2501"/>
      <c r="K4" s="2501"/>
      <c r="L4" s="2501"/>
      <c r="M4" s="2501"/>
      <c r="N4" s="2501"/>
      <c r="O4" s="2501"/>
      <c r="P4" s="2501"/>
      <c r="Q4" s="2501"/>
      <c r="R4" s="2501"/>
      <c r="S4" s="2501"/>
      <c r="T4" s="2501"/>
      <c r="U4" s="2501"/>
      <c r="V4" s="2501" t="s">
        <v>498</v>
      </c>
      <c r="W4" s="2501"/>
      <c r="X4" s="2501"/>
      <c r="Y4" s="2501"/>
      <c r="Z4" s="2501"/>
      <c r="AA4" s="2501"/>
      <c r="AB4" s="2501"/>
      <c r="AC4" s="2501"/>
      <c r="AD4" s="2501"/>
      <c r="AE4" s="2501"/>
      <c r="AF4" s="2501"/>
      <c r="AG4" s="2501"/>
      <c r="AH4" s="2501"/>
    </row>
    <row r="5" spans="1:52" ht="15" customHeight="1">
      <c r="A5" s="2489"/>
      <c r="B5" s="2490"/>
      <c r="C5" s="2490"/>
      <c r="D5" s="2491"/>
      <c r="E5" s="2502" t="s">
        <v>313</v>
      </c>
      <c r="F5" s="2502"/>
      <c r="G5" s="2502"/>
      <c r="H5" s="2502"/>
      <c r="I5" s="2502"/>
      <c r="J5" s="2502"/>
      <c r="K5" s="2502"/>
      <c r="L5" s="2502"/>
      <c r="M5" s="2502"/>
      <c r="N5" s="2502"/>
      <c r="O5" s="2502"/>
      <c r="P5" s="2502"/>
      <c r="Q5" s="2502"/>
      <c r="R5" s="2502"/>
      <c r="S5" s="2502"/>
      <c r="T5" s="2502"/>
      <c r="U5" s="2502"/>
      <c r="V5" s="2502"/>
      <c r="W5" s="2502"/>
      <c r="X5" s="2502"/>
      <c r="Y5" s="2502"/>
      <c r="Z5" s="2502"/>
      <c r="AA5" s="2502"/>
      <c r="AB5" s="2502"/>
      <c r="AC5" s="2502"/>
      <c r="AD5" s="2502"/>
      <c r="AE5" s="2502"/>
      <c r="AF5" s="2502"/>
      <c r="AG5" s="2502"/>
      <c r="AH5" s="2502"/>
    </row>
    <row r="6" spans="1:52" ht="15.95" customHeight="1">
      <c r="A6" s="455"/>
      <c r="B6" s="456"/>
      <c r="C6" s="456"/>
      <c r="D6" s="456"/>
      <c r="E6" s="1280"/>
      <c r="F6" s="1280"/>
      <c r="G6" s="1280"/>
      <c r="H6" s="1280"/>
      <c r="I6" s="1280"/>
      <c r="J6" s="1280"/>
      <c r="K6" s="1280"/>
      <c r="L6" s="1280"/>
      <c r="M6" s="1280"/>
      <c r="N6" s="1280"/>
      <c r="O6" s="1280"/>
      <c r="P6" s="1280"/>
      <c r="Q6" s="1280"/>
      <c r="R6" s="1280"/>
      <c r="S6" s="1280"/>
      <c r="T6" s="1280"/>
      <c r="U6" s="1280"/>
      <c r="V6" s="811"/>
      <c r="W6" s="811"/>
      <c r="X6" s="811"/>
      <c r="Y6" s="811"/>
      <c r="Z6" s="811"/>
      <c r="AA6" s="811"/>
      <c r="AB6" s="811"/>
      <c r="AC6" s="811"/>
      <c r="AD6" s="670"/>
      <c r="AE6" s="670"/>
      <c r="AF6" s="670"/>
      <c r="AG6" s="670"/>
      <c r="AH6" s="761"/>
      <c r="AI6" s="392" t="s">
        <v>314</v>
      </c>
    </row>
    <row r="7" spans="1:52" s="61" customFormat="1" ht="15.95" customHeight="1">
      <c r="A7" s="455"/>
      <c r="B7" s="456"/>
      <c r="C7" s="456"/>
      <c r="D7" s="456"/>
      <c r="E7" s="459"/>
      <c r="F7" s="459"/>
      <c r="G7" s="459"/>
      <c r="H7" s="459"/>
      <c r="I7" s="459"/>
      <c r="J7" s="459"/>
      <c r="K7" s="459"/>
      <c r="L7" s="459"/>
      <c r="M7" s="459"/>
      <c r="N7" s="459"/>
      <c r="O7" s="459"/>
      <c r="P7" s="459"/>
      <c r="Q7" s="459"/>
      <c r="R7" s="459"/>
      <c r="S7" s="2503" t="s">
        <v>9</v>
      </c>
      <c r="T7" s="2503"/>
      <c r="U7" s="2503"/>
      <c r="V7" s="445"/>
      <c r="W7" s="2195" t="str">
        <f>+IF('1. Encabezado'!T7="","",'1. Encabezado'!T7)</f>
        <v/>
      </c>
      <c r="X7" s="2195"/>
      <c r="Y7" s="2195"/>
      <c r="Z7" s="2195"/>
      <c r="AA7" s="2195"/>
      <c r="AB7" s="2195"/>
      <c r="AC7" s="2195"/>
      <c r="AD7" s="2195"/>
      <c r="AE7" s="2195"/>
      <c r="AF7" s="2195"/>
      <c r="AG7" s="771"/>
      <c r="AH7" s="772"/>
      <c r="AI7" s="393" t="s">
        <v>315</v>
      </c>
    </row>
    <row r="8" spans="1:52" s="61" customFormat="1" ht="15.95" customHeight="1">
      <c r="A8" s="455"/>
      <c r="B8" s="456"/>
      <c r="C8" s="456"/>
      <c r="D8" s="456"/>
      <c r="E8" s="1309"/>
      <c r="F8" s="1309"/>
      <c r="G8" s="1309"/>
      <c r="H8" s="1309"/>
      <c r="I8" s="1310"/>
      <c r="J8" s="1310"/>
      <c r="K8" s="1310"/>
      <c r="L8" s="1310"/>
      <c r="M8" s="1309"/>
      <c r="N8" s="1309"/>
      <c r="O8" s="1309"/>
      <c r="P8" s="1309"/>
      <c r="Q8" s="1309"/>
      <c r="R8" s="1309"/>
      <c r="S8" s="1309"/>
      <c r="T8" s="1309"/>
      <c r="U8" s="1309"/>
      <c r="V8" s="456"/>
      <c r="W8" s="683"/>
      <c r="X8" s="683"/>
      <c r="Y8" s="450"/>
      <c r="Z8" s="2222" t="str">
        <f>IF(W7="",AI11,CONCATENATE(AI7," ",AI8," ",AI9," ", AI10))</f>
        <v>Pagina xx de xx</v>
      </c>
      <c r="AA8" s="2222"/>
      <c r="AB8" s="2222"/>
      <c r="AC8" s="2222"/>
      <c r="AD8" s="2222"/>
      <c r="AE8" s="2222"/>
      <c r="AF8" s="2222"/>
      <c r="AG8" s="1311"/>
      <c r="AH8" s="1312"/>
      <c r="AI8" s="653" t="str">
        <f>IF(W7="","",8)</f>
        <v/>
      </c>
      <c r="AJ8" s="62"/>
      <c r="AK8" s="62"/>
      <c r="AL8" s="62"/>
      <c r="AM8" s="62"/>
      <c r="AN8" s="62"/>
      <c r="AO8" s="62"/>
      <c r="AP8" s="62"/>
      <c r="AQ8" s="62"/>
      <c r="AR8" s="62"/>
      <c r="AS8" s="62"/>
      <c r="AT8" s="62"/>
      <c r="AU8" s="62"/>
      <c r="AV8" s="62"/>
      <c r="AW8" s="62"/>
      <c r="AX8" s="62"/>
      <c r="AY8" s="62"/>
      <c r="AZ8" s="63"/>
    </row>
    <row r="9" spans="1:52" s="61" customFormat="1" ht="15.95" customHeight="1">
      <c r="A9" s="455"/>
      <c r="B9" s="456"/>
      <c r="C9" s="456"/>
      <c r="D9" s="456"/>
      <c r="E9" s="1309"/>
      <c r="F9" s="1309"/>
      <c r="G9" s="1309"/>
      <c r="H9" s="1309"/>
      <c r="I9" s="456"/>
      <c r="J9" s="456"/>
      <c r="K9" s="456"/>
      <c r="L9" s="456"/>
      <c r="M9" s="1309"/>
      <c r="N9" s="1309"/>
      <c r="O9" s="1309"/>
      <c r="P9" s="1309"/>
      <c r="Q9" s="1309"/>
      <c r="R9" s="1309"/>
      <c r="S9" s="1309"/>
      <c r="T9" s="1309"/>
      <c r="U9" s="1309"/>
      <c r="V9" s="456"/>
      <c r="W9" s="456"/>
      <c r="X9" s="456"/>
      <c r="Y9" s="456"/>
      <c r="Z9" s="456"/>
      <c r="AA9" s="456"/>
      <c r="AB9" s="456"/>
      <c r="AC9" s="456"/>
      <c r="AD9" s="1313"/>
      <c r="AE9" s="1313"/>
      <c r="AF9" s="1313"/>
      <c r="AG9" s="1313"/>
      <c r="AH9" s="1314"/>
      <c r="AI9" s="394" t="s">
        <v>316</v>
      </c>
    </row>
    <row r="10" spans="1:52" s="61" customFormat="1" ht="15" customHeight="1">
      <c r="A10" s="2515" t="s">
        <v>250</v>
      </c>
      <c r="B10" s="2516"/>
      <c r="C10" s="2516"/>
      <c r="D10" s="2516"/>
      <c r="E10" s="2516"/>
      <c r="F10" s="2516"/>
      <c r="G10" s="2516"/>
      <c r="H10" s="2516"/>
      <c r="I10" s="2516"/>
      <c r="J10" s="2516"/>
      <c r="K10" s="2516"/>
      <c r="L10" s="2516"/>
      <c r="M10" s="2516"/>
      <c r="N10" s="2516"/>
      <c r="O10" s="2516"/>
      <c r="P10" s="2516"/>
      <c r="Q10" s="2516"/>
      <c r="R10" s="2516"/>
      <c r="S10" s="2516"/>
      <c r="T10" s="2516"/>
      <c r="U10" s="2516"/>
      <c r="V10" s="2516"/>
      <c r="W10" s="2516"/>
      <c r="X10" s="2516"/>
      <c r="Y10" s="2516"/>
      <c r="Z10" s="2516"/>
      <c r="AA10" s="2516"/>
      <c r="AB10" s="2516"/>
      <c r="AC10" s="2516"/>
      <c r="AD10" s="2516"/>
      <c r="AE10" s="2516"/>
      <c r="AF10" s="2516"/>
      <c r="AG10" s="2516"/>
      <c r="AH10" s="2517"/>
      <c r="AI10" s="394">
        <f>IF('1. Encabezado'!AB10="","",'1. Encabezado'!AB10)</f>
        <v>17</v>
      </c>
    </row>
    <row r="11" spans="1:52" ht="15" customHeight="1">
      <c r="A11" s="2518" t="s">
        <v>72</v>
      </c>
      <c r="B11" s="2519"/>
      <c r="C11" s="2519"/>
      <c r="D11" s="2519"/>
      <c r="E11" s="2519"/>
      <c r="F11" s="2519"/>
      <c r="G11" s="2519"/>
      <c r="H11" s="2519"/>
      <c r="I11" s="2519"/>
      <c r="J11" s="2519"/>
      <c r="K11" s="2519"/>
      <c r="L11" s="2519"/>
      <c r="M11" s="2519"/>
      <c r="N11" s="2519"/>
      <c r="O11" s="2519"/>
      <c r="P11" s="2519"/>
      <c r="Q11" s="2519"/>
      <c r="R11" s="2519"/>
      <c r="S11" s="2519"/>
      <c r="T11" s="2519"/>
      <c r="U11" s="2519"/>
      <c r="V11" s="2519"/>
      <c r="W11" s="2519"/>
      <c r="X11" s="2519"/>
      <c r="Y11" s="2519"/>
      <c r="Z11" s="2519"/>
      <c r="AA11" s="2519"/>
      <c r="AB11" s="2519"/>
      <c r="AC11" s="2519"/>
      <c r="AD11" s="2519"/>
      <c r="AE11" s="2519"/>
      <c r="AF11" s="2519"/>
      <c r="AG11" s="2519"/>
      <c r="AH11" s="2520"/>
      <c r="AI11" s="395" t="s">
        <v>317</v>
      </c>
    </row>
    <row r="12" spans="1:52" ht="12.95" customHeight="1">
      <c r="A12" s="2521" t="s">
        <v>182</v>
      </c>
      <c r="B12" s="2522"/>
      <c r="C12" s="2522"/>
      <c r="D12" s="2522"/>
      <c r="E12" s="2525" t="s">
        <v>684</v>
      </c>
      <c r="F12" s="2526"/>
      <c r="G12" s="2526"/>
      <c r="H12" s="2526"/>
      <c r="I12" s="2525" t="s">
        <v>206</v>
      </c>
      <c r="J12" s="2526"/>
      <c r="K12" s="2526"/>
      <c r="L12" s="2526"/>
      <c r="M12" s="2526"/>
      <c r="N12" s="2526"/>
      <c r="O12" s="2526"/>
      <c r="P12" s="2526"/>
      <c r="Q12" s="2526"/>
      <c r="R12" s="2525" t="s">
        <v>207</v>
      </c>
      <c r="S12" s="2526"/>
      <c r="T12" s="2526"/>
      <c r="U12" s="2526"/>
      <c r="V12" s="2526"/>
      <c r="W12" s="2526"/>
      <c r="X12" s="2526"/>
      <c r="Y12" s="2526"/>
      <c r="Z12" s="2526"/>
      <c r="AA12" s="2526"/>
      <c r="AB12" s="2525" t="s">
        <v>174</v>
      </c>
      <c r="AC12" s="2526"/>
      <c r="AD12" s="2526"/>
      <c r="AE12" s="2526"/>
      <c r="AF12" s="2526"/>
      <c r="AG12" s="2526"/>
      <c r="AH12" s="2527"/>
    </row>
    <row r="13" spans="1:52" ht="12.95" customHeight="1">
      <c r="A13" s="2523"/>
      <c r="B13" s="2524"/>
      <c r="C13" s="2524"/>
      <c r="D13" s="2524"/>
      <c r="E13" s="2528"/>
      <c r="F13" s="2529"/>
      <c r="G13" s="2529"/>
      <c r="H13" s="2529"/>
      <c r="I13" s="2504"/>
      <c r="J13" s="2505"/>
      <c r="K13" s="2505"/>
      <c r="L13" s="2505"/>
      <c r="M13" s="2505"/>
      <c r="N13" s="2505"/>
      <c r="O13" s="2505"/>
      <c r="P13" s="2505"/>
      <c r="Q13" s="2505"/>
      <c r="R13" s="2504"/>
      <c r="S13" s="2505"/>
      <c r="T13" s="2505"/>
      <c r="U13" s="2505"/>
      <c r="V13" s="2505"/>
      <c r="W13" s="2505"/>
      <c r="X13" s="2505"/>
      <c r="Y13" s="2505"/>
      <c r="Z13" s="2505"/>
      <c r="AA13" s="2505"/>
      <c r="AB13" s="2504">
        <v>0</v>
      </c>
      <c r="AC13" s="2505"/>
      <c r="AD13" s="2505"/>
      <c r="AE13" s="2505"/>
      <c r="AF13" s="2505"/>
      <c r="AG13" s="2505"/>
      <c r="AH13" s="2506"/>
    </row>
    <row r="14" spans="1:52" ht="15" customHeight="1">
      <c r="A14" s="2507" t="s">
        <v>175</v>
      </c>
      <c r="B14" s="2508"/>
      <c r="C14" s="2508"/>
      <c r="D14" s="2508"/>
      <c r="E14" s="2508"/>
      <c r="F14" s="2508"/>
      <c r="G14" s="2508"/>
      <c r="H14" s="457" t="s">
        <v>62</v>
      </c>
      <c r="I14" s="2509" t="str">
        <f>+IF(I13="","",(I13/(I13+AB13))*100)</f>
        <v/>
      </c>
      <c r="J14" s="2510"/>
      <c r="K14" s="2510"/>
      <c r="L14" s="2510"/>
      <c r="M14" s="2510"/>
      <c r="N14" s="2510"/>
      <c r="O14" s="2510"/>
      <c r="P14" s="2510"/>
      <c r="Q14" s="2510"/>
      <c r="R14" s="2509" t="str">
        <f>+IF(R13="","",(R13/(R13+AB13))*100)</f>
        <v/>
      </c>
      <c r="S14" s="2510"/>
      <c r="T14" s="2510"/>
      <c r="U14" s="2510"/>
      <c r="V14" s="2510"/>
      <c r="W14" s="2510"/>
      <c r="X14" s="2510"/>
      <c r="Y14" s="2510"/>
      <c r="Z14" s="2510"/>
      <c r="AA14" s="2511"/>
      <c r="AB14" s="2512"/>
      <c r="AC14" s="2513"/>
      <c r="AD14" s="2513"/>
      <c r="AE14" s="2513"/>
      <c r="AF14" s="2513"/>
      <c r="AG14" s="2513"/>
      <c r="AH14" s="2514"/>
      <c r="AI14" s="65"/>
    </row>
    <row r="15" spans="1:52" ht="15" customHeight="1">
      <c r="A15" s="2530" t="s">
        <v>196</v>
      </c>
      <c r="B15" s="2531"/>
      <c r="C15" s="2531"/>
      <c r="D15" s="2531"/>
      <c r="E15" s="2531"/>
      <c r="F15" s="2531"/>
      <c r="G15" s="2531"/>
      <c r="H15" s="2531"/>
      <c r="I15" s="2519"/>
      <c r="J15" s="2519"/>
      <c r="K15" s="2519"/>
      <c r="L15" s="2519"/>
      <c r="M15" s="2519"/>
      <c r="N15" s="2519"/>
      <c r="O15" s="2519"/>
      <c r="P15" s="2519"/>
      <c r="Q15" s="2519"/>
      <c r="R15" s="2519"/>
      <c r="S15" s="2519"/>
      <c r="T15" s="2519"/>
      <c r="U15" s="2519"/>
      <c r="V15" s="2519"/>
      <c r="W15" s="2519"/>
      <c r="X15" s="2519"/>
      <c r="Y15" s="2519"/>
      <c r="Z15" s="2519"/>
      <c r="AA15" s="2519"/>
      <c r="AB15" s="2519"/>
      <c r="AC15" s="2519"/>
      <c r="AD15" s="2519"/>
      <c r="AE15" s="2519"/>
      <c r="AF15" s="2519"/>
      <c r="AG15" s="2519"/>
      <c r="AH15" s="2520"/>
      <c r="AI15" s="66"/>
    </row>
    <row r="16" spans="1:52" ht="12.95" customHeight="1">
      <c r="A16" s="2521" t="s">
        <v>182</v>
      </c>
      <c r="B16" s="2522"/>
      <c r="C16" s="2522"/>
      <c r="D16" s="2522"/>
      <c r="E16" s="2525" t="s">
        <v>684</v>
      </c>
      <c r="F16" s="2526"/>
      <c r="G16" s="2526"/>
      <c r="H16" s="2526"/>
      <c r="I16" s="2525" t="s">
        <v>206</v>
      </c>
      <c r="J16" s="2526"/>
      <c r="K16" s="2526"/>
      <c r="L16" s="2526"/>
      <c r="M16" s="2526"/>
      <c r="N16" s="2526"/>
      <c r="O16" s="2526"/>
      <c r="P16" s="2526"/>
      <c r="Q16" s="2526"/>
      <c r="R16" s="2525" t="s">
        <v>208</v>
      </c>
      <c r="S16" s="2526"/>
      <c r="T16" s="2526"/>
      <c r="U16" s="2526"/>
      <c r="V16" s="2526"/>
      <c r="W16" s="2526"/>
      <c r="X16" s="2526"/>
      <c r="Y16" s="2526"/>
      <c r="Z16" s="2526"/>
      <c r="AA16" s="2526"/>
      <c r="AB16" s="2525" t="s">
        <v>174</v>
      </c>
      <c r="AC16" s="2526"/>
      <c r="AD16" s="2526"/>
      <c r="AE16" s="2526"/>
      <c r="AF16" s="2526"/>
      <c r="AG16" s="2526"/>
      <c r="AH16" s="2527"/>
      <c r="AI16" s="66"/>
      <c r="AL16" s="67"/>
    </row>
    <row r="17" spans="1:82" ht="12.95" customHeight="1">
      <c r="A17" s="2523"/>
      <c r="B17" s="2524"/>
      <c r="C17" s="2524"/>
      <c r="D17" s="2524"/>
      <c r="E17" s="2528"/>
      <c r="F17" s="2529"/>
      <c r="G17" s="2529"/>
      <c r="H17" s="2529"/>
      <c r="I17" s="2504"/>
      <c r="J17" s="2505"/>
      <c r="K17" s="2505"/>
      <c r="L17" s="2505"/>
      <c r="M17" s="2505"/>
      <c r="N17" s="2505"/>
      <c r="O17" s="2505"/>
      <c r="P17" s="2505"/>
      <c r="Q17" s="2505"/>
      <c r="R17" s="2504"/>
      <c r="S17" s="2505"/>
      <c r="T17" s="2505"/>
      <c r="U17" s="2505"/>
      <c r="V17" s="2505"/>
      <c r="W17" s="2505"/>
      <c r="X17" s="2505"/>
      <c r="Y17" s="2505"/>
      <c r="Z17" s="2505"/>
      <c r="AA17" s="2505"/>
      <c r="AB17" s="2504">
        <v>0</v>
      </c>
      <c r="AC17" s="2505"/>
      <c r="AD17" s="2505"/>
      <c r="AE17" s="2505"/>
      <c r="AF17" s="2505"/>
      <c r="AG17" s="2505"/>
      <c r="AH17" s="2506"/>
      <c r="AI17" s="66"/>
    </row>
    <row r="18" spans="1:82" ht="15" customHeight="1">
      <c r="A18" s="2507" t="s">
        <v>175</v>
      </c>
      <c r="B18" s="2508"/>
      <c r="C18" s="2508"/>
      <c r="D18" s="2508"/>
      <c r="E18" s="2508"/>
      <c r="F18" s="2508"/>
      <c r="G18" s="2508"/>
      <c r="H18" s="64" t="s">
        <v>62</v>
      </c>
      <c r="I18" s="2509" t="str">
        <f>+IF(I17="","",(I17/(I17+AB17))*100)</f>
        <v/>
      </c>
      <c r="J18" s="2510"/>
      <c r="K18" s="2510"/>
      <c r="L18" s="2510"/>
      <c r="M18" s="2510"/>
      <c r="N18" s="2510"/>
      <c r="O18" s="2510"/>
      <c r="P18" s="2510"/>
      <c r="Q18" s="2510"/>
      <c r="R18" s="2509" t="str">
        <f>+IF(R17="","",(R17/(R17+AB17))*100)</f>
        <v/>
      </c>
      <c r="S18" s="2510"/>
      <c r="T18" s="2510"/>
      <c r="U18" s="2510"/>
      <c r="V18" s="2510"/>
      <c r="W18" s="2510"/>
      <c r="X18" s="2510"/>
      <c r="Y18" s="2510"/>
      <c r="Z18" s="2510"/>
      <c r="AA18" s="2510"/>
      <c r="AB18" s="2512"/>
      <c r="AC18" s="2513"/>
      <c r="AD18" s="2513"/>
      <c r="AE18" s="2513"/>
      <c r="AF18" s="2513"/>
      <c r="AG18" s="2513"/>
      <c r="AH18" s="2514"/>
    </row>
    <row r="19" spans="1:82" ht="12.95" customHeight="1">
      <c r="A19" s="2535" t="s">
        <v>82</v>
      </c>
      <c r="B19" s="2526"/>
      <c r="C19" s="2526"/>
      <c r="D19" s="2526"/>
      <c r="E19" s="2526"/>
      <c r="F19" s="2526"/>
      <c r="G19" s="2526"/>
      <c r="H19" s="2536"/>
      <c r="I19" s="2537" t="s">
        <v>183</v>
      </c>
      <c r="J19" s="2538"/>
      <c r="K19" s="2538"/>
      <c r="L19" s="2538"/>
      <c r="M19" s="2538"/>
      <c r="N19" s="2538"/>
      <c r="O19" s="2538"/>
      <c r="P19" s="2538"/>
      <c r="Q19" s="2539"/>
      <c r="R19" s="2540" t="s">
        <v>184</v>
      </c>
      <c r="S19" s="2541"/>
      <c r="T19" s="2541"/>
      <c r="U19" s="2541"/>
      <c r="V19" s="2541"/>
      <c r="W19" s="2541"/>
      <c r="X19" s="2541"/>
      <c r="Y19" s="2541"/>
      <c r="Z19" s="2541"/>
      <c r="AA19" s="2542"/>
      <c r="AB19" s="2525" t="s">
        <v>489</v>
      </c>
      <c r="AC19" s="2526"/>
      <c r="AD19" s="2526"/>
      <c r="AE19" s="2526"/>
      <c r="AF19" s="2526"/>
      <c r="AG19" s="2526"/>
      <c r="AH19" s="2527"/>
    </row>
    <row r="20" spans="1:82" ht="12.95" customHeight="1">
      <c r="A20" s="2562" t="s">
        <v>176</v>
      </c>
      <c r="B20" s="2563"/>
      <c r="C20" s="2563"/>
      <c r="D20" s="2563"/>
      <c r="E20" s="2563"/>
      <c r="F20" s="2563"/>
      <c r="G20" s="2563"/>
      <c r="H20" s="2564"/>
      <c r="I20" s="2565" t="str">
        <f>+IF(I14="","",(AVERAGE(I18,I14)))</f>
        <v/>
      </c>
      <c r="J20" s="2566"/>
      <c r="K20" s="2566"/>
      <c r="L20" s="2566"/>
      <c r="M20" s="2566"/>
      <c r="N20" s="2566"/>
      <c r="O20" s="2566"/>
      <c r="P20" s="2566"/>
      <c r="Q20" s="2567"/>
      <c r="R20" s="2565" t="str">
        <f>+IF(R18="","",AVERAGE(R18,R14))</f>
        <v/>
      </c>
      <c r="S20" s="2566"/>
      <c r="T20" s="2566"/>
      <c r="U20" s="2566"/>
      <c r="V20" s="2566"/>
      <c r="W20" s="2566"/>
      <c r="X20" s="2566"/>
      <c r="Y20" s="2566"/>
      <c r="Z20" s="2566"/>
      <c r="AA20" s="2567"/>
      <c r="AB20" s="2568"/>
      <c r="AC20" s="2569"/>
      <c r="AD20" s="2569"/>
      <c r="AE20" s="2569"/>
      <c r="AF20" s="2569"/>
      <c r="AG20" s="2569"/>
      <c r="AH20" s="2570"/>
      <c r="AI20" s="2571"/>
      <c r="AJ20" s="2571"/>
      <c r="AK20" s="2571"/>
      <c r="AL20" s="2571"/>
      <c r="AM20" s="2571"/>
      <c r="AN20" s="2571"/>
      <c r="AO20" s="2571"/>
      <c r="BN20" s="2532"/>
      <c r="BO20" s="2533"/>
      <c r="BP20" s="2533"/>
      <c r="BQ20" s="2533"/>
      <c r="BR20" s="2533"/>
      <c r="BS20" s="2533"/>
      <c r="BT20" s="2533"/>
      <c r="BU20" s="2533"/>
      <c r="BV20" s="2533"/>
      <c r="BW20" s="2533"/>
      <c r="BX20" s="2533"/>
      <c r="BY20" s="2533"/>
      <c r="BZ20" s="2533"/>
      <c r="CA20" s="2533"/>
      <c r="CB20" s="2533"/>
      <c r="CC20" s="2533"/>
      <c r="CD20" s="2534"/>
    </row>
    <row r="21" spans="1:82" ht="15" customHeight="1">
      <c r="A21" s="2543" t="s">
        <v>194</v>
      </c>
      <c r="B21" s="2544"/>
      <c r="C21" s="2544"/>
      <c r="D21" s="2544"/>
      <c r="E21" s="2544"/>
      <c r="F21" s="2544"/>
      <c r="G21" s="2544"/>
      <c r="H21" s="2544"/>
      <c r="I21" s="2544"/>
      <c r="J21" s="2544"/>
      <c r="K21" s="2544"/>
      <c r="L21" s="2544"/>
      <c r="M21" s="2544"/>
      <c r="N21" s="2544"/>
      <c r="O21" s="2544"/>
      <c r="P21" s="2544"/>
      <c r="Q21" s="2545"/>
      <c r="R21" s="2546"/>
      <c r="S21" s="2547"/>
      <c r="T21" s="2547"/>
      <c r="U21" s="2547"/>
      <c r="V21" s="2547"/>
      <c r="W21" s="2547"/>
      <c r="X21" s="2547"/>
      <c r="Y21" s="2547"/>
      <c r="Z21" s="2547"/>
      <c r="AA21" s="2547"/>
      <c r="AB21" s="2547"/>
      <c r="AC21" s="2547"/>
      <c r="AD21" s="2547"/>
      <c r="AE21" s="2547"/>
      <c r="AF21" s="2547"/>
      <c r="AG21" s="2547"/>
      <c r="AH21" s="2548"/>
      <c r="AI21" s="68"/>
      <c r="AJ21" s="68"/>
      <c r="AK21" s="68"/>
      <c r="AL21" s="68"/>
      <c r="AM21" s="68"/>
      <c r="AN21" s="68"/>
      <c r="AO21" s="68"/>
      <c r="AQ21" s="2549" t="s">
        <v>192</v>
      </c>
      <c r="AR21" s="2550"/>
      <c r="AS21" s="2550"/>
      <c r="AT21" s="2550"/>
      <c r="AU21" s="2550"/>
      <c r="AV21" s="2550"/>
      <c r="AW21" s="2550"/>
      <c r="AX21" s="2550"/>
      <c r="AY21" s="2550"/>
      <c r="AZ21" s="2550"/>
      <c r="BA21" s="2550"/>
      <c r="BB21" s="2550"/>
      <c r="BC21" s="2550"/>
      <c r="BD21" s="2550"/>
      <c r="BE21" s="2550"/>
      <c r="BF21" s="2550"/>
      <c r="BG21" s="2551"/>
    </row>
    <row r="22" spans="1:82" ht="15.75" customHeight="1">
      <c r="A22" s="2552" t="s">
        <v>685</v>
      </c>
      <c r="B22" s="2553"/>
      <c r="C22" s="2553"/>
      <c r="D22" s="2553"/>
      <c r="E22" s="2553"/>
      <c r="F22" s="2553"/>
      <c r="G22" s="2553"/>
      <c r="H22" s="2553"/>
      <c r="I22" s="2553"/>
      <c r="J22" s="2553"/>
      <c r="K22" s="2553"/>
      <c r="L22" s="2553"/>
      <c r="M22" s="2553"/>
      <c r="N22" s="2553"/>
      <c r="O22" s="2553"/>
      <c r="P22" s="2553"/>
      <c r="Q22" s="2554"/>
      <c r="R22" s="2555"/>
      <c r="S22" s="2556"/>
      <c r="T22" s="2556"/>
      <c r="U22" s="2556"/>
      <c r="V22" s="2556"/>
      <c r="W22" s="2556"/>
      <c r="X22" s="2556"/>
      <c r="Y22" s="2556"/>
      <c r="Z22" s="2556"/>
      <c r="AA22" s="2556"/>
      <c r="AB22" s="2556"/>
      <c r="AC22" s="2556"/>
      <c r="AD22" s="2556"/>
      <c r="AE22" s="2556"/>
      <c r="AF22" s="2556"/>
      <c r="AG22" s="2556"/>
      <c r="AH22" s="2557"/>
      <c r="AQ22" s="69" t="s">
        <v>83</v>
      </c>
      <c r="AR22" s="70"/>
      <c r="AS22" s="70"/>
      <c r="AT22" s="70"/>
      <c r="AU22" s="70"/>
      <c r="AV22" s="70"/>
      <c r="AW22" s="70"/>
    </row>
    <row r="23" spans="1:82" ht="15.95" customHeight="1">
      <c r="A23" s="2558" t="s">
        <v>251</v>
      </c>
      <c r="B23" s="2559"/>
      <c r="C23" s="2559"/>
      <c r="D23" s="2559"/>
      <c r="E23" s="2559"/>
      <c r="F23" s="2559"/>
      <c r="G23" s="2559"/>
      <c r="H23" s="2559"/>
      <c r="I23" s="2559"/>
      <c r="J23" s="2559"/>
      <c r="K23" s="2559"/>
      <c r="L23" s="2559"/>
      <c r="M23" s="2559"/>
      <c r="N23" s="2559"/>
      <c r="O23" s="2559"/>
      <c r="P23" s="2559"/>
      <c r="Q23" s="2559"/>
      <c r="R23" s="2559"/>
      <c r="S23" s="2559"/>
      <c r="T23" s="2559"/>
      <c r="U23" s="2559"/>
      <c r="V23" s="2559"/>
      <c r="W23" s="2559"/>
      <c r="X23" s="2559"/>
      <c r="Y23" s="2559"/>
      <c r="Z23" s="2559"/>
      <c r="AA23" s="2559"/>
      <c r="AB23" s="2559"/>
      <c r="AC23" s="2559"/>
      <c r="AD23" s="2559"/>
      <c r="AE23" s="2559"/>
      <c r="AF23" s="2559"/>
      <c r="AG23" s="2559"/>
      <c r="AH23" s="2560"/>
      <c r="AI23" s="2561"/>
      <c r="AJ23" s="2561"/>
      <c r="AK23" s="2561"/>
      <c r="AL23" s="2561"/>
      <c r="AM23" s="2561"/>
      <c r="AQ23" s="69" t="s">
        <v>84</v>
      </c>
      <c r="AR23" s="70"/>
      <c r="AS23" s="70"/>
      <c r="AT23" s="70"/>
    </row>
    <row r="24" spans="1:82" ht="15" customHeight="1">
      <c r="A24" s="2583" t="s">
        <v>226</v>
      </c>
      <c r="B24" s="2584"/>
      <c r="C24" s="2584"/>
      <c r="D24" s="2584"/>
      <c r="E24" s="2584"/>
      <c r="F24" s="2584"/>
      <c r="G24" s="2584"/>
      <c r="H24" s="71"/>
      <c r="I24" s="13" t="s">
        <v>58</v>
      </c>
      <c r="J24" s="2585"/>
      <c r="K24" s="2585"/>
      <c r="L24" s="2585"/>
      <c r="M24" s="2585"/>
      <c r="N24" s="74"/>
      <c r="O24" s="2584" t="s">
        <v>87</v>
      </c>
      <c r="P24" s="2584"/>
      <c r="Q24" s="2584"/>
      <c r="R24" s="2584"/>
      <c r="S24" s="2584"/>
      <c r="T24" s="2584"/>
      <c r="U24" s="2584"/>
      <c r="V24" s="2584"/>
      <c r="W24" s="2584"/>
      <c r="X24" s="2584"/>
      <c r="Y24" s="2584"/>
      <c r="Z24" s="2584"/>
      <c r="AA24" s="2584"/>
      <c r="AB24" s="2584"/>
      <c r="AC24" s="2584"/>
      <c r="AD24" s="454" t="s">
        <v>58</v>
      </c>
      <c r="AE24" s="2586" t="str">
        <f>+IF(OR('Gradacion '!I56="",'Gradacion '!I56=0),"0",'Gradacion '!I56)</f>
        <v>0</v>
      </c>
      <c r="AF24" s="2587"/>
      <c r="AG24" s="2587"/>
      <c r="AH24" s="2588"/>
      <c r="AI24" s="66"/>
    </row>
    <row r="25" spans="1:82" ht="15" customHeight="1">
      <c r="A25" s="2589" t="s">
        <v>227</v>
      </c>
      <c r="B25" s="2590"/>
      <c r="C25" s="2590"/>
      <c r="D25" s="2590"/>
      <c r="E25" s="2590"/>
      <c r="F25" s="2590"/>
      <c r="G25" s="2590"/>
      <c r="H25" s="2590"/>
      <c r="I25" s="14" t="s">
        <v>58</v>
      </c>
      <c r="J25" s="2591" t="str">
        <f>IF(OR(H37="",H37=0),"0",+H37)</f>
        <v>0</v>
      </c>
      <c r="K25" s="2591"/>
      <c r="L25" s="2591"/>
      <c r="M25" s="2591"/>
      <c r="N25" s="74"/>
      <c r="O25" s="2590" t="s">
        <v>195</v>
      </c>
      <c r="P25" s="2590"/>
      <c r="Q25" s="2590"/>
      <c r="R25" s="2590"/>
      <c r="S25" s="2590"/>
      <c r="T25" s="2590"/>
      <c r="U25" s="2590"/>
      <c r="V25" s="2590"/>
      <c r="W25" s="2590"/>
      <c r="X25" s="2590"/>
      <c r="Y25" s="2590"/>
      <c r="Z25" s="2590"/>
      <c r="AA25" s="2590"/>
      <c r="AB25" s="2590"/>
      <c r="AC25" s="2590"/>
      <c r="AD25" s="454" t="s">
        <v>58</v>
      </c>
      <c r="AE25" s="2592">
        <f>+'Gradacion '!AP69</f>
        <v>0</v>
      </c>
      <c r="AF25" s="2592"/>
      <c r="AG25" s="2592"/>
      <c r="AH25" s="2593"/>
      <c r="AI25" s="66"/>
    </row>
    <row r="26" spans="1:82" ht="15" customHeight="1">
      <c r="A26" s="2572"/>
      <c r="B26" s="2573"/>
      <c r="C26" s="2573"/>
      <c r="D26" s="2573"/>
      <c r="E26" s="2573"/>
      <c r="F26" s="2573"/>
      <c r="G26" s="2573"/>
      <c r="H26" s="2573"/>
      <c r="I26" s="238"/>
      <c r="J26" s="239"/>
      <c r="K26" s="239"/>
      <c r="L26" s="239"/>
      <c r="M26" s="239"/>
      <c r="N26" s="240"/>
      <c r="O26" s="2574" t="s">
        <v>88</v>
      </c>
      <c r="P26" s="2574"/>
      <c r="Q26" s="2574"/>
      <c r="R26" s="2574"/>
      <c r="S26" s="2574"/>
      <c r="T26" s="2574"/>
      <c r="U26" s="2574"/>
      <c r="V26" s="2574"/>
      <c r="W26" s="2574"/>
      <c r="X26" s="2574"/>
      <c r="Y26" s="2574"/>
      <c r="Z26" s="2574"/>
      <c r="AA26" s="2574"/>
      <c r="AB26" s="2574"/>
      <c r="AC26" s="2574"/>
      <c r="AD26" s="454" t="s">
        <v>58</v>
      </c>
      <c r="AE26" s="2575">
        <f>SUM(AE24:AH25)</f>
        <v>0</v>
      </c>
      <c r="AF26" s="2576"/>
      <c r="AG26" s="2576"/>
      <c r="AH26" s="2577"/>
      <c r="AI26" s="66"/>
    </row>
    <row r="27" spans="1:82" ht="12.95" customHeight="1">
      <c r="A27" s="2578" t="s">
        <v>170</v>
      </c>
      <c r="B27" s="2579"/>
      <c r="C27" s="2579"/>
      <c r="D27" s="2579"/>
      <c r="E27" s="2579"/>
      <c r="F27" s="2579"/>
      <c r="G27" s="2579"/>
      <c r="H27" s="2579"/>
      <c r="I27" s="2580"/>
      <c r="J27" s="2581" t="s">
        <v>73</v>
      </c>
      <c r="K27" s="2531"/>
      <c r="L27" s="2531"/>
      <c r="M27" s="2531"/>
      <c r="N27" s="2531"/>
      <c r="O27" s="2531"/>
      <c r="P27" s="2531"/>
      <c r="Q27" s="2531"/>
      <c r="R27" s="2531"/>
      <c r="S27" s="2531"/>
      <c r="T27" s="2531"/>
      <c r="U27" s="2531"/>
      <c r="V27" s="2531"/>
      <c r="W27" s="2581" t="s">
        <v>74</v>
      </c>
      <c r="X27" s="2531"/>
      <c r="Y27" s="2531"/>
      <c r="Z27" s="2531"/>
      <c r="AA27" s="2531"/>
      <c r="AB27" s="2531"/>
      <c r="AC27" s="2531"/>
      <c r="AD27" s="2531"/>
      <c r="AE27" s="2531"/>
      <c r="AF27" s="2531"/>
      <c r="AG27" s="2531"/>
      <c r="AH27" s="2582"/>
    </row>
    <row r="28" spans="1:82" ht="20.25" customHeight="1">
      <c r="A28" s="2614" t="s">
        <v>171</v>
      </c>
      <c r="B28" s="2595"/>
      <c r="C28" s="2595"/>
      <c r="D28" s="2595"/>
      <c r="E28" s="2595" t="s">
        <v>173</v>
      </c>
      <c r="F28" s="2595"/>
      <c r="G28" s="2595" t="s">
        <v>172</v>
      </c>
      <c r="H28" s="2616" t="s">
        <v>166</v>
      </c>
      <c r="I28" s="2617"/>
      <c r="J28" s="2594" t="s">
        <v>167</v>
      </c>
      <c r="K28" s="2595"/>
      <c r="L28" s="2595"/>
      <c r="M28" s="2595"/>
      <c r="N28" s="2595"/>
      <c r="O28" s="2595"/>
      <c r="P28" s="2595" t="s">
        <v>686</v>
      </c>
      <c r="Q28" s="2595"/>
      <c r="R28" s="2595"/>
      <c r="S28" s="2595"/>
      <c r="T28" s="2595"/>
      <c r="U28" s="2595"/>
      <c r="V28" s="2595"/>
      <c r="W28" s="2594" t="s">
        <v>204</v>
      </c>
      <c r="X28" s="2595"/>
      <c r="Y28" s="2595"/>
      <c r="Z28" s="2595"/>
      <c r="AA28" s="2595"/>
      <c r="AB28" s="2595"/>
      <c r="AC28" s="2595" t="s">
        <v>152</v>
      </c>
      <c r="AD28" s="2595"/>
      <c r="AE28" s="2595"/>
      <c r="AF28" s="2595"/>
      <c r="AG28" s="2595"/>
      <c r="AH28" s="2598"/>
      <c r="AS28" s="2532" t="s">
        <v>193</v>
      </c>
      <c r="AT28" s="2533"/>
      <c r="AU28" s="2533"/>
      <c r="AV28" s="2533"/>
      <c r="AW28" s="2533"/>
      <c r="AX28" s="2533"/>
      <c r="AY28" s="2533"/>
      <c r="AZ28" s="2533"/>
      <c r="BA28" s="2533"/>
      <c r="BB28" s="2533"/>
      <c r="BC28" s="2533"/>
      <c r="BD28" s="2533"/>
      <c r="BE28" s="2533"/>
      <c r="BF28" s="2533"/>
      <c r="BG28" s="2533"/>
      <c r="BH28" s="2533"/>
      <c r="BI28" s="2534"/>
    </row>
    <row r="29" spans="1:82" ht="26.25" customHeight="1">
      <c r="A29" s="2615"/>
      <c r="B29" s="2597"/>
      <c r="C29" s="2597"/>
      <c r="D29" s="2597"/>
      <c r="E29" s="2597"/>
      <c r="F29" s="2597"/>
      <c r="G29" s="2597"/>
      <c r="H29" s="2618"/>
      <c r="I29" s="2619"/>
      <c r="J29" s="2596"/>
      <c r="K29" s="2597"/>
      <c r="L29" s="2597"/>
      <c r="M29" s="2597"/>
      <c r="N29" s="2597"/>
      <c r="O29" s="2597"/>
      <c r="P29" s="2597"/>
      <c r="Q29" s="2597"/>
      <c r="R29" s="2597"/>
      <c r="S29" s="2597"/>
      <c r="T29" s="2597"/>
      <c r="U29" s="2597"/>
      <c r="V29" s="2597"/>
      <c r="W29" s="2596"/>
      <c r="X29" s="2597"/>
      <c r="Y29" s="2597"/>
      <c r="Z29" s="2597"/>
      <c r="AA29" s="2597"/>
      <c r="AB29" s="2597"/>
      <c r="AC29" s="2597"/>
      <c r="AD29" s="2597"/>
      <c r="AE29" s="2597"/>
      <c r="AF29" s="2597"/>
      <c r="AG29" s="2597"/>
      <c r="AH29" s="2599"/>
      <c r="AI29" s="60" t="str">
        <f>IF(W7="","",'Gradacion '!I12)</f>
        <v/>
      </c>
      <c r="AJ29" s="2600" t="s">
        <v>687</v>
      </c>
      <c r="AK29" s="2600"/>
      <c r="AL29" s="2600" t="s">
        <v>688</v>
      </c>
      <c r="AM29" s="2600"/>
      <c r="AS29" s="69" t="s">
        <v>85</v>
      </c>
      <c r="AT29" s="70"/>
      <c r="AU29" s="70"/>
      <c r="AV29" s="70"/>
      <c r="AW29" s="70"/>
      <c r="AX29" s="70"/>
      <c r="AY29" s="70"/>
    </row>
    <row r="30" spans="1:82" ht="14.1" customHeight="1">
      <c r="A30" s="2601" t="s">
        <v>75</v>
      </c>
      <c r="B30" s="2602"/>
      <c r="C30" s="2602"/>
      <c r="D30" s="2603"/>
      <c r="E30" s="2604"/>
      <c r="F30" s="2605"/>
      <c r="G30" s="83" t="str">
        <f>+IF(E30="","",(E30/$AI$29*100))</f>
        <v/>
      </c>
      <c r="H30" s="2606" t="str">
        <f>IF(E30="","",IF(G30=0,0,IF(G30&lt;(0.05*100),$J$24-E30,0)))</f>
        <v/>
      </c>
      <c r="I30" s="2607"/>
      <c r="J30" s="2608"/>
      <c r="K30" s="2609"/>
      <c r="L30" s="2609"/>
      <c r="M30" s="2609"/>
      <c r="N30" s="2609"/>
      <c r="O30" s="2610"/>
      <c r="P30" s="2611" t="str">
        <f>+IF(J30="","",(J30*100/E30))</f>
        <v/>
      </c>
      <c r="Q30" s="2612"/>
      <c r="R30" s="2612"/>
      <c r="S30" s="2612"/>
      <c r="T30" s="2612"/>
      <c r="U30" s="2612"/>
      <c r="V30" s="2613"/>
      <c r="W30" s="2620"/>
      <c r="X30" s="2621"/>
      <c r="Y30" s="2621"/>
      <c r="Z30" s="2621"/>
      <c r="AA30" s="2621"/>
      <c r="AB30" s="2622"/>
      <c r="AC30" s="2611" t="str">
        <f>+IF(W30="","",(100*W30/E30))</f>
        <v/>
      </c>
      <c r="AD30" s="2612"/>
      <c r="AE30" s="2612"/>
      <c r="AF30" s="2612"/>
      <c r="AG30" s="2612"/>
      <c r="AH30" s="2613"/>
      <c r="AI30" s="313" t="s">
        <v>147</v>
      </c>
      <c r="AJ30" s="2612" t="str">
        <f>IF('Gradacion '!I59="","",'Gradacion '!I59)</f>
        <v/>
      </c>
      <c r="AK30" s="2623"/>
      <c r="AL30" s="2612" t="str">
        <f>IF('Gradacion '!Y59="","",'Gradacion '!Y59)</f>
        <v/>
      </c>
      <c r="AM30" s="2623"/>
      <c r="AS30" s="72" t="s">
        <v>86</v>
      </c>
      <c r="AT30" s="73"/>
      <c r="AU30" s="73"/>
      <c r="AV30" s="73"/>
    </row>
    <row r="31" spans="1:82" ht="14.1" customHeight="1">
      <c r="A31" s="2624" t="s">
        <v>76</v>
      </c>
      <c r="B31" s="2625"/>
      <c r="C31" s="2625"/>
      <c r="D31" s="2626"/>
      <c r="E31" s="2627"/>
      <c r="F31" s="2627"/>
      <c r="G31" s="83" t="str">
        <f>+IF(E31="","",(E31/$AI$29*100))</f>
        <v/>
      </c>
      <c r="H31" s="2606"/>
      <c r="I31" s="2607"/>
      <c r="J31" s="2628"/>
      <c r="K31" s="2629"/>
      <c r="L31" s="2629"/>
      <c r="M31" s="2629"/>
      <c r="N31" s="2629"/>
      <c r="O31" s="2630"/>
      <c r="P31" s="2611" t="str">
        <f t="shared" ref="P31:P36" si="0">+IF(J31="","",(J31*100/E31))</f>
        <v/>
      </c>
      <c r="Q31" s="2612"/>
      <c r="R31" s="2612"/>
      <c r="S31" s="2612"/>
      <c r="T31" s="2612"/>
      <c r="U31" s="2612"/>
      <c r="V31" s="2613"/>
      <c r="W31" s="2631"/>
      <c r="X31" s="2632"/>
      <c r="Y31" s="2632"/>
      <c r="Z31" s="2632"/>
      <c r="AA31" s="2632"/>
      <c r="AB31" s="2633"/>
      <c r="AC31" s="2611" t="str">
        <f t="shared" ref="AC31:AC36" si="1">+IF(W31="","",(100*W31/E31))</f>
        <v/>
      </c>
      <c r="AD31" s="2612"/>
      <c r="AE31" s="2612"/>
      <c r="AF31" s="2612"/>
      <c r="AG31" s="2612"/>
      <c r="AH31" s="2613"/>
      <c r="AI31" s="313" t="s">
        <v>148</v>
      </c>
      <c r="AJ31" s="2612" t="str">
        <f>IF('Gradacion '!I60="","",'Gradacion '!I60)</f>
        <v/>
      </c>
      <c r="AK31" s="2623"/>
      <c r="AL31" s="2612" t="str">
        <f>IF('Gradacion '!Y60="","",'Gradacion '!Y60)</f>
        <v/>
      </c>
      <c r="AM31" s="2623"/>
    </row>
    <row r="32" spans="1:82" ht="14.1" customHeight="1">
      <c r="A32" s="2624" t="s">
        <v>77</v>
      </c>
      <c r="B32" s="2625"/>
      <c r="C32" s="2625"/>
      <c r="D32" s="2626"/>
      <c r="E32" s="2634"/>
      <c r="F32" s="2634"/>
      <c r="G32" s="83" t="str">
        <f t="shared" ref="G32:G36" si="2">+IF(E32="","",(E32/$AI$29*100))</f>
        <v/>
      </c>
      <c r="H32" s="2606" t="str">
        <f t="shared" ref="H32:H36" si="3">IF(E32="","",IF(G32=0,0,IF(G32&lt;(0.05*100),$J$24-E32,0)))</f>
        <v/>
      </c>
      <c r="I32" s="2607"/>
      <c r="J32" s="2628"/>
      <c r="K32" s="2629"/>
      <c r="L32" s="2629"/>
      <c r="M32" s="2629"/>
      <c r="N32" s="2629"/>
      <c r="O32" s="2630"/>
      <c r="P32" s="2611" t="str">
        <f t="shared" si="0"/>
        <v/>
      </c>
      <c r="Q32" s="2612"/>
      <c r="R32" s="2612"/>
      <c r="S32" s="2612"/>
      <c r="T32" s="2612"/>
      <c r="U32" s="2612"/>
      <c r="V32" s="2613"/>
      <c r="W32" s="2631"/>
      <c r="X32" s="2632"/>
      <c r="Y32" s="2632"/>
      <c r="Z32" s="2632"/>
      <c r="AA32" s="2632"/>
      <c r="AB32" s="2633"/>
      <c r="AC32" s="2611" t="str">
        <f t="shared" si="1"/>
        <v/>
      </c>
      <c r="AD32" s="2612"/>
      <c r="AE32" s="2612"/>
      <c r="AF32" s="2612"/>
      <c r="AG32" s="2612"/>
      <c r="AH32" s="2613"/>
      <c r="AI32" s="313" t="s">
        <v>31</v>
      </c>
      <c r="AJ32" s="2612" t="str">
        <f>IF('Gradacion '!I61="","",'Gradacion '!I61)</f>
        <v/>
      </c>
      <c r="AK32" s="2623"/>
      <c r="AL32" s="2612" t="str">
        <f>IF('Gradacion '!Y61="","",'Gradacion '!Y61)</f>
        <v/>
      </c>
      <c r="AM32" s="2623"/>
      <c r="AN32" s="74"/>
      <c r="AO32" s="74"/>
    </row>
    <row r="33" spans="1:51" ht="14.1" customHeight="1">
      <c r="A33" s="2624" t="s">
        <v>78</v>
      </c>
      <c r="B33" s="2625"/>
      <c r="C33" s="2625"/>
      <c r="D33" s="2625"/>
      <c r="E33" s="2634"/>
      <c r="F33" s="2634"/>
      <c r="G33" s="83" t="str">
        <f t="shared" si="2"/>
        <v/>
      </c>
      <c r="H33" s="2606" t="str">
        <f t="shared" si="3"/>
        <v/>
      </c>
      <c r="I33" s="2607"/>
      <c r="J33" s="2628"/>
      <c r="K33" s="2629"/>
      <c r="L33" s="2629"/>
      <c r="M33" s="2629"/>
      <c r="N33" s="2629"/>
      <c r="O33" s="2630"/>
      <c r="P33" s="2611" t="str">
        <f t="shared" si="0"/>
        <v/>
      </c>
      <c r="Q33" s="2612"/>
      <c r="R33" s="2612"/>
      <c r="S33" s="2612"/>
      <c r="T33" s="2612"/>
      <c r="U33" s="2612"/>
      <c r="V33" s="2613"/>
      <c r="W33" s="2631"/>
      <c r="X33" s="2632"/>
      <c r="Y33" s="2632"/>
      <c r="Z33" s="2632"/>
      <c r="AA33" s="2632"/>
      <c r="AB33" s="2633"/>
      <c r="AC33" s="2611" t="str">
        <f t="shared" si="1"/>
        <v/>
      </c>
      <c r="AD33" s="2612"/>
      <c r="AE33" s="2612"/>
      <c r="AF33" s="2612"/>
      <c r="AG33" s="2612"/>
      <c r="AH33" s="2613"/>
      <c r="AI33" s="313" t="s">
        <v>33</v>
      </c>
      <c r="AJ33" s="2612" t="str">
        <f>IF('Gradacion '!I62="","",'Gradacion '!I62)</f>
        <v/>
      </c>
      <c r="AK33" s="2623"/>
      <c r="AL33" s="2612" t="str">
        <f>IF('Gradacion '!Y62="","",'Gradacion '!Y62)</f>
        <v/>
      </c>
      <c r="AM33" s="2623"/>
      <c r="AN33" s="74"/>
      <c r="AO33" s="74"/>
    </row>
    <row r="34" spans="1:51" ht="14.1" customHeight="1">
      <c r="A34" s="2624" t="s">
        <v>79</v>
      </c>
      <c r="B34" s="2625"/>
      <c r="C34" s="2625"/>
      <c r="D34" s="2626"/>
      <c r="E34" s="2634"/>
      <c r="F34" s="2634"/>
      <c r="G34" s="83" t="str">
        <f t="shared" si="2"/>
        <v/>
      </c>
      <c r="H34" s="2606" t="str">
        <f t="shared" si="3"/>
        <v/>
      </c>
      <c r="I34" s="2607"/>
      <c r="J34" s="2628"/>
      <c r="K34" s="2629"/>
      <c r="L34" s="2629"/>
      <c r="M34" s="2629"/>
      <c r="N34" s="2629"/>
      <c r="O34" s="2630"/>
      <c r="P34" s="2611" t="str">
        <f t="shared" si="0"/>
        <v/>
      </c>
      <c r="Q34" s="2612"/>
      <c r="R34" s="2612"/>
      <c r="S34" s="2612"/>
      <c r="T34" s="2612"/>
      <c r="U34" s="2612"/>
      <c r="V34" s="2613"/>
      <c r="W34" s="2631"/>
      <c r="X34" s="2632"/>
      <c r="Y34" s="2632"/>
      <c r="Z34" s="2632"/>
      <c r="AA34" s="2632"/>
      <c r="AB34" s="2633"/>
      <c r="AC34" s="2611" t="str">
        <f t="shared" si="1"/>
        <v/>
      </c>
      <c r="AD34" s="2612"/>
      <c r="AE34" s="2612"/>
      <c r="AF34" s="2612"/>
      <c r="AG34" s="2612"/>
      <c r="AH34" s="2613"/>
      <c r="AI34" s="313" t="s">
        <v>34</v>
      </c>
      <c r="AJ34" s="2612" t="str">
        <f>IF('Gradacion '!I63="","",'Gradacion '!I63)</f>
        <v/>
      </c>
      <c r="AK34" s="2623"/>
      <c r="AL34" s="2612" t="str">
        <f>IF('Gradacion '!Y63="","",'Gradacion '!Y63)</f>
        <v/>
      </c>
      <c r="AM34" s="2623"/>
      <c r="AN34" s="74"/>
      <c r="AO34" s="74"/>
    </row>
    <row r="35" spans="1:51" ht="14.1" customHeight="1">
      <c r="A35" s="2624" t="s">
        <v>80</v>
      </c>
      <c r="B35" s="2625"/>
      <c r="C35" s="2625"/>
      <c r="D35" s="2626"/>
      <c r="E35" s="2634"/>
      <c r="F35" s="2634"/>
      <c r="G35" s="83" t="str">
        <f t="shared" si="2"/>
        <v/>
      </c>
      <c r="H35" s="2606" t="str">
        <f t="shared" si="3"/>
        <v/>
      </c>
      <c r="I35" s="2607"/>
      <c r="J35" s="2628"/>
      <c r="K35" s="2629"/>
      <c r="L35" s="2629"/>
      <c r="M35" s="2629"/>
      <c r="N35" s="2629"/>
      <c r="O35" s="2630"/>
      <c r="P35" s="2611" t="str">
        <f t="shared" si="0"/>
        <v/>
      </c>
      <c r="Q35" s="2612"/>
      <c r="R35" s="2612"/>
      <c r="S35" s="2612"/>
      <c r="T35" s="2612"/>
      <c r="U35" s="2612"/>
      <c r="V35" s="2613"/>
      <c r="W35" s="2631"/>
      <c r="X35" s="2632"/>
      <c r="Y35" s="2632"/>
      <c r="Z35" s="2632"/>
      <c r="AA35" s="2632"/>
      <c r="AB35" s="2633"/>
      <c r="AC35" s="2611" t="str">
        <f t="shared" si="1"/>
        <v/>
      </c>
      <c r="AD35" s="2612"/>
      <c r="AE35" s="2612"/>
      <c r="AF35" s="2612"/>
      <c r="AG35" s="2612"/>
      <c r="AH35" s="2613"/>
      <c r="AI35" s="313" t="s">
        <v>37</v>
      </c>
      <c r="AJ35" s="2612" t="str">
        <f>IF('Gradacion '!I64="","",'Gradacion '!I64)</f>
        <v/>
      </c>
      <c r="AK35" s="2623"/>
      <c r="AL35" s="2612" t="str">
        <f>IF('Gradacion '!Y64="","",'Gradacion '!Y64)</f>
        <v/>
      </c>
      <c r="AM35" s="2623"/>
      <c r="AN35" s="74"/>
      <c r="AO35" s="74"/>
    </row>
    <row r="36" spans="1:51" ht="14.1" customHeight="1">
      <c r="A36" s="2624" t="s">
        <v>81</v>
      </c>
      <c r="B36" s="2625"/>
      <c r="C36" s="2625"/>
      <c r="D36" s="2626"/>
      <c r="E36" s="2635"/>
      <c r="F36" s="2636"/>
      <c r="G36" s="83" t="str">
        <f t="shared" si="2"/>
        <v/>
      </c>
      <c r="H36" s="2606" t="str">
        <f t="shared" si="3"/>
        <v/>
      </c>
      <c r="I36" s="2607"/>
      <c r="J36" s="2637"/>
      <c r="K36" s="2638"/>
      <c r="L36" s="2638"/>
      <c r="M36" s="2638"/>
      <c r="N36" s="2638"/>
      <c r="O36" s="2639"/>
      <c r="P36" s="2611" t="str">
        <f t="shared" si="0"/>
        <v/>
      </c>
      <c r="Q36" s="2612"/>
      <c r="R36" s="2612"/>
      <c r="S36" s="2612"/>
      <c r="T36" s="2612"/>
      <c r="U36" s="2612"/>
      <c r="V36" s="2613"/>
      <c r="W36" s="2640"/>
      <c r="X36" s="2641"/>
      <c r="Y36" s="2641"/>
      <c r="Z36" s="2641"/>
      <c r="AA36" s="2641"/>
      <c r="AB36" s="2642"/>
      <c r="AC36" s="2611" t="str">
        <f t="shared" si="1"/>
        <v/>
      </c>
      <c r="AD36" s="2612"/>
      <c r="AE36" s="2612"/>
      <c r="AF36" s="2612"/>
      <c r="AG36" s="2612"/>
      <c r="AH36" s="2613"/>
      <c r="AI36" s="313" t="s">
        <v>205</v>
      </c>
      <c r="AJ36" s="2612" t="str">
        <f>IF('Gradacion '!I65="","",'Gradacion '!I65)</f>
        <v/>
      </c>
      <c r="AK36" s="2623"/>
      <c r="AL36" s="2612" t="str">
        <f>IF('Gradacion '!Y65="","",'Gradacion '!Y65)</f>
        <v/>
      </c>
      <c r="AM36" s="2623"/>
      <c r="AN36" s="74"/>
      <c r="AO36" s="74"/>
    </row>
    <row r="37" spans="1:51" ht="14.1" customHeight="1">
      <c r="A37" s="2643" t="s">
        <v>66</v>
      </c>
      <c r="B37" s="2644"/>
      <c r="C37" s="2644"/>
      <c r="D37" s="2645"/>
      <c r="E37" s="2646">
        <f>SUM(E30:F36)</f>
        <v>0</v>
      </c>
      <c r="F37" s="2647"/>
      <c r="G37" s="12">
        <f>SUM(G30:G36)</f>
        <v>0</v>
      </c>
      <c r="H37" s="2648">
        <f>SUM(H30:I36)</f>
        <v>0</v>
      </c>
      <c r="I37" s="2649"/>
      <c r="J37" s="2650" t="str">
        <f>IF(AND(J30="",J31="",J32="",J33="",J34="",J35="",J36=""),"",SUM(J30:O36))</f>
        <v/>
      </c>
      <c r="K37" s="2648"/>
      <c r="L37" s="2648"/>
      <c r="M37" s="2648"/>
      <c r="N37" s="2648"/>
      <c r="O37" s="2651"/>
      <c r="P37" s="2652"/>
      <c r="Q37" s="2652"/>
      <c r="R37" s="2652"/>
      <c r="S37" s="2652"/>
      <c r="T37" s="2652"/>
      <c r="U37" s="2652"/>
      <c r="V37" s="2652"/>
      <c r="W37" s="2653" t="str">
        <f>IF(AND(W30="",W31="",W32="",W33="",W34="",W35="",W36=""),"",SUM(W30:AB36))</f>
        <v/>
      </c>
      <c r="X37" s="2654"/>
      <c r="Y37" s="2654"/>
      <c r="Z37" s="2654"/>
      <c r="AA37" s="2654"/>
      <c r="AB37" s="2655"/>
      <c r="AC37" s="2652"/>
      <c r="AD37" s="2652"/>
      <c r="AE37" s="2652"/>
      <c r="AF37" s="2652"/>
      <c r="AG37" s="2652"/>
      <c r="AH37" s="2656"/>
    </row>
    <row r="38" spans="1:51" ht="15" customHeight="1">
      <c r="A38" s="2665" t="s">
        <v>153</v>
      </c>
      <c r="B38" s="2666"/>
      <c r="C38" s="2666"/>
      <c r="D38" s="2666"/>
      <c r="E38" s="2666"/>
      <c r="F38" s="2666"/>
      <c r="G38" s="2666"/>
      <c r="H38" s="2666"/>
      <c r="I38" s="2666"/>
      <c r="J38" s="2667" t="str">
        <f>IF(OR(E37="",J37=""),"",J37*100/E37)</f>
        <v/>
      </c>
      <c r="K38" s="2667"/>
      <c r="L38" s="2667"/>
      <c r="M38" s="2668"/>
      <c r="N38" s="2669" t="s">
        <v>689</v>
      </c>
      <c r="O38" s="2666"/>
      <c r="P38" s="2666"/>
      <c r="Q38" s="2666"/>
      <c r="R38" s="2666"/>
      <c r="S38" s="2666"/>
      <c r="T38" s="2666"/>
      <c r="U38" s="2666"/>
      <c r="V38" s="2666"/>
      <c r="W38" s="2666"/>
      <c r="X38" s="2666"/>
      <c r="Y38" s="2666"/>
      <c r="Z38" s="2666"/>
      <c r="AA38" s="2666"/>
      <c r="AB38" s="2666"/>
      <c r="AC38" s="2666"/>
      <c r="AD38" s="2666"/>
      <c r="AE38" s="2667" t="str">
        <f>+IF(OR(W37="",E37=""),"",(IF(E37="","",(W37*100/E37))))</f>
        <v/>
      </c>
      <c r="AF38" s="2667"/>
      <c r="AG38" s="2667"/>
      <c r="AH38" s="2670"/>
      <c r="AI38" s="74" t="str">
        <f>IF(OR(E37="",J37=""),"",(+J37/E37)*100)</f>
        <v/>
      </c>
      <c r="AJ38" s="74"/>
      <c r="AK38" s="74"/>
      <c r="AL38" s="74"/>
      <c r="AM38" s="74"/>
      <c r="AN38" s="74"/>
      <c r="AO38" s="74"/>
      <c r="AP38" s="74"/>
      <c r="AQ38" s="74"/>
      <c r="AR38" s="74"/>
      <c r="AS38" s="74"/>
      <c r="AT38" s="74"/>
    </row>
    <row r="39" spans="1:51" ht="15" customHeight="1">
      <c r="A39" s="1315"/>
      <c r="B39" s="1316"/>
      <c r="C39" s="1316"/>
      <c r="D39" s="1316"/>
      <c r="E39" s="1316"/>
      <c r="F39" s="1316"/>
      <c r="G39" s="1316"/>
      <c r="H39" s="1316"/>
      <c r="I39" s="1316"/>
      <c r="J39" s="1317"/>
      <c r="K39" s="1317"/>
      <c r="L39" s="1317"/>
      <c r="M39" s="1317"/>
      <c r="N39" s="1316"/>
      <c r="O39" s="1316"/>
      <c r="P39" s="1316"/>
      <c r="Q39" s="1316"/>
      <c r="R39" s="1316"/>
      <c r="S39" s="1316"/>
      <c r="T39" s="1316"/>
      <c r="U39" s="1316"/>
      <c r="V39" s="1316"/>
      <c r="W39" s="1316"/>
      <c r="X39" s="1316"/>
      <c r="Y39" s="1316"/>
      <c r="Z39" s="1316"/>
      <c r="AA39" s="1316"/>
      <c r="AB39" s="1316"/>
      <c r="AC39" s="1316"/>
      <c r="AD39" s="1316"/>
      <c r="AE39" s="1317"/>
      <c r="AF39" s="1317"/>
      <c r="AG39" s="1317"/>
      <c r="AH39" s="1318"/>
      <c r="AI39" s="75"/>
      <c r="AJ39" s="74"/>
      <c r="AK39" s="74"/>
      <c r="AL39" s="74"/>
      <c r="AM39" s="74"/>
      <c r="AN39" s="74"/>
      <c r="AO39" s="74"/>
      <c r="AP39" s="74"/>
      <c r="AQ39" s="74"/>
      <c r="AR39" s="74"/>
      <c r="AS39" s="74"/>
      <c r="AT39" s="74"/>
    </row>
    <row r="40" spans="1:51" ht="15" customHeight="1">
      <c r="A40" s="1319"/>
      <c r="B40" s="2671" t="s">
        <v>633</v>
      </c>
      <c r="C40" s="2671"/>
      <c r="D40" s="2671"/>
      <c r="E40" s="2671"/>
      <c r="F40" s="2671"/>
      <c r="G40" s="2663"/>
      <c r="H40" s="2663"/>
      <c r="I40" s="2663"/>
      <c r="J40" s="1320"/>
      <c r="K40" s="1320"/>
      <c r="L40" s="1320"/>
      <c r="M40" s="1320"/>
      <c r="N40" s="454"/>
      <c r="O40" s="454"/>
      <c r="P40" s="454"/>
      <c r="Q40" s="454"/>
      <c r="R40" s="454"/>
      <c r="S40" s="454"/>
      <c r="T40" s="454"/>
      <c r="U40" s="454"/>
      <c r="V40" s="454"/>
      <c r="W40" s="454"/>
      <c r="X40" s="454"/>
      <c r="Y40" s="454"/>
      <c r="Z40" s="454"/>
      <c r="AA40" s="454"/>
      <c r="AB40" s="454"/>
      <c r="AC40" s="454"/>
      <c r="AD40" s="454"/>
      <c r="AE40" s="1320"/>
      <c r="AF40" s="1320"/>
      <c r="AG40" s="1320"/>
      <c r="AH40" s="1321"/>
      <c r="AI40" s="75"/>
      <c r="AJ40" s="74"/>
      <c r="AK40" s="74"/>
      <c r="AL40" s="74"/>
      <c r="AM40" s="74"/>
      <c r="AN40" s="74"/>
      <c r="AO40" s="74"/>
      <c r="AP40" s="74"/>
      <c r="AQ40" s="74"/>
      <c r="AR40" s="74"/>
      <c r="AS40" s="74"/>
      <c r="AT40" s="74"/>
    </row>
    <row r="41" spans="1:51" ht="15" customHeight="1">
      <c r="A41" s="1322"/>
      <c r="B41" s="138"/>
      <c r="C41" s="138"/>
      <c r="D41" s="138"/>
      <c r="E41" s="138"/>
      <c r="F41" s="138"/>
      <c r="G41" s="138"/>
      <c r="H41" s="138"/>
      <c r="I41" s="138"/>
      <c r="J41" s="1323"/>
      <c r="K41" s="1323"/>
      <c r="L41" s="1323"/>
      <c r="M41" s="1323"/>
      <c r="N41" s="138"/>
      <c r="O41" s="138"/>
      <c r="P41" s="138"/>
      <c r="Q41" s="138"/>
      <c r="R41" s="138"/>
      <c r="S41" s="138"/>
      <c r="T41" s="138"/>
      <c r="U41" s="138"/>
      <c r="V41" s="138"/>
      <c r="W41" s="138"/>
      <c r="X41" s="138"/>
      <c r="Y41" s="138"/>
      <c r="Z41" s="138"/>
      <c r="AA41" s="138"/>
      <c r="AB41" s="138"/>
      <c r="AC41" s="138"/>
      <c r="AD41" s="138"/>
      <c r="AE41" s="1323"/>
      <c r="AF41" s="1323"/>
      <c r="AG41" s="1323"/>
      <c r="AH41" s="1324"/>
      <c r="AI41" s="75"/>
      <c r="AJ41" s="74"/>
      <c r="AK41" s="74"/>
      <c r="AL41" s="74"/>
      <c r="AM41" s="74"/>
      <c r="AN41" s="74"/>
      <c r="AO41" s="74"/>
      <c r="AP41" s="74"/>
      <c r="AQ41" s="74"/>
      <c r="AR41" s="74"/>
      <c r="AS41" s="74"/>
      <c r="AT41" s="74"/>
    </row>
    <row r="42" spans="1:51" ht="15" customHeight="1">
      <c r="A42" s="1116"/>
      <c r="B42" s="2672" t="s">
        <v>10</v>
      </c>
      <c r="C42" s="2672"/>
      <c r="D42" s="2672"/>
      <c r="E42" s="2672"/>
      <c r="F42" s="2673"/>
      <c r="G42" s="2673"/>
      <c r="H42" s="2673"/>
      <c r="I42" s="2673"/>
      <c r="J42" s="2673"/>
      <c r="K42" s="2673"/>
      <c r="L42" s="2673"/>
      <c r="M42" s="2673"/>
      <c r="N42" s="2673"/>
      <c r="O42" s="2673"/>
      <c r="P42" s="2673"/>
      <c r="Q42" s="2673"/>
      <c r="R42" s="2673"/>
      <c r="S42" s="2673"/>
      <c r="T42" s="2673"/>
      <c r="U42" s="2673"/>
      <c r="V42" s="2673"/>
      <c r="W42" s="2673"/>
      <c r="X42" s="2673"/>
      <c r="Y42" s="2673"/>
      <c r="Z42" s="2673"/>
      <c r="AA42" s="2673"/>
      <c r="AB42" s="2673"/>
      <c r="AC42" s="2673"/>
      <c r="AD42" s="2673"/>
      <c r="AE42" s="2673"/>
      <c r="AF42" s="2673"/>
      <c r="AG42" s="2673"/>
      <c r="AH42" s="2674"/>
      <c r="AI42" s="75"/>
      <c r="AJ42" s="74"/>
      <c r="AK42" s="74"/>
      <c r="AL42" s="74"/>
      <c r="AM42" s="74"/>
      <c r="AN42" s="74"/>
      <c r="AO42" s="74"/>
      <c r="AP42" s="74"/>
      <c r="AQ42" s="74"/>
      <c r="AR42" s="74"/>
      <c r="AS42" s="74"/>
      <c r="AT42" s="74"/>
    </row>
    <row r="43" spans="1:51" ht="15" customHeight="1">
      <c r="A43" s="1116"/>
      <c r="B43" s="1325"/>
      <c r="C43" s="1325"/>
      <c r="D43" s="1325"/>
      <c r="E43" s="1325"/>
      <c r="F43" s="1326"/>
      <c r="G43" s="1326"/>
      <c r="H43" s="1326"/>
      <c r="I43" s="1326"/>
      <c r="J43" s="1326"/>
      <c r="K43" s="1326"/>
      <c r="L43" s="1326"/>
      <c r="M43" s="1326"/>
      <c r="N43" s="1326"/>
      <c r="O43" s="1326"/>
      <c r="P43" s="1326"/>
      <c r="Q43" s="1326"/>
      <c r="R43" s="1326"/>
      <c r="S43" s="1326"/>
      <c r="T43" s="1326"/>
      <c r="U43" s="1326"/>
      <c r="V43" s="1326"/>
      <c r="W43" s="1326"/>
      <c r="X43" s="1326"/>
      <c r="Y43" s="1326"/>
      <c r="Z43" s="1326"/>
      <c r="AA43" s="1326"/>
      <c r="AB43" s="1326"/>
      <c r="AC43" s="1326"/>
      <c r="AD43" s="1326"/>
      <c r="AE43" s="1326"/>
      <c r="AF43" s="1326"/>
      <c r="AG43" s="1326"/>
      <c r="AH43" s="1327"/>
      <c r="AI43" s="67"/>
      <c r="AM43" s="2657" t="s">
        <v>89</v>
      </c>
      <c r="AN43" s="2657"/>
      <c r="AO43" s="2657"/>
      <c r="AP43" s="2657"/>
      <c r="AQ43" s="2657"/>
      <c r="AR43" s="2657"/>
      <c r="AS43" s="2657"/>
      <c r="AT43" s="2657"/>
      <c r="AU43" s="2657"/>
      <c r="AV43" s="2657"/>
      <c r="AW43" s="2657"/>
      <c r="AX43" s="2657"/>
      <c r="AY43" s="2657"/>
    </row>
    <row r="44" spans="1:51" ht="15" customHeight="1">
      <c r="A44" s="1116"/>
      <c r="B44" s="1325"/>
      <c r="C44" s="1325"/>
      <c r="D44" s="1325"/>
      <c r="E44" s="1325"/>
      <c r="F44" s="1326"/>
      <c r="G44" s="1326"/>
      <c r="H44" s="1326"/>
      <c r="I44" s="1326"/>
      <c r="J44" s="1326"/>
      <c r="K44" s="1326"/>
      <c r="L44" s="1326"/>
      <c r="M44" s="1326"/>
      <c r="N44" s="1326"/>
      <c r="O44" s="1326"/>
      <c r="P44" s="1326"/>
      <c r="Q44" s="1326"/>
      <c r="R44" s="1326"/>
      <c r="S44" s="1326"/>
      <c r="T44" s="1326"/>
      <c r="U44" s="1326"/>
      <c r="V44" s="1326"/>
      <c r="W44" s="1326"/>
      <c r="X44" s="1326"/>
      <c r="Y44" s="1326"/>
      <c r="Z44" s="1326"/>
      <c r="AA44" s="1326"/>
      <c r="AB44" s="1326"/>
      <c r="AC44" s="1326"/>
      <c r="AD44" s="1326"/>
      <c r="AE44" s="1326"/>
      <c r="AF44" s="1326"/>
      <c r="AG44" s="1326"/>
      <c r="AH44" s="1327"/>
      <c r="AI44" s="67"/>
      <c r="AM44" s="2658" t="s">
        <v>90</v>
      </c>
      <c r="AN44" s="2658"/>
      <c r="AO44" s="2658"/>
      <c r="AP44" s="2658"/>
      <c r="AQ44" s="2658"/>
      <c r="AR44" s="2658"/>
      <c r="AS44" s="2658"/>
      <c r="AT44" s="2658"/>
      <c r="AU44" s="2658"/>
      <c r="AV44" s="2658"/>
      <c r="AW44" s="2658"/>
      <c r="AX44" s="2658"/>
      <c r="AY44" s="2658"/>
    </row>
    <row r="45" spans="1:51" ht="15" customHeight="1" thickBot="1">
      <c r="A45" s="2659"/>
      <c r="B45" s="2660"/>
      <c r="C45" s="2660"/>
      <c r="D45" s="2660"/>
      <c r="E45" s="2660"/>
      <c r="F45" s="2660"/>
      <c r="G45" s="2660"/>
      <c r="H45" s="2660"/>
      <c r="I45" s="2660"/>
      <c r="J45" s="2660"/>
      <c r="K45" s="2660"/>
      <c r="L45" s="2660"/>
      <c r="M45" s="2660"/>
      <c r="N45" s="2660"/>
      <c r="O45" s="2660"/>
      <c r="P45" s="2660"/>
      <c r="Q45" s="2660"/>
      <c r="R45" s="2660"/>
      <c r="S45" s="2660"/>
      <c r="T45" s="2660"/>
      <c r="U45" s="2660"/>
      <c r="V45" s="2660"/>
      <c r="W45" s="2660"/>
      <c r="X45" s="2660"/>
      <c r="Y45" s="2660"/>
      <c r="Z45" s="2660"/>
      <c r="AA45" s="2660"/>
      <c r="AB45" s="2660"/>
      <c r="AC45" s="2660"/>
      <c r="AD45" s="2660"/>
      <c r="AE45" s="2660"/>
      <c r="AF45" s="2660"/>
      <c r="AG45" s="2660"/>
      <c r="AH45" s="2661"/>
      <c r="AI45" s="67"/>
      <c r="AM45" s="2658"/>
      <c r="AN45" s="2658"/>
      <c r="AO45" s="2658"/>
      <c r="AP45" s="2658"/>
      <c r="AQ45" s="2658"/>
      <c r="AR45" s="2658"/>
      <c r="AS45" s="2658"/>
      <c r="AT45" s="2658"/>
      <c r="AU45" s="2658"/>
      <c r="AV45" s="2658"/>
      <c r="AW45" s="2658"/>
      <c r="AX45" s="2658"/>
      <c r="AY45" s="2658"/>
    </row>
    <row r="46" spans="1:51" ht="15" customHeight="1" thickTop="1" thickBot="1">
      <c r="A46" s="2402" t="s">
        <v>13</v>
      </c>
      <c r="B46" s="2402"/>
      <c r="C46" s="2402"/>
      <c r="D46" s="2402"/>
      <c r="E46" s="2402"/>
      <c r="F46" s="2402"/>
      <c r="G46" s="2402"/>
      <c r="H46" s="2402"/>
      <c r="I46" s="2402"/>
      <c r="J46" s="2402"/>
      <c r="K46" s="2402"/>
      <c r="L46" s="2402"/>
      <c r="M46" s="2402"/>
      <c r="N46" s="2402"/>
      <c r="O46" s="2402"/>
      <c r="P46" s="2402"/>
      <c r="Q46" s="2402"/>
      <c r="R46" s="2402"/>
      <c r="S46" s="2402"/>
      <c r="T46" s="2402"/>
      <c r="U46" s="2402"/>
      <c r="V46" s="2402"/>
      <c r="W46" s="2402"/>
      <c r="X46" s="2402"/>
      <c r="Y46" s="2402"/>
      <c r="Z46" s="2402"/>
      <c r="AA46" s="2402"/>
      <c r="AB46" s="2402"/>
      <c r="AC46" s="2402"/>
      <c r="AD46" s="2402"/>
      <c r="AE46" s="2402"/>
      <c r="AF46" s="2402"/>
      <c r="AG46" s="2402"/>
      <c r="AH46" s="2402"/>
      <c r="AI46" s="76"/>
      <c r="AM46" s="2658"/>
      <c r="AN46" s="2658"/>
      <c r="AO46" s="2658"/>
      <c r="AP46" s="2658"/>
      <c r="AQ46" s="2658"/>
      <c r="AR46" s="2658"/>
      <c r="AS46" s="2658"/>
      <c r="AT46" s="2658"/>
      <c r="AU46" s="2658"/>
      <c r="AV46" s="2658"/>
      <c r="AW46" s="2658"/>
      <c r="AX46" s="2658"/>
      <c r="AY46" s="2658"/>
    </row>
    <row r="47" spans="1:51" ht="15" customHeight="1" thickTop="1">
      <c r="A47" s="2662"/>
      <c r="B47" s="2662"/>
      <c r="C47" s="2662"/>
      <c r="D47" s="2662"/>
      <c r="E47" s="2662"/>
      <c r="F47" s="2662"/>
      <c r="G47" s="2662"/>
      <c r="H47" s="2662"/>
      <c r="I47" s="2662"/>
      <c r="J47" s="2662"/>
      <c r="K47" s="2662"/>
      <c r="L47" s="2662"/>
      <c r="M47" s="2662"/>
      <c r="N47" s="2662"/>
      <c r="O47" s="2662"/>
      <c r="P47" s="2662"/>
      <c r="Q47" s="2662"/>
      <c r="R47" s="2662"/>
      <c r="S47" s="2662"/>
      <c r="T47" s="2662"/>
      <c r="U47" s="2662"/>
      <c r="V47" s="2662"/>
      <c r="W47" s="2662"/>
      <c r="X47" s="2662"/>
      <c r="Y47" s="2662"/>
      <c r="Z47" s="2662"/>
      <c r="AA47" s="2662"/>
      <c r="AB47" s="2662"/>
      <c r="AC47" s="2662"/>
      <c r="AD47" s="2662"/>
      <c r="AE47" s="2662"/>
      <c r="AF47" s="2662"/>
      <c r="AG47" s="2662"/>
      <c r="AH47" s="2662"/>
      <c r="AI47" s="67"/>
      <c r="AM47" s="2658"/>
      <c r="AN47" s="2658"/>
      <c r="AO47" s="2658"/>
      <c r="AP47" s="2658"/>
      <c r="AQ47" s="2658"/>
      <c r="AR47" s="2658"/>
      <c r="AS47" s="2658"/>
      <c r="AT47" s="2658"/>
      <c r="AU47" s="2658"/>
      <c r="AV47" s="2658"/>
      <c r="AW47" s="2658"/>
      <c r="AX47" s="2658"/>
      <c r="AY47" s="2658"/>
    </row>
    <row r="48" spans="1:51" ht="12" customHeight="1">
      <c r="A48" s="1977" t="s">
        <v>306</v>
      </c>
      <c r="B48" s="1977"/>
      <c r="C48" s="1977"/>
      <c r="D48" s="1977"/>
      <c r="E48" s="1977"/>
      <c r="F48" s="1977"/>
      <c r="G48" s="1977"/>
      <c r="H48" s="1977"/>
      <c r="I48" s="1977"/>
      <c r="J48" s="1977"/>
      <c r="K48" s="1977"/>
      <c r="L48" s="1977"/>
      <c r="M48" s="1977"/>
      <c r="N48" s="1977"/>
      <c r="O48" s="1977"/>
      <c r="P48" s="1977"/>
      <c r="Q48" s="1977"/>
      <c r="R48" s="1977"/>
      <c r="S48" s="1977"/>
      <c r="T48" s="1977"/>
      <c r="U48" s="1977"/>
      <c r="V48" s="1977"/>
      <c r="W48" s="1977"/>
      <c r="X48" s="1977"/>
      <c r="Y48" s="1977"/>
      <c r="Z48" s="1977"/>
      <c r="AA48" s="1977"/>
      <c r="AB48" s="1977"/>
      <c r="AC48" s="1977"/>
      <c r="AD48" s="1977"/>
      <c r="AE48" s="1977"/>
      <c r="AF48" s="1977"/>
      <c r="AG48" s="1977"/>
      <c r="AH48" s="1977"/>
      <c r="AI48" s="67"/>
      <c r="AM48" s="2664" t="s">
        <v>142</v>
      </c>
      <c r="AN48" s="2664"/>
      <c r="AO48" s="2664"/>
      <c r="AP48" s="2664"/>
      <c r="AQ48" s="2664"/>
      <c r="AR48" s="2664"/>
      <c r="AS48" s="2664"/>
      <c r="AT48" s="2664"/>
      <c r="AU48" s="2664"/>
      <c r="AV48" s="2664"/>
      <c r="AW48" s="2664"/>
      <c r="AX48" s="2664"/>
      <c r="AY48" s="2664"/>
    </row>
    <row r="49" spans="1:70" ht="9" customHeight="1">
      <c r="A49" s="1977"/>
      <c r="B49" s="1977"/>
      <c r="C49" s="1977"/>
      <c r="D49" s="1977"/>
      <c r="E49" s="1977"/>
      <c r="F49" s="1977"/>
      <c r="G49" s="1977"/>
      <c r="H49" s="1977"/>
      <c r="I49" s="1977"/>
      <c r="J49" s="1977"/>
      <c r="K49" s="1977"/>
      <c r="L49" s="1977"/>
      <c r="M49" s="1977"/>
      <c r="N49" s="1977"/>
      <c r="O49" s="1977"/>
      <c r="P49" s="1977"/>
      <c r="Q49" s="1977"/>
      <c r="R49" s="1977"/>
      <c r="S49" s="1977"/>
      <c r="T49" s="1977"/>
      <c r="U49" s="1977"/>
      <c r="V49" s="1977"/>
      <c r="W49" s="1977"/>
      <c r="X49" s="1977"/>
      <c r="Y49" s="1977"/>
      <c r="Z49" s="1977"/>
      <c r="AA49" s="1977"/>
      <c r="AB49" s="1977"/>
      <c r="AC49" s="1977"/>
      <c r="AD49" s="1977"/>
      <c r="AE49" s="1977"/>
      <c r="AF49" s="1977"/>
      <c r="AG49" s="1977"/>
      <c r="AH49" s="1977"/>
      <c r="AI49" s="67"/>
      <c r="AM49" s="2664"/>
      <c r="AN49" s="2664"/>
      <c r="AO49" s="2664"/>
      <c r="AP49" s="2664"/>
      <c r="AQ49" s="2664"/>
      <c r="AR49" s="2664"/>
      <c r="AS49" s="2664"/>
      <c r="AT49" s="2664"/>
      <c r="AU49" s="2664"/>
      <c r="AV49" s="2664"/>
      <c r="AW49" s="2664"/>
      <c r="AX49" s="2664"/>
      <c r="AY49" s="2664"/>
    </row>
    <row r="50" spans="1:70" ht="14.1" customHeight="1">
      <c r="AI50" s="67"/>
      <c r="AM50" s="2664"/>
      <c r="AN50" s="2664"/>
      <c r="AO50" s="2664"/>
      <c r="AP50" s="2664"/>
      <c r="AQ50" s="2664"/>
      <c r="AR50" s="2664"/>
      <c r="AS50" s="2664"/>
      <c r="AT50" s="2664"/>
      <c r="AU50" s="2664"/>
      <c r="AV50" s="2664"/>
      <c r="AW50" s="2664"/>
      <c r="AX50" s="2664"/>
      <c r="AY50" s="2664"/>
    </row>
    <row r="51" spans="1:70" ht="39.950000000000003" customHeight="1">
      <c r="AI51" s="67"/>
      <c r="AM51" s="77"/>
      <c r="AN51" s="77"/>
      <c r="AO51" s="77"/>
      <c r="AP51" s="77"/>
      <c r="AQ51" s="77"/>
      <c r="AR51" s="77"/>
      <c r="AS51" s="77"/>
      <c r="AT51" s="77"/>
      <c r="AU51" s="77"/>
      <c r="AV51" s="77"/>
      <c r="AW51" s="77"/>
      <c r="AX51" s="77"/>
      <c r="AY51" s="77"/>
      <c r="AZ51" s="78"/>
    </row>
    <row r="52" spans="1:70" s="31" customFormat="1" ht="14.1" customHeight="1">
      <c r="A52" s="60"/>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O52" s="79"/>
      <c r="AP52" s="79"/>
      <c r="AQ52" s="80"/>
      <c r="AR52" s="79"/>
      <c r="AS52" s="79"/>
      <c r="AT52" s="80"/>
    </row>
    <row r="53" spans="1:70" s="26" customFormat="1" ht="14.1" customHeight="1">
      <c r="A53" s="60"/>
      <c r="B53" s="60"/>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row>
    <row r="54" spans="1:70" s="26" customFormat="1" ht="12" customHeight="1">
      <c r="A54" s="60"/>
      <c r="B54" s="60"/>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row>
    <row r="55" spans="1:70" s="26" customFormat="1" ht="18" customHeight="1">
      <c r="A55" s="60"/>
      <c r="B55" s="60"/>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row>
    <row r="56" spans="1:70" s="26" customFormat="1" ht="27.95" customHeight="1">
      <c r="A56" s="60"/>
      <c r="B56" s="60"/>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row>
    <row r="57" spans="1:70" s="26" customFormat="1" ht="18" customHeight="1">
      <c r="A57" s="60"/>
      <c r="B57" s="60"/>
      <c r="C57" s="60"/>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row>
    <row r="58" spans="1:70" s="32" customFormat="1" ht="18" customHeight="1">
      <c r="A58" s="60"/>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row>
    <row r="59" spans="1:70" s="26" customFormat="1" ht="18.75" customHeight="1">
      <c r="A59" s="60"/>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row>
    <row r="60" spans="1:70" s="26" customFormat="1" ht="30" customHeight="1">
      <c r="A60" s="60"/>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row>
    <row r="61" spans="1:70" ht="11.25" customHeight="1">
      <c r="AI61" s="67"/>
      <c r="AM61" s="77"/>
      <c r="AN61" s="77"/>
      <c r="AO61" s="77"/>
      <c r="AP61" s="77"/>
      <c r="AQ61" s="77"/>
      <c r="AR61" s="77"/>
      <c r="AS61" s="77"/>
      <c r="AT61" s="77"/>
      <c r="AU61" s="77"/>
      <c r="AV61" s="77"/>
      <c r="AW61" s="77"/>
      <c r="AX61" s="77"/>
      <c r="AY61" s="77"/>
      <c r="AZ61" s="78"/>
    </row>
    <row r="62" spans="1:70" ht="9" customHeight="1">
      <c r="AI62" s="67"/>
      <c r="AM62" s="77"/>
      <c r="AN62" s="77"/>
      <c r="AO62" s="77"/>
      <c r="AP62" s="77"/>
      <c r="AQ62" s="77"/>
      <c r="AR62" s="77"/>
      <c r="AS62" s="77"/>
      <c r="AT62" s="77"/>
      <c r="AU62" s="77"/>
      <c r="AV62" s="77"/>
      <c r="AW62" s="77"/>
      <c r="AX62" s="77"/>
      <c r="AY62" s="77"/>
      <c r="AZ62" s="78"/>
    </row>
    <row r="63" spans="1:70" s="82" customFormat="1" ht="24.75" customHeight="1">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row>
    <row r="64" spans="1:70" s="82" customFormat="1" ht="27.75" customHeight="1">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row>
  </sheetData>
  <sheetProtection algorithmName="SHA-512" hashValue="FDtvAVWba6mCkN996EPOFnRJKuE8QCWbyQ6XbLVVh2B8nr91l5uBH3Uui2gEa+RF3fVPmezrUNun2+i0oWF55g==" saltValue="P6RNUdJudI+XjTi4Z9ChMQ==" spinCount="100000" sheet="1" formatCells="0" formatColumns="0" formatRows="0"/>
  <mergeCells count="164">
    <mergeCell ref="A48:AH49"/>
    <mergeCell ref="AM48:AY50"/>
    <mergeCell ref="A38:I38"/>
    <mergeCell ref="J38:M38"/>
    <mergeCell ref="N38:AD38"/>
    <mergeCell ref="AE38:AH38"/>
    <mergeCell ref="B40:F40"/>
    <mergeCell ref="B42:E42"/>
    <mergeCell ref="F42:AH42"/>
    <mergeCell ref="A37:D37"/>
    <mergeCell ref="E37:F37"/>
    <mergeCell ref="H37:I37"/>
    <mergeCell ref="J37:O37"/>
    <mergeCell ref="P37:V37"/>
    <mergeCell ref="W37:AB37"/>
    <mergeCell ref="AC37:AH37"/>
    <mergeCell ref="AM43:AY43"/>
    <mergeCell ref="AM44:AY47"/>
    <mergeCell ref="A45:AH45"/>
    <mergeCell ref="A46:AH46"/>
    <mergeCell ref="A47:AH47"/>
    <mergeCell ref="G40:I40"/>
    <mergeCell ref="AC35:AH35"/>
    <mergeCell ref="AJ35:AK35"/>
    <mergeCell ref="AL35:AM35"/>
    <mergeCell ref="A36:D36"/>
    <mergeCell ref="E36:F36"/>
    <mergeCell ref="H36:I36"/>
    <mergeCell ref="J36:O36"/>
    <mergeCell ref="P36:V36"/>
    <mergeCell ref="W36:AB36"/>
    <mergeCell ref="AC36:AH36"/>
    <mergeCell ref="A35:D35"/>
    <mergeCell ref="E35:F35"/>
    <mergeCell ref="H35:I35"/>
    <mergeCell ref="J35:O35"/>
    <mergeCell ref="P35:V35"/>
    <mergeCell ref="W35:AB35"/>
    <mergeCell ref="AJ36:AK36"/>
    <mergeCell ref="AL36:AM36"/>
    <mergeCell ref="A34:D34"/>
    <mergeCell ref="E34:F34"/>
    <mergeCell ref="H34:I34"/>
    <mergeCell ref="J34:O34"/>
    <mergeCell ref="P34:V34"/>
    <mergeCell ref="W34:AB34"/>
    <mergeCell ref="AC34:AH34"/>
    <mergeCell ref="AJ34:AK34"/>
    <mergeCell ref="AL34:AM34"/>
    <mergeCell ref="A33:D33"/>
    <mergeCell ref="E33:F33"/>
    <mergeCell ref="H33:I33"/>
    <mergeCell ref="J33:O33"/>
    <mergeCell ref="P33:V33"/>
    <mergeCell ref="W33:AB33"/>
    <mergeCell ref="AC33:AH33"/>
    <mergeCell ref="AJ33:AK33"/>
    <mergeCell ref="AL33:AM33"/>
    <mergeCell ref="A32:D32"/>
    <mergeCell ref="E32:F32"/>
    <mergeCell ref="H32:I32"/>
    <mergeCell ref="J32:O32"/>
    <mergeCell ref="P32:V32"/>
    <mergeCell ref="W32:AB32"/>
    <mergeCell ref="AC32:AH32"/>
    <mergeCell ref="AJ32:AK32"/>
    <mergeCell ref="AL32:AM32"/>
    <mergeCell ref="A31:D31"/>
    <mergeCell ref="E31:F31"/>
    <mergeCell ref="H31:I31"/>
    <mergeCell ref="J31:O31"/>
    <mergeCell ref="P31:V31"/>
    <mergeCell ref="W31:AB31"/>
    <mergeCell ref="AC31:AH31"/>
    <mergeCell ref="AJ31:AK31"/>
    <mergeCell ref="AL31:AM31"/>
    <mergeCell ref="W28:AB29"/>
    <mergeCell ref="AC28:AH29"/>
    <mergeCell ref="AS28:BI28"/>
    <mergeCell ref="AJ29:AK29"/>
    <mergeCell ref="AL29:AM29"/>
    <mergeCell ref="A30:D30"/>
    <mergeCell ref="E30:F30"/>
    <mergeCell ref="H30:I30"/>
    <mergeCell ref="J30:O30"/>
    <mergeCell ref="P30:V30"/>
    <mergeCell ref="A28:D29"/>
    <mergeCell ref="E28:F29"/>
    <mergeCell ref="G28:G29"/>
    <mergeCell ref="H28:I29"/>
    <mergeCell ref="J28:O29"/>
    <mergeCell ref="P28:V29"/>
    <mergeCell ref="W30:AB30"/>
    <mergeCell ref="AC30:AH30"/>
    <mergeCell ref="AJ30:AK30"/>
    <mergeCell ref="AL30:AM30"/>
    <mergeCell ref="A26:H26"/>
    <mergeCell ref="O26:AC26"/>
    <mergeCell ref="AE26:AH26"/>
    <mergeCell ref="A27:I27"/>
    <mergeCell ref="J27:V27"/>
    <mergeCell ref="W27:AH27"/>
    <mergeCell ref="A24:G24"/>
    <mergeCell ref="J24:M24"/>
    <mergeCell ref="O24:AC24"/>
    <mergeCell ref="AE24:AH24"/>
    <mergeCell ref="A25:H25"/>
    <mergeCell ref="J25:M25"/>
    <mergeCell ref="O25:AC25"/>
    <mergeCell ref="AE25:AH25"/>
    <mergeCell ref="A21:Q21"/>
    <mergeCell ref="R21:AH21"/>
    <mergeCell ref="AQ21:BG21"/>
    <mergeCell ref="A22:Q22"/>
    <mergeCell ref="R22:AH22"/>
    <mergeCell ref="A23:AH23"/>
    <mergeCell ref="AI23:AM23"/>
    <mergeCell ref="A20:H20"/>
    <mergeCell ref="I20:Q20"/>
    <mergeCell ref="R20:AA20"/>
    <mergeCell ref="AB20:AH20"/>
    <mergeCell ref="AI20:AO20"/>
    <mergeCell ref="BN20:CD20"/>
    <mergeCell ref="A18:G18"/>
    <mergeCell ref="I18:Q18"/>
    <mergeCell ref="R18:AA18"/>
    <mergeCell ref="AB18:AH18"/>
    <mergeCell ref="A19:H19"/>
    <mergeCell ref="I19:Q19"/>
    <mergeCell ref="R19:AA19"/>
    <mergeCell ref="AB19:AH19"/>
    <mergeCell ref="A15:AH15"/>
    <mergeCell ref="A16:D17"/>
    <mergeCell ref="E16:H16"/>
    <mergeCell ref="I16:Q16"/>
    <mergeCell ref="R16:AA16"/>
    <mergeCell ref="AB16:AH16"/>
    <mergeCell ref="E17:H17"/>
    <mergeCell ref="I17:Q17"/>
    <mergeCell ref="R17:AA17"/>
    <mergeCell ref="AB17:AH17"/>
    <mergeCell ref="A14:G14"/>
    <mergeCell ref="I14:Q14"/>
    <mergeCell ref="R14:AA14"/>
    <mergeCell ref="AB14:AH14"/>
    <mergeCell ref="Z8:AF8"/>
    <mergeCell ref="A10:AH10"/>
    <mergeCell ref="A11:AH11"/>
    <mergeCell ref="A12:D13"/>
    <mergeCell ref="E12:H12"/>
    <mergeCell ref="I12:Q12"/>
    <mergeCell ref="R12:AA12"/>
    <mergeCell ref="AB12:AH12"/>
    <mergeCell ref="E13:H13"/>
    <mergeCell ref="I13:Q13"/>
    <mergeCell ref="A1:D5"/>
    <mergeCell ref="E1:AH3"/>
    <mergeCell ref="E4:U4"/>
    <mergeCell ref="V4:AH4"/>
    <mergeCell ref="E5:AH5"/>
    <mergeCell ref="S7:U7"/>
    <mergeCell ref="W7:AF7"/>
    <mergeCell ref="R13:AA13"/>
    <mergeCell ref="AB13:AH13"/>
  </mergeCells>
  <dataValidations count="3">
    <dataValidation type="list" allowBlank="1" showInputMessage="1" showErrorMessage="1" sqref="R21:AH21">
      <formula1>$AQ$22:$AQ$23</formula1>
    </dataValidation>
    <dataValidation type="list" allowBlank="1" showInputMessage="1" showErrorMessage="1" sqref="R22:AH22">
      <formula1>$AS$29:$AS$30</formula1>
    </dataValidation>
    <dataValidation type="list" allowBlank="1" showInputMessage="1" showErrorMessage="1" sqref="AB20:AH20">
      <formula1>$AI$30:$AI$38</formula1>
    </dataValidation>
  </dataValidations>
  <printOptions horizontalCentered="1"/>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38"/>
  <sheetViews>
    <sheetView showGridLines="0" view="pageBreakPreview" topLeftCell="A10" zoomScaleSheetLayoutView="100" workbookViewId="0">
      <selection activeCell="K29" sqref="K29"/>
    </sheetView>
  </sheetViews>
  <sheetFormatPr baseColWidth="10" defaultColWidth="2.7109375" defaultRowHeight="12.95" customHeight="1"/>
  <cols>
    <col min="1" max="1" width="3.5703125" style="60" customWidth="1"/>
    <col min="2" max="16" width="2" style="60" customWidth="1"/>
    <col min="17" max="17" width="2.5703125" style="60" customWidth="1"/>
    <col min="18" max="18" width="2.140625" style="60" customWidth="1"/>
    <col min="19" max="19" width="1.85546875" style="60" customWidth="1"/>
    <col min="20" max="21" width="2.5703125" style="60" customWidth="1"/>
    <col min="22" max="22" width="1.85546875" style="60" customWidth="1"/>
    <col min="23" max="23" width="1.7109375" style="60" customWidth="1"/>
    <col min="24" max="24" width="2" style="60" customWidth="1"/>
    <col min="25" max="25" width="1.7109375" style="60" customWidth="1"/>
    <col min="26" max="26" width="2.85546875" style="60" customWidth="1"/>
    <col min="27" max="27" width="1.85546875" style="60" customWidth="1"/>
    <col min="28" max="31" width="2" style="60" customWidth="1"/>
    <col min="32" max="32" width="1.42578125" style="60" customWidth="1"/>
    <col min="33" max="33" width="1.28515625" style="60" customWidth="1"/>
    <col min="34" max="34" width="0.42578125" style="60" customWidth="1"/>
    <col min="35" max="35" width="2" style="60" customWidth="1"/>
    <col min="36" max="36" width="2.7109375" style="60" customWidth="1"/>
    <col min="37" max="38" width="2" style="60" customWidth="1"/>
    <col min="39" max="39" width="2.7109375" style="60" customWidth="1"/>
    <col min="40" max="40" width="2" style="60" customWidth="1"/>
    <col min="41" max="41" width="1.42578125" style="60" customWidth="1"/>
    <col min="42" max="47" width="2" style="60" customWidth="1"/>
    <col min="48" max="48" width="18.42578125" style="60" customWidth="1"/>
    <col min="49" max="49" width="17" style="60" customWidth="1"/>
    <col min="50" max="50" width="12.7109375" style="60" customWidth="1"/>
    <col min="51" max="255" width="2.7109375" style="60"/>
    <col min="256" max="303" width="2.85546875" style="60" customWidth="1"/>
    <col min="304" max="511" width="2.7109375" style="60"/>
    <col min="512" max="559" width="2.85546875" style="60" customWidth="1"/>
    <col min="560" max="767" width="2.7109375" style="60"/>
    <col min="768" max="815" width="2.85546875" style="60" customWidth="1"/>
    <col min="816" max="1023" width="2.7109375" style="60"/>
    <col min="1024" max="1071" width="2.85546875" style="60" customWidth="1"/>
    <col min="1072" max="1279" width="2.7109375" style="60"/>
    <col min="1280" max="1327" width="2.85546875" style="60" customWidth="1"/>
    <col min="1328" max="1535" width="2.7109375" style="60"/>
    <col min="1536" max="1583" width="2.85546875" style="60" customWidth="1"/>
    <col min="1584" max="1791" width="2.7109375" style="60"/>
    <col min="1792" max="1839" width="2.85546875" style="60" customWidth="1"/>
    <col min="1840" max="2047" width="2.7109375" style="60"/>
    <col min="2048" max="2095" width="2.85546875" style="60" customWidth="1"/>
    <col min="2096" max="2303" width="2.7109375" style="60"/>
    <col min="2304" max="2351" width="2.85546875" style="60" customWidth="1"/>
    <col min="2352" max="2559" width="2.7109375" style="60"/>
    <col min="2560" max="2607" width="2.85546875" style="60" customWidth="1"/>
    <col min="2608" max="2815" width="2.7109375" style="60"/>
    <col min="2816" max="2863" width="2.85546875" style="60" customWidth="1"/>
    <col min="2864" max="3071" width="2.7109375" style="60"/>
    <col min="3072" max="3119" width="2.85546875" style="60" customWidth="1"/>
    <col min="3120" max="3327" width="2.7109375" style="60"/>
    <col min="3328" max="3375" width="2.85546875" style="60" customWidth="1"/>
    <col min="3376" max="3583" width="2.7109375" style="60"/>
    <col min="3584" max="3631" width="2.85546875" style="60" customWidth="1"/>
    <col min="3632" max="3839" width="2.7109375" style="60"/>
    <col min="3840" max="3887" width="2.85546875" style="60" customWidth="1"/>
    <col min="3888" max="4095" width="2.7109375" style="60"/>
    <col min="4096" max="4143" width="2.85546875" style="60" customWidth="1"/>
    <col min="4144" max="4351" width="2.7109375" style="60"/>
    <col min="4352" max="4399" width="2.85546875" style="60" customWidth="1"/>
    <col min="4400" max="4607" width="2.7109375" style="60"/>
    <col min="4608" max="4655" width="2.85546875" style="60" customWidth="1"/>
    <col min="4656" max="4863" width="2.7109375" style="60"/>
    <col min="4864" max="4911" width="2.85546875" style="60" customWidth="1"/>
    <col min="4912" max="5119" width="2.7109375" style="60"/>
    <col min="5120" max="5167" width="2.85546875" style="60" customWidth="1"/>
    <col min="5168" max="5375" width="2.7109375" style="60"/>
    <col min="5376" max="5423" width="2.85546875" style="60" customWidth="1"/>
    <col min="5424" max="5631" width="2.7109375" style="60"/>
    <col min="5632" max="5679" width="2.85546875" style="60" customWidth="1"/>
    <col min="5680" max="5887" width="2.7109375" style="60"/>
    <col min="5888" max="5935" width="2.85546875" style="60" customWidth="1"/>
    <col min="5936" max="6143" width="2.7109375" style="60"/>
    <col min="6144" max="6191" width="2.85546875" style="60" customWidth="1"/>
    <col min="6192" max="6399" width="2.7109375" style="60"/>
    <col min="6400" max="6447" width="2.85546875" style="60" customWidth="1"/>
    <col min="6448" max="6655" width="2.7109375" style="60"/>
    <col min="6656" max="6703" width="2.85546875" style="60" customWidth="1"/>
    <col min="6704" max="6911" width="2.7109375" style="60"/>
    <col min="6912" max="6959" width="2.85546875" style="60" customWidth="1"/>
    <col min="6960" max="7167" width="2.7109375" style="60"/>
    <col min="7168" max="7215" width="2.85546875" style="60" customWidth="1"/>
    <col min="7216" max="7423" width="2.7109375" style="60"/>
    <col min="7424" max="7471" width="2.85546875" style="60" customWidth="1"/>
    <col min="7472" max="7679" width="2.7109375" style="60"/>
    <col min="7680" max="7727" width="2.85546875" style="60" customWidth="1"/>
    <col min="7728" max="7935" width="2.7109375" style="60"/>
    <col min="7936" max="7983" width="2.85546875" style="60" customWidth="1"/>
    <col min="7984" max="8191" width="2.7109375" style="60"/>
    <col min="8192" max="8239" width="2.85546875" style="60" customWidth="1"/>
    <col min="8240" max="8447" width="2.7109375" style="60"/>
    <col min="8448" max="8495" width="2.85546875" style="60" customWidth="1"/>
    <col min="8496" max="8703" width="2.7109375" style="60"/>
    <col min="8704" max="8751" width="2.85546875" style="60" customWidth="1"/>
    <col min="8752" max="8959" width="2.7109375" style="60"/>
    <col min="8960" max="9007" width="2.85546875" style="60" customWidth="1"/>
    <col min="9008" max="9215" width="2.7109375" style="60"/>
    <col min="9216" max="9263" width="2.85546875" style="60" customWidth="1"/>
    <col min="9264" max="9471" width="2.7109375" style="60"/>
    <col min="9472" max="9519" width="2.85546875" style="60" customWidth="1"/>
    <col min="9520" max="9727" width="2.7109375" style="60"/>
    <col min="9728" max="9775" width="2.85546875" style="60" customWidth="1"/>
    <col min="9776" max="9983" width="2.7109375" style="60"/>
    <col min="9984" max="10031" width="2.85546875" style="60" customWidth="1"/>
    <col min="10032" max="10239" width="2.7109375" style="60"/>
    <col min="10240" max="10287" width="2.85546875" style="60" customWidth="1"/>
    <col min="10288" max="10495" width="2.7109375" style="60"/>
    <col min="10496" max="10543" width="2.85546875" style="60" customWidth="1"/>
    <col min="10544" max="10751" width="2.7109375" style="60"/>
    <col min="10752" max="10799" width="2.85546875" style="60" customWidth="1"/>
    <col min="10800" max="11007" width="2.7109375" style="60"/>
    <col min="11008" max="11055" width="2.85546875" style="60" customWidth="1"/>
    <col min="11056" max="11263" width="2.7109375" style="60"/>
    <col min="11264" max="11311" width="2.85546875" style="60" customWidth="1"/>
    <col min="11312" max="11519" width="2.7109375" style="60"/>
    <col min="11520" max="11567" width="2.85546875" style="60" customWidth="1"/>
    <col min="11568" max="11775" width="2.7109375" style="60"/>
    <col min="11776" max="11823" width="2.85546875" style="60" customWidth="1"/>
    <col min="11824" max="12031" width="2.7109375" style="60"/>
    <col min="12032" max="12079" width="2.85546875" style="60" customWidth="1"/>
    <col min="12080" max="12287" width="2.7109375" style="60"/>
    <col min="12288" max="12335" width="2.85546875" style="60" customWidth="1"/>
    <col min="12336" max="12543" width="2.7109375" style="60"/>
    <col min="12544" max="12591" width="2.85546875" style="60" customWidth="1"/>
    <col min="12592" max="12799" width="2.7109375" style="60"/>
    <col min="12800" max="12847" width="2.85546875" style="60" customWidth="1"/>
    <col min="12848" max="13055" width="2.7109375" style="60"/>
    <col min="13056" max="13103" width="2.85546875" style="60" customWidth="1"/>
    <col min="13104" max="13311" width="2.7109375" style="60"/>
    <col min="13312" max="13359" width="2.85546875" style="60" customWidth="1"/>
    <col min="13360" max="13567" width="2.7109375" style="60"/>
    <col min="13568" max="13615" width="2.85546875" style="60" customWidth="1"/>
    <col min="13616" max="13823" width="2.7109375" style="60"/>
    <col min="13824" max="13871" width="2.85546875" style="60" customWidth="1"/>
    <col min="13872" max="14079" width="2.7109375" style="60"/>
    <col min="14080" max="14127" width="2.85546875" style="60" customWidth="1"/>
    <col min="14128" max="14335" width="2.7109375" style="60"/>
    <col min="14336" max="14383" width="2.85546875" style="60" customWidth="1"/>
    <col min="14384" max="14591" width="2.7109375" style="60"/>
    <col min="14592" max="14639" width="2.85546875" style="60" customWidth="1"/>
    <col min="14640" max="14847" width="2.7109375" style="60"/>
    <col min="14848" max="14895" width="2.85546875" style="60" customWidth="1"/>
    <col min="14896" max="15103" width="2.7109375" style="60"/>
    <col min="15104" max="15151" width="2.85546875" style="60" customWidth="1"/>
    <col min="15152" max="15359" width="2.7109375" style="60"/>
    <col min="15360" max="15407" width="2.85546875" style="60" customWidth="1"/>
    <col min="15408" max="15615" width="2.7109375" style="60"/>
    <col min="15616" max="15663" width="2.85546875" style="60" customWidth="1"/>
    <col min="15664" max="15871" width="2.7109375" style="60"/>
    <col min="15872" max="15919" width="2.85546875" style="60" customWidth="1"/>
    <col min="15920" max="16127" width="2.7109375" style="60"/>
    <col min="16128" max="16175" width="2.85546875" style="60" customWidth="1"/>
    <col min="16176" max="16384" width="2.7109375" style="60"/>
  </cols>
  <sheetData>
    <row r="1" spans="1:60" ht="15" customHeight="1">
      <c r="A1" s="2683"/>
      <c r="B1" s="2684"/>
      <c r="C1" s="2684"/>
      <c r="D1" s="2684"/>
      <c r="E1" s="2684"/>
      <c r="F1" s="2685"/>
      <c r="G1" s="2692" t="s">
        <v>677</v>
      </c>
      <c r="H1" s="2692"/>
      <c r="I1" s="2692"/>
      <c r="J1" s="2692"/>
      <c r="K1" s="2692"/>
      <c r="L1" s="2692"/>
      <c r="M1" s="2692"/>
      <c r="N1" s="2692"/>
      <c r="O1" s="2692"/>
      <c r="P1" s="2692"/>
      <c r="Q1" s="2692"/>
      <c r="R1" s="2692"/>
      <c r="S1" s="2692"/>
      <c r="T1" s="2692"/>
      <c r="U1" s="2692"/>
      <c r="V1" s="2692"/>
      <c r="W1" s="2692"/>
      <c r="X1" s="2692"/>
      <c r="Y1" s="2692"/>
      <c r="Z1" s="2692"/>
      <c r="AA1" s="2692"/>
      <c r="AB1" s="2692"/>
      <c r="AC1" s="2692"/>
      <c r="AD1" s="2692"/>
      <c r="AE1" s="2692"/>
      <c r="AF1" s="2692"/>
      <c r="AG1" s="2692"/>
      <c r="AH1" s="2692"/>
      <c r="AI1" s="2692"/>
      <c r="AJ1" s="2692"/>
      <c r="AK1" s="2692"/>
      <c r="AL1" s="2692"/>
      <c r="AM1" s="2692"/>
      <c r="AN1" s="2692"/>
      <c r="AO1" s="2692"/>
      <c r="AP1" s="2692"/>
      <c r="AQ1" s="2692"/>
      <c r="AR1" s="2692"/>
      <c r="AS1" s="2692"/>
      <c r="AT1" s="2692"/>
      <c r="AU1" s="2692"/>
    </row>
    <row r="2" spans="1:60" ht="15" customHeight="1">
      <c r="A2" s="2686"/>
      <c r="B2" s="2687"/>
      <c r="C2" s="2687"/>
      <c r="D2" s="2687"/>
      <c r="E2" s="2687"/>
      <c r="F2" s="2688"/>
      <c r="G2" s="2692"/>
      <c r="H2" s="2692"/>
      <c r="I2" s="2692"/>
      <c r="J2" s="2692"/>
      <c r="K2" s="2692"/>
      <c r="L2" s="2692"/>
      <c r="M2" s="2692"/>
      <c r="N2" s="2692"/>
      <c r="O2" s="2692"/>
      <c r="P2" s="2692"/>
      <c r="Q2" s="2692"/>
      <c r="R2" s="2692"/>
      <c r="S2" s="2692"/>
      <c r="T2" s="2692"/>
      <c r="U2" s="2692"/>
      <c r="V2" s="2692"/>
      <c r="W2" s="2692"/>
      <c r="X2" s="2692"/>
      <c r="Y2" s="2692"/>
      <c r="Z2" s="2692"/>
      <c r="AA2" s="2692"/>
      <c r="AB2" s="2692"/>
      <c r="AC2" s="2692"/>
      <c r="AD2" s="2692"/>
      <c r="AE2" s="2692"/>
      <c r="AF2" s="2692"/>
      <c r="AG2" s="2692"/>
      <c r="AH2" s="2692"/>
      <c r="AI2" s="2692"/>
      <c r="AJ2" s="2692"/>
      <c r="AK2" s="2692"/>
      <c r="AL2" s="2692"/>
      <c r="AM2" s="2692"/>
      <c r="AN2" s="2692"/>
      <c r="AO2" s="2692"/>
      <c r="AP2" s="2692"/>
      <c r="AQ2" s="2692"/>
      <c r="AR2" s="2692"/>
      <c r="AS2" s="2692"/>
      <c r="AT2" s="2692"/>
      <c r="AU2" s="2692"/>
    </row>
    <row r="3" spans="1:60" ht="15" customHeight="1">
      <c r="A3" s="2686"/>
      <c r="B3" s="2687"/>
      <c r="C3" s="2687"/>
      <c r="D3" s="2687"/>
      <c r="E3" s="2687"/>
      <c r="F3" s="2688"/>
      <c r="G3" s="2692"/>
      <c r="H3" s="2692"/>
      <c r="I3" s="2692"/>
      <c r="J3" s="2692"/>
      <c r="K3" s="2692"/>
      <c r="L3" s="2692"/>
      <c r="M3" s="2692"/>
      <c r="N3" s="2692"/>
      <c r="O3" s="2692"/>
      <c r="P3" s="2692"/>
      <c r="Q3" s="2692"/>
      <c r="R3" s="2692"/>
      <c r="S3" s="2692"/>
      <c r="T3" s="2692"/>
      <c r="U3" s="2692"/>
      <c r="V3" s="2692"/>
      <c r="W3" s="2692"/>
      <c r="X3" s="2692"/>
      <c r="Y3" s="2692"/>
      <c r="Z3" s="2692"/>
      <c r="AA3" s="2692"/>
      <c r="AB3" s="2692"/>
      <c r="AC3" s="2692"/>
      <c r="AD3" s="2692"/>
      <c r="AE3" s="2692"/>
      <c r="AF3" s="2692"/>
      <c r="AG3" s="2692"/>
      <c r="AH3" s="2692"/>
      <c r="AI3" s="2692"/>
      <c r="AJ3" s="2692"/>
      <c r="AK3" s="2692"/>
      <c r="AL3" s="2692"/>
      <c r="AM3" s="2692"/>
      <c r="AN3" s="2692"/>
      <c r="AO3" s="2692"/>
      <c r="AP3" s="2692"/>
      <c r="AQ3" s="2692"/>
      <c r="AR3" s="2692"/>
      <c r="AS3" s="2692"/>
      <c r="AT3" s="2692"/>
      <c r="AU3" s="2692"/>
    </row>
    <row r="4" spans="1:60" ht="15" customHeight="1">
      <c r="A4" s="2686"/>
      <c r="B4" s="2687"/>
      <c r="C4" s="2687"/>
      <c r="D4" s="2687"/>
      <c r="E4" s="2687"/>
      <c r="F4" s="2688"/>
      <c r="G4" s="2693" t="s">
        <v>678</v>
      </c>
      <c r="H4" s="2693"/>
      <c r="I4" s="2693"/>
      <c r="J4" s="2693"/>
      <c r="K4" s="2693"/>
      <c r="L4" s="2693"/>
      <c r="M4" s="2693"/>
      <c r="N4" s="2693"/>
      <c r="O4" s="2693"/>
      <c r="P4" s="2693"/>
      <c r="Q4" s="2693"/>
      <c r="R4" s="2693"/>
      <c r="S4" s="2693"/>
      <c r="T4" s="2693"/>
      <c r="U4" s="2693"/>
      <c r="V4" s="2693"/>
      <c r="W4" s="2693"/>
      <c r="X4" s="2693"/>
      <c r="Y4" s="2693"/>
      <c r="Z4" s="2693"/>
      <c r="AA4" s="2693"/>
      <c r="AB4" s="2693"/>
      <c r="AC4" s="2693"/>
      <c r="AD4" s="2693" t="s">
        <v>498</v>
      </c>
      <c r="AE4" s="2693"/>
      <c r="AF4" s="2693"/>
      <c r="AG4" s="2693"/>
      <c r="AH4" s="2693"/>
      <c r="AI4" s="2693"/>
      <c r="AJ4" s="2693"/>
      <c r="AK4" s="2693"/>
      <c r="AL4" s="2693"/>
      <c r="AM4" s="2693"/>
      <c r="AN4" s="2693"/>
      <c r="AO4" s="2693"/>
      <c r="AP4" s="2693"/>
      <c r="AQ4" s="2693"/>
      <c r="AR4" s="2693"/>
      <c r="AS4" s="2693"/>
      <c r="AT4" s="2693"/>
      <c r="AU4" s="2693"/>
    </row>
    <row r="5" spans="1:60" ht="15" customHeight="1">
      <c r="A5" s="2689"/>
      <c r="B5" s="2690"/>
      <c r="C5" s="2690"/>
      <c r="D5" s="2690"/>
      <c r="E5" s="2690"/>
      <c r="F5" s="2691"/>
      <c r="G5" s="2502" t="s">
        <v>313</v>
      </c>
      <c r="H5" s="2502"/>
      <c r="I5" s="2502"/>
      <c r="J5" s="2502"/>
      <c r="K5" s="2502"/>
      <c r="L5" s="2502"/>
      <c r="M5" s="2502"/>
      <c r="N5" s="2502"/>
      <c r="O5" s="2502"/>
      <c r="P5" s="2502"/>
      <c r="Q5" s="2502"/>
      <c r="R5" s="2502"/>
      <c r="S5" s="2502"/>
      <c r="T5" s="2502"/>
      <c r="U5" s="2502"/>
      <c r="V5" s="2502"/>
      <c r="W5" s="2502"/>
      <c r="X5" s="2502"/>
      <c r="Y5" s="2502"/>
      <c r="Z5" s="2502"/>
      <c r="AA5" s="2502"/>
      <c r="AB5" s="2502"/>
      <c r="AC5" s="2502"/>
      <c r="AD5" s="2502"/>
      <c r="AE5" s="2502"/>
      <c r="AF5" s="2502"/>
      <c r="AG5" s="2502"/>
      <c r="AH5" s="2502"/>
      <c r="AI5" s="2502"/>
      <c r="AJ5" s="2502"/>
      <c r="AK5" s="2502"/>
      <c r="AL5" s="2502"/>
      <c r="AM5" s="2502"/>
      <c r="AN5" s="2502"/>
      <c r="AO5" s="2502"/>
      <c r="AP5" s="2502"/>
      <c r="AQ5" s="2502"/>
      <c r="AR5" s="2502"/>
      <c r="AS5" s="2502"/>
      <c r="AT5" s="2502"/>
      <c r="AU5" s="2502"/>
    </row>
    <row r="6" spans="1:60" ht="15" customHeight="1">
      <c r="A6" s="455"/>
      <c r="B6" s="456"/>
      <c r="C6" s="456"/>
      <c r="D6" s="456"/>
      <c r="E6" s="1280"/>
      <c r="F6" s="1280"/>
      <c r="G6" s="1280"/>
      <c r="H6" s="1280"/>
      <c r="I6" s="1280"/>
      <c r="J6" s="1280"/>
      <c r="K6" s="1280"/>
      <c r="L6" s="1280"/>
      <c r="M6" s="1280"/>
      <c r="N6" s="1280"/>
      <c r="O6" s="1280"/>
      <c r="P6" s="1280"/>
      <c r="Q6" s="1280"/>
      <c r="R6" s="1280"/>
      <c r="S6" s="1280"/>
      <c r="T6" s="1280"/>
      <c r="U6" s="1280"/>
      <c r="V6" s="1280"/>
      <c r="W6" s="1280"/>
      <c r="X6" s="1280"/>
      <c r="Y6" s="1280"/>
      <c r="Z6" s="1280"/>
      <c r="AA6" s="1280"/>
      <c r="AB6" s="1280"/>
      <c r="AC6" s="811"/>
      <c r="AD6" s="811"/>
      <c r="AE6" s="811"/>
      <c r="AF6" s="811"/>
      <c r="AG6" s="811"/>
      <c r="AH6" s="811"/>
      <c r="AI6" s="811"/>
      <c r="AJ6" s="811"/>
      <c r="AK6" s="811"/>
      <c r="AL6" s="670"/>
      <c r="AM6" s="670"/>
      <c r="AN6" s="670"/>
      <c r="AO6" s="670"/>
      <c r="AP6" s="670"/>
      <c r="AQ6" s="670"/>
      <c r="AR6" s="670"/>
      <c r="AS6" s="670"/>
      <c r="AT6" s="670"/>
      <c r="AU6" s="761"/>
      <c r="AV6" s="392" t="s">
        <v>314</v>
      </c>
    </row>
    <row r="7" spans="1:60" ht="15" customHeight="1">
      <c r="A7" s="455"/>
      <c r="B7" s="456"/>
      <c r="C7" s="456"/>
      <c r="D7" s="456"/>
      <c r="E7" s="459"/>
      <c r="F7" s="459"/>
      <c r="G7" s="459"/>
      <c r="H7" s="459"/>
      <c r="I7" s="459"/>
      <c r="J7" s="459"/>
      <c r="K7" s="459"/>
      <c r="L7" s="459"/>
      <c r="M7" s="459"/>
      <c r="N7" s="459"/>
      <c r="O7" s="459"/>
      <c r="P7" s="459"/>
      <c r="Q7" s="459"/>
      <c r="R7" s="459"/>
      <c r="S7" s="459"/>
      <c r="T7" s="459"/>
      <c r="U7" s="459"/>
      <c r="V7" s="459"/>
      <c r="W7" s="459"/>
      <c r="X7" s="459"/>
      <c r="Y7" s="459"/>
      <c r="Z7" s="459"/>
      <c r="AA7" s="459"/>
      <c r="AB7" s="459"/>
      <c r="AC7" s="811"/>
      <c r="AD7" s="811"/>
      <c r="AE7" s="2503" t="s">
        <v>9</v>
      </c>
      <c r="AF7" s="2503"/>
      <c r="AG7" s="2503"/>
      <c r="AH7" s="2503"/>
      <c r="AI7" s="2503"/>
      <c r="AJ7" s="2195" t="str">
        <f>+IF('1. Encabezado'!T7="","",'1. Encabezado'!T7)</f>
        <v/>
      </c>
      <c r="AK7" s="2195"/>
      <c r="AL7" s="2195"/>
      <c r="AM7" s="2195"/>
      <c r="AN7" s="2195"/>
      <c r="AO7" s="2195"/>
      <c r="AP7" s="2195"/>
      <c r="AQ7" s="2195"/>
      <c r="AR7" s="2195"/>
      <c r="AS7" s="2195"/>
      <c r="AT7" s="771"/>
      <c r="AU7" s="772"/>
      <c r="AV7" s="393" t="s">
        <v>315</v>
      </c>
    </row>
    <row r="8" spans="1:60" ht="15" customHeight="1">
      <c r="A8" s="455"/>
      <c r="B8" s="456"/>
      <c r="C8" s="456"/>
      <c r="D8" s="456"/>
      <c r="E8" s="1281"/>
      <c r="F8" s="1281"/>
      <c r="G8" s="1281"/>
      <c r="H8" s="1281"/>
      <c r="I8" s="1281"/>
      <c r="J8" s="1281"/>
      <c r="K8" s="1281"/>
      <c r="L8" s="1281"/>
      <c r="M8" s="1281"/>
      <c r="N8" s="1281"/>
      <c r="O8" s="1281"/>
      <c r="P8" s="1282"/>
      <c r="Q8" s="1282"/>
      <c r="R8" s="1282"/>
      <c r="S8" s="1282"/>
      <c r="T8" s="1282"/>
      <c r="U8" s="1280"/>
      <c r="V8" s="1280"/>
      <c r="W8" s="1280"/>
      <c r="X8" s="1280"/>
      <c r="Y8" s="1280"/>
      <c r="Z8" s="1280"/>
      <c r="AA8" s="1280"/>
      <c r="AB8" s="1280"/>
      <c r="AC8" s="456"/>
      <c r="AD8" s="456"/>
      <c r="AE8" s="683"/>
      <c r="AF8" s="683"/>
      <c r="AG8" s="450"/>
      <c r="AH8" s="2222" t="str">
        <f>IF(AJ7="",AV11,CONCATENATE(AV7," ",AV8," ",AV9," ", AV10))</f>
        <v>Pagina xx de xx</v>
      </c>
      <c r="AI8" s="2222"/>
      <c r="AJ8" s="2222"/>
      <c r="AK8" s="2222"/>
      <c r="AL8" s="2222"/>
      <c r="AM8" s="2222"/>
      <c r="AN8" s="2222"/>
      <c r="AO8" s="2222"/>
      <c r="AP8" s="2222"/>
      <c r="AQ8" s="2222"/>
      <c r="AR8" s="2222"/>
      <c r="AS8" s="2222"/>
      <c r="AT8" s="1283"/>
      <c r="AU8" s="1284"/>
      <c r="AV8" s="653" t="str">
        <f>IF(AJ7="","",9)</f>
        <v/>
      </c>
    </row>
    <row r="9" spans="1:60" ht="15" customHeight="1">
      <c r="A9" s="455"/>
      <c r="B9" s="456"/>
      <c r="C9" s="456"/>
      <c r="D9" s="456"/>
      <c r="E9" s="1280"/>
      <c r="F9" s="1280"/>
      <c r="G9" s="1280"/>
      <c r="H9" s="1280"/>
      <c r="I9" s="1280"/>
      <c r="J9" s="1280"/>
      <c r="K9" s="1280"/>
      <c r="L9" s="1280"/>
      <c r="M9" s="1280"/>
      <c r="N9" s="1280"/>
      <c r="O9" s="1285"/>
      <c r="P9" s="456"/>
      <c r="Q9" s="456"/>
      <c r="R9" s="456"/>
      <c r="S9" s="456"/>
      <c r="T9" s="456"/>
      <c r="U9" s="1280"/>
      <c r="V9" s="1280"/>
      <c r="W9" s="1280"/>
      <c r="X9" s="1280"/>
      <c r="Y9" s="1280"/>
      <c r="Z9" s="1280"/>
      <c r="AA9" s="1280"/>
      <c r="AB9" s="1280"/>
      <c r="AC9" s="456"/>
      <c r="AD9" s="456"/>
      <c r="AE9" s="456"/>
      <c r="AF9" s="456"/>
      <c r="AG9" s="456"/>
      <c r="AH9" s="456"/>
      <c r="AI9" s="456"/>
      <c r="AJ9" s="456"/>
      <c r="AK9" s="456"/>
      <c r="AL9" s="1286"/>
      <c r="AM9" s="1286"/>
      <c r="AN9" s="1286"/>
      <c r="AO9" s="1286"/>
      <c r="AP9" s="1286"/>
      <c r="AQ9" s="1286"/>
      <c r="AR9" s="1286"/>
      <c r="AS9" s="1286"/>
      <c r="AT9" s="1286"/>
      <c r="AU9" s="1287"/>
      <c r="AV9" s="394" t="s">
        <v>316</v>
      </c>
      <c r="BC9" s="84"/>
      <c r="BD9" s="84"/>
      <c r="BE9" s="84"/>
      <c r="BF9" s="84"/>
      <c r="BG9" s="84"/>
      <c r="BH9" s="84"/>
    </row>
    <row r="10" spans="1:60" ht="20.100000000000001" customHeight="1">
      <c r="A10" s="460"/>
      <c r="B10" s="461"/>
      <c r="C10" s="461"/>
      <c r="D10" s="461"/>
      <c r="E10" s="1288"/>
      <c r="F10" s="1288"/>
      <c r="G10" s="1288"/>
      <c r="H10" s="1288"/>
      <c r="I10" s="1288"/>
      <c r="J10" s="1288"/>
      <c r="K10" s="1288"/>
      <c r="L10" s="1288"/>
      <c r="M10" s="1288"/>
      <c r="N10" s="1288"/>
      <c r="O10" s="1288"/>
      <c r="P10" s="1288"/>
      <c r="Q10" s="1288"/>
      <c r="R10" s="1288"/>
      <c r="S10" s="1288"/>
      <c r="T10" s="1288"/>
      <c r="U10" s="1288"/>
      <c r="V10" s="1288"/>
      <c r="W10" s="1288"/>
      <c r="X10" s="1288"/>
      <c r="Y10" s="1288"/>
      <c r="Z10" s="1288"/>
      <c r="AA10" s="1288"/>
      <c r="AB10" s="1288"/>
      <c r="AC10" s="458"/>
      <c r="AD10" s="458"/>
      <c r="AE10" s="458"/>
      <c r="AF10" s="458"/>
      <c r="AG10" s="458"/>
      <c r="AH10" s="458"/>
      <c r="AI10" s="458"/>
      <c r="AJ10" s="458"/>
      <c r="AK10" s="458"/>
      <c r="AL10" s="1289"/>
      <c r="AM10" s="1289"/>
      <c r="AN10" s="1289"/>
      <c r="AO10" s="1289"/>
      <c r="AP10" s="1289"/>
      <c r="AQ10" s="1289"/>
      <c r="AR10" s="1289"/>
      <c r="AS10" s="1289"/>
      <c r="AT10" s="1289"/>
      <c r="AU10" s="1290"/>
      <c r="AV10" s="394">
        <f>IF('1. Encabezado'!AB10="","",'1. Encabezado'!AB10)</f>
        <v>17</v>
      </c>
    </row>
    <row r="11" spans="1:60" s="61" customFormat="1" ht="18" customHeight="1">
      <c r="A11" s="2675" t="s">
        <v>679</v>
      </c>
      <c r="B11" s="2676"/>
      <c r="C11" s="2676"/>
      <c r="D11" s="2676"/>
      <c r="E11" s="2676"/>
      <c r="F11" s="2676"/>
      <c r="G11" s="2676"/>
      <c r="H11" s="2676"/>
      <c r="I11" s="2676"/>
      <c r="J11" s="2676"/>
      <c r="K11" s="2676"/>
      <c r="L11" s="2676"/>
      <c r="M11" s="2676"/>
      <c r="N11" s="2676"/>
      <c r="O11" s="2676"/>
      <c r="P11" s="2676"/>
      <c r="Q11" s="2676"/>
      <c r="R11" s="2676"/>
      <c r="S11" s="2676"/>
      <c r="T11" s="2676"/>
      <c r="U11" s="2676"/>
      <c r="V11" s="2676"/>
      <c r="W11" s="2676"/>
      <c r="X11" s="2676"/>
      <c r="Y11" s="2676"/>
      <c r="Z11" s="2676"/>
      <c r="AA11" s="2676"/>
      <c r="AB11" s="2676"/>
      <c r="AC11" s="2676"/>
      <c r="AD11" s="2676"/>
      <c r="AE11" s="2676"/>
      <c r="AF11" s="2676"/>
      <c r="AG11" s="2676"/>
      <c r="AH11" s="2676"/>
      <c r="AI11" s="2676"/>
      <c r="AJ11" s="2676"/>
      <c r="AK11" s="2676"/>
      <c r="AL11" s="2676"/>
      <c r="AM11" s="2676"/>
      <c r="AN11" s="2676"/>
      <c r="AO11" s="2676"/>
      <c r="AP11" s="2676"/>
      <c r="AQ11" s="2676"/>
      <c r="AR11" s="2676"/>
      <c r="AS11" s="2676"/>
      <c r="AT11" s="2676"/>
      <c r="AU11" s="2677"/>
      <c r="AV11" s="395" t="s">
        <v>317</v>
      </c>
    </row>
    <row r="12" spans="1:60" ht="18" customHeight="1">
      <c r="A12" s="1291"/>
      <c r="B12" s="1292"/>
      <c r="C12" s="1292"/>
      <c r="D12" s="1292"/>
      <c r="E12" s="1292"/>
      <c r="F12" s="1292"/>
      <c r="G12" s="1292"/>
      <c r="H12" s="1292"/>
      <c r="I12" s="1292"/>
      <c r="J12" s="1292"/>
      <c r="K12" s="1292"/>
      <c r="L12" s="1292"/>
      <c r="M12" s="1292"/>
      <c r="N12" s="1292"/>
      <c r="O12" s="1292"/>
      <c r="P12" s="1292"/>
      <c r="Q12" s="1292"/>
      <c r="R12" s="1292"/>
      <c r="S12" s="1292"/>
      <c r="T12" s="1292"/>
      <c r="U12" s="1292"/>
      <c r="V12" s="1292"/>
      <c r="W12" s="1292"/>
      <c r="X12" s="1292"/>
      <c r="Y12" s="1292"/>
      <c r="Z12" s="1292"/>
      <c r="AA12" s="1292"/>
      <c r="AB12" s="1292"/>
      <c r="AC12" s="1292"/>
      <c r="AD12" s="1292"/>
      <c r="AE12" s="1292"/>
      <c r="AF12" s="1292"/>
      <c r="AG12" s="1292"/>
      <c r="AH12" s="1292"/>
      <c r="AI12" s="1292"/>
      <c r="AJ12" s="1292"/>
      <c r="AK12" s="1292"/>
      <c r="AL12" s="1292"/>
      <c r="AM12" s="1292"/>
      <c r="AN12" s="1292"/>
      <c r="AO12" s="1292"/>
      <c r="AP12" s="1292"/>
      <c r="AQ12" s="1292"/>
      <c r="AR12" s="1292"/>
      <c r="AS12" s="1292"/>
      <c r="AT12" s="1292"/>
      <c r="AU12" s="1293"/>
    </row>
    <row r="13" spans="1:60" s="67" customFormat="1" ht="18" customHeight="1">
      <c r="A13" s="2678" t="s">
        <v>91</v>
      </c>
      <c r="B13" s="2679"/>
      <c r="C13" s="2679"/>
      <c r="D13" s="2679"/>
      <c r="E13" s="2679"/>
      <c r="F13" s="2679"/>
      <c r="G13" s="2679"/>
      <c r="H13" s="2679"/>
      <c r="I13" s="2679"/>
      <c r="J13" s="2679"/>
      <c r="K13" s="2679"/>
      <c r="L13" s="2679"/>
      <c r="M13" s="2679"/>
      <c r="N13" s="2679"/>
      <c r="O13" s="2679"/>
      <c r="P13" s="2679"/>
      <c r="Q13" s="2679"/>
      <c r="R13" s="2679"/>
      <c r="S13" s="2679"/>
      <c r="T13" s="2679"/>
      <c r="U13" s="2679"/>
      <c r="V13" s="2679"/>
      <c r="W13" s="2679"/>
      <c r="X13" s="2679"/>
      <c r="Y13" s="2679"/>
      <c r="Z13" s="2679"/>
      <c r="AA13" s="2680" t="s">
        <v>26</v>
      </c>
      <c r="AB13" s="2680"/>
      <c r="AC13" s="2680"/>
      <c r="AD13" s="2681" t="s">
        <v>92</v>
      </c>
      <c r="AE13" s="2681"/>
      <c r="AF13" s="2681"/>
      <c r="AG13" s="2681"/>
      <c r="AH13" s="2681"/>
      <c r="AI13" s="2682">
        <v>489.2</v>
      </c>
      <c r="AJ13" s="2682"/>
      <c r="AK13" s="2682"/>
      <c r="AL13" s="2682"/>
      <c r="AM13" s="2682"/>
      <c r="AN13" s="2682"/>
      <c r="AO13" s="2682"/>
      <c r="AP13" s="2681" t="s">
        <v>58</v>
      </c>
      <c r="AQ13" s="2681"/>
      <c r="AR13" s="2681"/>
      <c r="AS13" s="481"/>
      <c r="AT13" s="481"/>
      <c r="AU13" s="480"/>
    </row>
    <row r="14" spans="1:60" s="67" customFormat="1" ht="18" customHeight="1">
      <c r="A14" s="2678" t="s">
        <v>93</v>
      </c>
      <c r="B14" s="2679"/>
      <c r="C14" s="2679"/>
      <c r="D14" s="2679"/>
      <c r="E14" s="2679"/>
      <c r="F14" s="2679"/>
      <c r="G14" s="2679"/>
      <c r="H14" s="2679"/>
      <c r="I14" s="2679"/>
      <c r="J14" s="2679"/>
      <c r="K14" s="2679"/>
      <c r="L14" s="2679"/>
      <c r="M14" s="2679"/>
      <c r="N14" s="2679"/>
      <c r="O14" s="2679"/>
      <c r="P14" s="2679"/>
      <c r="Q14" s="2679"/>
      <c r="R14" s="2679"/>
      <c r="S14" s="2679"/>
      <c r="T14" s="2679"/>
      <c r="U14" s="2679"/>
      <c r="V14" s="2679"/>
      <c r="W14" s="2679"/>
      <c r="X14" s="2679"/>
      <c r="Y14" s="2679"/>
      <c r="Z14" s="2679"/>
      <c r="AA14" s="2680" t="s">
        <v>94</v>
      </c>
      <c r="AB14" s="2680"/>
      <c r="AC14" s="2680"/>
      <c r="AD14" s="2681" t="s">
        <v>92</v>
      </c>
      <c r="AE14" s="2681"/>
      <c r="AF14" s="2681"/>
      <c r="AG14" s="2681"/>
      <c r="AH14" s="2681"/>
      <c r="AI14" s="2682">
        <v>503.2</v>
      </c>
      <c r="AJ14" s="2682"/>
      <c r="AK14" s="2682"/>
      <c r="AL14" s="2682"/>
      <c r="AM14" s="2682"/>
      <c r="AN14" s="2682"/>
      <c r="AO14" s="2682"/>
      <c r="AP14" s="2681" t="s">
        <v>58</v>
      </c>
      <c r="AQ14" s="2681"/>
      <c r="AR14" s="2681"/>
      <c r="AS14" s="160"/>
      <c r="AT14" s="160"/>
      <c r="AU14" s="162"/>
    </row>
    <row r="15" spans="1:60" s="67" customFormat="1" ht="19.5" customHeight="1">
      <c r="A15" s="2678" t="s">
        <v>96</v>
      </c>
      <c r="B15" s="2679"/>
      <c r="C15" s="2679"/>
      <c r="D15" s="2679"/>
      <c r="E15" s="2679"/>
      <c r="F15" s="2679"/>
      <c r="G15" s="2679"/>
      <c r="H15" s="2679"/>
      <c r="I15" s="2679"/>
      <c r="J15" s="2679"/>
      <c r="K15" s="2679"/>
      <c r="L15" s="2679"/>
      <c r="M15" s="2679"/>
      <c r="N15" s="2679"/>
      <c r="O15" s="2679"/>
      <c r="P15" s="2679"/>
      <c r="Q15" s="2679"/>
      <c r="R15" s="2679"/>
      <c r="S15" s="2679"/>
      <c r="T15" s="2679"/>
      <c r="U15" s="2679"/>
      <c r="V15" s="2679"/>
      <c r="W15" s="2679"/>
      <c r="X15" s="2679"/>
      <c r="Y15" s="2679"/>
      <c r="Z15" s="2679"/>
      <c r="AA15" s="2680" t="s">
        <v>28</v>
      </c>
      <c r="AB15" s="2680"/>
      <c r="AC15" s="2680"/>
      <c r="AD15" s="2681" t="s">
        <v>92</v>
      </c>
      <c r="AE15" s="2681"/>
      <c r="AF15" s="2681"/>
      <c r="AG15" s="2681"/>
      <c r="AH15" s="2681"/>
      <c r="AI15" s="2682">
        <v>975.8</v>
      </c>
      <c r="AJ15" s="2682"/>
      <c r="AK15" s="2682"/>
      <c r="AL15" s="2682"/>
      <c r="AM15" s="2682"/>
      <c r="AN15" s="2682"/>
      <c r="AO15" s="2682"/>
      <c r="AP15" s="2681" t="s">
        <v>58</v>
      </c>
      <c r="AQ15" s="2681"/>
      <c r="AR15" s="2681"/>
      <c r="AS15" s="160"/>
      <c r="AT15" s="160"/>
      <c r="AU15" s="162"/>
    </row>
    <row r="16" spans="1:60" s="67" customFormat="1" ht="15.75" customHeight="1">
      <c r="A16" s="2678" t="s">
        <v>95</v>
      </c>
      <c r="B16" s="2679"/>
      <c r="C16" s="2679"/>
      <c r="D16" s="2679"/>
      <c r="E16" s="2679"/>
      <c r="F16" s="2679"/>
      <c r="G16" s="2679"/>
      <c r="H16" s="2679"/>
      <c r="I16" s="2679"/>
      <c r="J16" s="2679"/>
      <c r="K16" s="2679"/>
      <c r="L16" s="2679"/>
      <c r="M16" s="2679"/>
      <c r="N16" s="2679"/>
      <c r="O16" s="2679"/>
      <c r="P16" s="2679"/>
      <c r="Q16" s="2679"/>
      <c r="R16" s="2679"/>
      <c r="S16" s="2679"/>
      <c r="T16" s="2679"/>
      <c r="U16" s="2679"/>
      <c r="V16" s="2679"/>
      <c r="W16" s="2679"/>
      <c r="X16" s="2679"/>
      <c r="Y16" s="2679"/>
      <c r="Z16" s="2679"/>
      <c r="AA16" s="2680" t="s">
        <v>27</v>
      </c>
      <c r="AB16" s="2680"/>
      <c r="AC16" s="2680"/>
      <c r="AD16" s="2681" t="s">
        <v>92</v>
      </c>
      <c r="AE16" s="2681"/>
      <c r="AF16" s="2681"/>
      <c r="AG16" s="2681"/>
      <c r="AH16" s="2681"/>
      <c r="AI16" s="2682">
        <v>675.5</v>
      </c>
      <c r="AJ16" s="2682"/>
      <c r="AK16" s="2682"/>
      <c r="AL16" s="2682"/>
      <c r="AM16" s="2682"/>
      <c r="AN16" s="2682"/>
      <c r="AO16" s="2682"/>
      <c r="AP16" s="2681" t="s">
        <v>58</v>
      </c>
      <c r="AQ16" s="2681"/>
      <c r="AR16" s="2681"/>
      <c r="AS16" s="160"/>
      <c r="AT16" s="160"/>
      <c r="AU16" s="162"/>
    </row>
    <row r="17" spans="1:50" s="67" customFormat="1" ht="11.25" customHeight="1">
      <c r="A17" s="3"/>
      <c r="B17" s="159"/>
      <c r="C17" s="481"/>
      <c r="D17" s="481"/>
      <c r="E17" s="481"/>
      <c r="F17" s="481"/>
      <c r="G17" s="481"/>
      <c r="H17" s="481"/>
      <c r="I17" s="481"/>
      <c r="J17" s="481"/>
      <c r="K17" s="481"/>
      <c r="L17" s="481"/>
      <c r="M17" s="481"/>
      <c r="N17" s="481"/>
      <c r="O17" s="481"/>
      <c r="P17" s="481"/>
      <c r="Q17" s="481"/>
      <c r="R17" s="481"/>
      <c r="S17" s="481"/>
      <c r="T17" s="481"/>
      <c r="U17" s="160"/>
      <c r="V17" s="160"/>
      <c r="W17" s="160"/>
      <c r="X17" s="160"/>
      <c r="Y17" s="160"/>
      <c r="Z17" s="160"/>
      <c r="AA17" s="160"/>
      <c r="AB17" s="481"/>
      <c r="AC17" s="481"/>
      <c r="AD17" s="481"/>
      <c r="AE17" s="481"/>
      <c r="AF17" s="481"/>
      <c r="AG17" s="481"/>
      <c r="AH17" s="481"/>
      <c r="AI17" s="481"/>
      <c r="AJ17" s="481"/>
      <c r="AK17" s="481"/>
      <c r="AL17" s="481"/>
      <c r="AM17" s="481"/>
      <c r="AN17" s="481"/>
      <c r="AO17" s="481"/>
      <c r="AP17" s="481"/>
      <c r="AQ17" s="481"/>
      <c r="AR17" s="481"/>
      <c r="AS17" s="481"/>
      <c r="AT17" s="481"/>
      <c r="AU17" s="480"/>
    </row>
    <row r="18" spans="1:50" s="67" customFormat="1" ht="15.75" customHeight="1">
      <c r="A18" s="3"/>
      <c r="B18" s="160"/>
      <c r="C18" s="208"/>
      <c r="D18" s="161"/>
      <c r="E18" s="161"/>
      <c r="F18" s="161"/>
      <c r="G18" s="161"/>
      <c r="H18" s="161"/>
      <c r="I18" s="2694" t="s">
        <v>98</v>
      </c>
      <c r="J18" s="2694"/>
      <c r="K18" s="2694"/>
      <c r="L18" s="2694"/>
      <c r="M18" s="2694"/>
      <c r="N18" s="2694"/>
      <c r="O18" s="2694"/>
      <c r="P18" s="2694"/>
      <c r="Q18" s="2694"/>
      <c r="R18" s="2694"/>
      <c r="S18" s="2694"/>
      <c r="T18" s="2694"/>
      <c r="U18" s="2695" t="s">
        <v>177</v>
      </c>
      <c r="V18" s="2695"/>
      <c r="W18" s="2695"/>
      <c r="X18" s="2695"/>
      <c r="Y18" s="2695"/>
      <c r="Z18" s="2695"/>
      <c r="AA18" s="2695"/>
      <c r="AB18" s="2695"/>
      <c r="AC18" s="2696">
        <f>IF(AI13=""," ",0.9975*AI13/(AI16+AI14-AI15))</f>
        <v>2.405012321340561</v>
      </c>
      <c r="AD18" s="2697"/>
      <c r="AE18" s="2697"/>
      <c r="AF18" s="2698"/>
      <c r="AG18" s="208"/>
      <c r="AH18" s="208"/>
      <c r="AI18" s="208"/>
      <c r="AJ18" s="163"/>
      <c r="AK18" s="164"/>
      <c r="AL18" s="164"/>
      <c r="AM18" s="164"/>
      <c r="AN18" s="2702"/>
      <c r="AO18" s="2702"/>
      <c r="AP18" s="2702"/>
      <c r="AQ18" s="2702"/>
      <c r="AR18" s="2703"/>
      <c r="AS18" s="2703"/>
      <c r="AT18" s="2703"/>
      <c r="AU18" s="162"/>
    </row>
    <row r="19" spans="1:50" s="67" customFormat="1" ht="20.100000000000001" customHeight="1">
      <c r="A19" s="3"/>
      <c r="B19" s="160"/>
      <c r="C19" s="161"/>
      <c r="D19" s="161"/>
      <c r="E19" s="161"/>
      <c r="F19" s="161"/>
      <c r="G19" s="161"/>
      <c r="H19" s="161"/>
      <c r="I19" s="2694"/>
      <c r="J19" s="2694"/>
      <c r="K19" s="2694"/>
      <c r="L19" s="2694"/>
      <c r="M19" s="2694"/>
      <c r="N19" s="2694"/>
      <c r="O19" s="2694"/>
      <c r="P19" s="2694"/>
      <c r="Q19" s="2694"/>
      <c r="R19" s="2694"/>
      <c r="S19" s="2694"/>
      <c r="T19" s="2694"/>
      <c r="U19" s="2695"/>
      <c r="V19" s="2695"/>
      <c r="W19" s="2695"/>
      <c r="X19" s="2695"/>
      <c r="Y19" s="2695"/>
      <c r="Z19" s="2695"/>
      <c r="AA19" s="2695"/>
      <c r="AB19" s="2695"/>
      <c r="AC19" s="2699"/>
      <c r="AD19" s="2700"/>
      <c r="AE19" s="2700"/>
      <c r="AF19" s="2701"/>
      <c r="AG19" s="208"/>
      <c r="AH19" s="208"/>
      <c r="AI19" s="208"/>
      <c r="AJ19" s="163"/>
      <c r="AK19" s="165"/>
      <c r="AL19" s="165"/>
      <c r="AM19" s="165"/>
      <c r="AN19" s="2702"/>
      <c r="AO19" s="2702"/>
      <c r="AP19" s="2702"/>
      <c r="AQ19" s="2702"/>
      <c r="AR19" s="2703"/>
      <c r="AS19" s="2703"/>
      <c r="AT19" s="2703"/>
      <c r="AU19" s="162"/>
    </row>
    <row r="20" spans="1:50" s="67" customFormat="1" ht="20.100000000000001" customHeight="1">
      <c r="A20" s="3"/>
      <c r="B20" s="160"/>
      <c r="C20" s="160"/>
      <c r="D20" s="160"/>
      <c r="E20" s="160"/>
      <c r="F20" s="160"/>
      <c r="G20" s="160"/>
      <c r="H20" s="160"/>
      <c r="I20" s="160"/>
      <c r="J20" s="160"/>
      <c r="K20" s="160"/>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60"/>
      <c r="AO20" s="160"/>
      <c r="AP20" s="160"/>
      <c r="AQ20" s="160"/>
      <c r="AR20" s="160"/>
      <c r="AS20" s="160"/>
      <c r="AT20" s="160"/>
      <c r="AU20" s="162"/>
    </row>
    <row r="21" spans="1:50" ht="18" customHeight="1">
      <c r="A21" s="2704" t="s">
        <v>97</v>
      </c>
      <c r="B21" s="2705"/>
      <c r="C21" s="2705"/>
      <c r="D21" s="2705"/>
      <c r="E21" s="2705"/>
      <c r="F21" s="2705"/>
      <c r="G21" s="2705"/>
      <c r="H21" s="2705"/>
      <c r="I21" s="2705"/>
      <c r="J21" s="2705"/>
      <c r="K21" s="2705"/>
      <c r="L21" s="2705"/>
      <c r="M21" s="2705"/>
      <c r="N21" s="2705"/>
      <c r="O21" s="2705"/>
      <c r="P21" s="2706"/>
      <c r="Q21" s="2704" t="s">
        <v>26</v>
      </c>
      <c r="R21" s="2705"/>
      <c r="S21" s="2705"/>
      <c r="T21" s="2705"/>
      <c r="U21" s="2705"/>
      <c r="V21" s="2704" t="s">
        <v>27</v>
      </c>
      <c r="W21" s="2705"/>
      <c r="X21" s="2705"/>
      <c r="Y21" s="2705"/>
      <c r="Z21" s="2705"/>
      <c r="AA21" s="2705"/>
      <c r="AB21" s="2705"/>
      <c r="AC21" s="2705"/>
      <c r="AD21" s="2705"/>
      <c r="AE21" s="2705"/>
      <c r="AF21" s="2705"/>
      <c r="AG21" s="2705"/>
      <c r="AH21" s="2705"/>
      <c r="AI21" s="2705"/>
      <c r="AJ21" s="2705"/>
      <c r="AK21" s="2705"/>
      <c r="AL21" s="2705"/>
      <c r="AM21" s="2705"/>
      <c r="AN21" s="2705"/>
      <c r="AO21" s="2705"/>
      <c r="AP21" s="2706"/>
      <c r="AQ21" s="2705" t="s">
        <v>28</v>
      </c>
      <c r="AR21" s="2705"/>
      <c r="AS21" s="2705"/>
      <c r="AT21" s="2705"/>
      <c r="AU21" s="2706"/>
    </row>
    <row r="22" spans="1:50" s="67" customFormat="1" ht="18" customHeight="1">
      <c r="A22" s="2707"/>
      <c r="B22" s="2708"/>
      <c r="C22" s="2708"/>
      <c r="D22" s="2708"/>
      <c r="E22" s="2708"/>
      <c r="F22" s="2708"/>
      <c r="G22" s="2708"/>
      <c r="H22" s="2708"/>
      <c r="I22" s="2708"/>
      <c r="J22" s="2708"/>
      <c r="K22" s="2708"/>
      <c r="L22" s="2708"/>
      <c r="M22" s="2708"/>
      <c r="N22" s="2708"/>
      <c r="O22" s="2708"/>
      <c r="P22" s="2709"/>
      <c r="Q22" s="2707"/>
      <c r="R22" s="2708"/>
      <c r="S22" s="2708"/>
      <c r="T22" s="2708"/>
      <c r="U22" s="2708"/>
      <c r="V22" s="2707" t="s">
        <v>65</v>
      </c>
      <c r="W22" s="2708"/>
      <c r="X22" s="2708"/>
      <c r="Y22" s="2708"/>
      <c r="Z22" s="2708"/>
      <c r="AA22" s="2708"/>
      <c r="AB22" s="2708"/>
      <c r="AC22" s="2708"/>
      <c r="AD22" s="2708"/>
      <c r="AE22" s="2708"/>
      <c r="AF22" s="2708"/>
      <c r="AG22" s="2708"/>
      <c r="AH22" s="2708"/>
      <c r="AI22" s="2708"/>
      <c r="AJ22" s="2708"/>
      <c r="AK22" s="2708"/>
      <c r="AL22" s="2708"/>
      <c r="AM22" s="2708"/>
      <c r="AN22" s="2708"/>
      <c r="AO22" s="2708"/>
      <c r="AP22" s="2709"/>
      <c r="AQ22" s="2708"/>
      <c r="AR22" s="2708"/>
      <c r="AS22" s="2708"/>
      <c r="AT22" s="2708"/>
      <c r="AU22" s="2709"/>
    </row>
    <row r="23" spans="1:50" s="67" customFormat="1" ht="35.1" customHeight="1">
      <c r="A23" s="2710"/>
      <c r="B23" s="2711"/>
      <c r="C23" s="2711"/>
      <c r="D23" s="2711"/>
      <c r="E23" s="2711"/>
      <c r="F23" s="2711"/>
      <c r="G23" s="2711"/>
      <c r="H23" s="2711"/>
      <c r="I23" s="2711"/>
      <c r="J23" s="2711"/>
      <c r="K23" s="2711"/>
      <c r="L23" s="2711"/>
      <c r="M23" s="2711"/>
      <c r="N23" s="2711"/>
      <c r="O23" s="2711"/>
      <c r="P23" s="2712"/>
      <c r="Q23" s="2710"/>
      <c r="R23" s="2711"/>
      <c r="S23" s="2711"/>
      <c r="T23" s="2711"/>
      <c r="U23" s="2711"/>
      <c r="V23" s="2707" t="s">
        <v>179</v>
      </c>
      <c r="W23" s="2708"/>
      <c r="X23" s="2708"/>
      <c r="Y23" s="2708"/>
      <c r="Z23" s="2708"/>
      <c r="AA23" s="2708"/>
      <c r="AB23" s="2708"/>
      <c r="AC23" s="2708" t="s">
        <v>180</v>
      </c>
      <c r="AD23" s="2708"/>
      <c r="AE23" s="2708"/>
      <c r="AF23" s="2708"/>
      <c r="AG23" s="2708"/>
      <c r="AH23" s="2708"/>
      <c r="AI23" s="2708"/>
      <c r="AJ23" s="2708" t="s">
        <v>181</v>
      </c>
      <c r="AK23" s="2708"/>
      <c r="AL23" s="2708"/>
      <c r="AM23" s="2708"/>
      <c r="AN23" s="2708"/>
      <c r="AO23" s="2708"/>
      <c r="AP23" s="2709"/>
      <c r="AQ23" s="2711"/>
      <c r="AR23" s="2711"/>
      <c r="AS23" s="2711"/>
      <c r="AT23" s="2711"/>
      <c r="AU23" s="2712"/>
    </row>
    <row r="24" spans="1:50" s="67" customFormat="1" ht="45" customHeight="1">
      <c r="A24" s="2730" t="s">
        <v>680</v>
      </c>
      <c r="B24" s="2731"/>
      <c r="C24" s="2731"/>
      <c r="D24" s="2731"/>
      <c r="E24" s="2731"/>
      <c r="F24" s="2731"/>
      <c r="G24" s="2731"/>
      <c r="H24" s="2731"/>
      <c r="I24" s="2731"/>
      <c r="J24" s="2731"/>
      <c r="K24" s="2731"/>
      <c r="L24" s="2731"/>
      <c r="M24" s="2731"/>
      <c r="N24" s="2732"/>
      <c r="O24" s="2733" t="s">
        <v>178</v>
      </c>
      <c r="P24" s="2734"/>
      <c r="Q24" s="2713"/>
      <c r="R24" s="2714"/>
      <c r="S24" s="2714"/>
      <c r="T24" s="2714"/>
      <c r="U24" s="2715"/>
      <c r="V24" s="2735"/>
      <c r="W24" s="2714"/>
      <c r="X24" s="2714"/>
      <c r="Y24" s="2714"/>
      <c r="Z24" s="2714"/>
      <c r="AA24" s="2714"/>
      <c r="AB24" s="2714"/>
      <c r="AC24" s="2714"/>
      <c r="AD24" s="2714"/>
      <c r="AE24" s="2714"/>
      <c r="AF24" s="2714"/>
      <c r="AG24" s="2714"/>
      <c r="AH24" s="2714"/>
      <c r="AI24" s="2714"/>
      <c r="AJ24" s="2714"/>
      <c r="AK24" s="2714"/>
      <c r="AL24" s="2714"/>
      <c r="AM24" s="2714"/>
      <c r="AN24" s="2714"/>
      <c r="AO24" s="2714"/>
      <c r="AP24" s="2736"/>
      <c r="AQ24" s="2713"/>
      <c r="AR24" s="2714"/>
      <c r="AS24" s="2714"/>
      <c r="AT24" s="2714"/>
      <c r="AU24" s="2715"/>
      <c r="AV24" s="1340" t="s">
        <v>695</v>
      </c>
      <c r="AW24" s="1338"/>
      <c r="AX24" s="1337"/>
    </row>
    <row r="25" spans="1:50" s="31" customFormat="1" ht="45" customHeight="1">
      <c r="A25" s="2716" t="s">
        <v>681</v>
      </c>
      <c r="B25" s="2717"/>
      <c r="C25" s="2717"/>
      <c r="D25" s="2717"/>
      <c r="E25" s="2717"/>
      <c r="F25" s="2717"/>
      <c r="G25" s="2717"/>
      <c r="H25" s="2717"/>
      <c r="I25" s="2717"/>
      <c r="J25" s="2717"/>
      <c r="K25" s="2717"/>
      <c r="L25" s="2717"/>
      <c r="M25" s="2717"/>
      <c r="N25" s="2718"/>
      <c r="O25" s="2719" t="s">
        <v>58</v>
      </c>
      <c r="P25" s="2720"/>
      <c r="Q25" s="2721" t="str">
        <f>IF(AJ7="","",AVERAGE(AW24:AX24)-AW25)</f>
        <v/>
      </c>
      <c r="R25" s="2722"/>
      <c r="S25" s="2722"/>
      <c r="T25" s="2722"/>
      <c r="U25" s="2723"/>
      <c r="V25" s="2724"/>
      <c r="W25" s="2725"/>
      <c r="X25" s="2725"/>
      <c r="Y25" s="2725"/>
      <c r="Z25" s="2725"/>
      <c r="AA25" s="2725"/>
      <c r="AB25" s="2725"/>
      <c r="AC25" s="2725"/>
      <c r="AD25" s="2725"/>
      <c r="AE25" s="2725"/>
      <c r="AF25" s="2725"/>
      <c r="AG25" s="2725"/>
      <c r="AH25" s="2725"/>
      <c r="AI25" s="2725"/>
      <c r="AJ25" s="2725"/>
      <c r="AK25" s="2725"/>
      <c r="AL25" s="2725"/>
      <c r="AM25" s="2725"/>
      <c r="AN25" s="2725"/>
      <c r="AO25" s="2725"/>
      <c r="AP25" s="2726"/>
      <c r="AQ25" s="2727"/>
      <c r="AR25" s="2728"/>
      <c r="AS25" s="2728"/>
      <c r="AT25" s="2728"/>
      <c r="AU25" s="2729"/>
      <c r="AV25" s="1341" t="s">
        <v>696</v>
      </c>
      <c r="AW25" s="1339"/>
    </row>
    <row r="26" spans="1:50" s="80" customFormat="1" ht="45" customHeight="1">
      <c r="A26" s="2738" t="s">
        <v>221</v>
      </c>
      <c r="B26" s="2739"/>
      <c r="C26" s="2739"/>
      <c r="D26" s="2739"/>
      <c r="E26" s="2739"/>
      <c r="F26" s="2739"/>
      <c r="G26" s="2739"/>
      <c r="H26" s="2739"/>
      <c r="I26" s="2739"/>
      <c r="J26" s="2739"/>
      <c r="K26" s="2739"/>
      <c r="L26" s="2739"/>
      <c r="M26" s="2739"/>
      <c r="N26" s="2740"/>
      <c r="O26" s="2741" t="s">
        <v>62</v>
      </c>
      <c r="P26" s="2742"/>
      <c r="Q26" s="2743" t="e">
        <f>IF(AI13=""," ",(100*(Q24-(Q25/AC18))/Q24))</f>
        <v>#VALUE!</v>
      </c>
      <c r="R26" s="2744"/>
      <c r="S26" s="2744"/>
      <c r="T26" s="2744"/>
      <c r="U26" s="2745"/>
      <c r="V26" s="2746"/>
      <c r="W26" s="2747"/>
      <c r="X26" s="2747"/>
      <c r="Y26" s="2747"/>
      <c r="Z26" s="2747"/>
      <c r="AA26" s="2747"/>
      <c r="AB26" s="2747"/>
      <c r="AC26" s="2747"/>
      <c r="AD26" s="2747"/>
      <c r="AE26" s="2747"/>
      <c r="AF26" s="2747"/>
      <c r="AG26" s="2747"/>
      <c r="AH26" s="2747"/>
      <c r="AI26" s="2747"/>
      <c r="AJ26" s="2747"/>
      <c r="AK26" s="2747"/>
      <c r="AL26" s="2747"/>
      <c r="AM26" s="2747"/>
      <c r="AN26" s="2747"/>
      <c r="AO26" s="2747"/>
      <c r="AP26" s="2748"/>
      <c r="AQ26" s="2749"/>
      <c r="AR26" s="2750"/>
      <c r="AS26" s="2750"/>
      <c r="AT26" s="2750"/>
      <c r="AU26" s="2751"/>
    </row>
    <row r="27" spans="1:50" s="80" customFormat="1" ht="15" customHeight="1">
      <c r="A27" s="462"/>
      <c r="B27" s="463"/>
      <c r="C27" s="463"/>
      <c r="D27" s="463"/>
      <c r="E27" s="463"/>
      <c r="F27" s="463"/>
      <c r="G27" s="463"/>
      <c r="H27" s="463"/>
      <c r="I27" s="463"/>
      <c r="J27" s="463"/>
      <c r="K27" s="463"/>
      <c r="L27" s="463"/>
      <c r="M27" s="463"/>
      <c r="N27" s="463"/>
      <c r="O27" s="465"/>
      <c r="P27" s="465"/>
      <c r="Q27" s="1294"/>
      <c r="R27" s="1294"/>
      <c r="S27" s="1294"/>
      <c r="T27" s="1294"/>
      <c r="U27" s="1294"/>
      <c r="V27" s="1295"/>
      <c r="W27" s="1295"/>
      <c r="X27" s="1295"/>
      <c r="Y27" s="1295"/>
      <c r="Z27" s="1295"/>
      <c r="AA27" s="1295"/>
      <c r="AB27" s="1295"/>
      <c r="AC27" s="1295"/>
      <c r="AD27" s="1295"/>
      <c r="AE27" s="1295"/>
      <c r="AF27" s="1295"/>
      <c r="AG27" s="1295"/>
      <c r="AH27" s="1295"/>
      <c r="AI27" s="1295"/>
      <c r="AJ27" s="1295"/>
      <c r="AK27" s="1295"/>
      <c r="AL27" s="1295"/>
      <c r="AM27" s="1295"/>
      <c r="AN27" s="1295"/>
      <c r="AO27" s="1295"/>
      <c r="AP27" s="1295"/>
      <c r="AQ27" s="466"/>
      <c r="AR27" s="466"/>
      <c r="AS27" s="466"/>
      <c r="AT27" s="466"/>
      <c r="AU27" s="467"/>
    </row>
    <row r="28" spans="1:50" s="80" customFormat="1" ht="15" customHeight="1">
      <c r="A28" s="1296"/>
      <c r="B28" s="2752" t="s">
        <v>169</v>
      </c>
      <c r="C28" s="2752"/>
      <c r="D28" s="2752"/>
      <c r="E28" s="2752"/>
      <c r="F28" s="2752"/>
      <c r="G28" s="2752"/>
      <c r="H28" s="2752"/>
      <c r="I28" s="2752"/>
      <c r="J28" s="2752"/>
      <c r="K28" s="2761">
        <v>44761</v>
      </c>
      <c r="L28" s="2761"/>
      <c r="M28" s="2761"/>
      <c r="N28" s="2761"/>
      <c r="O28" s="2761"/>
      <c r="P28" s="2761"/>
      <c r="Q28" s="2761"/>
      <c r="R28" s="2761"/>
      <c r="S28" s="1297"/>
      <c r="T28" s="1297"/>
      <c r="U28" s="1297"/>
      <c r="V28" s="468"/>
      <c r="W28" s="468"/>
      <c r="X28" s="468"/>
      <c r="Y28" s="468"/>
      <c r="Z28" s="468"/>
      <c r="AA28" s="468"/>
      <c r="AB28" s="468"/>
      <c r="AC28" s="468"/>
      <c r="AD28" s="468"/>
      <c r="AE28" s="468"/>
      <c r="AF28" s="468"/>
      <c r="AG28" s="468"/>
      <c r="AH28" s="468"/>
      <c r="AI28" s="468"/>
      <c r="AJ28" s="468"/>
      <c r="AK28" s="468"/>
      <c r="AL28" s="468"/>
      <c r="AM28" s="468"/>
      <c r="AN28" s="468"/>
      <c r="AO28" s="468"/>
      <c r="AP28" s="468"/>
      <c r="AQ28" s="1298"/>
      <c r="AR28" s="1298"/>
      <c r="AS28" s="1298"/>
      <c r="AT28" s="1298"/>
      <c r="AU28" s="1299"/>
    </row>
    <row r="29" spans="1:50" s="26" customFormat="1" ht="15" customHeight="1">
      <c r="A29" s="1300"/>
      <c r="B29" s="1301"/>
      <c r="C29" s="1301"/>
      <c r="D29" s="1301"/>
      <c r="E29" s="1301"/>
      <c r="F29" s="1301"/>
      <c r="G29" s="1301"/>
      <c r="H29" s="1301"/>
      <c r="I29" s="1301"/>
      <c r="J29" s="1301"/>
      <c r="K29" s="1301"/>
      <c r="L29" s="1301"/>
      <c r="M29" s="1301"/>
      <c r="N29" s="1301"/>
      <c r="O29" s="1302"/>
      <c r="P29" s="1302"/>
      <c r="Q29" s="1303"/>
      <c r="R29" s="1303"/>
      <c r="S29" s="1303"/>
      <c r="T29" s="1303"/>
      <c r="U29" s="1303"/>
      <c r="V29" s="464"/>
      <c r="W29" s="464"/>
      <c r="X29" s="464"/>
      <c r="Y29" s="464"/>
      <c r="Z29" s="464"/>
      <c r="AA29" s="464"/>
      <c r="AB29" s="464"/>
      <c r="AC29" s="464"/>
      <c r="AD29" s="464"/>
      <c r="AE29" s="464"/>
      <c r="AF29" s="464"/>
      <c r="AG29" s="464"/>
      <c r="AH29" s="464"/>
      <c r="AI29" s="464"/>
      <c r="AJ29" s="464"/>
      <c r="AK29" s="464"/>
      <c r="AL29" s="464"/>
      <c r="AM29" s="464"/>
      <c r="AN29" s="464"/>
      <c r="AO29" s="464"/>
      <c r="AP29" s="464"/>
      <c r="AQ29" s="1304"/>
      <c r="AR29" s="1304"/>
      <c r="AS29" s="1304"/>
      <c r="AT29" s="1304"/>
      <c r="AU29" s="1305"/>
    </row>
    <row r="30" spans="1:50" s="26" customFormat="1" ht="15" customHeight="1">
      <c r="A30" s="1116"/>
      <c r="B30" s="2753" t="s">
        <v>10</v>
      </c>
      <c r="C30" s="2753"/>
      <c r="D30" s="2753"/>
      <c r="E30" s="2753"/>
      <c r="F30" s="2753"/>
      <c r="G30" s="2753"/>
      <c r="H30" s="2753"/>
      <c r="I30" s="2754"/>
      <c r="J30" s="2754"/>
      <c r="K30" s="2754"/>
      <c r="L30" s="2754"/>
      <c r="M30" s="2754"/>
      <c r="N30" s="2754"/>
      <c r="O30" s="2754"/>
      <c r="P30" s="2754"/>
      <c r="Q30" s="2754"/>
      <c r="R30" s="2754"/>
      <c r="S30" s="2754"/>
      <c r="T30" s="2754"/>
      <c r="U30" s="2754"/>
      <c r="V30" s="2754"/>
      <c r="W30" s="2754"/>
      <c r="X30" s="2754"/>
      <c r="Y30" s="2754"/>
      <c r="Z30" s="2754"/>
      <c r="AA30" s="2754"/>
      <c r="AB30" s="2754"/>
      <c r="AC30" s="2754"/>
      <c r="AD30" s="2754"/>
      <c r="AE30" s="2754"/>
      <c r="AF30" s="2754"/>
      <c r="AG30" s="2754"/>
      <c r="AH30" s="2754"/>
      <c r="AI30" s="2754"/>
      <c r="AJ30" s="2754"/>
      <c r="AK30" s="2754"/>
      <c r="AL30" s="2754"/>
      <c r="AM30" s="2754"/>
      <c r="AN30" s="2754"/>
      <c r="AO30" s="2754"/>
      <c r="AP30" s="2754"/>
      <c r="AQ30" s="2754"/>
      <c r="AR30" s="2754"/>
      <c r="AS30" s="2754"/>
      <c r="AT30" s="2754"/>
      <c r="AU30" s="1306"/>
    </row>
    <row r="31" spans="1:50" s="26" customFormat="1" ht="15" customHeight="1">
      <c r="A31" s="1116"/>
      <c r="B31" s="1307"/>
      <c r="C31" s="1307"/>
      <c r="D31" s="1307"/>
      <c r="E31" s="1307"/>
      <c r="F31" s="1307"/>
      <c r="G31" s="1307"/>
      <c r="H31" s="1307"/>
      <c r="I31" s="1308"/>
      <c r="J31" s="1308"/>
      <c r="K31" s="1308"/>
      <c r="L31" s="1308"/>
      <c r="M31" s="1308"/>
      <c r="N31" s="1308"/>
      <c r="O31" s="1308"/>
      <c r="P31" s="1308"/>
      <c r="Q31" s="1308"/>
      <c r="R31" s="1308"/>
      <c r="S31" s="1308"/>
      <c r="T31" s="1308"/>
      <c r="U31" s="1308"/>
      <c r="V31" s="1308"/>
      <c r="W31" s="1308"/>
      <c r="X31" s="1308"/>
      <c r="Y31" s="1308"/>
      <c r="Z31" s="1308"/>
      <c r="AA31" s="1308"/>
      <c r="AB31" s="1308"/>
      <c r="AC31" s="1308"/>
      <c r="AD31" s="1308"/>
      <c r="AE31" s="1308"/>
      <c r="AF31" s="1308"/>
      <c r="AG31" s="1308"/>
      <c r="AH31" s="1308"/>
      <c r="AI31" s="1308"/>
      <c r="AJ31" s="1308"/>
      <c r="AK31" s="1308"/>
      <c r="AL31" s="1308"/>
      <c r="AM31" s="1308"/>
      <c r="AN31" s="1308"/>
      <c r="AO31" s="1308"/>
      <c r="AP31" s="1308"/>
      <c r="AQ31" s="1308"/>
      <c r="AR31" s="1308"/>
      <c r="AS31" s="1308"/>
      <c r="AT31" s="1308"/>
      <c r="AU31" s="1306"/>
    </row>
    <row r="32" spans="1:50" s="26" customFormat="1" ht="15" customHeight="1">
      <c r="A32" s="1116"/>
      <c r="B32" s="1307"/>
      <c r="C32" s="1307"/>
      <c r="D32" s="1307"/>
      <c r="E32" s="1307"/>
      <c r="F32" s="1307"/>
      <c r="G32" s="1307"/>
      <c r="H32" s="1307"/>
      <c r="I32" s="1308"/>
      <c r="J32" s="1308"/>
      <c r="K32" s="1308"/>
      <c r="L32" s="1308"/>
      <c r="M32" s="1308"/>
      <c r="N32" s="1308"/>
      <c r="O32" s="1308"/>
      <c r="P32" s="1308"/>
      <c r="Q32" s="1308"/>
      <c r="R32" s="1308"/>
      <c r="S32" s="1308"/>
      <c r="T32" s="1308"/>
      <c r="U32" s="1308"/>
      <c r="V32" s="1308"/>
      <c r="W32" s="1308"/>
      <c r="X32" s="1308"/>
      <c r="Y32" s="1308"/>
      <c r="Z32" s="1308"/>
      <c r="AA32" s="1308"/>
      <c r="AB32" s="1308"/>
      <c r="AC32" s="1308"/>
      <c r="AD32" s="1308"/>
      <c r="AE32" s="1308"/>
      <c r="AF32" s="1308"/>
      <c r="AG32" s="1308"/>
      <c r="AH32" s="1308"/>
      <c r="AI32" s="1308"/>
      <c r="AJ32" s="1308"/>
      <c r="AK32" s="1308"/>
      <c r="AL32" s="1308"/>
      <c r="AM32" s="1308"/>
      <c r="AN32" s="1308"/>
      <c r="AO32" s="1308"/>
      <c r="AP32" s="1308"/>
      <c r="AQ32" s="1308"/>
      <c r="AR32" s="1308"/>
      <c r="AS32" s="1308"/>
      <c r="AT32" s="1308"/>
      <c r="AU32" s="1306"/>
    </row>
    <row r="33" spans="1:47" s="26" customFormat="1" ht="15" customHeight="1">
      <c r="A33" s="1116"/>
      <c r="B33" s="1307"/>
      <c r="C33" s="1307"/>
      <c r="D33" s="1307"/>
      <c r="E33" s="1307"/>
      <c r="F33" s="1307"/>
      <c r="G33" s="1307"/>
      <c r="H33" s="1307"/>
      <c r="I33" s="1308"/>
      <c r="J33" s="1308"/>
      <c r="K33" s="1308"/>
      <c r="L33" s="1308"/>
      <c r="M33" s="1308"/>
      <c r="N33" s="1308"/>
      <c r="O33" s="1308"/>
      <c r="P33" s="1308"/>
      <c r="Q33" s="1308"/>
      <c r="R33" s="1308"/>
      <c r="S33" s="1308"/>
      <c r="T33" s="1308"/>
      <c r="U33" s="1308"/>
      <c r="V33" s="1308"/>
      <c r="W33" s="1308"/>
      <c r="X33" s="1308"/>
      <c r="Y33" s="1308"/>
      <c r="Z33" s="1308"/>
      <c r="AA33" s="1308"/>
      <c r="AB33" s="1308"/>
      <c r="AC33" s="1308"/>
      <c r="AD33" s="1308"/>
      <c r="AE33" s="1308"/>
      <c r="AF33" s="1308"/>
      <c r="AG33" s="1308"/>
      <c r="AH33" s="1308"/>
      <c r="AI33" s="1308"/>
      <c r="AJ33" s="1308"/>
      <c r="AK33" s="1308"/>
      <c r="AL33" s="1308"/>
      <c r="AM33" s="1308"/>
      <c r="AN33" s="1308"/>
      <c r="AO33" s="1308"/>
      <c r="AP33" s="1308"/>
      <c r="AQ33" s="1308"/>
      <c r="AR33" s="1308"/>
      <c r="AS33" s="1308"/>
      <c r="AT33" s="1308"/>
      <c r="AU33" s="1306"/>
    </row>
    <row r="34" spans="1:47" s="26" customFormat="1" ht="15" customHeight="1" thickBot="1">
      <c r="A34" s="2755"/>
      <c r="B34" s="2756"/>
      <c r="C34" s="2756"/>
      <c r="D34" s="2756"/>
      <c r="E34" s="2756"/>
      <c r="F34" s="2756"/>
      <c r="G34" s="2756"/>
      <c r="H34" s="2756"/>
      <c r="I34" s="2756"/>
      <c r="J34" s="2756"/>
      <c r="K34" s="2756"/>
      <c r="L34" s="2756"/>
      <c r="M34" s="2756"/>
      <c r="N34" s="2756"/>
      <c r="O34" s="2756"/>
      <c r="P34" s="2756"/>
      <c r="Q34" s="2756"/>
      <c r="R34" s="2756"/>
      <c r="S34" s="2756"/>
      <c r="T34" s="2756"/>
      <c r="U34" s="2756"/>
      <c r="V34" s="2756"/>
      <c r="W34" s="2756"/>
      <c r="X34" s="2756"/>
      <c r="Y34" s="2756"/>
      <c r="Z34" s="2756"/>
      <c r="AA34" s="2756"/>
      <c r="AB34" s="2756"/>
      <c r="AC34" s="2756"/>
      <c r="AD34" s="2756"/>
      <c r="AE34" s="2756"/>
      <c r="AF34" s="2756"/>
      <c r="AG34" s="2756"/>
      <c r="AH34" s="2756"/>
      <c r="AI34" s="2756"/>
      <c r="AJ34" s="2756"/>
      <c r="AK34" s="2756"/>
      <c r="AL34" s="2756"/>
      <c r="AM34" s="2756"/>
      <c r="AN34" s="2756"/>
      <c r="AO34" s="2756"/>
      <c r="AP34" s="2756"/>
      <c r="AQ34" s="2756"/>
      <c r="AR34" s="2756"/>
      <c r="AS34" s="2756"/>
      <c r="AT34" s="2756"/>
      <c r="AU34" s="2757"/>
    </row>
    <row r="35" spans="1:47" s="32" customFormat="1" ht="15" customHeight="1" thickTop="1" thickBot="1">
      <c r="A35" s="2758" t="s">
        <v>13</v>
      </c>
      <c r="B35" s="2759"/>
      <c r="C35" s="2759"/>
      <c r="D35" s="2759"/>
      <c r="E35" s="2759"/>
      <c r="F35" s="2759"/>
      <c r="G35" s="2759"/>
      <c r="H35" s="2759"/>
      <c r="I35" s="2759"/>
      <c r="J35" s="2759"/>
      <c r="K35" s="2759"/>
      <c r="L35" s="2759"/>
      <c r="M35" s="2759"/>
      <c r="N35" s="2759"/>
      <c r="O35" s="2759"/>
      <c r="P35" s="2759"/>
      <c r="Q35" s="2759"/>
      <c r="R35" s="2759"/>
      <c r="S35" s="2759"/>
      <c r="T35" s="2759"/>
      <c r="U35" s="2759"/>
      <c r="V35" s="2759"/>
      <c r="W35" s="2759"/>
      <c r="X35" s="2759"/>
      <c r="Y35" s="2759"/>
      <c r="Z35" s="2759"/>
      <c r="AA35" s="2759"/>
      <c r="AB35" s="2759"/>
      <c r="AC35" s="2759"/>
      <c r="AD35" s="2759"/>
      <c r="AE35" s="2759"/>
      <c r="AF35" s="2759"/>
      <c r="AG35" s="2759"/>
      <c r="AH35" s="2759"/>
      <c r="AI35" s="2759"/>
      <c r="AJ35" s="2759"/>
      <c r="AK35" s="2759"/>
      <c r="AL35" s="2759"/>
      <c r="AM35" s="2759"/>
      <c r="AN35" s="2759"/>
      <c r="AO35" s="2759"/>
      <c r="AP35" s="2759"/>
      <c r="AQ35" s="2759"/>
      <c r="AR35" s="2759"/>
      <c r="AS35" s="2759"/>
      <c r="AT35" s="2759"/>
      <c r="AU35" s="2759"/>
    </row>
    <row r="36" spans="1:47" s="26" customFormat="1" ht="15" customHeight="1" thickTop="1">
      <c r="A36" s="2760"/>
      <c r="B36" s="2760"/>
      <c r="C36" s="2760"/>
      <c r="D36" s="2760"/>
      <c r="E36" s="2760"/>
      <c r="F36" s="2760"/>
      <c r="G36" s="2760"/>
      <c r="H36" s="2760"/>
      <c r="I36" s="2760"/>
      <c r="J36" s="2760"/>
      <c r="K36" s="2760"/>
      <c r="L36" s="2760"/>
      <c r="M36" s="2760"/>
      <c r="N36" s="2760"/>
      <c r="O36" s="2760"/>
      <c r="P36" s="2760"/>
      <c r="Q36" s="2760"/>
      <c r="R36" s="2760"/>
      <c r="S36" s="2760"/>
      <c r="T36" s="2760"/>
      <c r="U36" s="2760"/>
      <c r="V36" s="2760"/>
      <c r="W36" s="2760"/>
      <c r="X36" s="2760"/>
      <c r="Y36" s="2760"/>
      <c r="Z36" s="2760"/>
      <c r="AA36" s="2760"/>
      <c r="AB36" s="2760"/>
      <c r="AC36" s="2760"/>
      <c r="AD36" s="2760"/>
      <c r="AE36" s="2760"/>
      <c r="AF36" s="2760"/>
      <c r="AG36" s="2760"/>
      <c r="AH36" s="2760"/>
      <c r="AI36" s="2760"/>
      <c r="AJ36" s="2760"/>
      <c r="AK36" s="2760"/>
      <c r="AL36" s="2760"/>
      <c r="AM36" s="2760"/>
      <c r="AN36" s="2760"/>
      <c r="AO36" s="2760"/>
      <c r="AP36" s="2760"/>
      <c r="AQ36" s="2760"/>
      <c r="AR36" s="2760"/>
      <c r="AS36" s="2760"/>
      <c r="AT36" s="2760"/>
      <c r="AU36" s="2760"/>
    </row>
    <row r="37" spans="1:47" s="26" customFormat="1" ht="15" customHeight="1">
      <c r="A37" s="2737" t="s">
        <v>306</v>
      </c>
      <c r="B37" s="2737"/>
      <c r="C37" s="2737"/>
      <c r="D37" s="2737"/>
      <c r="E37" s="2737"/>
      <c r="F37" s="2737"/>
      <c r="G37" s="2737"/>
      <c r="H37" s="2737"/>
      <c r="I37" s="2737"/>
      <c r="J37" s="2737"/>
      <c r="K37" s="2737"/>
      <c r="L37" s="2737"/>
      <c r="M37" s="2737"/>
      <c r="N37" s="2737"/>
      <c r="O37" s="2737"/>
      <c r="P37" s="2737"/>
      <c r="Q37" s="2737"/>
      <c r="R37" s="2737"/>
      <c r="S37" s="2737"/>
      <c r="T37" s="2737"/>
      <c r="U37" s="2737"/>
      <c r="V37" s="2737"/>
      <c r="W37" s="2737"/>
      <c r="X37" s="2737"/>
      <c r="Y37" s="2737"/>
      <c r="Z37" s="2737"/>
      <c r="AA37" s="2737"/>
      <c r="AB37" s="2737"/>
      <c r="AC37" s="2737"/>
      <c r="AD37" s="2737"/>
      <c r="AE37" s="2737"/>
      <c r="AF37" s="2737"/>
      <c r="AG37" s="2737"/>
      <c r="AH37" s="2737"/>
      <c r="AI37" s="2737"/>
      <c r="AJ37" s="2737"/>
      <c r="AK37" s="2737"/>
      <c r="AL37" s="2737"/>
      <c r="AM37" s="2737"/>
      <c r="AN37" s="2737"/>
      <c r="AO37" s="2737"/>
      <c r="AP37" s="2737"/>
      <c r="AQ37" s="2737"/>
      <c r="AR37" s="2737"/>
      <c r="AS37" s="2737"/>
      <c r="AT37" s="2737"/>
      <c r="AU37" s="2737"/>
    </row>
    <row r="38" spans="1:47" ht="15" customHeight="1">
      <c r="A38" s="2737"/>
      <c r="B38" s="2737"/>
      <c r="C38" s="2737"/>
      <c r="D38" s="2737"/>
      <c r="E38" s="2737"/>
      <c r="F38" s="2737"/>
      <c r="G38" s="2737"/>
      <c r="H38" s="2737"/>
      <c r="I38" s="2737"/>
      <c r="J38" s="2737"/>
      <c r="K38" s="2737"/>
      <c r="L38" s="2737"/>
      <c r="M38" s="2737"/>
      <c r="N38" s="2737"/>
      <c r="O38" s="2737"/>
      <c r="P38" s="2737"/>
      <c r="Q38" s="2737"/>
      <c r="R38" s="2737"/>
      <c r="S38" s="2737"/>
      <c r="T38" s="2737"/>
      <c r="U38" s="2737"/>
      <c r="V38" s="2737"/>
      <c r="W38" s="2737"/>
      <c r="X38" s="2737"/>
      <c r="Y38" s="2737"/>
      <c r="Z38" s="2737"/>
      <c r="AA38" s="2737"/>
      <c r="AB38" s="2737"/>
      <c r="AC38" s="2737"/>
      <c r="AD38" s="2737"/>
      <c r="AE38" s="2737"/>
      <c r="AF38" s="2737"/>
      <c r="AG38" s="2737"/>
      <c r="AH38" s="2737"/>
      <c r="AI38" s="2737"/>
      <c r="AJ38" s="2737"/>
      <c r="AK38" s="2737"/>
      <c r="AL38" s="2737"/>
      <c r="AM38" s="2737"/>
      <c r="AN38" s="2737"/>
      <c r="AO38" s="2737"/>
      <c r="AP38" s="2737"/>
      <c r="AQ38" s="2737"/>
      <c r="AR38" s="2737"/>
      <c r="AS38" s="2737"/>
      <c r="AT38" s="2737"/>
      <c r="AU38" s="2737"/>
    </row>
  </sheetData>
  <sheetProtection algorithmName="SHA-512" hashValue="ilHe7SbX78tp9gSTH03cR0fVUg7z/dfXEdn15ltS3+63kbDkrrm1kAkk6xthmE3kY52auwqfqErg2pumER/vmg==" saltValue="tu5w8fzPKKK5GtfcA8KxOg==" spinCount="100000" sheet="1" formatCells="0" formatColumns="0" formatRows="0"/>
  <mergeCells count="69">
    <mergeCell ref="A37:AU38"/>
    <mergeCell ref="A26:N26"/>
    <mergeCell ref="O26:P26"/>
    <mergeCell ref="Q26:U26"/>
    <mergeCell ref="V26:AP26"/>
    <mergeCell ref="AQ26:AU26"/>
    <mergeCell ref="B28:J28"/>
    <mergeCell ref="B30:H30"/>
    <mergeCell ref="I30:AT30"/>
    <mergeCell ref="A34:AU34"/>
    <mergeCell ref="A35:AU35"/>
    <mergeCell ref="A36:AU36"/>
    <mergeCell ref="K28:R28"/>
    <mergeCell ref="AQ24:AU24"/>
    <mergeCell ref="A25:N25"/>
    <mergeCell ref="O25:P25"/>
    <mergeCell ref="Q25:U25"/>
    <mergeCell ref="V25:AB25"/>
    <mergeCell ref="AC25:AI25"/>
    <mergeCell ref="AJ25:AP25"/>
    <mergeCell ref="AQ25:AU25"/>
    <mergeCell ref="A24:N24"/>
    <mergeCell ref="O24:P24"/>
    <mergeCell ref="Q24:U24"/>
    <mergeCell ref="V24:AB24"/>
    <mergeCell ref="AC24:AI24"/>
    <mergeCell ref="AJ24:AP24"/>
    <mergeCell ref="A21:P23"/>
    <mergeCell ref="Q21:U23"/>
    <mergeCell ref="V21:AP21"/>
    <mergeCell ref="AQ21:AU23"/>
    <mergeCell ref="V22:AP22"/>
    <mergeCell ref="V23:AB23"/>
    <mergeCell ref="AC23:AI23"/>
    <mergeCell ref="AJ23:AP23"/>
    <mergeCell ref="A16:Z16"/>
    <mergeCell ref="AA16:AC16"/>
    <mergeCell ref="AD16:AH16"/>
    <mergeCell ref="AI16:AO16"/>
    <mergeCell ref="AP16:AR16"/>
    <mergeCell ref="I18:T19"/>
    <mergeCell ref="U18:AB19"/>
    <mergeCell ref="AC18:AF19"/>
    <mergeCell ref="AN18:AQ19"/>
    <mergeCell ref="AR18:AT19"/>
    <mergeCell ref="AA15:AC15"/>
    <mergeCell ref="AD15:AH15"/>
    <mergeCell ref="AI15:AO15"/>
    <mergeCell ref="AP15:AR15"/>
    <mergeCell ref="A14:Z14"/>
    <mergeCell ref="AA14:AC14"/>
    <mergeCell ref="AD14:AH14"/>
    <mergeCell ref="AI14:AO14"/>
    <mergeCell ref="AP14:AR14"/>
    <mergeCell ref="A15:Z15"/>
    <mergeCell ref="AE7:AI7"/>
    <mergeCell ref="AJ7:AS7"/>
    <mergeCell ref="A1:F5"/>
    <mergeCell ref="G1:AU3"/>
    <mergeCell ref="G4:AC4"/>
    <mergeCell ref="AD4:AU4"/>
    <mergeCell ref="G5:AU5"/>
    <mergeCell ref="AH8:AS8"/>
    <mergeCell ref="A11:AU11"/>
    <mergeCell ref="A13:Z13"/>
    <mergeCell ref="AA13:AC13"/>
    <mergeCell ref="AD13:AH13"/>
    <mergeCell ref="AI13:AO13"/>
    <mergeCell ref="AP13:AR13"/>
  </mergeCells>
  <printOptions horizontalCentered="1"/>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 57-41 Torre 8 Piso 8 CEMSA - CP: 1113111            
Pbx: 3779555  - Información: Línea 195     
www.umv.gov.co111311&amp;C&amp;6Página 1 de 1</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045C6992784E44A946816902A9C7317" ma:contentTypeVersion="10" ma:contentTypeDescription="Crear nuevo documento." ma:contentTypeScope="" ma:versionID="3eb49ddd5eb00ff36a878766bdaa3015">
  <xsd:schema xmlns:xsd="http://www.w3.org/2001/XMLSchema" xmlns:xs="http://www.w3.org/2001/XMLSchema" xmlns:p="http://schemas.microsoft.com/office/2006/metadata/properties" xmlns:ns3="20c269dd-c2b5-4cdb-aa8f-e285951f6cb5" xmlns:ns4="d22afc73-d0db-43d7-a776-bc22eeb663af" targetNamespace="http://schemas.microsoft.com/office/2006/metadata/properties" ma:root="true" ma:fieldsID="d9d99fc17b20f6b6844e570415595f12" ns3:_="" ns4:_="">
    <xsd:import namespace="20c269dd-c2b5-4cdb-aa8f-e285951f6cb5"/>
    <xsd:import namespace="d22afc73-d0db-43d7-a776-bc22eeb663af"/>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c269dd-c2b5-4cdb-aa8f-e285951f6cb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2afc73-d0db-43d7-a776-bc22eeb663a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940B61E-6AA9-417C-8929-295811377444}">
  <ds:schemaRefs>
    <ds:schemaRef ds:uri="http://schemas.microsoft.com/sharepoint/v3/contenttype/forms"/>
  </ds:schemaRefs>
</ds:datastoreItem>
</file>

<file path=customXml/itemProps2.xml><?xml version="1.0" encoding="utf-8"?>
<ds:datastoreItem xmlns:ds="http://schemas.openxmlformats.org/officeDocument/2006/customXml" ds:itemID="{480AB3CE-678C-4671-B4EC-819D7B755429}">
  <ds:schemaRefs>
    <ds:schemaRef ds:uri="http://purl.org/dc/terms/"/>
    <ds:schemaRef ds:uri="http://purl.org/dc/dcmitype/"/>
    <ds:schemaRef ds:uri="http://schemas.microsoft.com/office/2006/documentManagement/types"/>
    <ds:schemaRef ds:uri="http://www.w3.org/XML/1998/namespace"/>
    <ds:schemaRef ds:uri="d22afc73-d0db-43d7-a776-bc22eeb663af"/>
    <ds:schemaRef ds:uri="http://schemas.microsoft.com/office/infopath/2007/PartnerControls"/>
    <ds:schemaRef ds:uri="http://purl.org/dc/elements/1.1/"/>
    <ds:schemaRef ds:uri="http://schemas.openxmlformats.org/package/2006/metadata/core-properties"/>
    <ds:schemaRef ds:uri="20c269dd-c2b5-4cdb-aa8f-e285951f6cb5"/>
    <ds:schemaRef ds:uri="http://schemas.microsoft.com/office/2006/metadata/properties"/>
  </ds:schemaRefs>
</ds:datastoreItem>
</file>

<file path=customXml/itemProps3.xml><?xml version="1.0" encoding="utf-8"?>
<ds:datastoreItem xmlns:ds="http://schemas.openxmlformats.org/officeDocument/2006/customXml" ds:itemID="{3F151BB1-1A08-49FA-ADE5-D961B86F2E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c269dd-c2b5-4cdb-aa8f-e285951f6cb5"/>
    <ds:schemaRef ds:uri="d22afc73-d0db-43d7-a776-bc22eeb663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18</vt:i4>
      </vt:variant>
    </vt:vector>
  </HeadingPairs>
  <TitlesOfParts>
    <vt:vector size="36" baseType="lpstr">
      <vt:lpstr>1. Encabezado</vt:lpstr>
      <vt:lpstr>RESUMEN BG</vt:lpstr>
      <vt:lpstr>Gradacion </vt:lpstr>
      <vt:lpstr>Lavado tamiz N°200 </vt:lpstr>
      <vt:lpstr>5. Limites M1</vt:lpstr>
      <vt:lpstr>7. E.A. M1</vt:lpstr>
      <vt:lpstr>TERRONES DE ARCILLA (2)</vt:lpstr>
      <vt:lpstr>CF - IF </vt:lpstr>
      <vt:lpstr>ANGULARIDAD</vt:lpstr>
      <vt:lpstr>Microdeval </vt:lpstr>
      <vt:lpstr>10% De Finos (2)</vt:lpstr>
      <vt:lpstr>Desgaste</vt:lpstr>
      <vt:lpstr>Solidez</vt:lpstr>
      <vt:lpstr>INV 222-13 </vt:lpstr>
      <vt:lpstr>INV 223-13 </vt:lpstr>
      <vt:lpstr>PROCTOR</vt:lpstr>
      <vt:lpstr> CBR 1</vt:lpstr>
      <vt:lpstr> CBR (2)</vt:lpstr>
      <vt:lpstr>' CBR (2)'!Área_de_impresión</vt:lpstr>
      <vt:lpstr>' CBR 1'!Área_de_impresión</vt:lpstr>
      <vt:lpstr>'1. Encabezado'!Área_de_impresión</vt:lpstr>
      <vt:lpstr>'10% De Finos (2)'!Área_de_impresión</vt:lpstr>
      <vt:lpstr>'5. Limites M1'!Área_de_impresión</vt:lpstr>
      <vt:lpstr>'7. E.A. M1'!Área_de_impresión</vt:lpstr>
      <vt:lpstr>ANGULARIDAD!Área_de_impresión</vt:lpstr>
      <vt:lpstr>'CF - IF '!Área_de_impresión</vt:lpstr>
      <vt:lpstr>Desgaste!Área_de_impresión</vt:lpstr>
      <vt:lpstr>'Gradacion '!Área_de_impresión</vt:lpstr>
      <vt:lpstr>'INV 222-13 '!Área_de_impresión</vt:lpstr>
      <vt:lpstr>'INV 223-13 '!Área_de_impresión</vt:lpstr>
      <vt:lpstr>'Lavado tamiz N°200 '!Área_de_impresión</vt:lpstr>
      <vt:lpstr>'Microdeval '!Área_de_impresión</vt:lpstr>
      <vt:lpstr>PROCTOR!Área_de_impresión</vt:lpstr>
      <vt:lpstr>'RESUMEN BG'!Área_de_impresión</vt:lpstr>
      <vt:lpstr>Solidez!Área_de_impresión</vt:lpstr>
      <vt:lpstr>'TERRONES DE ARCILLA (2)'!Área_de_impresión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Sonia Gaviria</dc:creator>
  <cp:lastModifiedBy>Juan Hernando Lizarazo Jara</cp:lastModifiedBy>
  <cp:lastPrinted>2022-09-07T19:29:22Z</cp:lastPrinted>
  <dcterms:created xsi:type="dcterms:W3CDTF">2015-07-10T04:28:05Z</dcterms:created>
  <dcterms:modified xsi:type="dcterms:W3CDTF">2023-08-09T20:25:05Z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0x010100A045C6992784E44A946816902A9C7317</vt:lpwstr>
  </property>
</Properties>
</file>