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5/a Enero/Riesgos 2025/"/>
    </mc:Choice>
  </mc:AlternateContent>
  <xr:revisionPtr revIDLastSave="0" documentId="13_ncr:1_{9C0545BD-05E9-4405-B0A7-F27C53566B16}" xr6:coauthVersionLast="47" xr6:coauthVersionMax="47" xr10:uidLastSave="{00000000-0000-0000-0000-000000000000}"/>
  <bookViews>
    <workbookView xWindow="-120" yWindow="-120" windowWidth="20730" windowHeight="11040" tabRatio="933" activeTab="3" xr2:uid="{00000000-000D-0000-FFFF-FFFF00000000}"/>
  </bookViews>
  <sheets>
    <sheet name="Intructivo control cambi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3" r:id="rId7"/>
    <sheet name="Impacto Corrupción " sheetId="22" r:id="rId8"/>
    <sheet name="Riesgos de Seguridad " sheetId="34" r:id="rId9"/>
    <sheet name="Riesgos de LA FT " sheetId="35" r:id="rId10"/>
    <sheet name="Impacto LA-FT" sheetId="36" r:id="rId11"/>
    <sheet name="Tabla Impacto" sheetId="13" r:id="rId12"/>
    <sheet name="Tabla probabilidad" sheetId="12" r:id="rId13"/>
    <sheet name="Clasificación de riesgos" sheetId="23" r:id="rId14"/>
    <sheet name="Amenazas" sheetId="28" r:id="rId15"/>
    <sheet name="Ejemplos de riesgos" sheetId="26" r:id="rId16"/>
    <sheet name="Tabla Valoración controles" sheetId="15" r:id="rId17"/>
    <sheet name="Hoja1" sheetId="11" state="hidden" r:id="rId18"/>
  </sheets>
  <externalReferences>
    <externalReference r:id="rId19"/>
    <externalReference r:id="rId20"/>
  </externalReferences>
  <definedNames>
    <definedName name="_xlnm.Print_Area" localSheetId="7">'Impacto Corrupción '!$A$1:$G$27</definedName>
    <definedName name="_xlnm.Print_Area" localSheetId="6">'Riesgos de Corrupción'!$A$1:$AU$76</definedName>
    <definedName name="_xlnm.Print_Area" localSheetId="3">'Riesgos de Gestión'!$A$1:$AU$76</definedName>
    <definedName name="_xlnm.Print_Area" localSheetId="9">'Riesgos de LA FT '!$A$1:$AU$76</definedName>
    <definedName name="_xlnm.Print_Area" localSheetId="8">'Riesgos de Seguridad '!$A$1:$AX$76</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9">'Riesgos de LA FT '!$1:$8</definedName>
    <definedName name="_xlnm.Print_Titles" localSheetId="8">'Riesgos de Seguridad '!$1:$8</definedName>
  </definedNames>
  <calcPr calcId="191029"/>
  <pivotCaches>
    <pivotCache cacheId="0"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1" l="1"/>
  <c r="F13" i="1"/>
  <c r="F19" i="35" l="1"/>
  <c r="F25" i="35"/>
  <c r="F31" i="35"/>
  <c r="F37" i="35"/>
  <c r="F43" i="35"/>
  <c r="F49" i="35"/>
  <c r="F55" i="35"/>
  <c r="F61" i="35"/>
  <c r="F67" i="35"/>
  <c r="F13" i="35"/>
  <c r="F43" i="34"/>
  <c r="F19" i="34"/>
  <c r="F25" i="34"/>
  <c r="F31" i="34"/>
  <c r="F37" i="34"/>
  <c r="F13" i="34"/>
  <c r="F19" i="33"/>
  <c r="F25" i="33"/>
  <c r="F31" i="33"/>
  <c r="F37" i="33"/>
  <c r="F43" i="33"/>
  <c r="F49" i="33"/>
  <c r="F55" i="33"/>
  <c r="F61" i="33"/>
  <c r="F67" i="33"/>
  <c r="F13" i="33"/>
  <c r="F25" i="1"/>
  <c r="F31" i="1"/>
  <c r="F37" i="1"/>
  <c r="F43" i="1"/>
  <c r="F49" i="1"/>
  <c r="F55" i="1"/>
  <c r="F61" i="1"/>
  <c r="F67" i="1"/>
  <c r="R13" i="35"/>
  <c r="S13" i="35" s="1"/>
  <c r="R19" i="35"/>
  <c r="R25" i="35"/>
  <c r="R31" i="35"/>
  <c r="R37" i="35"/>
  <c r="R43" i="35"/>
  <c r="R49" i="35"/>
  <c r="R55" i="35"/>
  <c r="R61" i="35"/>
  <c r="R67" i="35"/>
  <c r="W88" i="33"/>
  <c r="W87" i="33"/>
  <c r="AD72" i="35" l="1"/>
  <c r="AA72" i="35"/>
  <c r="Z72" i="35"/>
  <c r="AD71" i="35"/>
  <c r="AA71" i="35"/>
  <c r="AL72" i="35" s="1"/>
  <c r="AK72" i="35" s="1"/>
  <c r="Z71" i="35"/>
  <c r="AD70" i="35"/>
  <c r="AA70" i="35"/>
  <c r="AL71" i="35" s="1"/>
  <c r="AK71" i="35" s="1"/>
  <c r="Z70" i="35"/>
  <c r="AD69" i="35"/>
  <c r="AA69" i="35"/>
  <c r="Z69" i="35"/>
  <c r="AD68" i="35"/>
  <c r="AA68" i="35"/>
  <c r="AH69" i="35" s="1"/>
  <c r="Z68" i="35"/>
  <c r="AD67" i="35"/>
  <c r="AA67" i="35"/>
  <c r="AL68" i="35" s="1"/>
  <c r="AK68" i="35" s="1"/>
  <c r="Z67" i="35"/>
  <c r="O67" i="35"/>
  <c r="AD66" i="35"/>
  <c r="AA66" i="35"/>
  <c r="Z66" i="35"/>
  <c r="AD65" i="35"/>
  <c r="AA65" i="35"/>
  <c r="AL66" i="35" s="1"/>
  <c r="AK66" i="35" s="1"/>
  <c r="Z65" i="35"/>
  <c r="AD64" i="35"/>
  <c r="AA64" i="35"/>
  <c r="Z64" i="35"/>
  <c r="AD63" i="35"/>
  <c r="AA63" i="35"/>
  <c r="AH64" i="35" s="1"/>
  <c r="Z63" i="35"/>
  <c r="AD62" i="35"/>
  <c r="AA62" i="35"/>
  <c r="AH63" i="35" s="1"/>
  <c r="Z62" i="35"/>
  <c r="AD61" i="35"/>
  <c r="AA61" i="35"/>
  <c r="Z61" i="35"/>
  <c r="O61" i="35"/>
  <c r="P61" i="35" s="1"/>
  <c r="AD60" i="35"/>
  <c r="AA60" i="35"/>
  <c r="Z60" i="35"/>
  <c r="AD59" i="35"/>
  <c r="AA59" i="35"/>
  <c r="Z59" i="35"/>
  <c r="AD58" i="35"/>
  <c r="AA58" i="35"/>
  <c r="Z58" i="35"/>
  <c r="AD57" i="35"/>
  <c r="AA57" i="35"/>
  <c r="AH58" i="35" s="1"/>
  <c r="Z57" i="35"/>
  <c r="AD56" i="35"/>
  <c r="AA56" i="35"/>
  <c r="Z56" i="35"/>
  <c r="AD55" i="35"/>
  <c r="AA55" i="35"/>
  <c r="Z55" i="35"/>
  <c r="O55" i="35"/>
  <c r="P55" i="35" s="1"/>
  <c r="AD54" i="35"/>
  <c r="AA54" i="35"/>
  <c r="Z54" i="35"/>
  <c r="AD53" i="35"/>
  <c r="AA53" i="35"/>
  <c r="Z53" i="35"/>
  <c r="AD52" i="35"/>
  <c r="AA52" i="35"/>
  <c r="AH53" i="35" s="1"/>
  <c r="Z52" i="35"/>
  <c r="AD51" i="35"/>
  <c r="AA51" i="35"/>
  <c r="AH52" i="35" s="1"/>
  <c r="Z51" i="35"/>
  <c r="AD50" i="35"/>
  <c r="AA50" i="35"/>
  <c r="Z50" i="35"/>
  <c r="AD49" i="35"/>
  <c r="AA49" i="35"/>
  <c r="Z49" i="35"/>
  <c r="O49" i="35"/>
  <c r="P49" i="35" s="1"/>
  <c r="AD48" i="35"/>
  <c r="AA48" i="35"/>
  <c r="Z48" i="35"/>
  <c r="AD47" i="35"/>
  <c r="AA47" i="35"/>
  <c r="Z47" i="35"/>
  <c r="AD46" i="35"/>
  <c r="AA46" i="35"/>
  <c r="AH47" i="35" s="1"/>
  <c r="Z46" i="35"/>
  <c r="AD45" i="35"/>
  <c r="AA45" i="35"/>
  <c r="Z45" i="35"/>
  <c r="AD44" i="35"/>
  <c r="AA44" i="35"/>
  <c r="Z44" i="35"/>
  <c r="AD43" i="35"/>
  <c r="AA43" i="35"/>
  <c r="Z43" i="35"/>
  <c r="O43" i="35"/>
  <c r="P43" i="35" s="1"/>
  <c r="AD42" i="35"/>
  <c r="AA42" i="35"/>
  <c r="Z42" i="35"/>
  <c r="AD41" i="35"/>
  <c r="AA41" i="35"/>
  <c r="AH42" i="35" s="1"/>
  <c r="Z41" i="35"/>
  <c r="AD40" i="35"/>
  <c r="AA40" i="35"/>
  <c r="Z40" i="35"/>
  <c r="AD39" i="35"/>
  <c r="AA39" i="35"/>
  <c r="Z39" i="35"/>
  <c r="AD38" i="35"/>
  <c r="AA38" i="35"/>
  <c r="Z38" i="35"/>
  <c r="AD37" i="35"/>
  <c r="AA37" i="35"/>
  <c r="Z37" i="35"/>
  <c r="O37" i="35"/>
  <c r="P37" i="35" s="1"/>
  <c r="AD36" i="35"/>
  <c r="AA36" i="35"/>
  <c r="Z36" i="35"/>
  <c r="AD35" i="35"/>
  <c r="AA35" i="35"/>
  <c r="Z35" i="35"/>
  <c r="AD34" i="35"/>
  <c r="AA34" i="35"/>
  <c r="Z34" i="35"/>
  <c r="AD33" i="35"/>
  <c r="AA33" i="35"/>
  <c r="Z33" i="35"/>
  <c r="AD32" i="35"/>
  <c r="AA32" i="35"/>
  <c r="AL33" i="35" s="1"/>
  <c r="AK33" i="35" s="1"/>
  <c r="Z32" i="35"/>
  <c r="AD31" i="35"/>
  <c r="AA31" i="35"/>
  <c r="Z31" i="35"/>
  <c r="O31" i="35"/>
  <c r="P31" i="35" s="1"/>
  <c r="AD30" i="35"/>
  <c r="AA30" i="35"/>
  <c r="Z30" i="35"/>
  <c r="AD29" i="35"/>
  <c r="AA29" i="35"/>
  <c r="Z29" i="35"/>
  <c r="AD28" i="35"/>
  <c r="AA28" i="35"/>
  <c r="AL29" i="35" s="1"/>
  <c r="AK29" i="35" s="1"/>
  <c r="Z28" i="35"/>
  <c r="AD27" i="35"/>
  <c r="AA27" i="35"/>
  <c r="Z27" i="35"/>
  <c r="AD26" i="35"/>
  <c r="AA26" i="35"/>
  <c r="Z26" i="35"/>
  <c r="AD25" i="35"/>
  <c r="AA25" i="35"/>
  <c r="AL25" i="35" s="1"/>
  <c r="AK25" i="35" s="1"/>
  <c r="Z25" i="35"/>
  <c r="O25" i="35"/>
  <c r="P25" i="35" s="1"/>
  <c r="AD24" i="35"/>
  <c r="AA24" i="35"/>
  <c r="Z24" i="35"/>
  <c r="AD23" i="35"/>
  <c r="AA23" i="35"/>
  <c r="AL24" i="35" s="1"/>
  <c r="AK24" i="35" s="1"/>
  <c r="Z23" i="35"/>
  <c r="AD22" i="35"/>
  <c r="AA22" i="35"/>
  <c r="Z22" i="35"/>
  <c r="AD21" i="35"/>
  <c r="AA21" i="35"/>
  <c r="Z21" i="35"/>
  <c r="AD20" i="35"/>
  <c r="AA20" i="35"/>
  <c r="Z20" i="35"/>
  <c r="AD19" i="35"/>
  <c r="AA19" i="35"/>
  <c r="Z19" i="35"/>
  <c r="O19" i="35"/>
  <c r="AD18" i="35"/>
  <c r="AA18" i="35"/>
  <c r="Z18" i="35"/>
  <c r="AD17" i="35"/>
  <c r="AA17" i="35"/>
  <c r="AL18" i="35" s="1"/>
  <c r="AK18" i="35" s="1"/>
  <c r="Z17" i="35"/>
  <c r="AD16" i="35"/>
  <c r="AA16" i="35"/>
  <c r="Z16" i="35"/>
  <c r="AD15" i="35"/>
  <c r="AA15" i="35"/>
  <c r="Z15" i="35"/>
  <c r="AD14" i="35"/>
  <c r="AA14" i="35"/>
  <c r="AH15" i="35" s="1"/>
  <c r="Z14" i="35"/>
  <c r="AD13" i="35"/>
  <c r="AA13" i="35"/>
  <c r="AL14" i="35" s="1"/>
  <c r="AK14" i="35" s="1"/>
  <c r="Z13" i="35"/>
  <c r="O13" i="35"/>
  <c r="P13" i="35" s="1"/>
  <c r="AG72" i="34"/>
  <c r="AD72" i="34"/>
  <c r="AC72" i="34"/>
  <c r="U72" i="34"/>
  <c r="AG71" i="34"/>
  <c r="AD71" i="34"/>
  <c r="AC71" i="34"/>
  <c r="U71" i="34"/>
  <c r="AG70" i="34"/>
  <c r="AD70" i="34"/>
  <c r="AC70" i="34"/>
  <c r="U70" i="34"/>
  <c r="AG69" i="34"/>
  <c r="AD69" i="34"/>
  <c r="AC69" i="34"/>
  <c r="U69" i="34"/>
  <c r="AG68" i="34"/>
  <c r="AD68" i="34"/>
  <c r="AC68" i="34"/>
  <c r="U68" i="34"/>
  <c r="AG67" i="34"/>
  <c r="AD67" i="34"/>
  <c r="AC67" i="34"/>
  <c r="R67" i="34"/>
  <c r="AG66" i="34"/>
  <c r="AD66" i="34"/>
  <c r="AC66" i="34"/>
  <c r="U66" i="34"/>
  <c r="AG65" i="34"/>
  <c r="AD65" i="34"/>
  <c r="AC65" i="34"/>
  <c r="U65" i="34"/>
  <c r="AG64" i="34"/>
  <c r="AD64" i="34"/>
  <c r="AC64" i="34"/>
  <c r="U64" i="34"/>
  <c r="AG63" i="34"/>
  <c r="AD63" i="34"/>
  <c r="AC63" i="34"/>
  <c r="U63" i="34"/>
  <c r="AG62" i="34"/>
  <c r="AD62" i="34"/>
  <c r="AC62" i="34"/>
  <c r="U62" i="34"/>
  <c r="AG61" i="34"/>
  <c r="AD61" i="34"/>
  <c r="AC61" i="34"/>
  <c r="R61" i="34"/>
  <c r="S61" i="34" s="1"/>
  <c r="AG60" i="34"/>
  <c r="AD60" i="34"/>
  <c r="AC60" i="34"/>
  <c r="U60" i="34"/>
  <c r="AG59" i="34"/>
  <c r="AD59" i="34"/>
  <c r="AC59" i="34"/>
  <c r="U59" i="34"/>
  <c r="AG58" i="34"/>
  <c r="AD58" i="34"/>
  <c r="AC58" i="34"/>
  <c r="U58" i="34"/>
  <c r="AG57" i="34"/>
  <c r="AD57" i="34"/>
  <c r="AC57" i="34"/>
  <c r="U57" i="34"/>
  <c r="AG56" i="34"/>
  <c r="AD56" i="34"/>
  <c r="AC56" i="34"/>
  <c r="U56" i="34"/>
  <c r="AG55" i="34"/>
  <c r="AD55" i="34"/>
  <c r="AC55" i="34"/>
  <c r="R55" i="34"/>
  <c r="S55" i="34" s="1"/>
  <c r="AG54" i="34"/>
  <c r="AD54" i="34"/>
  <c r="AC54" i="34"/>
  <c r="U54" i="34"/>
  <c r="AG53" i="34"/>
  <c r="AD53" i="34"/>
  <c r="AC53" i="34"/>
  <c r="U53" i="34"/>
  <c r="AG52" i="34"/>
  <c r="AD52" i="34"/>
  <c r="AK53" i="34" s="1"/>
  <c r="AL53" i="34" s="1"/>
  <c r="AC52" i="34"/>
  <c r="U52" i="34"/>
  <c r="AG51" i="34"/>
  <c r="AD51" i="34"/>
  <c r="AC51" i="34"/>
  <c r="U51" i="34"/>
  <c r="AG50" i="34"/>
  <c r="AD50" i="34"/>
  <c r="AC50" i="34"/>
  <c r="U50" i="34"/>
  <c r="AG49" i="34"/>
  <c r="AD49" i="34"/>
  <c r="AK49" i="34" s="1"/>
  <c r="AL49" i="34" s="1"/>
  <c r="AC49" i="34"/>
  <c r="R49" i="34"/>
  <c r="S49" i="34" s="1"/>
  <c r="AG48" i="34"/>
  <c r="AD48" i="34"/>
  <c r="AC48" i="34"/>
  <c r="U48" i="34"/>
  <c r="AG47" i="34"/>
  <c r="AD47" i="34"/>
  <c r="AC47" i="34"/>
  <c r="U47" i="34"/>
  <c r="AG46" i="34"/>
  <c r="AD46" i="34"/>
  <c r="AC46" i="34"/>
  <c r="U46" i="34"/>
  <c r="AG45" i="34"/>
  <c r="AD45" i="34"/>
  <c r="AC45" i="34"/>
  <c r="U45" i="34"/>
  <c r="AG44" i="34"/>
  <c r="AD44" i="34"/>
  <c r="AC44" i="34"/>
  <c r="U44" i="34"/>
  <c r="AG43" i="34"/>
  <c r="AD43" i="34"/>
  <c r="AK43" i="34" s="1"/>
  <c r="AC43" i="34"/>
  <c r="R43" i="34"/>
  <c r="S43" i="34" s="1"/>
  <c r="AG42" i="34"/>
  <c r="AD42" i="34"/>
  <c r="AC42" i="34"/>
  <c r="U42" i="34"/>
  <c r="AG41" i="34"/>
  <c r="AD41" i="34"/>
  <c r="AC41" i="34"/>
  <c r="U41" i="34"/>
  <c r="AG40" i="34"/>
  <c r="AD40" i="34"/>
  <c r="AC40" i="34"/>
  <c r="U40" i="34"/>
  <c r="AG39" i="34"/>
  <c r="AD39" i="34"/>
  <c r="AC39" i="34"/>
  <c r="U39" i="34"/>
  <c r="AG38" i="34"/>
  <c r="AD38" i="34"/>
  <c r="AC38" i="34"/>
  <c r="U38" i="34"/>
  <c r="AG37" i="34"/>
  <c r="AD37" i="34"/>
  <c r="AK37" i="34" s="1"/>
  <c r="AC37" i="34"/>
  <c r="R37" i="34"/>
  <c r="S37" i="34" s="1"/>
  <c r="AG36" i="34"/>
  <c r="AD36" i="34"/>
  <c r="AC36" i="34"/>
  <c r="U36" i="34"/>
  <c r="AG35" i="34"/>
  <c r="AD35" i="34"/>
  <c r="AC35" i="34"/>
  <c r="U35" i="34"/>
  <c r="AG34" i="34"/>
  <c r="AD34" i="34"/>
  <c r="AC34" i="34"/>
  <c r="U34" i="34"/>
  <c r="AG33" i="34"/>
  <c r="AD33" i="34"/>
  <c r="AC33" i="34"/>
  <c r="U33" i="34"/>
  <c r="AG32" i="34"/>
  <c r="AD32" i="34"/>
  <c r="AC32" i="34"/>
  <c r="U32" i="34"/>
  <c r="AG31" i="34"/>
  <c r="AD31" i="34"/>
  <c r="AC31" i="34"/>
  <c r="R31" i="34"/>
  <c r="AG30" i="34"/>
  <c r="AD30" i="34"/>
  <c r="AC30" i="34"/>
  <c r="U30" i="34"/>
  <c r="AG29" i="34"/>
  <c r="AD29" i="34"/>
  <c r="AC29" i="34"/>
  <c r="U29" i="34"/>
  <c r="AG28" i="34"/>
  <c r="AD28" i="34"/>
  <c r="AC28" i="34"/>
  <c r="U28" i="34"/>
  <c r="AG27" i="34"/>
  <c r="AD27" i="34"/>
  <c r="AC27" i="34"/>
  <c r="U27" i="34"/>
  <c r="AG26" i="34"/>
  <c r="AD26" i="34"/>
  <c r="AC26" i="34"/>
  <c r="U26" i="34"/>
  <c r="AG25" i="34"/>
  <c r="AD25" i="34"/>
  <c r="AO25" i="34" s="1"/>
  <c r="AN25" i="34" s="1"/>
  <c r="AC25" i="34"/>
  <c r="R25" i="34"/>
  <c r="S25" i="34" s="1"/>
  <c r="AG24" i="34"/>
  <c r="AD24" i="34"/>
  <c r="AC24" i="34"/>
  <c r="U24" i="34"/>
  <c r="AG23" i="34"/>
  <c r="AD23" i="34"/>
  <c r="AC23" i="34"/>
  <c r="U23" i="34"/>
  <c r="AG22" i="34"/>
  <c r="AD22" i="34"/>
  <c r="AC22" i="34"/>
  <c r="U22" i="34"/>
  <c r="AG21" i="34"/>
  <c r="AD21" i="34"/>
  <c r="AC21" i="34"/>
  <c r="U21" i="34"/>
  <c r="AG20" i="34"/>
  <c r="AD20" i="34"/>
  <c r="AC20" i="34"/>
  <c r="U20" i="34"/>
  <c r="AG19" i="34"/>
  <c r="AD19" i="34"/>
  <c r="AC19" i="34"/>
  <c r="R19" i="34"/>
  <c r="AG18" i="34"/>
  <c r="AD18" i="34"/>
  <c r="AC18" i="34"/>
  <c r="U18" i="34"/>
  <c r="AG17" i="34"/>
  <c r="AD17" i="34"/>
  <c r="AC17" i="34"/>
  <c r="U17" i="34"/>
  <c r="AG16" i="34"/>
  <c r="AD16" i="34"/>
  <c r="AC16" i="34"/>
  <c r="U16" i="34"/>
  <c r="AG15" i="34"/>
  <c r="AD15" i="34"/>
  <c r="AC15" i="34"/>
  <c r="U15" i="34"/>
  <c r="AG14" i="34"/>
  <c r="AD14" i="34"/>
  <c r="AC14" i="34"/>
  <c r="U14" i="34"/>
  <c r="AG13" i="34"/>
  <c r="AD13" i="34"/>
  <c r="AC13" i="34"/>
  <c r="R13" i="34"/>
  <c r="AD72" i="33"/>
  <c r="AA72" i="33"/>
  <c r="Z72" i="33"/>
  <c r="R72" i="33"/>
  <c r="AD71" i="33"/>
  <c r="AA71" i="33"/>
  <c r="Z71" i="33"/>
  <c r="R71" i="33"/>
  <c r="AD70" i="33"/>
  <c r="AA70" i="33"/>
  <c r="AL71" i="33" s="1"/>
  <c r="AK71" i="33" s="1"/>
  <c r="Z70" i="33"/>
  <c r="R70" i="33"/>
  <c r="AD69" i="33"/>
  <c r="AA69" i="33"/>
  <c r="Z69" i="33"/>
  <c r="R69" i="33"/>
  <c r="AD68" i="33"/>
  <c r="AA68" i="33"/>
  <c r="Z68" i="33"/>
  <c r="R68" i="33"/>
  <c r="AD67" i="33"/>
  <c r="AA67" i="33"/>
  <c r="Z67" i="33"/>
  <c r="O67" i="33"/>
  <c r="AD66" i="33"/>
  <c r="AA66" i="33"/>
  <c r="Z66" i="33"/>
  <c r="R66" i="33"/>
  <c r="AD65" i="33"/>
  <c r="AA65" i="33"/>
  <c r="Z65" i="33"/>
  <c r="R65" i="33"/>
  <c r="AD64" i="33"/>
  <c r="AA64" i="33"/>
  <c r="AH65" i="33" s="1"/>
  <c r="AJ65" i="33" s="1"/>
  <c r="Z64" i="33"/>
  <c r="R64" i="33"/>
  <c r="AD63" i="33"/>
  <c r="AA63" i="33"/>
  <c r="Z63" i="33"/>
  <c r="R63" i="33"/>
  <c r="AD62" i="33"/>
  <c r="AA62" i="33"/>
  <c r="AH63" i="33" s="1"/>
  <c r="Z62" i="33"/>
  <c r="R62" i="33"/>
  <c r="AD61" i="33"/>
  <c r="AA61" i="33"/>
  <c r="AH61" i="33" s="1"/>
  <c r="AJ61" i="33" s="1"/>
  <c r="Z61" i="33"/>
  <c r="O61" i="33"/>
  <c r="P61" i="33" s="1"/>
  <c r="AD60" i="33"/>
  <c r="AA60" i="33"/>
  <c r="Z60" i="33"/>
  <c r="R60" i="33"/>
  <c r="AD59" i="33"/>
  <c r="AA59" i="33"/>
  <c r="Z59" i="33"/>
  <c r="R59" i="33"/>
  <c r="AD58" i="33"/>
  <c r="AA58" i="33"/>
  <c r="Z58" i="33"/>
  <c r="R58" i="33"/>
  <c r="AD57" i="33"/>
  <c r="AA57" i="33"/>
  <c r="Z57" i="33"/>
  <c r="R57" i="33"/>
  <c r="AD56" i="33"/>
  <c r="AA56" i="33"/>
  <c r="Z56" i="33"/>
  <c r="R56" i="33"/>
  <c r="AD55" i="33"/>
  <c r="AA55" i="33"/>
  <c r="AH55" i="33" s="1"/>
  <c r="Z55" i="33"/>
  <c r="O55" i="33"/>
  <c r="P55" i="33" s="1"/>
  <c r="AD54" i="33"/>
  <c r="AA54" i="33"/>
  <c r="Z54" i="33"/>
  <c r="R54" i="33"/>
  <c r="AD53" i="33"/>
  <c r="AA53" i="33"/>
  <c r="Z53" i="33"/>
  <c r="R53" i="33"/>
  <c r="AD52" i="33"/>
  <c r="AA52" i="33"/>
  <c r="Z52" i="33"/>
  <c r="R52" i="33"/>
  <c r="AD51" i="33"/>
  <c r="AA51" i="33"/>
  <c r="Z51" i="33"/>
  <c r="R51" i="33"/>
  <c r="AD50" i="33"/>
  <c r="AA50" i="33"/>
  <c r="Z50" i="33"/>
  <c r="R50" i="33"/>
  <c r="AD49" i="33"/>
  <c r="AA49" i="33"/>
  <c r="Z49" i="33"/>
  <c r="O49" i="33"/>
  <c r="P49" i="33" s="1"/>
  <c r="AD48" i="33"/>
  <c r="AA48" i="33"/>
  <c r="Z48" i="33"/>
  <c r="R48" i="33"/>
  <c r="AD47" i="33"/>
  <c r="AA47" i="33"/>
  <c r="Z47" i="33"/>
  <c r="R47" i="33"/>
  <c r="AD46" i="33"/>
  <c r="AA46" i="33"/>
  <c r="Z46" i="33"/>
  <c r="R46" i="33"/>
  <c r="AD45" i="33"/>
  <c r="AA45" i="33"/>
  <c r="Z45" i="33"/>
  <c r="R45" i="33"/>
  <c r="AD44" i="33"/>
  <c r="AA44" i="33"/>
  <c r="Z44" i="33"/>
  <c r="R44" i="33"/>
  <c r="AD43" i="33"/>
  <c r="AA43" i="33"/>
  <c r="Z43" i="33"/>
  <c r="O43" i="33"/>
  <c r="P43" i="33" s="1"/>
  <c r="AD42" i="33"/>
  <c r="AA42" i="33"/>
  <c r="Z42" i="33"/>
  <c r="R42" i="33"/>
  <c r="AD41" i="33"/>
  <c r="AA41" i="33"/>
  <c r="Z41" i="33"/>
  <c r="R41" i="33"/>
  <c r="AD40" i="33"/>
  <c r="AA40" i="33"/>
  <c r="Z40" i="33"/>
  <c r="R40" i="33"/>
  <c r="AD39" i="33"/>
  <c r="AA39" i="33"/>
  <c r="Z39" i="33"/>
  <c r="R39" i="33"/>
  <c r="AD38" i="33"/>
  <c r="AA38" i="33"/>
  <c r="Z38" i="33"/>
  <c r="R38" i="33"/>
  <c r="AD37" i="33"/>
  <c r="AA37" i="33"/>
  <c r="Z37" i="33"/>
  <c r="O37" i="33"/>
  <c r="P37" i="33" s="1"/>
  <c r="AD36" i="33"/>
  <c r="AA36" i="33"/>
  <c r="Z36" i="33"/>
  <c r="R36" i="33"/>
  <c r="AD35" i="33"/>
  <c r="AA35" i="33"/>
  <c r="Z35" i="33"/>
  <c r="R35" i="33"/>
  <c r="AD34" i="33"/>
  <c r="AA34" i="33"/>
  <c r="AL35" i="33" s="1"/>
  <c r="AK35" i="33" s="1"/>
  <c r="Z34" i="33"/>
  <c r="R34" i="33"/>
  <c r="AD33" i="33"/>
  <c r="AA33" i="33"/>
  <c r="Z33" i="33"/>
  <c r="R33" i="33"/>
  <c r="AD32" i="33"/>
  <c r="AA32" i="33"/>
  <c r="AH33" i="33" s="1"/>
  <c r="Z32" i="33"/>
  <c r="R32" i="33"/>
  <c r="AD31" i="33"/>
  <c r="AA31" i="33"/>
  <c r="AH31" i="33" s="1"/>
  <c r="AJ31" i="33" s="1"/>
  <c r="Z31" i="33"/>
  <c r="O31" i="33"/>
  <c r="AD30" i="33"/>
  <c r="AA30" i="33"/>
  <c r="Z30" i="33"/>
  <c r="R30" i="33"/>
  <c r="AD29" i="33"/>
  <c r="AA29" i="33"/>
  <c r="Z29" i="33"/>
  <c r="R29" i="33"/>
  <c r="AD28" i="33"/>
  <c r="AA28" i="33"/>
  <c r="AL29" i="33" s="1"/>
  <c r="AK29" i="33" s="1"/>
  <c r="Z28" i="33"/>
  <c r="R28" i="33"/>
  <c r="AD27" i="33"/>
  <c r="AA27" i="33"/>
  <c r="Z27" i="33"/>
  <c r="R27" i="33"/>
  <c r="AD26" i="33"/>
  <c r="AA26" i="33"/>
  <c r="Z26" i="33"/>
  <c r="R26" i="33"/>
  <c r="AD25" i="33"/>
  <c r="AA25" i="33"/>
  <c r="AL25" i="33" s="1"/>
  <c r="AK25" i="33" s="1"/>
  <c r="Z25" i="33"/>
  <c r="O25" i="33"/>
  <c r="P25" i="33" s="1"/>
  <c r="AD24" i="33"/>
  <c r="AA24" i="33"/>
  <c r="Z24" i="33"/>
  <c r="R24" i="33"/>
  <c r="AD23" i="33"/>
  <c r="AA23" i="33"/>
  <c r="Z23" i="33"/>
  <c r="R23" i="33"/>
  <c r="AD22" i="33"/>
  <c r="AA22" i="33"/>
  <c r="Z22" i="33"/>
  <c r="R22" i="33"/>
  <c r="AD21" i="33"/>
  <c r="AA21" i="33"/>
  <c r="Z21" i="33"/>
  <c r="R21" i="33"/>
  <c r="AD20" i="33"/>
  <c r="AA20" i="33"/>
  <c r="Z20" i="33"/>
  <c r="R20" i="33"/>
  <c r="AD19" i="33"/>
  <c r="AA19" i="33"/>
  <c r="Z19" i="33"/>
  <c r="O19" i="33"/>
  <c r="AD18" i="33"/>
  <c r="AA18" i="33"/>
  <c r="Z18" i="33"/>
  <c r="R18" i="33"/>
  <c r="AD17" i="33"/>
  <c r="AA17" i="33"/>
  <c r="Z17" i="33"/>
  <c r="R17" i="33"/>
  <c r="AD16" i="33"/>
  <c r="AA16" i="33"/>
  <c r="Z16" i="33"/>
  <c r="R16" i="33"/>
  <c r="AD15" i="33"/>
  <c r="AA15" i="33"/>
  <c r="Z15" i="33"/>
  <c r="R15" i="33"/>
  <c r="AD14" i="33"/>
  <c r="AA14" i="33"/>
  <c r="Z14" i="33"/>
  <c r="R14" i="33"/>
  <c r="AD13" i="33"/>
  <c r="AA13" i="33"/>
  <c r="Z13" i="33"/>
  <c r="O13" i="33"/>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19" i="1"/>
  <c r="Z20" i="1"/>
  <c r="Z21" i="1"/>
  <c r="Z22" i="1"/>
  <c r="Z23" i="1"/>
  <c r="Z24" i="1"/>
  <c r="Z25" i="1"/>
  <c r="Z26" i="1"/>
  <c r="Z27" i="1"/>
  <c r="Z28" i="1"/>
  <c r="Z13" i="1"/>
  <c r="AH41" i="35" l="1"/>
  <c r="AL46" i="35"/>
  <c r="AK46" i="35" s="1"/>
  <c r="AL51" i="35"/>
  <c r="AK51" i="35" s="1"/>
  <c r="AH16" i="35"/>
  <c r="AJ16" i="35" s="1"/>
  <c r="AL57" i="35"/>
  <c r="AK57" i="35" s="1"/>
  <c r="AL60" i="33"/>
  <c r="AK60" i="33" s="1"/>
  <c r="AO62" i="34"/>
  <c r="AN62" i="34" s="1"/>
  <c r="AL22" i="35"/>
  <c r="AK22" i="35" s="1"/>
  <c r="AH27" i="35"/>
  <c r="AL60" i="35"/>
  <c r="AK60" i="35" s="1"/>
  <c r="AL18" i="33"/>
  <c r="AK18" i="33" s="1"/>
  <c r="AH44" i="33"/>
  <c r="AJ44" i="33" s="1"/>
  <c r="AH30" i="35"/>
  <c r="AL35" i="35"/>
  <c r="AK35" i="35" s="1"/>
  <c r="AL40" i="35"/>
  <c r="AK40" i="35" s="1"/>
  <c r="AL45" i="35"/>
  <c r="AK45" i="35" s="1"/>
  <c r="AL46" i="33"/>
  <c r="AK46" i="33" s="1"/>
  <c r="AK59" i="34"/>
  <c r="AM59" i="34" s="1"/>
  <c r="AL17" i="35"/>
  <c r="AK17" i="35" s="1"/>
  <c r="AH17" i="35"/>
  <c r="AJ17" i="35" s="1"/>
  <c r="AH18" i="35"/>
  <c r="AL20" i="35"/>
  <c r="AK20" i="35" s="1"/>
  <c r="AL19" i="35"/>
  <c r="AK19" i="35" s="1"/>
  <c r="AL21" i="35"/>
  <c r="AK21" i="35" s="1"/>
  <c r="AH21" i="35"/>
  <c r="AJ21" i="35" s="1"/>
  <c r="AH22" i="35"/>
  <c r="AL28" i="35"/>
  <c r="AK28" i="35" s="1"/>
  <c r="AH28" i="35"/>
  <c r="AJ28" i="35" s="1"/>
  <c r="AH31" i="35"/>
  <c r="AH32" i="35"/>
  <c r="AJ32" i="35" s="1"/>
  <c r="AL31" i="35"/>
  <c r="AK31" i="35" s="1"/>
  <c r="AH33" i="35"/>
  <c r="AJ33" i="35" s="1"/>
  <c r="AL36" i="35"/>
  <c r="AK36" i="35" s="1"/>
  <c r="AH36" i="35"/>
  <c r="AJ36" i="35" s="1"/>
  <c r="AH38" i="35"/>
  <c r="AJ38" i="35" s="1"/>
  <c r="AL37" i="35"/>
  <c r="AK37" i="35" s="1"/>
  <c r="AL39" i="35"/>
  <c r="AK39" i="35" s="1"/>
  <c r="AH39" i="35"/>
  <c r="AJ39" i="35" s="1"/>
  <c r="AL44" i="35"/>
  <c r="AK44" i="35" s="1"/>
  <c r="AH44" i="35"/>
  <c r="AL43" i="35"/>
  <c r="AK43" i="35" s="1"/>
  <c r="AH43" i="35"/>
  <c r="AL48" i="35"/>
  <c r="AK48" i="35" s="1"/>
  <c r="AH48" i="35"/>
  <c r="AL50" i="35"/>
  <c r="AK50" i="35" s="1"/>
  <c r="AH50" i="35"/>
  <c r="AJ50" i="35" s="1"/>
  <c r="AL49" i="35"/>
  <c r="AK49" i="35" s="1"/>
  <c r="AH49" i="35"/>
  <c r="AL54" i="35"/>
  <c r="AK54" i="35" s="1"/>
  <c r="AH54" i="35"/>
  <c r="AJ54" i="35" s="1"/>
  <c r="AL56" i="35"/>
  <c r="AK56" i="35" s="1"/>
  <c r="AH55" i="35"/>
  <c r="AL59" i="35"/>
  <c r="AK59" i="35" s="1"/>
  <c r="AH59" i="35"/>
  <c r="AH60" i="35"/>
  <c r="AI60" i="35" s="1"/>
  <c r="AM60" i="35" s="1"/>
  <c r="AL62" i="35"/>
  <c r="AK62" i="35" s="1"/>
  <c r="AH61" i="35"/>
  <c r="AJ61" i="35" s="1"/>
  <c r="AL65" i="35"/>
  <c r="AK65" i="35" s="1"/>
  <c r="AH65" i="35"/>
  <c r="AJ65" i="35" s="1"/>
  <c r="AH66" i="35"/>
  <c r="AJ66" i="35" s="1"/>
  <c r="AL70" i="35"/>
  <c r="AK70" i="35" s="1"/>
  <c r="AH70" i="35"/>
  <c r="AH13" i="35"/>
  <c r="AJ13" i="35" s="1"/>
  <c r="AI33" i="35"/>
  <c r="AM33" i="35" s="1"/>
  <c r="AJ41" i="35"/>
  <c r="AI41" i="35"/>
  <c r="AJ52" i="35"/>
  <c r="AI52" i="35"/>
  <c r="AI66" i="35"/>
  <c r="AM66" i="35" s="1"/>
  <c r="AJ58" i="35"/>
  <c r="AI58" i="35"/>
  <c r="AJ69" i="35"/>
  <c r="AI69" i="35"/>
  <c r="AI27" i="35"/>
  <c r="AJ27" i="35"/>
  <c r="AJ18" i="35"/>
  <c r="AI18" i="35"/>
  <c r="AM18" i="35" s="1"/>
  <c r="AI16" i="35"/>
  <c r="AI22" i="35"/>
  <c r="AJ22" i="35"/>
  <c r="AI38" i="35"/>
  <c r="AJ47" i="35"/>
  <c r="AI47" i="35"/>
  <c r="AJ31" i="35"/>
  <c r="AI31" i="35"/>
  <c r="AI15" i="35"/>
  <c r="AJ15" i="35"/>
  <c r="AJ63" i="35"/>
  <c r="AI63" i="35"/>
  <c r="AJ30" i="35"/>
  <c r="AI30" i="35"/>
  <c r="AJ60" i="35"/>
  <c r="AI64" i="35"/>
  <c r="AJ64" i="35"/>
  <c r="AI42" i="35"/>
  <c r="AJ42" i="35"/>
  <c r="AI53" i="35"/>
  <c r="AJ53" i="35"/>
  <c r="AL41" i="35"/>
  <c r="AK41" i="35" s="1"/>
  <c r="P19" i="35"/>
  <c r="AH19" i="35"/>
  <c r="AH23" i="35"/>
  <c r="AL32" i="35"/>
  <c r="AK32" i="35" s="1"/>
  <c r="AH34" i="35"/>
  <c r="AI39" i="35"/>
  <c r="AM39" i="35" s="1"/>
  <c r="AH45" i="35"/>
  <c r="AL47" i="35"/>
  <c r="AK47" i="35" s="1"/>
  <c r="AI54" i="35"/>
  <c r="AM54" i="35" s="1"/>
  <c r="AH56" i="35"/>
  <c r="AL58" i="35"/>
  <c r="AK58" i="35" s="1"/>
  <c r="AI61" i="35"/>
  <c r="AI65" i="35"/>
  <c r="AM65" i="35" s="1"/>
  <c r="P67" i="35"/>
  <c r="AH67" i="35"/>
  <c r="AL69" i="35"/>
  <c r="AK69" i="35" s="1"/>
  <c r="AH71" i="35"/>
  <c r="AL26" i="35"/>
  <c r="AK26" i="35" s="1"/>
  <c r="AH14" i="35"/>
  <c r="AH25" i="35"/>
  <c r="AL27" i="35"/>
  <c r="AK27" i="35" s="1"/>
  <c r="AL38" i="35"/>
  <c r="AK38" i="35" s="1"/>
  <c r="AH40" i="35"/>
  <c r="AL42" i="35"/>
  <c r="AK42" i="35" s="1"/>
  <c r="AH51" i="35"/>
  <c r="AL53" i="35"/>
  <c r="AK53" i="35" s="1"/>
  <c r="AH62" i="35"/>
  <c r="AL64" i="35"/>
  <c r="AK64" i="35" s="1"/>
  <c r="AL63" i="35"/>
  <c r="AK63" i="35" s="1"/>
  <c r="AH29" i="35"/>
  <c r="AH20" i="35"/>
  <c r="AH24" i="35"/>
  <c r="AH35" i="35"/>
  <c r="AH46" i="35"/>
  <c r="AL55" i="35"/>
  <c r="AK55" i="35" s="1"/>
  <c r="AH57" i="35"/>
  <c r="AH68" i="35"/>
  <c r="AH72" i="35"/>
  <c r="AL15" i="35"/>
  <c r="AK15" i="35" s="1"/>
  <c r="AL30" i="35"/>
  <c r="AK30" i="35" s="1"/>
  <c r="AL52" i="35"/>
  <c r="AK52" i="35" s="1"/>
  <c r="AL16" i="35"/>
  <c r="AK16" i="35" s="1"/>
  <c r="AH26" i="35"/>
  <c r="AH37" i="35"/>
  <c r="AL61" i="35"/>
  <c r="AK61" i="35" s="1"/>
  <c r="AL67" i="35"/>
  <c r="AK67" i="35" s="1"/>
  <c r="AL23" i="35"/>
  <c r="AK23" i="35" s="1"/>
  <c r="AL34" i="35"/>
  <c r="AK34" i="35" s="1"/>
  <c r="AI21" i="35"/>
  <c r="AI36" i="35"/>
  <c r="AM36" i="35" s="1"/>
  <c r="AO68" i="34"/>
  <c r="AN68" i="34" s="1"/>
  <c r="AO70" i="34"/>
  <c r="AN70" i="34" s="1"/>
  <c r="AO46" i="34"/>
  <c r="AN46" i="34" s="1"/>
  <c r="AO48" i="34"/>
  <c r="AN48" i="34" s="1"/>
  <c r="AK27" i="34"/>
  <c r="AL27" i="34" s="1"/>
  <c r="AH53" i="33"/>
  <c r="AI53" i="33" s="1"/>
  <c r="AH54" i="33"/>
  <c r="AJ54" i="33" s="1"/>
  <c r="AL55" i="33"/>
  <c r="AK55" i="33" s="1"/>
  <c r="AL66" i="33"/>
  <c r="AK66" i="33" s="1"/>
  <c r="AL31" i="33"/>
  <c r="AK31" i="33" s="1"/>
  <c r="AH38" i="33"/>
  <c r="AJ38" i="33" s="1"/>
  <c r="AH39" i="33"/>
  <c r="AJ39" i="33" s="1"/>
  <c r="AH42" i="33"/>
  <c r="AJ42" i="33" s="1"/>
  <c r="AL68" i="33"/>
  <c r="AK68" i="33" s="1"/>
  <c r="AH70" i="33"/>
  <c r="AI70" i="33" s="1"/>
  <c r="AL72" i="33"/>
  <c r="AK72" i="33" s="1"/>
  <c r="AJ55" i="33"/>
  <c r="AI55" i="33"/>
  <c r="AL22" i="33"/>
  <c r="AK22" i="33" s="1"/>
  <c r="AL37" i="33"/>
  <c r="AK37" i="33" s="1"/>
  <c r="AL57" i="33"/>
  <c r="AK57" i="33" s="1"/>
  <c r="AL24" i="33"/>
  <c r="AK24" i="33" s="1"/>
  <c r="AH72" i="33"/>
  <c r="AJ72" i="33" s="1"/>
  <c r="AL28" i="33"/>
  <c r="AK28" i="33" s="1"/>
  <c r="AH14" i="33"/>
  <c r="AI14" i="33" s="1"/>
  <c r="AL17" i="33"/>
  <c r="AK17" i="33" s="1"/>
  <c r="AL39" i="33"/>
  <c r="AK39" i="33" s="1"/>
  <c r="AL50" i="33"/>
  <c r="AK50" i="33" s="1"/>
  <c r="AH56" i="33"/>
  <c r="AJ56" i="33" s="1"/>
  <c r="AL63" i="33"/>
  <c r="AK63" i="33" s="1"/>
  <c r="AH50" i="33"/>
  <c r="AJ50" i="33" s="1"/>
  <c r="AH36" i="33"/>
  <c r="AJ36" i="33" s="1"/>
  <c r="AL45" i="33"/>
  <c r="AK45" i="33" s="1"/>
  <c r="AH49" i="33"/>
  <c r="AH46" i="33"/>
  <c r="AJ46" i="33" s="1"/>
  <c r="AL49" i="33"/>
  <c r="AK49" i="33" s="1"/>
  <c r="AL20" i="33"/>
  <c r="AK20" i="33" s="1"/>
  <c r="AL62" i="33"/>
  <c r="AK62" i="33" s="1"/>
  <c r="AH69" i="33"/>
  <c r="AJ69" i="33" s="1"/>
  <c r="AO64" i="34"/>
  <c r="AN64" i="34" s="1"/>
  <c r="AO66" i="34"/>
  <c r="AN66" i="34" s="1"/>
  <c r="AO37" i="34"/>
  <c r="AN37" i="34" s="1"/>
  <c r="AO16" i="34"/>
  <c r="AN16" i="34" s="1"/>
  <c r="AO18" i="34"/>
  <c r="AN18" i="34" s="1"/>
  <c r="AO33" i="34"/>
  <c r="AN33" i="34" s="1"/>
  <c r="AO35" i="34"/>
  <c r="AN35" i="34" s="1"/>
  <c r="AO20" i="34"/>
  <c r="AN20" i="34" s="1"/>
  <c r="AO22" i="34"/>
  <c r="AN22" i="34" s="1"/>
  <c r="AO54" i="34"/>
  <c r="AN54" i="34" s="1"/>
  <c r="AK69" i="34"/>
  <c r="AL69" i="34" s="1"/>
  <c r="AO43" i="34"/>
  <c r="AN43" i="34" s="1"/>
  <c r="AO28" i="34"/>
  <c r="AN28" i="34" s="1"/>
  <c r="AO50" i="34"/>
  <c r="AN50" i="34" s="1"/>
  <c r="AO72" i="34"/>
  <c r="AN72" i="34" s="1"/>
  <c r="AO30" i="34"/>
  <c r="AN30" i="34" s="1"/>
  <c r="AK60" i="34"/>
  <c r="AL60" i="34" s="1"/>
  <c r="AK32" i="34"/>
  <c r="AO45" i="34"/>
  <c r="AN45" i="34" s="1"/>
  <c r="AK52" i="34"/>
  <c r="AM52" i="34" s="1"/>
  <c r="AO49" i="34"/>
  <c r="AN49" i="34" s="1"/>
  <c r="AP49" i="34" s="1"/>
  <c r="AK39" i="34"/>
  <c r="AL39" i="34" s="1"/>
  <c r="AO42" i="34"/>
  <c r="AN42" i="34" s="1"/>
  <c r="AO56" i="34"/>
  <c r="AN56" i="34" s="1"/>
  <c r="AK58" i="34"/>
  <c r="AL58" i="34" s="1"/>
  <c r="AO27" i="34"/>
  <c r="AN27" i="34" s="1"/>
  <c r="AP27" i="34" s="1"/>
  <c r="AK31" i="34"/>
  <c r="AM31" i="34" s="1"/>
  <c r="AK50" i="34"/>
  <c r="AM50" i="34" s="1"/>
  <c r="AO53" i="34"/>
  <c r="AN53" i="34" s="1"/>
  <c r="AP53" i="34" s="1"/>
  <c r="AK55" i="34"/>
  <c r="AO60" i="34"/>
  <c r="AN60" i="34" s="1"/>
  <c r="AK15" i="34"/>
  <c r="AL15" i="34" s="1"/>
  <c r="AO17" i="34"/>
  <c r="AN17" i="34" s="1"/>
  <c r="AO24" i="34"/>
  <c r="AN24" i="34" s="1"/>
  <c r="AK28" i="34"/>
  <c r="AL28" i="34" s="1"/>
  <c r="AO34" i="34"/>
  <c r="AN34" i="34" s="1"/>
  <c r="AK44" i="34"/>
  <c r="AK47" i="34"/>
  <c r="AM47" i="34" s="1"/>
  <c r="AK54" i="34"/>
  <c r="AM54" i="34" s="1"/>
  <c r="AO63" i="34"/>
  <c r="AN63" i="34" s="1"/>
  <c r="AO65" i="34"/>
  <c r="AN65" i="34" s="1"/>
  <c r="AO31" i="34"/>
  <c r="AN31" i="34" s="1"/>
  <c r="AO39" i="34"/>
  <c r="AN39" i="34" s="1"/>
  <c r="AK16" i="34"/>
  <c r="AL16" i="34" s="1"/>
  <c r="AK21" i="34"/>
  <c r="AM21" i="34" s="1"/>
  <c r="AO23" i="34"/>
  <c r="AN23" i="34" s="1"/>
  <c r="AO26" i="34"/>
  <c r="AN26" i="34" s="1"/>
  <c r="AK33" i="34"/>
  <c r="AK36" i="34"/>
  <c r="AL36" i="34" s="1"/>
  <c r="AK41" i="34"/>
  <c r="AM41" i="34" s="1"/>
  <c r="AK48" i="34"/>
  <c r="AL59" i="34"/>
  <c r="AK64" i="34"/>
  <c r="AL64" i="34" s="1"/>
  <c r="AO71" i="34"/>
  <c r="AN71" i="34" s="1"/>
  <c r="AK38" i="34"/>
  <c r="AL38" i="34" s="1"/>
  <c r="AO57" i="34"/>
  <c r="AN57" i="34" s="1"/>
  <c r="AO59" i="34"/>
  <c r="AN59" i="34" s="1"/>
  <c r="AK22" i="34"/>
  <c r="AK42" i="34"/>
  <c r="AL42" i="34" s="1"/>
  <c r="AK70" i="34"/>
  <c r="S13" i="34"/>
  <c r="AK13" i="34" s="1"/>
  <c r="AM43" i="34"/>
  <c r="AL43" i="34"/>
  <c r="AL54" i="34"/>
  <c r="AM36" i="34"/>
  <c r="AM69" i="34"/>
  <c r="AL37" i="34"/>
  <c r="AM37" i="34"/>
  <c r="AM32" i="34"/>
  <c r="AL32" i="34"/>
  <c r="AO40" i="34"/>
  <c r="AN40" i="34" s="1"/>
  <c r="AO41" i="34"/>
  <c r="AN41" i="34" s="1"/>
  <c r="AM49" i="34"/>
  <c r="S19" i="34"/>
  <c r="AK19" i="34"/>
  <c r="AO21" i="34"/>
  <c r="AN21" i="34" s="1"/>
  <c r="AK23" i="34"/>
  <c r="AO32" i="34"/>
  <c r="AN32" i="34" s="1"/>
  <c r="AK34" i="34"/>
  <c r="AO36" i="34"/>
  <c r="AN36" i="34" s="1"/>
  <c r="AK45" i="34"/>
  <c r="AO47" i="34"/>
  <c r="AN47" i="34" s="1"/>
  <c r="AK56" i="34"/>
  <c r="AO58" i="34"/>
  <c r="AN58" i="34" s="1"/>
  <c r="S67" i="34"/>
  <c r="AK67" i="34"/>
  <c r="AO69" i="34"/>
  <c r="AN69" i="34" s="1"/>
  <c r="AK71" i="34"/>
  <c r="AK14" i="34"/>
  <c r="AK18" i="34"/>
  <c r="AK25" i="34"/>
  <c r="AK29" i="34"/>
  <c r="AO38" i="34"/>
  <c r="AN38" i="34" s="1"/>
  <c r="AK40" i="34"/>
  <c r="AK51" i="34"/>
  <c r="AK62" i="34"/>
  <c r="AK66" i="34"/>
  <c r="AO29" i="34"/>
  <c r="AN29" i="34" s="1"/>
  <c r="AO51" i="34"/>
  <c r="AN51" i="34" s="1"/>
  <c r="AO15" i="34"/>
  <c r="AN15" i="34" s="1"/>
  <c r="AK61" i="34"/>
  <c r="AK20" i="34"/>
  <c r="AK24" i="34"/>
  <c r="S31" i="34"/>
  <c r="AK35" i="34"/>
  <c r="AO44" i="34"/>
  <c r="AN44" i="34" s="1"/>
  <c r="AK46" i="34"/>
  <c r="AO55" i="34"/>
  <c r="AN55" i="34" s="1"/>
  <c r="AK57" i="34"/>
  <c r="AK68" i="34"/>
  <c r="AK72" i="34"/>
  <c r="AO14" i="34"/>
  <c r="AN14" i="34" s="1"/>
  <c r="AK17" i="34"/>
  <c r="AO52" i="34"/>
  <c r="AN52" i="34" s="1"/>
  <c r="AM53" i="34"/>
  <c r="AK26" i="34"/>
  <c r="AK30" i="34"/>
  <c r="AO61" i="34"/>
  <c r="AN61" i="34" s="1"/>
  <c r="AK63" i="34"/>
  <c r="AK65" i="34"/>
  <c r="AO19" i="34"/>
  <c r="AN19" i="34" s="1"/>
  <c r="AO67" i="34"/>
  <c r="AN67" i="34" s="1"/>
  <c r="P13" i="33"/>
  <c r="AH13" i="33" s="1"/>
  <c r="AI13" i="33" s="1"/>
  <c r="AH18" i="33"/>
  <c r="AI18" i="33" s="1"/>
  <c r="AH28" i="33"/>
  <c r="AJ28" i="33" s="1"/>
  <c r="AH35" i="33"/>
  <c r="AJ35" i="33" s="1"/>
  <c r="AH21" i="33"/>
  <c r="AJ21" i="33" s="1"/>
  <c r="AH41" i="33"/>
  <c r="AJ41" i="33" s="1"/>
  <c r="AH48" i="33"/>
  <c r="AI48" i="33" s="1"/>
  <c r="AH52" i="33"/>
  <c r="AI52" i="33" s="1"/>
  <c r="AL54" i="33"/>
  <c r="AK54" i="33" s="1"/>
  <c r="AH59" i="33"/>
  <c r="AJ59" i="33" s="1"/>
  <c r="AL65" i="33"/>
  <c r="AK65" i="33" s="1"/>
  <c r="AL23" i="33"/>
  <c r="AK23" i="33" s="1"/>
  <c r="AH66" i="33"/>
  <c r="AI66" i="33" s="1"/>
  <c r="AH16" i="33"/>
  <c r="AI16" i="33" s="1"/>
  <c r="AH20" i="33"/>
  <c r="AJ20" i="33" s="1"/>
  <c r="AH30" i="33"/>
  <c r="AJ30" i="33" s="1"/>
  <c r="AH60" i="33"/>
  <c r="AL14" i="33"/>
  <c r="AK14" i="33" s="1"/>
  <c r="AH32" i="33"/>
  <c r="AJ32" i="33" s="1"/>
  <c r="AL40" i="33"/>
  <c r="AK40" i="33" s="1"/>
  <c r="AH47" i="33"/>
  <c r="AJ47" i="33" s="1"/>
  <c r="AL51" i="33"/>
  <c r="AK51" i="33" s="1"/>
  <c r="AL56" i="33"/>
  <c r="AK56" i="33" s="1"/>
  <c r="AH58" i="33"/>
  <c r="AJ58" i="33" s="1"/>
  <c r="AH64" i="33"/>
  <c r="AI64" i="33" s="1"/>
  <c r="AH17" i="33"/>
  <c r="AJ17" i="33" s="1"/>
  <c r="AH24" i="33"/>
  <c r="AJ24" i="33" s="1"/>
  <c r="AH68" i="33"/>
  <c r="AJ68" i="33" s="1"/>
  <c r="AH22" i="33"/>
  <c r="AI22" i="33" s="1"/>
  <c r="AH27" i="33"/>
  <c r="AJ27" i="33" s="1"/>
  <c r="AL34" i="33"/>
  <c r="AK34" i="33" s="1"/>
  <c r="AH57" i="33"/>
  <c r="AJ57" i="33" s="1"/>
  <c r="AJ63" i="33"/>
  <c r="AI63" i="33"/>
  <c r="AJ70" i="33"/>
  <c r="AI21" i="33"/>
  <c r="AI41" i="33"/>
  <c r="AJ52" i="33"/>
  <c r="AJ33" i="33"/>
  <c r="AI33" i="33"/>
  <c r="AI69" i="33"/>
  <c r="AI32" i="33"/>
  <c r="AJ64" i="33"/>
  <c r="AI42" i="33"/>
  <c r="AL41" i="33"/>
  <c r="AK41" i="33" s="1"/>
  <c r="P19" i="33"/>
  <c r="AH19" i="33"/>
  <c r="AL21" i="33"/>
  <c r="AK21" i="33" s="1"/>
  <c r="AH23" i="33"/>
  <c r="AL32" i="33"/>
  <c r="AK32" i="33" s="1"/>
  <c r="AH34" i="33"/>
  <c r="AL36" i="33"/>
  <c r="AK36" i="33" s="1"/>
  <c r="AL43" i="33"/>
  <c r="AK43" i="33" s="1"/>
  <c r="AH45" i="33"/>
  <c r="AL47" i="33"/>
  <c r="AK47" i="33" s="1"/>
  <c r="AI50" i="33"/>
  <c r="AI54" i="33"/>
  <c r="AL58" i="33"/>
  <c r="AK58" i="33" s="1"/>
  <c r="AI61" i="33"/>
  <c r="AI65" i="33"/>
  <c r="P67" i="33"/>
  <c r="AH67" i="33"/>
  <c r="AL69" i="33"/>
  <c r="AK69" i="33" s="1"/>
  <c r="AH71" i="33"/>
  <c r="AL30" i="33"/>
  <c r="AK30" i="33" s="1"/>
  <c r="AL52" i="33"/>
  <c r="AK52" i="33" s="1"/>
  <c r="AH25" i="33"/>
  <c r="AL27" i="33"/>
  <c r="AK27" i="33" s="1"/>
  <c r="AH29" i="33"/>
  <c r="AL38" i="33"/>
  <c r="AK38" i="33" s="1"/>
  <c r="AH40" i="33"/>
  <c r="AL42" i="33"/>
  <c r="AK42" i="33" s="1"/>
  <c r="AH51" i="33"/>
  <c r="AL53" i="33"/>
  <c r="AK53" i="33" s="1"/>
  <c r="AH62" i="33"/>
  <c r="AL64" i="33"/>
  <c r="AK64" i="33" s="1"/>
  <c r="AL26" i="33"/>
  <c r="AK26" i="33" s="1"/>
  <c r="P31" i="33"/>
  <c r="AL33" i="33"/>
  <c r="AK33" i="33" s="1"/>
  <c r="AL44" i="33"/>
  <c r="AK44" i="33" s="1"/>
  <c r="AL48" i="33"/>
  <c r="AK48" i="33" s="1"/>
  <c r="AL59" i="33"/>
  <c r="AK59" i="33" s="1"/>
  <c r="AL70" i="33"/>
  <c r="AK70" i="33" s="1"/>
  <c r="AH15" i="33"/>
  <c r="AI24" i="33"/>
  <c r="AH26" i="33"/>
  <c r="AI31" i="33"/>
  <c r="AH37" i="33"/>
  <c r="AL61" i="33"/>
  <c r="AK61" i="33" s="1"/>
  <c r="AI68" i="33"/>
  <c r="AI72" i="33"/>
  <c r="AL19" i="33"/>
  <c r="AK19" i="33" s="1"/>
  <c r="AH43" i="33"/>
  <c r="AL67" i="33"/>
  <c r="AK67" i="33" s="1"/>
  <c r="AL16" i="33"/>
  <c r="AK16" i="33" s="1"/>
  <c r="AL15" i="33"/>
  <c r="AK15" i="33" s="1"/>
  <c r="O13" i="1"/>
  <c r="P13" i="1" s="1"/>
  <c r="AA13" i="1"/>
  <c r="AD13" i="1"/>
  <c r="AA14" i="1"/>
  <c r="AD14" i="1"/>
  <c r="R14" i="1"/>
  <c r="AL50" i="34" l="1"/>
  <c r="AI27" i="33"/>
  <c r="AI38" i="33"/>
  <c r="AM42" i="34"/>
  <c r="AI30" i="33"/>
  <c r="AI56" i="33"/>
  <c r="AM27" i="34"/>
  <c r="AI32" i="35"/>
  <c r="AM32" i="35" s="1"/>
  <c r="AI28" i="35"/>
  <c r="AM28" i="35" s="1"/>
  <c r="AI20" i="33"/>
  <c r="AL52" i="34"/>
  <c r="AM21" i="35"/>
  <c r="AJ53" i="33"/>
  <c r="AI44" i="33"/>
  <c r="AM58" i="34"/>
  <c r="AI50" i="35"/>
  <c r="AM50" i="35" s="1"/>
  <c r="AM18" i="33"/>
  <c r="AM60" i="34"/>
  <c r="AM39" i="34"/>
  <c r="AM22" i="35"/>
  <c r="AI17" i="35"/>
  <c r="AM17" i="35" s="1"/>
  <c r="AM31" i="35"/>
  <c r="AJ70" i="35"/>
  <c r="AI70" i="35"/>
  <c r="AM70" i="35" s="1"/>
  <c r="AJ59" i="35"/>
  <c r="AI59" i="35"/>
  <c r="AM59" i="35" s="1"/>
  <c r="AJ55" i="35"/>
  <c r="AI55" i="35"/>
  <c r="AM55" i="35" s="1"/>
  <c r="AJ49" i="35"/>
  <c r="AI49" i="35"/>
  <c r="AM49" i="35" s="1"/>
  <c r="AJ48" i="35"/>
  <c r="AI48" i="35"/>
  <c r="AM48" i="35" s="1"/>
  <c r="AJ43" i="35"/>
  <c r="AI43" i="35"/>
  <c r="AM43" i="35"/>
  <c r="AJ44" i="35"/>
  <c r="AI44" i="35"/>
  <c r="AM44" i="35" s="1"/>
  <c r="AJ14" i="33"/>
  <c r="AI13" i="35"/>
  <c r="AP37" i="34"/>
  <c r="AP50" i="34"/>
  <c r="AM31" i="33"/>
  <c r="AM66" i="33"/>
  <c r="AM20" i="33"/>
  <c r="AP16" i="34"/>
  <c r="AP43" i="34"/>
  <c r="AM15" i="35"/>
  <c r="AM69" i="35"/>
  <c r="AM41" i="35"/>
  <c r="AM27" i="35"/>
  <c r="AM52" i="35"/>
  <c r="AM58" i="35"/>
  <c r="AM24" i="33"/>
  <c r="AM68" i="33"/>
  <c r="AM63" i="33"/>
  <c r="AJ51" i="35"/>
  <c r="AI51" i="35"/>
  <c r="AM51" i="35" s="1"/>
  <c r="AJ40" i="35"/>
  <c r="AI40" i="35"/>
  <c r="AM40" i="35" s="1"/>
  <c r="AJ19" i="35"/>
  <c r="AI19" i="35"/>
  <c r="AM19" i="35" s="1"/>
  <c r="AJ72" i="35"/>
  <c r="AI72" i="35"/>
  <c r="AM72" i="35" s="1"/>
  <c r="AJ29" i="35"/>
  <c r="AI29" i="35"/>
  <c r="AM29" i="35" s="1"/>
  <c r="AM47" i="35"/>
  <c r="AJ67" i="35"/>
  <c r="AI67" i="35"/>
  <c r="AM67" i="35" s="1"/>
  <c r="AM30" i="35"/>
  <c r="AJ37" i="35"/>
  <c r="AI37" i="35"/>
  <c r="AM37" i="35" s="1"/>
  <c r="AJ68" i="35"/>
  <c r="AI68" i="35"/>
  <c r="AM68" i="35" s="1"/>
  <c r="AJ45" i="35"/>
  <c r="AI45" i="35"/>
  <c r="AM45" i="35" s="1"/>
  <c r="AM63" i="35"/>
  <c r="AJ46" i="35"/>
  <c r="AI46" i="35"/>
  <c r="AM46" i="35" s="1"/>
  <c r="AJ56" i="35"/>
  <c r="AI56" i="35"/>
  <c r="AM56" i="35" s="1"/>
  <c r="AM53" i="35"/>
  <c r="AJ24" i="35"/>
  <c r="AI24" i="35"/>
  <c r="AM24" i="35" s="1"/>
  <c r="AI23" i="35"/>
  <c r="AM23" i="35" s="1"/>
  <c r="AJ23" i="35"/>
  <c r="AM16" i="35"/>
  <c r="AJ26" i="35"/>
  <c r="AI26" i="35"/>
  <c r="AM26" i="35" s="1"/>
  <c r="AJ57" i="35"/>
  <c r="AI57" i="35"/>
  <c r="AM57" i="35" s="1"/>
  <c r="AJ25" i="35"/>
  <c r="AI25" i="35"/>
  <c r="AM25" i="35" s="1"/>
  <c r="AM61" i="35"/>
  <c r="AJ35" i="35"/>
  <c r="AI35" i="35"/>
  <c r="AM35" i="35" s="1"/>
  <c r="AJ71" i="35"/>
  <c r="AI71" i="35"/>
  <c r="AM71" i="35" s="1"/>
  <c r="AJ20" i="35"/>
  <c r="AI20" i="35"/>
  <c r="AM20" i="35" s="1"/>
  <c r="AM42" i="35"/>
  <c r="AJ62" i="35"/>
  <c r="AI62" i="35"/>
  <c r="AM62" i="35" s="1"/>
  <c r="AJ14" i="35"/>
  <c r="AI14" i="35"/>
  <c r="AM14" i="35" s="1"/>
  <c r="AJ34" i="35"/>
  <c r="AI34" i="35"/>
  <c r="AM34" i="35" s="1"/>
  <c r="AM64" i="35"/>
  <c r="AM38" i="35"/>
  <c r="AP38" i="34"/>
  <c r="AM16" i="34"/>
  <c r="AM28" i="34"/>
  <c r="AM50" i="33"/>
  <c r="AM72" i="33"/>
  <c r="AI28" i="33"/>
  <c r="AJ22" i="33"/>
  <c r="AM22" i="33"/>
  <c r="AI57" i="33"/>
  <c r="AM57" i="33" s="1"/>
  <c r="AM65" i="33"/>
  <c r="AI46" i="33"/>
  <c r="AM46" i="33" s="1"/>
  <c r="AI39" i="33"/>
  <c r="AM39" i="33" s="1"/>
  <c r="AJ66" i="33"/>
  <c r="AM55" i="33"/>
  <c r="AI47" i="33"/>
  <c r="AM47" i="33" s="1"/>
  <c r="AI35" i="33"/>
  <c r="AM35" i="33" s="1"/>
  <c r="AI36" i="33"/>
  <c r="AJ48" i="33"/>
  <c r="AM28" i="33"/>
  <c r="AJ49" i="33"/>
  <c r="AI49" i="33"/>
  <c r="AM49" i="33" s="1"/>
  <c r="AM15" i="34"/>
  <c r="AP64" i="34"/>
  <c r="AP39" i="34"/>
  <c r="AP54" i="34"/>
  <c r="AP60" i="34"/>
  <c r="AL21" i="34"/>
  <c r="AP21" i="34" s="1"/>
  <c r="AP28" i="34"/>
  <c r="AP42" i="34"/>
  <c r="AL47" i="34"/>
  <c r="AP36" i="34"/>
  <c r="AP32" i="34"/>
  <c r="AL41" i="34"/>
  <c r="AM64" i="34"/>
  <c r="AM70" i="34"/>
  <c r="AL70" i="34"/>
  <c r="AP70" i="34" s="1"/>
  <c r="AM44" i="34"/>
  <c r="AL44" i="34"/>
  <c r="AP44" i="34" s="1"/>
  <c r="AM55" i="34"/>
  <c r="AL55" i="34"/>
  <c r="AP55" i="34" s="1"/>
  <c r="AM33" i="34"/>
  <c r="AL33" i="34"/>
  <c r="AP33" i="34" s="1"/>
  <c r="AL31" i="34"/>
  <c r="AP31" i="34" s="1"/>
  <c r="AM38" i="34"/>
  <c r="AM22" i="34"/>
  <c r="AL22" i="34"/>
  <c r="AP22" i="34" s="1"/>
  <c r="AP59" i="34"/>
  <c r="AP52" i="34"/>
  <c r="AM48" i="34"/>
  <c r="AL48" i="34"/>
  <c r="AP48" i="34" s="1"/>
  <c r="AM26" i="34"/>
  <c r="AL26" i="34"/>
  <c r="AP26" i="34" s="1"/>
  <c r="AM61" i="34"/>
  <c r="AL61" i="34"/>
  <c r="AP61" i="34" s="1"/>
  <c r="AM29" i="34"/>
  <c r="AL29" i="34"/>
  <c r="AP29" i="34" s="1"/>
  <c r="AM13" i="34"/>
  <c r="AL13" i="34"/>
  <c r="AM19" i="34"/>
  <c r="AL19" i="34"/>
  <c r="AP19" i="34" s="1"/>
  <c r="AP58" i="34"/>
  <c r="AP47" i="34"/>
  <c r="AM57" i="34"/>
  <c r="AL57" i="34"/>
  <c r="AP57" i="34" s="1"/>
  <c r="AM65" i="34"/>
  <c r="AL65" i="34"/>
  <c r="AP65" i="34" s="1"/>
  <c r="AM46" i="34"/>
  <c r="AL46" i="34"/>
  <c r="AP46" i="34" s="1"/>
  <c r="AM25" i="34"/>
  <c r="AL25" i="34"/>
  <c r="AP25" i="34" s="1"/>
  <c r="AM71" i="34"/>
  <c r="AL71" i="34"/>
  <c r="AP71" i="34" s="1"/>
  <c r="AM45" i="34"/>
  <c r="AL45" i="34"/>
  <c r="AP45" i="34" s="1"/>
  <c r="AM18" i="34"/>
  <c r="AL18" i="34"/>
  <c r="AP18" i="34" s="1"/>
  <c r="AP69" i="34"/>
  <c r="AL30" i="34"/>
  <c r="AP30" i="34" s="1"/>
  <c r="AM30" i="34"/>
  <c r="AM20" i="34"/>
  <c r="AL20" i="34"/>
  <c r="AP20" i="34" s="1"/>
  <c r="AM40" i="34"/>
  <c r="AL40" i="34"/>
  <c r="AP40" i="34" s="1"/>
  <c r="AM56" i="34"/>
  <c r="AL56" i="34"/>
  <c r="AP56" i="34" s="1"/>
  <c r="AM23" i="34"/>
  <c r="AL23" i="34"/>
  <c r="AP23" i="34" s="1"/>
  <c r="AM17" i="34"/>
  <c r="AL17" i="34"/>
  <c r="AP17" i="34" s="1"/>
  <c r="AM63" i="34"/>
  <c r="AL63" i="34"/>
  <c r="AP63" i="34" s="1"/>
  <c r="AM35" i="34"/>
  <c r="AL35" i="34"/>
  <c r="AP35" i="34" s="1"/>
  <c r="AM66" i="34"/>
  <c r="AL66" i="34"/>
  <c r="AP66" i="34" s="1"/>
  <c r="AM14" i="34"/>
  <c r="AL14" i="34"/>
  <c r="AP14" i="34" s="1"/>
  <c r="AM67" i="34"/>
  <c r="AL67" i="34"/>
  <c r="AP67" i="34" s="1"/>
  <c r="AM72" i="34"/>
  <c r="AL72" i="34"/>
  <c r="AP72" i="34" s="1"/>
  <c r="AM62" i="34"/>
  <c r="AL62" i="34"/>
  <c r="AP62" i="34" s="1"/>
  <c r="AM34" i="34"/>
  <c r="AL34" i="34"/>
  <c r="AP34" i="34" s="1"/>
  <c r="AM68" i="34"/>
  <c r="AL68" i="34"/>
  <c r="AP68" i="34" s="1"/>
  <c r="AM24" i="34"/>
  <c r="AL24" i="34"/>
  <c r="AP24" i="34" s="1"/>
  <c r="AM51" i="34"/>
  <c r="AL51" i="34"/>
  <c r="AP51" i="34" s="1"/>
  <c r="AP41" i="34"/>
  <c r="AP15" i="34"/>
  <c r="AJ13" i="33"/>
  <c r="AJ16" i="33"/>
  <c r="AJ18" i="33"/>
  <c r="AM54" i="33"/>
  <c r="AM53" i="33"/>
  <c r="AM70" i="33"/>
  <c r="AM56" i="33"/>
  <c r="AM27" i="33"/>
  <c r="AJ60" i="33"/>
  <c r="AI60" i="33"/>
  <c r="AM60" i="33" s="1"/>
  <c r="AI17" i="33"/>
  <c r="AM17" i="33" s="1"/>
  <c r="AM14" i="33"/>
  <c r="AI58" i="33"/>
  <c r="AI59" i="33"/>
  <c r="AM59" i="33" s="1"/>
  <c r="AJ15" i="33"/>
  <c r="AI15" i="33"/>
  <c r="AM15" i="33" s="1"/>
  <c r="AJ29" i="33"/>
  <c r="AI29" i="33"/>
  <c r="AM29" i="33" s="1"/>
  <c r="AM32" i="33"/>
  <c r="AM30" i="33"/>
  <c r="AM48" i="33"/>
  <c r="AJ45" i="33"/>
  <c r="AI45" i="33"/>
  <c r="AM45" i="33" s="1"/>
  <c r="AJ19" i="33"/>
  <c r="AI19" i="33"/>
  <c r="AM19" i="33" s="1"/>
  <c r="AJ37" i="33"/>
  <c r="AI37" i="33"/>
  <c r="AM37" i="33" s="1"/>
  <c r="AJ62" i="33"/>
  <c r="AI62" i="33"/>
  <c r="AM62" i="33" s="1"/>
  <c r="AJ25" i="33"/>
  <c r="AI25" i="33"/>
  <c r="AM25" i="33" s="1"/>
  <c r="AM61" i="33"/>
  <c r="AM64" i="33"/>
  <c r="AM41" i="33"/>
  <c r="AM16" i="33"/>
  <c r="AM44" i="33"/>
  <c r="AJ51" i="33"/>
  <c r="AI51" i="33"/>
  <c r="AM51" i="33" s="1"/>
  <c r="AJ34" i="33"/>
  <c r="AI34" i="33"/>
  <c r="AM34" i="33" s="1"/>
  <c r="AM58" i="33"/>
  <c r="AM69" i="33"/>
  <c r="AM33" i="33"/>
  <c r="AJ67" i="33"/>
  <c r="AI67" i="33"/>
  <c r="AM67" i="33" s="1"/>
  <c r="AM38" i="33"/>
  <c r="AJ43" i="33"/>
  <c r="AI43" i="33"/>
  <c r="AM43" i="33" s="1"/>
  <c r="AJ26" i="33"/>
  <c r="AI26" i="33"/>
  <c r="AM26" i="33" s="1"/>
  <c r="AJ71" i="33"/>
  <c r="AI71" i="33"/>
  <c r="AM71" i="33" s="1"/>
  <c r="AM36" i="33"/>
  <c r="AM42" i="33"/>
  <c r="AM21" i="33"/>
  <c r="AJ23" i="33"/>
  <c r="AI23" i="33"/>
  <c r="AM23" i="33" s="1"/>
  <c r="AJ40" i="33"/>
  <c r="AI40" i="33"/>
  <c r="AM40" i="33" s="1"/>
  <c r="AM52" i="33"/>
  <c r="AH13" i="1"/>
  <c r="AJ13" i="1" s="1"/>
  <c r="AH14" i="1" s="1"/>
  <c r="AI13" i="1" l="1"/>
  <c r="AI14" i="1"/>
  <c r="AJ14" i="1"/>
  <c r="O55" i="1" l="1"/>
  <c r="AA19" i="1" l="1"/>
  <c r="AA20" i="1"/>
  <c r="AL20" i="1" l="1"/>
  <c r="AL19" i="1"/>
  <c r="E24" i="22"/>
  <c r="E8" i="13"/>
  <c r="E7" i="13"/>
  <c r="E6" i="13"/>
  <c r="E5" i="13"/>
  <c r="R62" i="1"/>
  <c r="R28" i="1"/>
  <c r="R68" i="1"/>
  <c r="R26" i="1"/>
  <c r="R38" i="1"/>
  <c r="R33" i="1"/>
  <c r="R71" i="1"/>
  <c r="R65" i="1"/>
  <c r="R60" i="1"/>
  <c r="R50" i="1"/>
  <c r="R45" i="1"/>
  <c r="R53" i="1"/>
  <c r="R30" i="1"/>
  <c r="R59" i="1"/>
  <c r="R56" i="1"/>
  <c r="R64" i="1"/>
  <c r="R42" i="1"/>
  <c r="R46" i="1"/>
  <c r="R21" i="1"/>
  <c r="R63" i="1"/>
  <c r="R48" i="1"/>
  <c r="R52" i="1"/>
  <c r="R70" i="1"/>
  <c r="R72" i="1"/>
  <c r="R34" i="1"/>
  <c r="R39" i="1"/>
  <c r="R47" i="1"/>
  <c r="R24" i="1"/>
  <c r="R29" i="1"/>
  <c r="R66" i="1"/>
  <c r="R32" i="1"/>
  <c r="R44" i="1"/>
  <c r="R54" i="1"/>
  <c r="R20" i="1"/>
  <c r="R41" i="1"/>
  <c r="R69" i="1"/>
  <c r="R23" i="1"/>
  <c r="R57" i="1"/>
  <c r="R40" i="1"/>
  <c r="R35" i="1"/>
  <c r="R51" i="1"/>
  <c r="R27" i="1"/>
  <c r="R22" i="1"/>
  <c r="R36" i="1"/>
  <c r="R58" i="1"/>
  <c r="F222" i="13" l="1"/>
  <c r="F212" i="13"/>
  <c r="F213" i="13"/>
  <c r="F214" i="13"/>
  <c r="F215" i="13"/>
  <c r="F216" i="13"/>
  <c r="F217" i="13"/>
  <c r="F218" i="13"/>
  <c r="F219" i="13"/>
  <c r="F220" i="13"/>
  <c r="F221" i="13"/>
  <c r="F211" i="13"/>
  <c r="AA55" i="1" l="1"/>
  <c r="AA50" i="1"/>
  <c r="AA44" i="1"/>
  <c r="R13" i="1" l="1"/>
  <c r="S13" i="1" s="1"/>
  <c r="T13" i="1" s="1"/>
  <c r="AL13" i="1" s="1"/>
  <c r="S31" i="35"/>
  <c r="U67" i="34"/>
  <c r="V67" i="34" s="1"/>
  <c r="R67" i="33"/>
  <c r="S67" i="33" s="1"/>
  <c r="S67" i="35"/>
  <c r="R61" i="33"/>
  <c r="S61" i="33" s="1"/>
  <c r="U55" i="34"/>
  <c r="V55" i="34" s="1"/>
  <c r="R55" i="33"/>
  <c r="S55" i="33" s="1"/>
  <c r="R43" i="33"/>
  <c r="S43" i="33" s="1"/>
  <c r="S25" i="35"/>
  <c r="S61" i="35"/>
  <c r="S43" i="35"/>
  <c r="U49" i="34"/>
  <c r="V49" i="34" s="1"/>
  <c r="R49" i="33"/>
  <c r="S49" i="33" s="1"/>
  <c r="U43" i="34"/>
  <c r="V43" i="34" s="1"/>
  <c r="S49" i="35"/>
  <c r="S19" i="35"/>
  <c r="U37" i="34"/>
  <c r="V37" i="34" s="1"/>
  <c r="R37" i="33"/>
  <c r="S37" i="33" s="1"/>
  <c r="U31" i="34"/>
  <c r="V31" i="34" s="1"/>
  <c r="R31" i="33"/>
  <c r="S31" i="33" s="1"/>
  <c r="R25" i="33"/>
  <c r="S25" i="33" s="1"/>
  <c r="S37" i="35"/>
  <c r="U25" i="34"/>
  <c r="V25" i="34" s="1"/>
  <c r="U19" i="34"/>
  <c r="V19" i="34" s="1"/>
  <c r="R19" i="33"/>
  <c r="S19" i="33" s="1"/>
  <c r="S55" i="35"/>
  <c r="U13" i="34"/>
  <c r="V13" i="34" s="1"/>
  <c r="R13" i="33"/>
  <c r="S13" i="33" s="1"/>
  <c r="U61" i="34"/>
  <c r="V61" i="34" s="1"/>
  <c r="AL55"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U13" i="1" l="1"/>
  <c r="T13" i="33"/>
  <c r="AL13" i="33" s="1"/>
  <c r="AK13" i="33" s="1"/>
  <c r="AM13" i="33" s="1"/>
  <c r="U13" i="33"/>
  <c r="T61" i="35"/>
  <c r="U61" i="35"/>
  <c r="T25" i="35"/>
  <c r="U25" i="35"/>
  <c r="T31" i="33"/>
  <c r="U31" i="33"/>
  <c r="U43" i="33"/>
  <c r="T43" i="33"/>
  <c r="T19" i="33"/>
  <c r="U19" i="33"/>
  <c r="U37" i="35"/>
  <c r="T37" i="35"/>
  <c r="W31" i="34"/>
  <c r="X31" i="34"/>
  <c r="T55" i="33"/>
  <c r="U55" i="33"/>
  <c r="T25" i="33"/>
  <c r="U25" i="33"/>
  <c r="T37" i="33"/>
  <c r="U37" i="33"/>
  <c r="W55" i="34"/>
  <c r="X55" i="34"/>
  <c r="W61" i="34"/>
  <c r="X61" i="34"/>
  <c r="W37" i="34"/>
  <c r="X37" i="34"/>
  <c r="T61" i="33"/>
  <c r="U61" i="33"/>
  <c r="T19" i="35"/>
  <c r="U19" i="35"/>
  <c r="T67" i="35"/>
  <c r="U67" i="35"/>
  <c r="W13" i="34"/>
  <c r="AO13" i="34" s="1"/>
  <c r="AN13" i="34" s="1"/>
  <c r="AP13" i="34" s="1"/>
  <c r="X13" i="34"/>
  <c r="U49" i="35"/>
  <c r="T49" i="35"/>
  <c r="T67" i="33"/>
  <c r="U67" i="33"/>
  <c r="T55" i="35"/>
  <c r="U55" i="35"/>
  <c r="W43" i="34"/>
  <c r="X43" i="34"/>
  <c r="W67" i="34"/>
  <c r="X67" i="34"/>
  <c r="U31" i="35"/>
  <c r="T31" i="35"/>
  <c r="U49" i="33"/>
  <c r="T49" i="33"/>
  <c r="W19" i="34"/>
  <c r="X19" i="34"/>
  <c r="W49" i="34"/>
  <c r="X49" i="34"/>
  <c r="T13" i="35"/>
  <c r="AL13" i="35" s="1"/>
  <c r="AK13" i="35" s="1"/>
  <c r="AM13" i="35" s="1"/>
  <c r="U13" i="35"/>
  <c r="W25" i="34"/>
  <c r="X25" i="34"/>
  <c r="U43" i="35"/>
  <c r="T43" i="35"/>
  <c r="AK13" i="1"/>
  <c r="AM13" i="1" s="1"/>
  <c r="AL14" i="1"/>
  <c r="AK14" i="1" s="1"/>
  <c r="AM14" i="1" s="1"/>
  <c r="AD72" i="1"/>
  <c r="AA72" i="1"/>
  <c r="AD71" i="1"/>
  <c r="AA71" i="1"/>
  <c r="AD70" i="1"/>
  <c r="AA70" i="1"/>
  <c r="AD69" i="1"/>
  <c r="AA69" i="1"/>
  <c r="AD68" i="1"/>
  <c r="AA68" i="1"/>
  <c r="AD67" i="1"/>
  <c r="AA67" i="1"/>
  <c r="O67" i="1"/>
  <c r="P67" i="1" s="1"/>
  <c r="AD66" i="1"/>
  <c r="AA66" i="1"/>
  <c r="AD65" i="1"/>
  <c r="AA65" i="1"/>
  <c r="AD64" i="1"/>
  <c r="AA64" i="1"/>
  <c r="AD63" i="1"/>
  <c r="AA63" i="1"/>
  <c r="AD62" i="1"/>
  <c r="AA62" i="1"/>
  <c r="AD61" i="1"/>
  <c r="AA61" i="1"/>
  <c r="O61" i="1"/>
  <c r="P61" i="1" s="1"/>
  <c r="AD60" i="1"/>
  <c r="AA60" i="1"/>
  <c r="AD59" i="1"/>
  <c r="AA59" i="1"/>
  <c r="AD58" i="1"/>
  <c r="AA58" i="1"/>
  <c r="AD57" i="1"/>
  <c r="AA57" i="1"/>
  <c r="AD56" i="1"/>
  <c r="AA56" i="1"/>
  <c r="AD55" i="1"/>
  <c r="P55" i="1"/>
  <c r="AD54" i="1"/>
  <c r="AA54" i="1"/>
  <c r="AD53" i="1"/>
  <c r="AA53" i="1"/>
  <c r="AD52" i="1"/>
  <c r="AA52" i="1"/>
  <c r="AD51" i="1"/>
  <c r="AA51" i="1"/>
  <c r="AD50" i="1"/>
  <c r="AD49" i="1"/>
  <c r="AA49" i="1"/>
  <c r="O49" i="1"/>
  <c r="P49" i="1" s="1"/>
  <c r="AD48" i="1"/>
  <c r="AA48" i="1"/>
  <c r="AD47" i="1"/>
  <c r="AA47" i="1"/>
  <c r="AD46" i="1"/>
  <c r="AA46" i="1"/>
  <c r="AD45" i="1"/>
  <c r="AA45" i="1"/>
  <c r="AD44" i="1"/>
  <c r="AD43" i="1"/>
  <c r="AA43" i="1"/>
  <c r="O43" i="1"/>
  <c r="P43" i="1" s="1"/>
  <c r="AD42" i="1"/>
  <c r="AA42" i="1"/>
  <c r="AD41" i="1"/>
  <c r="AA41" i="1"/>
  <c r="AD40" i="1"/>
  <c r="AA40" i="1"/>
  <c r="AD39" i="1"/>
  <c r="AA39" i="1"/>
  <c r="AD38" i="1"/>
  <c r="AA38" i="1"/>
  <c r="AD37" i="1"/>
  <c r="AA37" i="1"/>
  <c r="O37" i="1"/>
  <c r="AD36" i="1"/>
  <c r="AA36" i="1"/>
  <c r="AD35" i="1"/>
  <c r="AA35" i="1"/>
  <c r="AD34" i="1"/>
  <c r="AA34" i="1"/>
  <c r="AD33" i="1"/>
  <c r="AA33" i="1"/>
  <c r="AD32" i="1"/>
  <c r="AA32" i="1"/>
  <c r="AD31" i="1"/>
  <c r="AA31" i="1"/>
  <c r="O31" i="1"/>
  <c r="P31" i="1" s="1"/>
  <c r="AD30" i="1"/>
  <c r="AA30" i="1"/>
  <c r="AD29" i="1"/>
  <c r="AA29" i="1"/>
  <c r="AD28" i="1"/>
  <c r="AA28" i="1"/>
  <c r="AD27" i="1"/>
  <c r="AA27" i="1"/>
  <c r="AD26" i="1"/>
  <c r="AA26" i="1"/>
  <c r="AD25" i="1"/>
  <c r="AA25" i="1"/>
  <c r="O25" i="1"/>
  <c r="P25" i="1" s="1"/>
  <c r="O19" i="1"/>
  <c r="AD24" i="1"/>
  <c r="AA24" i="1"/>
  <c r="AD23" i="1"/>
  <c r="AA23" i="1"/>
  <c r="AD22" i="1"/>
  <c r="AA22" i="1"/>
  <c r="AD21" i="1"/>
  <c r="AA21" i="1"/>
  <c r="AD20" i="1"/>
  <c r="AD19" i="1"/>
  <c r="P37" i="1" l="1"/>
  <c r="AL29" i="1"/>
  <c r="AL40" i="1"/>
  <c r="AL48" i="1"/>
  <c r="AL60" i="1"/>
  <c r="AL71" i="1"/>
  <c r="AL23" i="1"/>
  <c r="AL30" i="1"/>
  <c r="AL41" i="1"/>
  <c r="AL36" i="1"/>
  <c r="AL63" i="1"/>
  <c r="AL64" i="1"/>
  <c r="AL34" i="1"/>
  <c r="AL65" i="1"/>
  <c r="AL28" i="1"/>
  <c r="AL39" i="1"/>
  <c r="AL47" i="1"/>
  <c r="AL59" i="1"/>
  <c r="AL70" i="1"/>
  <c r="AL33" i="1"/>
  <c r="AL53" i="1"/>
  <c r="AK53" i="1" s="1"/>
  <c r="AL72" i="1"/>
  <c r="AL31" i="1"/>
  <c r="AL32" i="1"/>
  <c r="AL22" i="1"/>
  <c r="AL21" i="1"/>
  <c r="AL44" i="1"/>
  <c r="AL43" i="1"/>
  <c r="AL26" i="1"/>
  <c r="AL25" i="1"/>
  <c r="AL57" i="1"/>
  <c r="AL56" i="1"/>
  <c r="AL68" i="1"/>
  <c r="AL67" i="1"/>
  <c r="AL52" i="1"/>
  <c r="AL51" i="1"/>
  <c r="AL24" i="1"/>
  <c r="AL27" i="1"/>
  <c r="AL38" i="1"/>
  <c r="AL37" i="1"/>
  <c r="AL42" i="1"/>
  <c r="AL46" i="1"/>
  <c r="AL45" i="1"/>
  <c r="AL54" i="1"/>
  <c r="AK54" i="1" s="1"/>
  <c r="AL58" i="1"/>
  <c r="AL69" i="1"/>
  <c r="AL35" i="1"/>
  <c r="AL50" i="1"/>
  <c r="AL49" i="1"/>
  <c r="AL62" i="1"/>
  <c r="AL61" i="1"/>
  <c r="AL66" i="1"/>
  <c r="P19" i="1"/>
  <c r="AH19" i="1" s="1"/>
  <c r="AH67" i="1"/>
  <c r="AH61" i="1"/>
  <c r="AH55" i="1"/>
  <c r="AH49" i="1"/>
  <c r="AH53" i="1"/>
  <c r="AH54" i="1"/>
  <c r="AH43" i="1"/>
  <c r="AH37" i="1"/>
  <c r="AH31" i="1"/>
  <c r="AH25" i="1"/>
  <c r="AI67" i="1" l="1"/>
  <c r="AJ67" i="1"/>
  <c r="AH68" i="1" s="1"/>
  <c r="AI68" i="1" s="1"/>
  <c r="AI61" i="1"/>
  <c r="AJ61" i="1"/>
  <c r="AH62" i="1" s="1"/>
  <c r="AJ62" i="1" s="1"/>
  <c r="AH63" i="1" s="1"/>
  <c r="AI55" i="1"/>
  <c r="AJ55" i="1"/>
  <c r="AH56" i="1" s="1"/>
  <c r="AJ56" i="1" s="1"/>
  <c r="AH57" i="1" s="1"/>
  <c r="AI54" i="1"/>
  <c r="AJ54" i="1"/>
  <c r="AI53" i="1"/>
  <c r="AJ53" i="1"/>
  <c r="AI49" i="1"/>
  <c r="AJ49" i="1"/>
  <c r="AI43" i="1"/>
  <c r="AJ43" i="1"/>
  <c r="AH44" i="1" s="1"/>
  <c r="AJ44" i="1" s="1"/>
  <c r="AH45" i="1" s="1"/>
  <c r="AI37" i="1"/>
  <c r="AJ37" i="1"/>
  <c r="AI31" i="1"/>
  <c r="AJ31" i="1"/>
  <c r="AH32" i="1" s="1"/>
  <c r="AJ32" i="1" s="1"/>
  <c r="AH33" i="1" s="1"/>
  <c r="AI33" i="1" s="1"/>
  <c r="AI25" i="1"/>
  <c r="AJ25" i="1"/>
  <c r="AH26" i="1" s="1"/>
  <c r="AI26" i="1" s="1"/>
  <c r="AI19" i="1"/>
  <c r="AJ19" i="1"/>
  <c r="AH20" i="1" s="1"/>
  <c r="AI62" i="1" l="1"/>
  <c r="AI56" i="1"/>
  <c r="AJ26" i="1"/>
  <c r="AH27" i="1" s="1"/>
  <c r="AI27" i="1" s="1"/>
  <c r="AI44" i="1"/>
  <c r="AI32" i="1"/>
  <c r="AI45" i="1"/>
  <c r="AJ45" i="1"/>
  <c r="AJ63" i="1"/>
  <c r="AH64" i="1" s="1"/>
  <c r="AI63" i="1"/>
  <c r="AJ57" i="1"/>
  <c r="AH58" i="1" s="1"/>
  <c r="AI57" i="1"/>
  <c r="AJ68" i="1"/>
  <c r="AH69" i="1" s="1"/>
  <c r="AH38" i="1"/>
  <c r="AH50" i="1"/>
  <c r="AJ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M53" i="1"/>
  <c r="AM54" i="1"/>
  <c r="AI64" i="1" l="1"/>
  <c r="AJ64" i="1"/>
  <c r="AI58" i="1"/>
  <c r="AJ58" i="1"/>
  <c r="AH59" i="1" s="1"/>
  <c r="AJ27" i="1"/>
  <c r="AH28" i="1" s="1"/>
  <c r="AJ28" i="1" s="1"/>
  <c r="AI69" i="1"/>
  <c r="AJ69" i="1"/>
  <c r="AH70" i="1" s="1"/>
  <c r="AI50" i="1"/>
  <c r="AJ50" i="1"/>
  <c r="AH51" i="1" s="1"/>
  <c r="AI51" i="1" s="1"/>
  <c r="AH46" i="1"/>
  <c r="AI38" i="1"/>
  <c r="AJ38" i="1"/>
  <c r="AH39" i="1" s="1"/>
  <c r="AI39" i="1" s="1"/>
  <c r="AH35" i="1"/>
  <c r="AI35" i="1" s="1"/>
  <c r="AH34" i="1"/>
  <c r="AI20" i="1"/>
  <c r="AJ20" i="1"/>
  <c r="AH21" i="1" s="1"/>
  <c r="AI21" i="1" s="1"/>
  <c r="AJ51" i="1" l="1"/>
  <c r="AH52" i="1" s="1"/>
  <c r="AI52" i="1" s="1"/>
  <c r="AJ39" i="1"/>
  <c r="AH40" i="1" s="1"/>
  <c r="AJ40" i="1" s="1"/>
  <c r="AH41" i="1" s="1"/>
  <c r="AI59" i="1"/>
  <c r="AJ59" i="1"/>
  <c r="AH60" i="1" s="1"/>
  <c r="AH65" i="1"/>
  <c r="AH66" i="1"/>
  <c r="AI28" i="1"/>
  <c r="AI46" i="1"/>
  <c r="AJ46" i="1"/>
  <c r="AH47" i="1" s="1"/>
  <c r="AI47" i="1" s="1"/>
  <c r="AH29" i="1"/>
  <c r="AJ70" i="1"/>
  <c r="AI70" i="1"/>
  <c r="AI34" i="1"/>
  <c r="AJ34" i="1"/>
  <c r="AJ35" i="1"/>
  <c r="AH36" i="1" s="1"/>
  <c r="AJ21" i="1"/>
  <c r="AH22" i="1" s="1"/>
  <c r="AI22" i="1" s="1"/>
  <c r="AJ52" i="1" l="1"/>
  <c r="AI40" i="1"/>
  <c r="AI66" i="1"/>
  <c r="AJ66" i="1"/>
  <c r="AI65" i="1"/>
  <c r="AJ65" i="1"/>
  <c r="AI60" i="1"/>
  <c r="AJ60" i="1"/>
  <c r="AH71" i="1"/>
  <c r="AH72" i="1"/>
  <c r="AJ47" i="1"/>
  <c r="AH48" i="1" s="1"/>
  <c r="AI48" i="1" s="1"/>
  <c r="AJ41" i="1"/>
  <c r="AH42" i="1" s="1"/>
  <c r="AI41" i="1"/>
  <c r="AI29" i="1"/>
  <c r="AJ29" i="1"/>
  <c r="AH30" i="1" s="1"/>
  <c r="AI30" i="1" s="1"/>
  <c r="AI36" i="1"/>
  <c r="AJ36" i="1"/>
  <c r="AJ22" i="1"/>
  <c r="AH23" i="1" s="1"/>
  <c r="AJ23" i="1" s="1"/>
  <c r="AH24" i="1" s="1"/>
  <c r="AI72" i="1" l="1"/>
  <c r="AJ72" i="1"/>
  <c r="AI71" i="1"/>
  <c r="AJ71" i="1"/>
  <c r="AI42" i="1"/>
  <c r="AJ42" i="1"/>
  <c r="AJ48" i="1"/>
  <c r="AJ30" i="1"/>
  <c r="AI23" i="1"/>
  <c r="AI24" i="1"/>
  <c r="AJ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K31" i="1" l="1"/>
  <c r="AK67" i="1"/>
  <c r="AK43" i="1"/>
  <c r="AK55" i="1"/>
  <c r="AK19" i="1"/>
  <c r="AK25" i="1"/>
  <c r="AK49" i="1"/>
  <c r="AK37" i="1"/>
  <c r="AK50" i="1" l="1"/>
  <c r="AK56" i="1"/>
  <c r="AK62" i="1"/>
  <c r="AK38" i="1"/>
  <c r="AK44" i="1"/>
  <c r="AK32" i="1"/>
  <c r="AK26" i="1"/>
  <c r="J40" i="19"/>
  <c r="V30" i="19"/>
  <c r="AH20" i="19"/>
  <c r="J30" i="19"/>
  <c r="V20" i="19"/>
  <c r="AH10" i="19"/>
  <c r="P10" i="19"/>
  <c r="AB50" i="19"/>
  <c r="J50" i="19"/>
  <c r="AB40" i="19"/>
  <c r="P30" i="19"/>
  <c r="V50" i="19"/>
  <c r="P50" i="19"/>
  <c r="AB10" i="19"/>
  <c r="AH30" i="19"/>
  <c r="AH40" i="19"/>
  <c r="J10" i="19"/>
  <c r="AB20" i="19"/>
  <c r="AH50" i="19"/>
  <c r="AM37" i="1"/>
  <c r="V10" i="19"/>
  <c r="P20" i="19"/>
  <c r="J20" i="19"/>
  <c r="P40" i="19"/>
  <c r="V40" i="19"/>
  <c r="AB30" i="19"/>
  <c r="J11" i="19"/>
  <c r="V11" i="19"/>
  <c r="AB21" i="19"/>
  <c r="P31" i="19"/>
  <c r="J31" i="19"/>
  <c r="AB41" i="19"/>
  <c r="AM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M67" i="1"/>
  <c r="P25" i="19"/>
  <c r="V55" i="19"/>
  <c r="J15" i="19"/>
  <c r="AB15" i="19"/>
  <c r="J35" i="19"/>
  <c r="AB35" i="19"/>
  <c r="J55" i="19"/>
  <c r="AB25" i="19"/>
  <c r="P35" i="19"/>
  <c r="P55" i="19"/>
  <c r="AB45" i="19"/>
  <c r="P15" i="19"/>
  <c r="J47" i="19"/>
  <c r="V27" i="19"/>
  <c r="AH7" i="19"/>
  <c r="P47" i="19"/>
  <c r="AB27" i="19"/>
  <c r="J17" i="19"/>
  <c r="V47" i="19"/>
  <c r="J37" i="19"/>
  <c r="AM19" i="1"/>
  <c r="AB37" i="19"/>
  <c r="J27" i="19"/>
  <c r="V7" i="19"/>
  <c r="AH37" i="19"/>
  <c r="P27" i="19"/>
  <c r="AB7" i="19"/>
  <c r="P17" i="19"/>
  <c r="V17" i="19"/>
  <c r="AH47" i="19"/>
  <c r="P37" i="19"/>
  <c r="AB17" i="19"/>
  <c r="J7" i="19"/>
  <c r="V37" i="19"/>
  <c r="AH17" i="19"/>
  <c r="P7" i="19"/>
  <c r="AH27" i="19"/>
  <c r="AB47" i="19"/>
  <c r="AM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K61" i="1"/>
  <c r="AM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M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K45" i="1"/>
  <c r="V32" i="19"/>
  <c r="P42" i="19"/>
  <c r="J12" i="19"/>
  <c r="J32" i="19"/>
  <c r="AB52" i="19"/>
  <c r="AM49" i="1"/>
  <c r="J22" i="19"/>
  <c r="V22" i="19"/>
  <c r="J52" i="19"/>
  <c r="AH12" i="19"/>
  <c r="J42" i="19"/>
  <c r="AH42" i="19"/>
  <c r="P32" i="19"/>
  <c r="AB12" i="19"/>
  <c r="AH32" i="19"/>
  <c r="AB32" i="19"/>
  <c r="AB42" i="19"/>
  <c r="V42" i="19"/>
  <c r="V12" i="19"/>
  <c r="V52" i="19"/>
  <c r="AB22" i="19"/>
  <c r="AH52" i="19"/>
  <c r="AH22" i="19"/>
  <c r="P22" i="19"/>
  <c r="P12" i="19"/>
  <c r="P52" i="19"/>
  <c r="AK51" i="1"/>
  <c r="AK20" i="1"/>
  <c r="AK68" i="1" l="1"/>
  <c r="K45" i="19" s="1"/>
  <c r="AK52" i="1"/>
  <c r="S12" i="19" s="1"/>
  <c r="W37" i="19"/>
  <c r="AI7" i="19"/>
  <c r="W17" i="19"/>
  <c r="W27" i="19"/>
  <c r="Q47" i="19"/>
  <c r="W7" i="19"/>
  <c r="AI17" i="19"/>
  <c r="K47" i="19"/>
  <c r="AI47" i="19"/>
  <c r="Q27" i="19"/>
  <c r="AC27" i="19"/>
  <c r="AC47" i="19"/>
  <c r="AC37" i="19"/>
  <c r="AI37" i="19"/>
  <c r="AM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M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M44" i="1"/>
  <c r="P54" i="19"/>
  <c r="AH14" i="19"/>
  <c r="AB14" i="19"/>
  <c r="AH34" i="19"/>
  <c r="AB54" i="19"/>
  <c r="AH54" i="19"/>
  <c r="AM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M51" i="1"/>
  <c r="AD12" i="19"/>
  <c r="AD32" i="19"/>
  <c r="AD22" i="19"/>
  <c r="X52" i="19"/>
  <c r="AD52" i="19"/>
  <c r="L42" i="19"/>
  <c r="R42" i="19"/>
  <c r="AJ21" i="19"/>
  <c r="AD31" i="19"/>
  <c r="R21" i="19"/>
  <c r="AD41" i="19"/>
  <c r="AJ11" i="19"/>
  <c r="AJ51" i="19"/>
  <c r="AM45" i="1"/>
  <c r="L41" i="19"/>
  <c r="AD11" i="19"/>
  <c r="L21" i="19"/>
  <c r="L11" i="19"/>
  <c r="X51" i="19"/>
  <c r="X21" i="19"/>
  <c r="R11" i="19"/>
  <c r="R31" i="19"/>
  <c r="AJ41" i="19"/>
  <c r="L31" i="19"/>
  <c r="R51" i="19"/>
  <c r="X31" i="19"/>
  <c r="X11" i="19"/>
  <c r="X41" i="19"/>
  <c r="AJ31" i="19"/>
  <c r="AD51" i="19"/>
  <c r="R41" i="19"/>
  <c r="AD21" i="19"/>
  <c r="L51" i="19"/>
  <c r="AK21" i="1"/>
  <c r="AK33" i="1"/>
  <c r="AK57" i="1"/>
  <c r="K42" i="19"/>
  <c r="AC32" i="19"/>
  <c r="W42" i="19"/>
  <c r="AI52" i="19"/>
  <c r="K22" i="19"/>
  <c r="Q32" i="19"/>
  <c r="AI12" i="19"/>
  <c r="AC52" i="19"/>
  <c r="Q42" i="19"/>
  <c r="AC42" i="19"/>
  <c r="K12" i="19"/>
  <c r="Q22" i="19"/>
  <c r="W52" i="19"/>
  <c r="AI42" i="19"/>
  <c r="W32" i="19"/>
  <c r="AI22" i="19"/>
  <c r="W12" i="19"/>
  <c r="AI32" i="19"/>
  <c r="AC12" i="19"/>
  <c r="Q12" i="19"/>
  <c r="Q52" i="19"/>
  <c r="AM50" i="1"/>
  <c r="K32" i="19"/>
  <c r="W22" i="19"/>
  <c r="K52" i="19"/>
  <c r="AC22" i="19"/>
  <c r="AC40" i="19"/>
  <c r="W10" i="19"/>
  <c r="AC50" i="19"/>
  <c r="Q10" i="19"/>
  <c r="Q30" i="19"/>
  <c r="W50" i="19"/>
  <c r="K40" i="19"/>
  <c r="Q50" i="19"/>
  <c r="W20" i="19"/>
  <c r="AM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K63" i="1"/>
  <c r="K39" i="19"/>
  <c r="AC39" i="19"/>
  <c r="W29" i="19"/>
  <c r="AI49" i="19"/>
  <c r="W9" i="19"/>
  <c r="AC19" i="19"/>
  <c r="Q49" i="19"/>
  <c r="W49" i="19"/>
  <c r="AC9" i="19"/>
  <c r="AI9" i="19"/>
  <c r="Q29" i="19"/>
  <c r="W39" i="19"/>
  <c r="Q39" i="19"/>
  <c r="AM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M56" i="1"/>
  <c r="Q33" i="19"/>
  <c r="AI23" i="19"/>
  <c r="K53" i="19"/>
  <c r="AC23" i="19"/>
  <c r="AC13" i="19"/>
  <c r="W23" i="19"/>
  <c r="W33" i="19"/>
  <c r="Q13" i="19"/>
  <c r="W13" i="19"/>
  <c r="AI13" i="19"/>
  <c r="Q43" i="19"/>
  <c r="Q23" i="19"/>
  <c r="W53" i="19"/>
  <c r="M22" i="19"/>
  <c r="AK46" i="1"/>
  <c r="AK48" i="1"/>
  <c r="AK47" i="1"/>
  <c r="AK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M26" i="1"/>
  <c r="S22" i="19" l="1"/>
  <c r="Y52" i="19"/>
  <c r="S42" i="19"/>
  <c r="AM52" i="1"/>
  <c r="AE42" i="19"/>
  <c r="AE32" i="19"/>
  <c r="AE22" i="19"/>
  <c r="AK42" i="19"/>
  <c r="AK32" i="19"/>
  <c r="AK52" i="19"/>
  <c r="M12" i="19"/>
  <c r="S52" i="19"/>
  <c r="AK22" i="19"/>
  <c r="AK12" i="19"/>
  <c r="AE52" i="19"/>
  <c r="Y42" i="19"/>
  <c r="Q55" i="19"/>
  <c r="Y22" i="19"/>
  <c r="Y32" i="19"/>
  <c r="AE12" i="19"/>
  <c r="M52" i="19"/>
  <c r="Y12" i="19"/>
  <c r="S32" i="19"/>
  <c r="M32" i="19"/>
  <c r="M42" i="19"/>
  <c r="W45" i="19"/>
  <c r="K25" i="19"/>
  <c r="W55" i="19"/>
  <c r="AI25" i="19"/>
  <c r="AI45" i="19"/>
  <c r="Q25" i="19"/>
  <c r="AM68" i="1"/>
  <c r="AC35" i="19"/>
  <c r="AI15" i="19"/>
  <c r="Q35" i="19"/>
  <c r="W25" i="19"/>
  <c r="AC25" i="19"/>
  <c r="AI55" i="19"/>
  <c r="K15" i="19"/>
  <c r="Q15" i="19"/>
  <c r="K35" i="19"/>
  <c r="W35" i="19"/>
  <c r="W15" i="19"/>
  <c r="AC15" i="19"/>
  <c r="Q45" i="19"/>
  <c r="AC55" i="19"/>
  <c r="K55" i="19"/>
  <c r="AC45" i="19"/>
  <c r="AI35" i="19"/>
  <c r="AK69" i="1"/>
  <c r="AK27" i="1"/>
  <c r="R18" i="19" s="1"/>
  <c r="R40" i="19"/>
  <c r="AD10" i="19"/>
  <c r="X40" i="19"/>
  <c r="AJ10" i="19"/>
  <c r="R50" i="19"/>
  <c r="X10" i="19"/>
  <c r="R30" i="19"/>
  <c r="AM39" i="1"/>
  <c r="L10" i="19"/>
  <c r="L50" i="19"/>
  <c r="AJ20" i="19"/>
  <c r="AJ40" i="19"/>
  <c r="AD30" i="19"/>
  <c r="R20" i="19"/>
  <c r="AD50" i="19"/>
  <c r="AJ30" i="19"/>
  <c r="AJ50" i="19"/>
  <c r="X30" i="19"/>
  <c r="AD20" i="19"/>
  <c r="L40" i="19"/>
  <c r="X50" i="19"/>
  <c r="X20" i="19"/>
  <c r="AD40" i="19"/>
  <c r="R10" i="19"/>
  <c r="L30" i="19"/>
  <c r="L20" i="19"/>
  <c r="AK58" i="1"/>
  <c r="AK72" i="1"/>
  <c r="AD47" i="19"/>
  <c r="AJ27" i="19"/>
  <c r="AD27" i="19"/>
  <c r="AJ7" i="19"/>
  <c r="AJ37" i="19"/>
  <c r="L27" i="19"/>
  <c r="AD17" i="19"/>
  <c r="L37" i="19"/>
  <c r="R17" i="19"/>
  <c r="AJ17" i="19"/>
  <c r="X7" i="19"/>
  <c r="X47" i="19"/>
  <c r="L7" i="19"/>
  <c r="L17" i="19"/>
  <c r="R27" i="19"/>
  <c r="X27" i="19"/>
  <c r="R7" i="19"/>
  <c r="X17" i="19"/>
  <c r="AJ47" i="19"/>
  <c r="L47" i="19"/>
  <c r="R37" i="19"/>
  <c r="AD7" i="19"/>
  <c r="X37" i="19"/>
  <c r="AM21" i="1"/>
  <c r="R47" i="19"/>
  <c r="AD37" i="19"/>
  <c r="AK29" i="1"/>
  <c r="AK28" i="1"/>
  <c r="AK30" i="1"/>
  <c r="AJ43" i="19"/>
  <c r="AD33" i="19"/>
  <c r="X33" i="19"/>
  <c r="X13" i="19"/>
  <c r="AD43" i="19"/>
  <c r="L43" i="19"/>
  <c r="AM57" i="1"/>
  <c r="X23" i="19"/>
  <c r="R33" i="19"/>
  <c r="R43" i="19"/>
  <c r="AD53" i="19"/>
  <c r="AJ13" i="19"/>
  <c r="R23" i="19"/>
  <c r="R13" i="19"/>
  <c r="AJ53" i="19"/>
  <c r="L33" i="19"/>
  <c r="L23" i="19"/>
  <c r="X43" i="19"/>
  <c r="X53" i="19"/>
  <c r="AD13" i="19"/>
  <c r="L53" i="19"/>
  <c r="L13" i="19"/>
  <c r="AD23" i="19"/>
  <c r="AJ33" i="19"/>
  <c r="AJ23" i="19"/>
  <c r="R53" i="19"/>
  <c r="AK22" i="1"/>
  <c r="Z11" i="19"/>
  <c r="AF31" i="19"/>
  <c r="T51" i="19"/>
  <c r="N51" i="19"/>
  <c r="Z41" i="19"/>
  <c r="AF21" i="19"/>
  <c r="AL31" i="19"/>
  <c r="T31" i="19"/>
  <c r="Z31" i="19"/>
  <c r="N21" i="19"/>
  <c r="N31" i="19"/>
  <c r="AL11" i="19"/>
  <c r="T11" i="19"/>
  <c r="AF11" i="19"/>
  <c r="AL41" i="19"/>
  <c r="T21" i="19"/>
  <c r="Z21" i="19"/>
  <c r="AL51" i="19"/>
  <c r="N11" i="19"/>
  <c r="AF51" i="19"/>
  <c r="N41" i="19"/>
  <c r="Z51" i="19"/>
  <c r="AM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M48" i="1"/>
  <c r="AG11" i="19"/>
  <c r="AM41" i="19"/>
  <c r="AA21" i="19"/>
  <c r="AA51" i="19"/>
  <c r="U51" i="19"/>
  <c r="U31" i="19"/>
  <c r="AA11" i="19"/>
  <c r="AG21" i="19"/>
  <c r="O31" i="19"/>
  <c r="AK64" i="1"/>
  <c r="AK34" i="1"/>
  <c r="AK35" i="1"/>
  <c r="AK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K40" i="1"/>
  <c r="AE11" i="19"/>
  <c r="Y41" i="19"/>
  <c r="M41" i="19"/>
  <c r="Y21" i="19"/>
  <c r="AK41" i="19"/>
  <c r="S31" i="19"/>
  <c r="M31" i="19"/>
  <c r="M51" i="19"/>
  <c r="Y51" i="19"/>
  <c r="AK21" i="19"/>
  <c r="AK31" i="19"/>
  <c r="Y11" i="19"/>
  <c r="AE41" i="19"/>
  <c r="AE21" i="19"/>
  <c r="S51" i="19"/>
  <c r="AE51" i="19"/>
  <c r="AK51" i="19"/>
  <c r="M21" i="19"/>
  <c r="AE31" i="19"/>
  <c r="AM46" i="1"/>
  <c r="S41" i="19"/>
  <c r="AK11" i="19"/>
  <c r="S11" i="19"/>
  <c r="Y31" i="19"/>
  <c r="S21" i="19"/>
  <c r="M11" i="19"/>
  <c r="L54" i="19"/>
  <c r="AJ14" i="19"/>
  <c r="AD44" i="19"/>
  <c r="X54" i="19"/>
  <c r="R14" i="19"/>
  <c r="AD24" i="19"/>
  <c r="AD34" i="19"/>
  <c r="R54" i="19"/>
  <c r="L34" i="19"/>
  <c r="AJ34" i="19"/>
  <c r="X24" i="19"/>
  <c r="AJ24" i="19"/>
  <c r="X44" i="19"/>
  <c r="R24" i="19"/>
  <c r="AM63" i="1"/>
  <c r="X34" i="19"/>
  <c r="L14" i="19"/>
  <c r="AD14" i="19"/>
  <c r="L44" i="19"/>
  <c r="R44" i="19"/>
  <c r="AD54" i="19"/>
  <c r="X14" i="19"/>
  <c r="AJ44" i="19"/>
  <c r="R34" i="19"/>
  <c r="AJ54" i="19"/>
  <c r="L24" i="19"/>
  <c r="AD29" i="19"/>
  <c r="AD19" i="19"/>
  <c r="R39" i="19"/>
  <c r="R9" i="19"/>
  <c r="X49" i="19"/>
  <c r="X9" i="19"/>
  <c r="AD39" i="19"/>
  <c r="R29" i="19"/>
  <c r="L49" i="19"/>
  <c r="X19" i="19"/>
  <c r="X29" i="19"/>
  <c r="X39" i="19"/>
  <c r="L9" i="19"/>
  <c r="AM33" i="1"/>
  <c r="AD9" i="19"/>
  <c r="AJ49" i="19"/>
  <c r="L39" i="19"/>
  <c r="R19" i="19"/>
  <c r="AJ39" i="19"/>
  <c r="AJ29" i="19"/>
  <c r="AJ19" i="19"/>
  <c r="AJ9" i="19"/>
  <c r="AD49" i="19"/>
  <c r="L19" i="19"/>
  <c r="L29" i="19"/>
  <c r="R49" i="19"/>
  <c r="R15" i="19" l="1"/>
  <c r="R55" i="19"/>
  <c r="AD25" i="19"/>
  <c r="L55" i="19"/>
  <c r="AJ35" i="19"/>
  <c r="X55" i="19"/>
  <c r="X35" i="19"/>
  <c r="AM69" i="1"/>
  <c r="AD15" i="19"/>
  <c r="X25" i="19"/>
  <c r="X45" i="19"/>
  <c r="L35" i="19"/>
  <c r="R35" i="19"/>
  <c r="AJ15" i="19"/>
  <c r="L15" i="19"/>
  <c r="AJ25" i="19"/>
  <c r="AJ55" i="19"/>
  <c r="L45" i="19"/>
  <c r="AD35" i="19"/>
  <c r="R25" i="19"/>
  <c r="AD45" i="19"/>
  <c r="R45" i="19"/>
  <c r="AD55" i="19"/>
  <c r="X15" i="19"/>
  <c r="L25" i="19"/>
  <c r="AJ45" i="19"/>
  <c r="AK71" i="1"/>
  <c r="Z35" i="19" s="1"/>
  <c r="AK70" i="1"/>
  <c r="AJ48" i="19"/>
  <c r="L18" i="19"/>
  <c r="AD8" i="19"/>
  <c r="AJ8" i="19"/>
  <c r="AJ28" i="19"/>
  <c r="R48" i="19"/>
  <c r="X48" i="19"/>
  <c r="L8" i="19"/>
  <c r="AD28" i="19"/>
  <c r="X38" i="19"/>
  <c r="AM27" i="1"/>
  <c r="X8" i="19"/>
  <c r="L48" i="19"/>
  <c r="AD48" i="19"/>
  <c r="AD38" i="19"/>
  <c r="X18" i="19"/>
  <c r="R38" i="19"/>
  <c r="R8" i="19"/>
  <c r="L38" i="19"/>
  <c r="R28" i="19"/>
  <c r="AJ38" i="19"/>
  <c r="AD18" i="19"/>
  <c r="L28" i="19"/>
  <c r="AJ18" i="19"/>
  <c r="X28" i="19"/>
  <c r="AK41" i="1"/>
  <c r="AK42" i="1"/>
  <c r="AG39" i="19"/>
  <c r="AG29" i="19"/>
  <c r="AM19" i="19"/>
  <c r="O39" i="19"/>
  <c r="AM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M64" i="1"/>
  <c r="AE24" i="19"/>
  <c r="S14" i="19"/>
  <c r="AK17" i="19"/>
  <c r="S27" i="19"/>
  <c r="S37" i="19"/>
  <c r="AE27" i="19"/>
  <c r="Y47" i="19"/>
  <c r="S7" i="19"/>
  <c r="M17" i="19"/>
  <c r="AE17" i="19"/>
  <c r="AK27" i="19"/>
  <c r="Y7" i="19"/>
  <c r="Y37" i="19"/>
  <c r="AE37" i="19"/>
  <c r="Y27" i="19"/>
  <c r="M47" i="19"/>
  <c r="AM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M28" i="1"/>
  <c r="AE28" i="19"/>
  <c r="AA55" i="19"/>
  <c r="O45" i="19"/>
  <c r="AA15" i="19"/>
  <c r="AM55" i="19"/>
  <c r="O55" i="19"/>
  <c r="AG35" i="19"/>
  <c r="AM25" i="19"/>
  <c r="AM35" i="19"/>
  <c r="AA25" i="19"/>
  <c r="AM45" i="19"/>
  <c r="AG25" i="19"/>
  <c r="AA35" i="19"/>
  <c r="O25" i="19"/>
  <c r="U25" i="19"/>
  <c r="AG45" i="19"/>
  <c r="U35" i="19"/>
  <c r="AA45" i="19"/>
  <c r="AM15" i="19"/>
  <c r="U45" i="19"/>
  <c r="O35" i="19"/>
  <c r="O15" i="19"/>
  <c r="AM72" i="1"/>
  <c r="AG15" i="19"/>
  <c r="U15" i="19"/>
  <c r="AG55" i="19"/>
  <c r="U55" i="19"/>
  <c r="AE40" i="19"/>
  <c r="Y30" i="19"/>
  <c r="M20" i="19"/>
  <c r="AM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M35" i="1"/>
  <c r="T19" i="19"/>
  <c r="AL49" i="19"/>
  <c r="T29" i="19"/>
  <c r="AF29" i="19"/>
  <c r="T18" i="19"/>
  <c r="N48" i="19"/>
  <c r="N8" i="19"/>
  <c r="T28" i="19"/>
  <c r="AF38" i="19"/>
  <c r="Z28" i="19"/>
  <c r="Z18" i="19"/>
  <c r="AF8" i="19"/>
  <c r="AM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M34" i="1"/>
  <c r="M9" i="19"/>
  <c r="Y29" i="19"/>
  <c r="AK59" i="1"/>
  <c r="AK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K65" i="1"/>
  <c r="AK66" i="1"/>
  <c r="AK24" i="1"/>
  <c r="AK23" i="1"/>
  <c r="O8" i="19"/>
  <c r="AA48" i="19"/>
  <c r="AM38" i="19"/>
  <c r="U48" i="19"/>
  <c r="AA18" i="19"/>
  <c r="AG18" i="19"/>
  <c r="AG48" i="19"/>
  <c r="AM18" i="19"/>
  <c r="AA28" i="19"/>
  <c r="AG28" i="19"/>
  <c r="AA8" i="19"/>
  <c r="U18" i="19"/>
  <c r="AG38" i="19"/>
  <c r="U38" i="19"/>
  <c r="AM8" i="19"/>
  <c r="AA38" i="19"/>
  <c r="AM48" i="19"/>
  <c r="U28" i="19"/>
  <c r="O38" i="19"/>
  <c r="U8" i="19"/>
  <c r="AG8" i="19"/>
  <c r="AM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M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M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M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M66" i="1"/>
  <c r="AA14" i="19"/>
  <c r="O54" i="19"/>
  <c r="U44" i="19"/>
  <c r="U43" i="19"/>
  <c r="U13" i="19"/>
  <c r="AM53" i="19"/>
  <c r="AA53" i="19"/>
  <c r="AA43" i="19"/>
  <c r="O53" i="19"/>
  <c r="O23" i="19"/>
  <c r="O13" i="19"/>
  <c r="AG43" i="19"/>
  <c r="U33" i="19"/>
  <c r="U23" i="19"/>
  <c r="AM13" i="19"/>
  <c r="AM23" i="19"/>
  <c r="AG13" i="19"/>
  <c r="AA23" i="19"/>
  <c r="AG33" i="19"/>
  <c r="AA33" i="19"/>
  <c r="AM33" i="19"/>
  <c r="AA13" i="19"/>
  <c r="AM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M65" i="1"/>
  <c r="AF53" i="19"/>
  <c r="T43" i="19"/>
  <c r="Z53" i="19"/>
  <c r="N43" i="19"/>
  <c r="T23" i="19"/>
  <c r="AF43" i="19"/>
  <c r="Z13" i="19"/>
  <c r="Z43" i="19"/>
  <c r="AF23" i="19"/>
  <c r="AL13" i="19"/>
  <c r="Z23" i="19"/>
  <c r="AL43" i="19"/>
  <c r="AF13" i="19"/>
  <c r="AL23" i="19"/>
  <c r="N13" i="19"/>
  <c r="T33" i="19"/>
  <c r="AL53" i="19"/>
  <c r="N23" i="19"/>
  <c r="N53" i="19"/>
  <c r="AF33" i="19"/>
  <c r="N33" i="19"/>
  <c r="AM59" i="1"/>
  <c r="T53" i="19"/>
  <c r="AL33" i="19"/>
  <c r="T13" i="19"/>
  <c r="Z33" i="19"/>
  <c r="Z47" i="19"/>
  <c r="T7" i="19"/>
  <c r="AL37" i="19"/>
  <c r="T17" i="19"/>
  <c r="Z17" i="19"/>
  <c r="AF7" i="19"/>
  <c r="AF37" i="19"/>
  <c r="N17" i="19"/>
  <c r="AF27" i="19"/>
  <c r="AM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M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M24" i="1"/>
  <c r="AA17" i="19"/>
  <c r="O7" i="19"/>
  <c r="AA37" i="19"/>
  <c r="AA27" i="19"/>
  <c r="AM27" i="19"/>
  <c r="U17" i="19"/>
  <c r="U47" i="19"/>
  <c r="AG17" i="19"/>
  <c r="O47" i="19"/>
  <c r="Z40" i="19"/>
  <c r="AM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sharedStrings.xml><?xml version="1.0" encoding="utf-8"?>
<sst xmlns="http://schemas.openxmlformats.org/spreadsheetml/2006/main" count="974" uniqueCount="503">
  <si>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</si>
  <si>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</si>
  <si>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</si>
  <si>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</si>
  <si>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</si>
  <si>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</si>
  <si>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</si>
  <si>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</si>
  <si>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o proyecto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</si>
  <si>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</si>
  <si>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</si>
  <si>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</si>
  <si>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</si>
  <si>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</si>
  <si>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</si>
  <si>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</si>
  <si>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</si>
  <si>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</si>
  <si>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</si>
  <si>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</si>
  <si>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</si>
  <si>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</si>
  <si>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</si>
  <si>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</si>
  <si>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</si>
  <si>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</si>
  <si>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</si>
  <si>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</si>
  <si>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</si>
  <si>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</si>
  <si>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</si>
  <si>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</si>
  <si>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</si>
  <si>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</si>
  <si>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</si>
  <si>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</si>
  <si>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</si>
  <si>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</si>
  <si>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</si>
  <si>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</si>
  <si>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</si>
  <si>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</si>
  <si>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</si>
  <si>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</si>
  <si>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</si>
  <si>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</si>
  <si>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</si>
  <si>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</si>
  <si>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</si>
  <si>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</si>
  <si>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</si>
  <si>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</si>
  <si>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</si>
  <si>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 xml:space="preserve">Control de cambios </t>
  </si>
  <si>
    <t>el registra la actualización de los riesgos a partir de 2023</t>
  </si>
  <si>
    <t>Versión inicial</t>
  </si>
  <si>
    <t>tipo de riesgos</t>
  </si>
  <si>
    <t>Fecha de cambio</t>
  </si>
  <si>
    <t>Aspecto(s) que cambiaron</t>
  </si>
  <si>
    <t>Descripción de los cambios efectuados</t>
  </si>
  <si>
    <t>2024 -v1</t>
  </si>
  <si>
    <t>Riesgos de Gestión</t>
  </si>
  <si>
    <t>Causa inmediata y 2° control</t>
  </si>
  <si>
    <t>Ajuste en la redacción de la causa inmediata y adición del segundo control</t>
  </si>
  <si>
    <t xml:space="preserve">DIRECCIONAMIENTO ESTRATÉGICO </t>
  </si>
  <si>
    <t>COMUNICACIONES ESTRATÉGICAS</t>
  </si>
  <si>
    <t>SERVICIO A LA CIUDADANÍA Y RELACIONAMIENTO CON PARTES INTERESADAS</t>
  </si>
  <si>
    <t>ESTRATEGIA Y GOBIERNO DE TI</t>
  </si>
  <si>
    <t xml:space="preserve">PLANIFICACIÓN DE LA CONSERVACIÓN DE LA INFRAESTRUCTURA </t>
  </si>
  <si>
    <t>GESTIÓN DE LABORATORIO</t>
  </si>
  <si>
    <t>PRODUCCIÓN DE MEZCLA</t>
  </si>
  <si>
    <t>LOGÍSTICA Y MANEJO DE LA MAQUINARIA Y EQUIPO</t>
  </si>
  <si>
    <t xml:space="preserve">INTERVENCIÓN DE LA INFRAESTRUCTURA </t>
  </si>
  <si>
    <t>DESARROLLO MISIONAL Y COMERCIALIZACIÓN</t>
  </si>
  <si>
    <t>GESTIÓN JURÍDICA</t>
  </si>
  <si>
    <t>GESTIÓN CONTRACTUAL</t>
  </si>
  <si>
    <t>GESTIÓN FINANCIERA</t>
  </si>
  <si>
    <t>GESTIÓN DOCUMENTAL</t>
  </si>
  <si>
    <t xml:space="preserve">GESTIÓN DE RECURSOS FÍSICOS </t>
  </si>
  <si>
    <t>GESTIÓN DE TALENTO HUMANO</t>
  </si>
  <si>
    <t>GESTIÓN AMBIENTAL</t>
  </si>
  <si>
    <t>CONTROL DISCIPLINARIO INTERNO</t>
  </si>
  <si>
    <t>CONTROL Y  EVALUACIÓN INSTITUCIONAL</t>
  </si>
  <si>
    <t>SEGUIMIENTO Y MONITOREO DE CALIDAD TÉCNICA</t>
  </si>
  <si>
    <t>7858 Conservación de la Malla Vial Distrital y Cicloinfraestructura de Bogotá</t>
  </si>
  <si>
    <t xml:space="preserve">7859 Fortalecimiento Institucional </t>
  </si>
  <si>
    <t>7860 Fortalecimiento de los componentes de TI para la transformación digital</t>
  </si>
  <si>
    <t>7903 Apoyo a la adecuación y conservación del espacio público de Bogotá</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</si>
  <si>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</si>
  <si>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</si>
  <si>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</si>
  <si>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</si>
  <si>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</si>
  <si>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</si>
  <si>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</si>
  <si>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</si>
  <si>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</si>
  <si>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</si>
  <si>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</si>
  <si>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</si>
  <si>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</si>
  <si>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</si>
  <si>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</si>
  <si>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</si>
  <si>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</si>
  <si>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</si>
  <si>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</si>
  <si>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</si>
  <si>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</si>
  <si>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</si>
  <si>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</si>
  <si>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</si>
  <si>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</si>
  <si>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</si>
  <si>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</si>
  <si>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</si>
  <si>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Posibilidad de afectación económica</t>
  </si>
  <si>
    <t>Verifica</t>
  </si>
  <si>
    <t>Evitar</t>
  </si>
  <si>
    <t>Posibilidad de afectación reputacional</t>
  </si>
  <si>
    <t>Valida</t>
  </si>
  <si>
    <t>Reducir (compartir)</t>
  </si>
  <si>
    <t>Posibilidad de afectación Económica y Reputacional</t>
  </si>
  <si>
    <t>Coteja</t>
  </si>
  <si>
    <t>Reducir (mitigar)</t>
  </si>
  <si>
    <t>Posibilidad de efecto dañosos sobre bienes</t>
  </si>
  <si>
    <t>Compara</t>
  </si>
  <si>
    <t>Posibilidad de efecto dañosos sobre recursos</t>
  </si>
  <si>
    <t>Revisa</t>
  </si>
  <si>
    <t>Posibilidad de efecto dañosos sobre interes a patrimonio</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</si>
  <si>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</si>
  <si>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</si>
  <si>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</si>
  <si>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</si>
  <si>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</si>
  <si>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</si>
  <si>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</si>
  <si>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</si>
  <si>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</si>
  <si>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</si>
  <si>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Ejecucion y Administracion de procesos</t>
  </si>
  <si>
    <t>4.Mejorar las condiciones de Infraestructura que permitan el uso y disfrute del espacio público en Bogotá D.C.</t>
  </si>
  <si>
    <t xml:space="preserve">Gestión </t>
  </si>
  <si>
    <r>
      <t>Ejecución y administración de procesos</t>
    </r>
    <r>
      <rPr>
        <sz val="9"/>
        <color rgb="FF548DD4"/>
        <rFont val="Arial"/>
        <family val="2"/>
      </rPr>
      <t> </t>
    </r>
  </si>
  <si>
    <t>Relaciones Laborales</t>
  </si>
  <si>
    <t>NA</t>
  </si>
  <si>
    <r>
      <t>Fallas tecnológicas</t>
    </r>
    <r>
      <rPr>
        <sz val="9"/>
        <color rgb="FF548DD4"/>
        <rFont val="Arial"/>
        <family val="2"/>
      </rPr>
      <t> </t>
    </r>
  </si>
  <si>
    <t>Proyecto de inversión</t>
  </si>
  <si>
    <r>
      <t>Relaciones laborales</t>
    </r>
    <r>
      <rPr>
        <sz val="9"/>
        <color rgb="FF548DD4"/>
        <rFont val="Arial"/>
        <family val="2"/>
      </rPr>
      <t> </t>
    </r>
  </si>
  <si>
    <r>
      <t>Usuarios, productos y prácticas</t>
    </r>
    <r>
      <rPr>
        <sz val="9"/>
        <color rgb="FF548DD4"/>
        <rFont val="Arial"/>
        <family val="2"/>
      </rPr>
      <t> </t>
    </r>
  </si>
  <si>
    <r>
      <t>Daños a activos fijos/ eventos externos</t>
    </r>
    <r>
      <rPr>
        <sz val="9"/>
        <color rgb="FF548DD4"/>
        <rFont val="Arial"/>
        <family val="2"/>
      </rPr>
      <t> </t>
    </r>
  </si>
  <si>
    <r>
      <t>Fiscal</t>
    </r>
    <r>
      <rPr>
        <sz val="9"/>
        <color rgb="FF548DD4"/>
        <rFont val="Arial"/>
        <family val="2"/>
      </rPr>
      <t> </t>
    </r>
  </si>
  <si>
    <t>Corrupción</t>
  </si>
  <si>
    <t>Fraude Externo</t>
  </si>
  <si>
    <t>Fraude Interno</t>
  </si>
  <si>
    <t>Soborno</t>
  </si>
  <si>
    <t>seguridad</t>
  </si>
  <si>
    <t xml:space="preserve">Por Pérdida de la integridad </t>
  </si>
  <si>
    <t xml:space="preserve">Por Pérdida de la confidencialidad </t>
  </si>
  <si>
    <t xml:space="preserve">Por Pérdida de la disponibilidad </t>
  </si>
  <si>
    <t>LA/FT</t>
  </si>
  <si>
    <t>Riesgo reputacional</t>
  </si>
  <si>
    <t>Riesgo legal</t>
  </si>
  <si>
    <t>Riesgo operativo</t>
  </si>
  <si>
    <t>Riesgo de contagio</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</si>
  <si>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</si>
  <si>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</si>
  <si>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</si>
  <si>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</si>
  <si>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</si>
  <si>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</si>
  <si>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</si>
  <si>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</si>
  <si>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</si>
  <si>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</si>
  <si>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</si>
  <si>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</si>
  <si>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</si>
  <si>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</si>
  <si>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</si>
  <si>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</si>
  <si>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</si>
  <si>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</si>
  <si>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</si>
  <si>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</si>
  <si>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</si>
  <si>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</si>
  <si>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</si>
  <si>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</si>
  <si>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</si>
  <si>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</si>
  <si>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</si>
  <si>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</si>
  <si>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</si>
  <si>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</si>
  <si>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</si>
  <si>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</si>
  <si>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</si>
  <si>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</si>
  <si>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</si>
  <si>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</si>
  <si>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</si>
  <si>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</si>
  <si>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</si>
  <si>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</si>
  <si>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</si>
  <si>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</si>
  <si>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</si>
  <si>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</si>
  <si>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</si>
  <si>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</si>
  <si>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</si>
  <si>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</si>
  <si>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</si>
  <si>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</si>
  <si>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</si>
  <si>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</si>
  <si>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</si>
  <si>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</si>
  <si>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DES-FM-018</t>
  </si>
  <si>
    <t>VERSIÓN: 1</t>
  </si>
  <si>
    <t>FECHA DE APLICACIÓN: OCTUBRE 2023</t>
  </si>
  <si>
    <t>Proceso y/o proyecto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</si>
  <si>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</si>
  <si>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</si>
  <si>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</si>
  <si>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</si>
  <si>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</si>
  <si>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</si>
  <si>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</si>
  <si>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</si>
  <si>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</si>
  <si>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</si>
  <si>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</si>
  <si>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¿QUÉ?
Impacto</t>
  </si>
  <si>
    <r>
      <t>¿CÓMO? 
Causa Inmediata
(</t>
    </r>
    <r>
      <rPr>
        <sz val="12"/>
        <rFont val="Arial"/>
        <family val="2"/>
      </rPr>
      <t>Iniciar con la palabra por</t>
    </r>
    <r>
      <rPr>
        <b/>
        <sz val="12"/>
        <rFont val="Arial"/>
        <family val="2"/>
      </rPr>
      <t>)</t>
    </r>
  </si>
  <si>
    <r>
      <t>¿PORQUÉ? 
Causa Raíz
(</t>
    </r>
    <r>
      <rPr>
        <sz val="12"/>
        <rFont val="Arial"/>
        <family val="2"/>
      </rPr>
      <t>Iniciar con la debido a</t>
    </r>
    <r>
      <rPr>
        <b/>
        <sz val="12"/>
        <rFont val="Arial"/>
        <family val="2"/>
      </rPr>
      <t>)</t>
    </r>
  </si>
  <si>
    <t>Punto de riesgo
Actividad clave o fase del proyecto</t>
  </si>
  <si>
    <r>
      <t xml:space="preserve">Descripción del Riesgo
</t>
    </r>
    <r>
      <rPr>
        <sz val="12"/>
        <rFont val="Arial"/>
        <family val="2"/>
      </rPr>
      <t>Esta columna se diligencia sola</t>
    </r>
  </si>
  <si>
    <t>Internas</t>
  </si>
  <si>
    <t>Externas</t>
  </si>
  <si>
    <t>Efectos (Consecuencias)</t>
  </si>
  <si>
    <t>No. veces que realiza la actividad al año</t>
  </si>
  <si>
    <t>Probabilidad Inherente</t>
  </si>
  <si>
    <t>%</t>
  </si>
  <si>
    <t>Criterios de impacto</t>
  </si>
  <si>
    <t>Observación de criterio</t>
  </si>
  <si>
    <t>Impacto 
Inherente</t>
  </si>
  <si>
    <t>Severidad (Nivel de riesgo)</t>
  </si>
  <si>
    <t>No. Control</t>
  </si>
  <si>
    <t>Atributos</t>
  </si>
  <si>
    <t>Probabilidad Residual</t>
  </si>
  <si>
    <t>Probabilidad Residual Final</t>
  </si>
  <si>
    <t>Impacto Residual Final</t>
  </si>
  <si>
    <t>Zona de Riesgo Final</t>
  </si>
  <si>
    <t>Descripción de la acción basado en el analisis de causas</t>
  </si>
  <si>
    <t>Responsable
(Cargo)</t>
  </si>
  <si>
    <t>Producto</t>
  </si>
  <si>
    <t xml:space="preserve">Fecha o fechas de finalización </t>
  </si>
  <si>
    <t>Acción</t>
  </si>
  <si>
    <t>Responsable</t>
  </si>
  <si>
    <t>Objetivo Institucional  asociado</t>
  </si>
  <si>
    <t xml:space="preserve">Proyecto de Inversión asociado </t>
  </si>
  <si>
    <t>Complemento:  (periodicidad, cómo se realiza, evidencia y desviación)</t>
  </si>
  <si>
    <t>Tipo</t>
  </si>
  <si>
    <t>Implementación</t>
  </si>
  <si>
    <t>Calificación</t>
  </si>
  <si>
    <t>Documentación</t>
  </si>
  <si>
    <t>Frecuencia</t>
  </si>
  <si>
    <t>Evidencia</t>
  </si>
  <si>
    <t>Ejecución y administración de procesos </t>
  </si>
  <si>
    <t>Desconocimiento de los canales de comunicación interna y la forma de acceder a ellos</t>
  </si>
  <si>
    <t>Insatisfacción de los procesos y desconocimiento de la información generada por la entidad</t>
  </si>
  <si>
    <t xml:space="preserve">     El riesgo afecta la imagen de la entidad internamente, de conocimiento general, nivel interno, de junta dircetiva y accionistas y/o de provedores</t>
  </si>
  <si>
    <t>Profesional Equipo de Comunicaciones y la jefe de Comunicaciones</t>
  </si>
  <si>
    <t>Preventivo</t>
  </si>
  <si>
    <t>Manual</t>
  </si>
  <si>
    <t>Documentado</t>
  </si>
  <si>
    <t>Continua</t>
  </si>
  <si>
    <t>Con Registro</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</si>
  <si>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</si>
  <si>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</si>
  <si>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</si>
  <si>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</si>
  <si>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</si>
  <si>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</si>
  <si>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</si>
  <si>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</si>
  <si>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</si>
  <si>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</si>
  <si>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</si>
  <si>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</si>
  <si>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</si>
  <si>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</si>
  <si>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</si>
  <si>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</si>
  <si>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</si>
  <si>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r>
      <t>¿CÓMO? 
Causa Inmediata
(</t>
    </r>
    <r>
      <rPr>
        <sz val="12"/>
        <rFont val="Arial"/>
        <family val="2"/>
      </rPr>
      <t>Iniciar con la palabra por</t>
    </r>
    <r>
      <rPr>
        <b/>
        <sz val="12"/>
        <rFont val="Arial"/>
        <family val="2"/>
      </rPr>
      <t xml:space="preserve">) y contener Acción Omisión + Uso Del Poder + Desviación De La Gestión De
Lo Público </t>
    </r>
  </si>
  <si>
    <r>
      <t>¿PORQUÉ? 
Causa Raíz
(</t>
    </r>
    <r>
      <rPr>
        <sz val="12"/>
        <rFont val="Arial"/>
        <family val="2"/>
      </rPr>
      <t>Iniciar con la debido a</t>
    </r>
    <r>
      <rPr>
        <b/>
        <sz val="12"/>
        <rFont val="Arial"/>
        <family val="2"/>
      </rPr>
      <t>)
  Beneficio privado</t>
    </r>
  </si>
  <si>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</si>
  <si>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</si>
  <si>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</si>
  <si>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</si>
  <si>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</si>
  <si>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</si>
  <si>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</si>
  <si>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</si>
  <si>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</si>
  <si>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</si>
  <si>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</si>
  <si>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</si>
  <si>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</si>
  <si>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</si>
  <si>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</si>
  <si>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</si>
  <si>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</si>
  <si>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</si>
  <si>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</si>
  <si>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</si>
  <si>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</si>
  <si>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</si>
  <si>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</si>
  <si>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</si>
  <si>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</si>
  <si>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</si>
  <si>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</si>
  <si>
    <t>El equivalente para seleccionar en Criterios de impacto es:</t>
  </si>
  <si>
    <t xml:space="preserve">     El riesgo afecta la imagen de la entidad con algunos usuarios de relevancia frente al logro de los objetivos</t>
  </si>
  <si>
    <t xml:space="preserve">Responder afirmativamente de 6 a 11 preguntas genera un impacto Mayor </t>
  </si>
  <si>
    <t xml:space="preserve">     El riesgo afecta la imagen de de la entidad con efecto publicitario sostenido a nivel de sector administrativo, nivel departamental o municipal</t>
  </si>
  <si>
    <t>Responder afirmativamente de 12 a 19 preguntas genera un impacto Catastrófico.</t>
  </si>
  <si>
    <t xml:space="preserve">     El riesgo afecta la imagen de la entidad a nivel nacional, con efecto publicitarios sostenible a nivel país</t>
  </si>
  <si>
    <r>
      <t>¿CÓMO? 
Causa Inmediata
(Seleccionar en lista:</t>
    </r>
    <r>
      <rPr>
        <sz val="12"/>
        <rFont val="Arial"/>
        <family val="2"/>
      </rPr>
      <t xml:space="preserve"> por perdida integridad-disponibilidad-confiencialidad</t>
    </r>
    <r>
      <rPr>
        <b/>
        <sz val="12"/>
        <rFont val="Arial"/>
        <family val="2"/>
      </rPr>
      <t>)</t>
    </r>
  </si>
  <si>
    <r>
      <t>¿PORQUÉ? 
Causa Raíz
(</t>
    </r>
    <r>
      <rPr>
        <sz val="12"/>
        <rFont val="Arial"/>
        <family val="2"/>
      </rPr>
      <t>Iniciar con el activo evaluado en criticoy continual debido a</t>
    </r>
    <r>
      <rPr>
        <b/>
        <sz val="12"/>
        <rFont val="Arial"/>
        <family val="2"/>
      </rPr>
      <t>)</t>
    </r>
  </si>
  <si>
    <t>Tipo de activo</t>
  </si>
  <si>
    <t>Activo de información</t>
  </si>
  <si>
    <t>Tipo de amenaza</t>
  </si>
  <si>
    <t>Amenaza</t>
  </si>
  <si>
    <t>Tipologia de Riesgo</t>
  </si>
  <si>
    <t xml:space="preserve">Impacto </t>
  </si>
  <si>
    <t>Reputacional</t>
  </si>
  <si>
    <t>Legal</t>
  </si>
  <si>
    <t>Operativo</t>
  </si>
  <si>
    <t>Contagio</t>
  </si>
  <si>
    <t>Leve 20%</t>
  </si>
  <si>
    <t>EL riesgo afecta la imagen de alguna dependencia de la entidad</t>
  </si>
  <si>
    <t>Cumplimiento parcial de procesos, procedimientos y políticas operacionales</t>
  </si>
  <si>
    <t>Afecta levemente las operaciones de una dependencia o grupo de la entidad</t>
  </si>
  <si>
    <t>Causado por un tercero interesado en un contrato con la entidad</t>
  </si>
  <si>
    <t xml:space="preserve">Menor 40% </t>
  </si>
  <si>
    <t>EL riesgo afecta la imagen de   la entidad internamente, de conocimiento general nivel interno, de junta directiva y/o proveedores</t>
  </si>
  <si>
    <t xml:space="preserve">Cumplimiento parcial de normas internas establecidas (Resoluciones, Circulares y otras directrices)    </t>
  </si>
  <si>
    <t>Sustancialmente afecta la operaciones de una dependencia o grupo de la entidad</t>
  </si>
  <si>
    <t>Causado por un usuario de la entidad</t>
  </si>
  <si>
    <t>Moderado 60%</t>
  </si>
  <si>
    <t>EL riesgo afecta la imagen de   la entidad con algunos usuarios de relevancia frente al logro de los objetivos</t>
  </si>
  <si>
    <t>Cumplimiento parcial de legislación vigente aplicable a la Entidad</t>
  </si>
  <si>
    <t>Afecta durante un día la prestación de servicio ofrecido por la entidad</t>
  </si>
  <si>
    <t>Causado por un proveedor, contratista o funcionario de la entidad</t>
  </si>
  <si>
    <t>Mayor 80%</t>
  </si>
  <si>
    <t>EL riesgo afecta la imagen de   la entidad con efecto publicitario sostenido a nivel sector</t>
  </si>
  <si>
    <t>Incumplimiento de legislación vigente aplicable a la Entidad</t>
  </si>
  <si>
    <t>Afecta la continuidad de las operaciones de una dependencia o un grupo de la entidad durante 15 días</t>
  </si>
  <si>
    <t>Causado por un Director, Subdirector o funcionario de libre nombramiento y remoción de la entidad</t>
  </si>
  <si>
    <t>Catastrófico 100%</t>
  </si>
  <si>
    <t>EL riesgo afecta la imagen de   la entidad a nivel nacional, con efecto publicitario sostenido a nivel País</t>
  </si>
  <si>
    <t>Incumplimiento de acuerdos u obligaciones nacionales o internacionales</t>
  </si>
  <si>
    <t>Afecta la continuidad de las operaciones de una dependencia o un grupo de la entidad por un mes</t>
  </si>
  <si>
    <t>Causado por un Gerente publico o Adminitración del Distrito Capital de la entidad</t>
  </si>
  <si>
    <t>Tabla Criterios para definir el nivel de impacto</t>
  </si>
  <si>
    <t>Afectación Económica (o presupuestal)</t>
  </si>
  <si>
    <t>Pérdida Reputacional</t>
  </si>
  <si>
    <t xml:space="preserve">Equivalente </t>
  </si>
  <si>
    <t>Insignificante</t>
  </si>
  <si>
    <t xml:space="preserve">Afectación menor a 130 SMLMV </t>
  </si>
  <si>
    <t>El riesgo afecta la imagen de alguna área de la organización</t>
  </si>
  <si>
    <t>Menor</t>
  </si>
  <si>
    <t xml:space="preserve">Entre 130 y 650 SMLMV </t>
  </si>
  <si>
    <t>El riesgo afecta la imagen de la entidad internamente, de conocimiento general, nivel interno, de junta dircetiva y accionistas y/o de provedores</t>
  </si>
  <si>
    <t xml:space="preserve">Entre 650 y 1300 SMLMV </t>
  </si>
  <si>
    <t>El riesgo afecta la imagen de la entidad con algunos usuarios de relevancia frente al logro de los objetivos</t>
  </si>
  <si>
    <t>Mayor</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</si>
  <si>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</si>
  <si>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</si>
  <si>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</si>
  <si>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</si>
  <si>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</si>
  <si>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</si>
  <si>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</si>
  <si>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</si>
  <si>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</si>
  <si>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</si>
  <si>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Entre 650 y 1300 SMLMV </t>
  </si>
  <si>
    <t xml:space="preserve">     Entre 1300 y 6500 SMLMV </t>
  </si>
  <si>
    <t xml:space="preserve">     Mayor a 6500 SMLMV </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</si>
  <si>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</si>
  <si>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</si>
  <si>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</si>
  <si>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</si>
  <si>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</si>
  <si>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</si>
  <si>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</si>
  <si>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</si>
  <si>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Leve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</si>
  <si>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</si>
  <si>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</si>
  <si>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</si>
  <si>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</si>
  <si>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</si>
  <si>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</si>
  <si>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</si>
  <si>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</si>
  <si>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</si>
  <si>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</si>
  <si>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</si>
  <si>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</si>
  <si>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Tipo </t>
  </si>
  <si>
    <t>Clasificación </t>
  </si>
  <si>
    <t>Descripción </t>
  </si>
  <si>
    <t>Gestión</t>
  </si>
  <si>
    <t>Gestión </t>
  </si>
  <si>
    <r>
      <t>Ejecución y administración de procesos</t>
    </r>
    <r>
      <rPr>
        <sz val="9"/>
        <rFont val="Arial"/>
        <family val="2"/>
      </rPr>
      <t> </t>
    </r>
  </si>
  <si>
    <r>
      <t>Pérdidas derivadas de errores en la ejecución y administración de procesos.</t>
    </r>
    <r>
      <rPr>
        <b/>
        <sz val="9"/>
        <rFont val="Arial"/>
        <family val="2"/>
      </rPr>
      <t> </t>
    </r>
  </si>
  <si>
    <r>
      <t>Fallas tecnológicas</t>
    </r>
    <r>
      <rPr>
        <sz val="9"/>
        <rFont val="Arial"/>
        <family val="2"/>
      </rPr>
      <t> </t>
    </r>
  </si>
  <si>
    <r>
      <t>Errores en hardware, software, telecomunicaciones, interrupción de servicios básicos.</t>
    </r>
    <r>
      <rPr>
        <b/>
        <sz val="9"/>
        <rFont val="Arial"/>
        <family val="2"/>
      </rPr>
      <t> </t>
    </r>
  </si>
  <si>
    <t>Seguridad Digital</t>
  </si>
  <si>
    <r>
      <t>Relaciones laborales</t>
    </r>
    <r>
      <rPr>
        <sz val="9"/>
        <rFont val="Arial"/>
        <family val="2"/>
      </rPr>
      <t> </t>
    </r>
  </si>
  <si>
    <r>
      <t>Pérdidas que surgen de acciones contrarias a las leyes o acuerdos de empleo, salud o seguridad, del pago de demandas por daños personales o de discriminación.</t>
    </r>
    <r>
      <rPr>
        <b/>
        <sz val="9"/>
        <rFont val="Arial"/>
        <family val="2"/>
      </rPr>
      <t> </t>
    </r>
  </si>
  <si>
    <r>
      <t>Usuarios, productos y prácticas</t>
    </r>
    <r>
      <rPr>
        <sz val="9"/>
        <rFont val="Arial"/>
        <family val="2"/>
      </rPr>
      <t> </t>
    </r>
  </si>
  <si>
    <r>
      <t>Fallas negligentes o involuntarias de las obligaciones frente a los usuarios y que impiden satisfacer una obligación profesional frente a éstos.</t>
    </r>
    <r>
      <rPr>
        <b/>
        <sz val="9"/>
        <rFont val="Arial"/>
        <family val="2"/>
      </rPr>
      <t> </t>
    </r>
  </si>
  <si>
    <r>
      <t>Daños a activos fijos/ eventos externos</t>
    </r>
    <r>
      <rPr>
        <sz val="9"/>
        <rFont val="Arial"/>
        <family val="2"/>
      </rPr>
      <t> </t>
    </r>
  </si>
  <si>
    <r>
      <t>Pérdida por daños o extravíos de los activos fijos por desastres naturales u otros riesgos/eventos externos como atentados, vandalismo, orden público.</t>
    </r>
    <r>
      <rPr>
        <b/>
        <sz val="9"/>
        <rFont val="Arial"/>
        <family val="2"/>
      </rPr>
      <t> </t>
    </r>
  </si>
  <si>
    <r>
      <t>Fiscal</t>
    </r>
    <r>
      <rPr>
        <sz val="9"/>
        <rFont val="Arial"/>
        <family val="2"/>
      </rPr>
      <t> </t>
    </r>
  </si>
  <si>
    <r>
      <t>Efecto dañoso sobre recursos públicos o bienes o intereses patrimoniales de naturaleza pública, a causa de un evento potencial.</t>
    </r>
    <r>
      <rPr>
        <b/>
        <sz val="9"/>
        <rFont val="Arial"/>
        <family val="2"/>
      </rPr>
      <t> </t>
    </r>
  </si>
  <si>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</si>
  <si>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</si>
  <si>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</si>
  <si>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</si>
  <si>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</si>
  <si>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Es la posibilidad de pérdida, disminución de ingresos o incremento en procesos judiciales en que incurre una entidad por desprestigio, mala imagen, publicidad negativa respecto de la institución y sus prácticas de negocios.</t>
  </si>
  <si>
    <t>Riesgo legal:</t>
  </si>
  <si>
    <t>Es la posibilidad de pérdida en que incurre una entidad por sanciones o indemnizaciones de daños como resultado del incumplimiento normativo o de obligaciones contractuales. Se presenta de igual forma cuando existen fallas en los contratos y transacciones por actuaciones, negligencia o actos involuntarios.</t>
  </si>
  <si>
    <t>Riesgo operativo:</t>
  </si>
  <si>
    <t>Es la posibilidad de incurrir en pérdidas por fallas, deficiencias o inadecuaciones, en el recurso humano, los procesos, la tecnología, la infraestructura o por la ocurrencia de eventos externos.</t>
  </si>
  <si>
    <t>Riesgo de contagio:</t>
  </si>
  <si>
    <t>Es la posibilidad de pérdida en que incurre una entidad por una acción o experiencia de un vinculado, entendido este como el relacionado o asociado, incluyendo a las personas naturales y/o jurídicas que ejercen influencia sobre la entidad.</t>
  </si>
  <si>
    <t xml:space="preserve">Pérdida de la confidencialidad </t>
  </si>
  <si>
    <t>Determina que la información no esté disponible ni sea revelada a individuos, entidades o procesos no autorizados.</t>
  </si>
  <si>
    <t xml:space="preserve">Pérdida de la integridad </t>
  </si>
  <si>
    <t>Determina la exactitud y completitud de la información, permitiendo que la información sea precisa, coherente y completa desde su creación hasta su destrucción.</t>
  </si>
  <si>
    <t xml:space="preserve">Pérdida de la disponibilidad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</si>
  <si>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</si>
  <si>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</si>
  <si>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</si>
  <si>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</si>
  <si>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</si>
  <si>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</si>
  <si>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</si>
  <si>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</si>
  <si>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</si>
  <si>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</si>
  <si>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</si>
  <si>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</si>
  <si>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</si>
  <si>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</si>
  <si>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</si>
  <si>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</si>
  <si>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</si>
  <si>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</si>
  <si>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</si>
  <si>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</si>
  <si>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</si>
  <si>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</si>
  <si>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</si>
  <si>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</si>
  <si>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</si>
  <si>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</si>
  <si>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</si>
  <si>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</si>
  <si>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</si>
  <si>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</si>
  <si>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</si>
  <si>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</si>
  <si>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</si>
  <si>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</si>
  <si>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</si>
  <si>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</si>
  <si>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</si>
  <si>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</si>
  <si>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</si>
  <si>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</si>
  <si>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</si>
  <si>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 xml:space="preserve">Por requerimientos de entes de control y de los procesos internos de la entidad </t>
  </si>
  <si>
    <t>Citar a Consejo de Redacción extraordinario donde se tomen las acciones necesarias.</t>
  </si>
  <si>
    <t>Jefe de Comunicaciones</t>
  </si>
  <si>
    <t>Publicación de información relevante para mantener informados a los colaboradores y a la ciudadanía</t>
  </si>
  <si>
    <t>Noticias negativas en medios de comunicación</t>
  </si>
  <si>
    <t xml:space="preserve">Fortalecer la comunicación interna y externa bajo los lineamientos del manual de comunicaciones de la Entidad, con el fin de visibilizar el cumplimiento de las actividades misionales de la Unidad Administrativa Especial de Rehabilitación y Mantenimiento Vial a los grupos de valor identificados. </t>
  </si>
  <si>
    <t>Acta de reunión del consejo de redacción extraordinario</t>
  </si>
  <si>
    <t xml:space="preserve">Debido a deficiencias en la publicación de información, ya sea desactualizada o incorrecta, lo que genera comunicación inexacta hacia los colaboradores y ciudadanía.
Baja capacidad de las dependencias para interrelacionar las necesidades de divulgación y comunicación.
Desconocimiento de los canales de comunicación interna y la forma de acceder a ellos, asi como el apoyo que  prestar el equipo de comunicaciones </t>
  </si>
  <si>
    <t>El proceso de Comunicaciones Estratégicas inicia con la elaboración del Plan Estratégico de Comunicaciones. Este plan establece los lineamientos para el diseño, gestión y ejecución de las actividades de comunicación de la entidad, en consonancia con los lineamientos institucionales y distritales. Tiene como finalidad fortalecer y mejorar la divulgación de la gestión realizada por la Entidad hacia los grupos de valor identificados mediante los canales de comunicación tanto internos como externos.</t>
  </si>
  <si>
    <t xml:space="preserve">Bimestralmente dentro del consejo de redacción, que se estén  llevando a cabo las actividades asociadas a la divulgación del manejo del Aplicativo de Comunicaciones. Como evidencia quedarán las actas de reunión del consejo de redacción. 
En caso de evidenciar que las actividades presenten demoras en su ejecución, se generará la alerta de tal forma que se pueda reprogramar, sin superar 15 dias calendario siguiente a la reunión. </t>
  </si>
  <si>
    <t xml:space="preserve">Trimestralmente dentro del consejo de redacción, la Publicación de piezas de invitación para la utilización de los canales de comunicación existentes en la entidad. Como evidencia quedarán las actas de reunión del consejo de redacción. 
En caso de evidenciar que las actividades presenten demoras en su ejecución, se realizará la publicación de las piezas, sin superar los 8 dias calendario siguientes a la finalización del trimestre. Como soporte quedarán capturas de pantalla, piezas gráficas o fotografías.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</si>
</sst>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105"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b/>
      <sz val="9"/>
      <color rgb="FF548DD4"/>
      <name val="Arial"/>
      <family val="2"/>
    </font>
    <font>
      <sz val="9"/>
      <color rgb="FF548DD4"/>
      <name val="Arial"/>
      <family val="2"/>
    </font>
    <font>
      <b/>
      <sz val="9"/>
      <name val="Arial"/>
      <family val="2"/>
    </font>
    <font>
      <sz val="9"/>
      <name val="Arial"/>
      <family val="2"/>
    </font>
    <font>
      <sz val="11"/>
      <name val="Arial"/>
      <family val="2"/>
    </font>
    <font>
      <sz val="8"/>
      <color theme="1"/>
      <name val="Calibri"/>
      <family val="2"/>
      <scheme val="minor"/>
    </font>
    <font>
      <sz val="14"/>
      <color rgb="FF000000"/>
      <name val="Arial Narrow"/>
      <family val="2"/>
    </font>
    <font>
      <sz val="14"/>
      <color rgb="FFFFFFFF"/>
      <name val="Arial Narrow"/>
      <family val="2"/>
    </font>
    <font>
      <sz val="11"/>
      <color rgb="FF030303"/>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theme="1"/>
      <name val="Arial Narrow"/>
      <family val="2"/>
    </font>
    <font>
      <b/>
      <sz val="10"/>
      <color rgb="FF000000"/>
      <name val="Arial Narrow"/>
      <family val="2"/>
    </font>
    <font>
      <sz val="10"/>
      <color rgb="FFFFFFFF"/>
      <name val="Arial Narrow"/>
      <family val="2"/>
    </font>
  </fonts>
  <fills count="3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AEEF3"/>
        <bgColor indexed="64"/>
      </patternFill>
    </fill>
    <fill>
      <patternFill patternType="solid">
        <fgColor rgb="FF4BACC6"/>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11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medium">
        <color rgb="FF92CDDC"/>
      </bottom>
      <diagonal/>
    </border>
  </borders>
  <cellStyleXfs count="7">
    <xf numFmtId="0" fontId="0" fillId="0" borderId="0"/>
    <xf numFmtId="9" fontId="12" fillId="0" borderId="0" applyFont="0" applyFill="0" applyBorder="0" applyAlignment="0" applyProtection="0"/>
    <xf numFmtId="0" fontId="41" fillId="0" borderId="0"/>
    <xf numFmtId="0" fontId="42"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62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7" fillId="6" borderId="0" xfId="0" applyFont="1" applyFill="1" applyAlignment="1">
      <alignment horizontal="center" vertical="center" wrapText="1" readingOrder="1"/>
    </xf>
    <xf numFmtId="0" fontId="28" fillId="5" borderId="4" xfId="0" applyFont="1" applyFill="1" applyBorder="1" applyAlignment="1">
      <alignment horizontal="center" vertical="center" wrapText="1" readingOrder="1"/>
    </xf>
    <xf numFmtId="0" fontId="28" fillId="7" borderId="1"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8" fillId="0" borderId="4"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3" fillId="3" borderId="40" xfId="2" applyFont="1" applyFill="1" applyBorder="1"/>
    <xf numFmtId="0" fontId="43" fillId="3" borderId="41" xfId="2" applyFont="1" applyFill="1" applyBorder="1"/>
    <xf numFmtId="0" fontId="43" fillId="3" borderId="42" xfId="2" applyFont="1" applyFill="1" applyBorder="1"/>
    <xf numFmtId="0" fontId="14" fillId="3" borderId="0" xfId="0" applyFont="1" applyFill="1" applyAlignment="1">
      <alignment vertical="center"/>
    </xf>
    <xf numFmtId="0" fontId="4" fillId="3" borderId="0" xfId="0" applyFont="1" applyFill="1"/>
    <xf numFmtId="0" fontId="31" fillId="3" borderId="0" xfId="0" applyFont="1" applyFill="1"/>
    <xf numFmtId="0" fontId="32" fillId="3" borderId="23" xfId="0" applyFont="1" applyFill="1" applyBorder="1" applyAlignment="1">
      <alignment horizontal="center" vertical="center" wrapText="1" readingOrder="1"/>
    </xf>
    <xf numFmtId="0" fontId="33" fillId="3" borderId="23" xfId="0" applyFont="1" applyFill="1" applyBorder="1" applyAlignment="1">
      <alignment horizontal="justify" vertical="center" wrapText="1" readingOrder="1"/>
    </xf>
    <xf numFmtId="9" fontId="32" fillId="3" borderId="32" xfId="0" applyNumberFormat="1"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3" fillId="3" borderId="22" xfId="0" applyFont="1" applyFill="1" applyBorder="1" applyAlignment="1">
      <alignment horizontal="justify" vertical="center" wrapText="1" readingOrder="1"/>
    </xf>
    <xf numFmtId="9" fontId="32" fillId="3" borderId="27" xfId="0" applyNumberFormat="1" applyFont="1" applyFill="1" applyBorder="1" applyAlignment="1">
      <alignment horizontal="center" vertical="center" wrapText="1" readingOrder="1"/>
    </xf>
    <xf numFmtId="0" fontId="33" fillId="3" borderId="27"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33" fillId="3" borderId="29" xfId="0" applyFont="1" applyFill="1" applyBorder="1" applyAlignment="1">
      <alignment horizontal="justify" vertical="center" wrapText="1" readingOrder="1"/>
    </xf>
    <xf numFmtId="0" fontId="33" fillId="3" borderId="30" xfId="0" applyFont="1" applyFill="1" applyBorder="1" applyAlignment="1">
      <alignment horizontal="center" vertical="center" wrapText="1" readingOrder="1"/>
    </xf>
    <xf numFmtId="0" fontId="40" fillId="3" borderId="0" xfId="0" applyFont="1" applyFill="1"/>
    <xf numFmtId="0" fontId="32" fillId="15" borderId="34" xfId="0" applyFont="1" applyFill="1" applyBorder="1" applyAlignment="1">
      <alignment horizontal="center" vertical="center" wrapText="1" readingOrder="1"/>
    </xf>
    <xf numFmtId="0" fontId="32"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3" fillId="3" borderId="7" xfId="2" applyFont="1" applyFill="1" applyBorder="1"/>
    <xf numFmtId="0" fontId="48" fillId="3" borderId="0" xfId="0" applyFont="1" applyFill="1" applyAlignment="1">
      <alignment horizontal="left" vertical="center" wrapText="1"/>
    </xf>
    <xf numFmtId="0" fontId="49" fillId="3" borderId="0" xfId="0" applyFont="1" applyFill="1" applyAlignment="1">
      <alignment horizontal="left" vertical="top" wrapText="1"/>
    </xf>
    <xf numFmtId="0" fontId="43" fillId="3" borderId="0" xfId="2" applyFont="1" applyFill="1"/>
    <xf numFmtId="0" fontId="43" fillId="3" borderId="8" xfId="2" applyFont="1" applyFill="1" applyBorder="1"/>
    <xf numFmtId="0" fontId="43" fillId="3" borderId="9" xfId="2" applyFont="1" applyFill="1" applyBorder="1"/>
    <xf numFmtId="0" fontId="43" fillId="3" borderId="11" xfId="2" applyFont="1" applyFill="1" applyBorder="1"/>
    <xf numFmtId="0" fontId="43" fillId="3" borderId="10" xfId="2" applyFont="1" applyFill="1" applyBorder="1"/>
    <xf numFmtId="0" fontId="47" fillId="3" borderId="0" xfId="2" applyFont="1" applyFill="1" applyAlignment="1">
      <alignment horizontal="left" vertical="center" wrapText="1"/>
    </xf>
    <xf numFmtId="0" fontId="43" fillId="3" borderId="0" xfId="2" applyFont="1" applyFill="1" applyAlignment="1">
      <alignment horizontal="left" vertical="center" wrapText="1"/>
    </xf>
    <xf numFmtId="0" fontId="43" fillId="3" borderId="0" xfId="2" quotePrefix="1" applyFont="1" applyFill="1" applyAlignment="1">
      <alignment horizontal="left" vertical="center" wrapText="1"/>
    </xf>
    <xf numFmtId="0" fontId="45" fillId="3" borderId="7" xfId="2" quotePrefix="1" applyFont="1" applyFill="1" applyBorder="1" applyAlignment="1">
      <alignment horizontal="left" vertical="top" wrapText="1"/>
    </xf>
    <xf numFmtId="0" fontId="46" fillId="3" borderId="0" xfId="2" quotePrefix="1" applyFont="1" applyFill="1" applyAlignment="1">
      <alignment horizontal="left" vertical="top" wrapText="1"/>
    </xf>
    <xf numFmtId="0" fontId="46" fillId="3" borderId="8" xfId="2" quotePrefix="1" applyFont="1" applyFill="1" applyBorder="1" applyAlignment="1">
      <alignment horizontal="left" vertical="top" wrapText="1"/>
    </xf>
    <xf numFmtId="0" fontId="28" fillId="0" borderId="64" xfId="0" applyFont="1" applyBorder="1" applyAlignment="1">
      <alignment horizontal="justify" vertical="center" wrapText="1" readingOrder="1"/>
    </xf>
    <xf numFmtId="0" fontId="28" fillId="0" borderId="65" xfId="0" applyFont="1" applyBorder="1" applyAlignment="1">
      <alignment horizontal="justify" vertical="center" wrapText="1" readingOrder="1"/>
    </xf>
    <xf numFmtId="165" fontId="26"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3" fillId="3" borderId="0" xfId="0" applyFont="1" applyFill="1"/>
    <xf numFmtId="0" fontId="54" fillId="3" borderId="0" xfId="0" applyFont="1" applyFill="1" applyAlignment="1">
      <alignment horizontal="justify" vertical="center" wrapText="1" readingOrder="1"/>
    </xf>
    <xf numFmtId="0" fontId="53" fillId="0" borderId="0" xfId="0" applyFont="1"/>
    <xf numFmtId="0" fontId="55" fillId="3" borderId="0" xfId="0" applyFont="1" applyFill="1" applyAlignment="1">
      <alignment vertical="center"/>
    </xf>
    <xf numFmtId="44" fontId="0"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6" fillId="0" borderId="0" xfId="0" applyFont="1"/>
    <xf numFmtId="0" fontId="57" fillId="0" borderId="0" xfId="0" applyFont="1"/>
    <xf numFmtId="0" fontId="58" fillId="0" borderId="0" xfId="0" applyFont="1"/>
    <xf numFmtId="0" fontId="59" fillId="0" borderId="0" xfId="0" applyFont="1" applyAlignment="1">
      <alignment wrapText="1"/>
    </xf>
    <xf numFmtId="0" fontId="58" fillId="0" borderId="0" xfId="0" applyFont="1" applyAlignment="1">
      <alignment wrapText="1"/>
    </xf>
    <xf numFmtId="0" fontId="56" fillId="0" borderId="8" xfId="0" applyFont="1" applyBorder="1"/>
    <xf numFmtId="0" fontId="61" fillId="0" borderId="8" xfId="0" applyFont="1" applyBorder="1"/>
    <xf numFmtId="0" fontId="62" fillId="19" borderId="69" xfId="0" applyFont="1" applyFill="1" applyBorder="1" applyAlignment="1">
      <alignment horizontal="center" vertical="center" wrapText="1"/>
    </xf>
    <xf numFmtId="0" fontId="63" fillId="19" borderId="10" xfId="0" applyFont="1" applyFill="1" applyBorder="1" applyAlignment="1">
      <alignment horizontal="center" vertical="center" wrapText="1"/>
    </xf>
    <xf numFmtId="0" fontId="62" fillId="19" borderId="33" xfId="0" applyFont="1" applyFill="1" applyBorder="1" applyAlignment="1">
      <alignment horizontal="center" vertical="center" wrapText="1"/>
    </xf>
    <xf numFmtId="0" fontId="61" fillId="0" borderId="0" xfId="0" applyFont="1"/>
    <xf numFmtId="0" fontId="62" fillId="19" borderId="69" xfId="0" applyFont="1" applyFill="1" applyBorder="1" applyAlignment="1">
      <alignment horizontal="center" vertical="center" textRotation="90" wrapText="1"/>
    </xf>
    <xf numFmtId="0" fontId="59" fillId="0" borderId="6" xfId="0" applyFont="1" applyBorder="1" applyAlignment="1">
      <alignment horizontal="justify" vertical="center" wrapText="1"/>
    </xf>
    <xf numFmtId="0" fontId="62" fillId="19" borderId="68" xfId="0" applyFont="1" applyFill="1" applyBorder="1" applyAlignment="1">
      <alignment horizontal="center" vertical="center" textRotation="90" wrapText="1"/>
    </xf>
    <xf numFmtId="0" fontId="59" fillId="0" borderId="68" xfId="0" applyFont="1" applyBorder="1" applyAlignment="1">
      <alignment horizontal="left" vertical="center" wrapText="1"/>
    </xf>
    <xf numFmtId="0" fontId="62" fillId="19" borderId="71" xfId="0" applyFont="1" applyFill="1" applyBorder="1" applyAlignment="1">
      <alignment horizontal="center" vertical="center" textRotation="90" wrapText="1"/>
    </xf>
    <xf numFmtId="0" fontId="59" fillId="0" borderId="69" xfId="0" applyFont="1" applyBorder="1" applyAlignment="1">
      <alignment horizontal="left" vertical="center" wrapText="1"/>
    </xf>
    <xf numFmtId="0" fontId="62" fillId="19" borderId="6" xfId="0" applyFont="1" applyFill="1" applyBorder="1" applyAlignment="1">
      <alignment horizontal="center" vertical="center" textRotation="90" wrapText="1"/>
    </xf>
    <xf numFmtId="0" fontId="66" fillId="0" borderId="68" xfId="0" applyFont="1" applyBorder="1" applyAlignment="1">
      <alignment horizontal="left" vertical="center" wrapText="1"/>
    </xf>
    <xf numFmtId="0" fontId="62" fillId="19" borderId="36" xfId="0" applyFont="1" applyFill="1" applyBorder="1" applyAlignment="1">
      <alignment horizontal="center" vertical="center" textRotation="90" wrapText="1"/>
    </xf>
    <xf numFmtId="0" fontId="67" fillId="0" borderId="8" xfId="0" applyFont="1" applyBorder="1"/>
    <xf numFmtId="0" fontId="68" fillId="20" borderId="6" xfId="0" applyFont="1" applyFill="1" applyBorder="1" applyAlignment="1">
      <alignment horizontal="center" vertical="center" textRotation="90" wrapText="1"/>
    </xf>
    <xf numFmtId="0" fontId="67" fillId="0" borderId="0" xfId="0" applyFont="1"/>
    <xf numFmtId="0" fontId="67" fillId="20" borderId="36" xfId="0" applyFont="1" applyFill="1" applyBorder="1"/>
    <xf numFmtId="0" fontId="69" fillId="20" borderId="69" xfId="0" applyFont="1" applyFill="1" applyBorder="1" applyAlignment="1">
      <alignment horizontal="center" vertical="center" wrapText="1"/>
    </xf>
    <xf numFmtId="0" fontId="68" fillId="20" borderId="69" xfId="0" applyFont="1" applyFill="1" applyBorder="1" applyAlignment="1">
      <alignment horizontal="center" vertical="center" wrapText="1"/>
    </xf>
    <xf numFmtId="0" fontId="63" fillId="0" borderId="0" xfId="0" applyFont="1" applyAlignment="1">
      <alignment horizontal="center" vertical="center"/>
    </xf>
    <xf numFmtId="0" fontId="62" fillId="0" borderId="0" xfId="0" applyFont="1" applyAlignment="1">
      <alignment horizontal="center" vertical="center"/>
    </xf>
    <xf numFmtId="0" fontId="59" fillId="0" borderId="0" xfId="0" applyFont="1"/>
    <xf numFmtId="0" fontId="70" fillId="0" borderId="0" xfId="0" applyFont="1" applyAlignment="1">
      <alignment vertical="center" wrapText="1"/>
    </xf>
    <xf numFmtId="0" fontId="70" fillId="0" borderId="73"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2" xfId="0" applyFont="1" applyBorder="1" applyAlignment="1">
      <alignment vertical="center" wrapText="1"/>
    </xf>
    <xf numFmtId="0" fontId="70" fillId="0" borderId="27" xfId="0" applyFont="1" applyBorder="1" applyAlignment="1">
      <alignment vertical="center" wrapText="1"/>
    </xf>
    <xf numFmtId="0" fontId="72" fillId="16" borderId="29" xfId="0" applyFont="1" applyFill="1" applyBorder="1" applyAlignment="1">
      <alignment horizontal="center" vertical="center" wrapText="1"/>
    </xf>
    <xf numFmtId="0" fontId="72" fillId="16" borderId="30" xfId="0" applyFont="1" applyFill="1" applyBorder="1" applyAlignment="1">
      <alignment horizontal="center" vertical="center" wrapText="1"/>
    </xf>
    <xf numFmtId="0" fontId="74" fillId="19" borderId="69" xfId="0" applyFont="1" applyFill="1" applyBorder="1" applyAlignment="1">
      <alignment horizontal="center" vertical="center" wrapText="1"/>
    </xf>
    <xf numFmtId="0" fontId="74" fillId="19" borderId="36" xfId="0" applyFont="1" applyFill="1" applyBorder="1" applyAlignment="1">
      <alignment horizontal="center" vertical="center" wrapText="1"/>
    </xf>
    <xf numFmtId="0" fontId="75" fillId="0" borderId="10" xfId="0" applyFont="1" applyBorder="1" applyAlignment="1">
      <alignment horizontal="justify" vertical="center" wrapText="1"/>
    </xf>
    <xf numFmtId="0" fontId="59" fillId="0" borderId="5" xfId="0" applyFont="1" applyBorder="1" applyAlignment="1">
      <alignment horizontal="justify" vertical="center" wrapText="1"/>
    </xf>
    <xf numFmtId="0" fontId="59" fillId="0" borderId="5" xfId="0" applyFont="1" applyBorder="1" applyAlignment="1">
      <alignment horizontal="left" vertical="center" wrapText="1"/>
    </xf>
    <xf numFmtId="0" fontId="58" fillId="0" borderId="24" xfId="0" applyFont="1" applyBorder="1" applyAlignment="1">
      <alignment horizontal="left" vertical="center" wrapText="1"/>
    </xf>
    <xf numFmtId="0" fontId="58" fillId="0" borderId="5" xfId="0" applyFont="1" applyBorder="1" applyAlignment="1">
      <alignment horizontal="justify" vertical="center" wrapText="1"/>
    </xf>
    <xf numFmtId="0" fontId="61" fillId="0" borderId="79" xfId="0" applyFont="1" applyBorder="1" applyAlignment="1">
      <alignment horizontal="center" vertical="center"/>
    </xf>
    <xf numFmtId="0" fontId="61" fillId="0" borderId="78" xfId="0" applyFont="1" applyBorder="1" applyAlignment="1">
      <alignment horizontal="center" vertical="center"/>
    </xf>
    <xf numFmtId="0" fontId="67" fillId="0" borderId="80" xfId="0" applyFont="1" applyBorder="1" applyAlignment="1">
      <alignment horizontal="center" vertical="center"/>
    </xf>
    <xf numFmtId="0" fontId="82" fillId="0" borderId="78" xfId="0" applyFont="1" applyBorder="1" applyAlignment="1">
      <alignment vertical="center" wrapText="1"/>
    </xf>
    <xf numFmtId="0" fontId="81" fillId="0" borderId="78" xfId="0" applyFont="1" applyBorder="1" applyAlignment="1">
      <alignment vertical="center"/>
    </xf>
    <xf numFmtId="0" fontId="81" fillId="0" borderId="78" xfId="0" applyFont="1" applyBorder="1" applyAlignment="1">
      <alignment vertical="center" wrapText="1"/>
    </xf>
    <xf numFmtId="0" fontId="81" fillId="24" borderId="0" xfId="0" applyFont="1" applyFill="1" applyAlignment="1">
      <alignment horizontal="center" vertical="center"/>
    </xf>
    <xf numFmtId="0" fontId="74" fillId="24" borderId="69" xfId="0" applyFont="1" applyFill="1" applyBorder="1" applyAlignment="1">
      <alignment horizontal="center" vertical="center" wrapText="1"/>
    </xf>
    <xf numFmtId="0" fontId="74" fillId="24" borderId="36" xfId="0" applyFont="1" applyFill="1" applyBorder="1" applyAlignment="1">
      <alignment horizontal="center" vertical="center" wrapText="1"/>
    </xf>
    <xf numFmtId="0" fontId="70" fillId="0" borderId="74" xfId="0" applyFont="1" applyBorder="1" applyAlignment="1">
      <alignment horizontal="center" vertical="center" wrapText="1"/>
    </xf>
    <xf numFmtId="0" fontId="70" fillId="0" borderId="75"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7" xfId="0" applyFont="1" applyBorder="1" applyAlignment="1">
      <alignment horizontal="center" vertical="center" wrapText="1"/>
    </xf>
    <xf numFmtId="0" fontId="0" fillId="3" borderId="0" xfId="0" applyFill="1" applyAlignment="1">
      <alignment vertical="top"/>
    </xf>
    <xf numFmtId="0" fontId="0" fillId="0" borderId="0" xfId="0" applyAlignment="1">
      <alignment vertical="top"/>
    </xf>
    <xf numFmtId="44" fontId="52" fillId="3" borderId="0" xfId="5" applyFont="1" applyFill="1" applyAlignment="1">
      <alignment vertical="top"/>
    </xf>
    <xf numFmtId="0" fontId="78" fillId="0" borderId="83" xfId="0" applyFont="1" applyBorder="1" applyAlignment="1" applyProtection="1">
      <alignment horizontal="center" vertical="center" wrapText="1"/>
      <protection locked="0"/>
    </xf>
    <xf numFmtId="0" fontId="78" fillId="0" borderId="83" xfId="0" applyFont="1" applyBorder="1" applyAlignment="1" applyProtection="1">
      <alignment horizontal="center" vertical="center"/>
      <protection hidden="1"/>
    </xf>
    <xf numFmtId="0" fontId="78" fillId="0" borderId="83" xfId="0" applyFont="1" applyBorder="1" applyAlignment="1" applyProtection="1">
      <alignment horizontal="center" vertical="center" textRotation="90"/>
      <protection locked="0"/>
    </xf>
    <xf numFmtId="9" fontId="78" fillId="0" borderId="83" xfId="0" applyNumberFormat="1" applyFont="1" applyBorder="1" applyAlignment="1" applyProtection="1">
      <alignment horizontal="center" vertical="center"/>
      <protection hidden="1"/>
    </xf>
    <xf numFmtId="164" fontId="78" fillId="0" borderId="83" xfId="1" applyNumberFormat="1" applyFont="1" applyFill="1" applyBorder="1" applyAlignment="1">
      <alignment horizontal="center" vertical="center"/>
    </xf>
    <xf numFmtId="0" fontId="79" fillId="0" borderId="83" xfId="0" applyFont="1" applyBorder="1" applyAlignment="1" applyProtection="1">
      <alignment horizontal="center" vertical="center" textRotation="90" wrapText="1"/>
      <protection hidden="1"/>
    </xf>
    <xf numFmtId="0" fontId="79" fillId="0" borderId="83" xfId="0" applyFont="1" applyBorder="1" applyAlignment="1" applyProtection="1">
      <alignment horizontal="center" vertical="center" textRotation="90"/>
      <protection hidden="1"/>
    </xf>
    <xf numFmtId="0" fontId="78" fillId="0" borderId="83" xfId="0" applyFont="1" applyBorder="1" applyAlignment="1" applyProtection="1">
      <alignment horizontal="center" vertical="center" textRotation="90" wrapText="1"/>
      <protection locked="0"/>
    </xf>
    <xf numFmtId="0" fontId="78" fillId="0" borderId="83" xfId="0" applyFont="1" applyBorder="1" applyAlignment="1" applyProtection="1">
      <alignment horizontal="center" vertical="center"/>
      <protection locked="0"/>
    </xf>
    <xf numFmtId="14" fontId="78" fillId="0" borderId="83" xfId="0" applyNumberFormat="1" applyFont="1" applyBorder="1" applyAlignment="1" applyProtection="1">
      <alignment horizontal="center" vertical="center"/>
      <protection locked="0"/>
    </xf>
    <xf numFmtId="0" fontId="78" fillId="0" borderId="0" xfId="0" applyFont="1"/>
    <xf numFmtId="0" fontId="83" fillId="3" borderId="0" xfId="0" applyFont="1" applyFill="1"/>
    <xf numFmtId="0" fontId="83" fillId="0" borderId="0" xfId="0" applyFont="1"/>
    <xf numFmtId="0" fontId="78" fillId="3" borderId="0" xfId="0" applyFont="1" applyFill="1" applyAlignment="1">
      <alignment horizontal="center" vertical="center"/>
    </xf>
    <xf numFmtId="0" fontId="78" fillId="3" borderId="0" xfId="0" applyFont="1" applyFill="1" applyAlignment="1">
      <alignment horizontal="left" vertical="center"/>
    </xf>
    <xf numFmtId="0" fontId="78" fillId="3" borderId="0" xfId="0" applyFont="1" applyFill="1"/>
    <xf numFmtId="0" fontId="78" fillId="3" borderId="0" xfId="0" applyFont="1" applyFill="1" applyAlignment="1">
      <alignment horizontal="center"/>
    </xf>
    <xf numFmtId="0" fontId="79" fillId="0" borderId="0" xfId="0" applyFont="1" applyAlignment="1">
      <alignment horizontal="left" vertical="center"/>
    </xf>
    <xf numFmtId="0" fontId="78" fillId="0" borderId="0" xfId="0" applyFont="1" applyAlignment="1" applyProtection="1">
      <alignment horizontal="left" vertical="center" wrapText="1"/>
      <protection locked="0"/>
    </xf>
    <xf numFmtId="0" fontId="79" fillId="0" borderId="0" xfId="0" applyFont="1"/>
    <xf numFmtId="0" fontId="78" fillId="0" borderId="0" xfId="0" applyFont="1" applyAlignment="1">
      <alignment horizontal="left" wrapText="1"/>
    </xf>
    <xf numFmtId="0" fontId="79" fillId="3" borderId="0" xfId="0" applyFont="1" applyFill="1" applyAlignment="1">
      <alignment horizontal="center" vertical="center"/>
    </xf>
    <xf numFmtId="0" fontId="79" fillId="0" borderId="0" xfId="0" applyFont="1" applyAlignment="1">
      <alignment horizontal="center" vertical="center"/>
    </xf>
    <xf numFmtId="0" fontId="79" fillId="2" borderId="0" xfId="0" applyFont="1" applyFill="1" applyAlignment="1">
      <alignment horizontal="center" vertical="center"/>
    </xf>
    <xf numFmtId="0" fontId="78" fillId="0" borderId="83" xfId="0" applyFont="1" applyBorder="1" applyAlignment="1">
      <alignment horizontal="center" vertical="center"/>
    </xf>
    <xf numFmtId="0" fontId="78" fillId="0" borderId="0" xfId="0" applyFont="1" applyAlignment="1">
      <alignment vertical="center"/>
    </xf>
    <xf numFmtId="0" fontId="78" fillId="0" borderId="3" xfId="0" applyFont="1" applyBorder="1" applyAlignment="1">
      <alignment horizontal="center" vertical="center"/>
    </xf>
    <xf numFmtId="0" fontId="78" fillId="0" borderId="0" xfId="0" applyFont="1" applyAlignment="1">
      <alignment wrapText="1"/>
    </xf>
    <xf numFmtId="0" fontId="78" fillId="0" borderId="0" xfId="0" applyFont="1" applyAlignment="1">
      <alignment horizontal="center" vertical="center"/>
    </xf>
    <xf numFmtId="0" fontId="78" fillId="0" borderId="0" xfId="0" applyFont="1" applyAlignment="1">
      <alignment horizontal="center"/>
    </xf>
    <xf numFmtId="166" fontId="28" fillId="0" borderId="64" xfId="0" applyNumberFormat="1" applyFont="1" applyBorder="1" applyAlignment="1">
      <alignment horizontal="center" vertical="center" wrapText="1" readingOrder="1"/>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5" borderId="7" xfId="0" applyFill="1" applyBorder="1"/>
    <xf numFmtId="0" fontId="0" fillId="25" borderId="0" xfId="0" applyFill="1"/>
    <xf numFmtId="0" fontId="0" fillId="25" borderId="9" xfId="0" applyFill="1" applyBorder="1"/>
    <xf numFmtId="0" fontId="0" fillId="25" borderId="11" xfId="0" applyFill="1" applyBorder="1"/>
    <xf numFmtId="0" fontId="0" fillId="0" borderId="11" xfId="0" applyBorder="1"/>
    <xf numFmtId="0" fontId="0" fillId="0" borderId="10" xfId="0" applyBorder="1"/>
    <xf numFmtId="0" fontId="81" fillId="0" borderId="24" xfId="0" applyFont="1" applyBorder="1"/>
    <xf numFmtId="0" fontId="81" fillId="0" borderId="25" xfId="0" applyFont="1" applyBorder="1"/>
    <xf numFmtId="0" fontId="0" fillId="0" borderId="25" xfId="0" applyBorder="1"/>
    <xf numFmtId="0" fontId="0" fillId="0" borderId="36" xfId="0" applyBorder="1"/>
    <xf numFmtId="0" fontId="84" fillId="0" borderId="83" xfId="0" applyFont="1" applyBorder="1" applyAlignment="1" applyProtection="1">
      <alignment horizontal="justify" vertical="center" wrapText="1"/>
      <protection locked="0"/>
    </xf>
    <xf numFmtId="0" fontId="85" fillId="26" borderId="102" xfId="0" applyFont="1" applyFill="1" applyBorder="1" applyAlignment="1" applyProtection="1">
      <alignment horizontal="center" vertical="center" wrapText="1"/>
      <protection hidden="1"/>
    </xf>
    <xf numFmtId="0" fontId="85" fillId="26" borderId="103" xfId="0" applyFont="1" applyFill="1" applyBorder="1" applyAlignment="1" applyProtection="1">
      <alignment horizontal="center" vertical="center" wrapText="1"/>
      <protection hidden="1"/>
    </xf>
    <xf numFmtId="0" fontId="85" fillId="26" borderId="104"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0" fillId="0" borderId="0" xfId="0" applyFont="1" applyAlignment="1">
      <alignment vertical="center"/>
    </xf>
    <xf numFmtId="0" fontId="81" fillId="0" borderId="70" xfId="0" applyFont="1" applyBorder="1" applyAlignment="1">
      <alignment vertical="center"/>
    </xf>
    <xf numFmtId="0" fontId="81" fillId="3" borderId="0" xfId="0" applyFont="1" applyFill="1"/>
    <xf numFmtId="0" fontId="77" fillId="0" borderId="0" xfId="0" applyFont="1" applyAlignment="1">
      <alignment vertical="center"/>
    </xf>
    <xf numFmtId="0" fontId="87" fillId="0" borderId="0" xfId="0" applyFont="1" applyAlignment="1">
      <alignment vertical="center"/>
    </xf>
    <xf numFmtId="0" fontId="78" fillId="3" borderId="0" xfId="0" applyFont="1" applyFill="1" applyAlignment="1">
      <alignment wrapText="1"/>
    </xf>
    <xf numFmtId="0" fontId="78" fillId="0" borderId="0" xfId="0" applyFont="1" applyAlignment="1" applyProtection="1">
      <alignment vertical="center"/>
      <protection locked="0"/>
    </xf>
    <xf numFmtId="0" fontId="78" fillId="3" borderId="0" xfId="0" applyFont="1" applyFill="1" applyAlignment="1" applyProtection="1">
      <alignment vertical="center" wrapText="1"/>
      <protection locked="0"/>
    </xf>
    <xf numFmtId="0" fontId="79" fillId="3" borderId="0" xfId="0" applyFont="1" applyFill="1"/>
    <xf numFmtId="0" fontId="78" fillId="23" borderId="0" xfId="0" applyFont="1" applyFill="1" applyAlignment="1">
      <alignment horizontal="center" vertical="center"/>
    </xf>
    <xf numFmtId="0" fontId="78" fillId="23" borderId="0" xfId="0" applyFont="1" applyFill="1"/>
    <xf numFmtId="0" fontId="78" fillId="23" borderId="0" xfId="0" applyFont="1" applyFill="1" applyAlignment="1">
      <alignment horizontal="center"/>
    </xf>
    <xf numFmtId="0" fontId="78" fillId="23" borderId="0" xfId="0" applyFont="1" applyFill="1" applyAlignment="1">
      <alignment wrapText="1"/>
    </xf>
    <xf numFmtId="0" fontId="78" fillId="0" borderId="83"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left"/>
    </xf>
    <xf numFmtId="0" fontId="73" fillId="21" borderId="12" xfId="0" applyFont="1" applyFill="1" applyBorder="1" applyAlignment="1">
      <alignment horizontal="center" vertical="center" wrapText="1"/>
    </xf>
    <xf numFmtId="0" fontId="79" fillId="27" borderId="100" xfId="0" applyFont="1" applyFill="1" applyBorder="1" applyAlignment="1">
      <alignment horizontal="center" vertical="center"/>
    </xf>
    <xf numFmtId="0" fontId="79" fillId="27" borderId="83" xfId="0" applyFont="1" applyFill="1" applyBorder="1" applyAlignment="1">
      <alignment horizontal="center" vertical="center" textRotation="90"/>
    </xf>
    <xf numFmtId="0" fontId="79" fillId="27" borderId="83"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79" fillId="27" borderId="83" xfId="0" applyFont="1" applyFill="1" applyBorder="1" applyAlignment="1">
      <alignment horizontal="center" vertical="center" textRotation="90"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5" xfId="0" applyFont="1" applyFill="1" applyBorder="1" applyAlignment="1">
      <alignment horizontal="center" vertical="center" wrapText="1"/>
    </xf>
    <xf numFmtId="0" fontId="79" fillId="2" borderId="83" xfId="0" applyFont="1" applyFill="1" applyBorder="1" applyAlignment="1">
      <alignment horizontal="center" vertical="center" textRotation="90" wrapText="1"/>
    </xf>
    <xf numFmtId="0" fontId="90" fillId="29" borderId="111" xfId="0" applyFont="1" applyFill="1" applyBorder="1" applyAlignment="1">
      <alignment horizontal="left" vertical="center" wrapText="1" indent="1"/>
    </xf>
    <xf numFmtId="0" fontId="70" fillId="0" borderId="0" xfId="0" applyFont="1"/>
    <xf numFmtId="0" fontId="94" fillId="0" borderId="0" xfId="0" applyFont="1"/>
    <xf numFmtId="0" fontId="92" fillId="0" borderId="0" xfId="0" applyFont="1" applyAlignment="1">
      <alignment horizontal="left" vertical="center" wrapText="1"/>
    </xf>
    <xf numFmtId="0" fontId="93" fillId="0" borderId="0" xfId="0" applyFont="1" applyAlignment="1">
      <alignment horizontal="justify" vertical="center" wrapText="1"/>
    </xf>
    <xf numFmtId="0" fontId="92" fillId="30" borderId="0" xfId="0" applyFont="1" applyFill="1" applyAlignment="1">
      <alignment horizontal="center" vertical="center" wrapText="1"/>
    </xf>
    <xf numFmtId="0" fontId="92" fillId="0" borderId="0" xfId="0" applyFont="1" applyAlignment="1">
      <alignment horizontal="left" vertical="center" wrapText="1" indent="1"/>
    </xf>
    <xf numFmtId="0" fontId="75" fillId="0" borderId="109" xfId="0" applyFont="1" applyBorder="1" applyAlignment="1">
      <alignment vertical="center" wrapText="1" readingOrder="1"/>
    </xf>
    <xf numFmtId="0" fontId="75" fillId="0" borderId="110" xfId="0" applyFont="1" applyBorder="1" applyAlignment="1">
      <alignment vertical="center" wrapText="1" readingOrder="1"/>
    </xf>
    <xf numFmtId="0" fontId="0" fillId="31" borderId="0" xfId="0" applyFill="1"/>
    <xf numFmtId="0" fontId="0" fillId="0" borderId="7" xfId="0" applyBorder="1"/>
    <xf numFmtId="0" fontId="95" fillId="0" borderId="0" xfId="0" applyFont="1"/>
    <xf numFmtId="0" fontId="96" fillId="5" borderId="4" xfId="0" applyFont="1" applyFill="1" applyBorder="1" applyAlignment="1">
      <alignment horizontal="center" vertical="center" wrapText="1" readingOrder="1"/>
    </xf>
    <xf numFmtId="0" fontId="96" fillId="7" borderId="1" xfId="0" applyFont="1" applyFill="1" applyBorder="1" applyAlignment="1">
      <alignment horizontal="center" vertical="center" wrapText="1" readingOrder="1"/>
    </xf>
    <xf numFmtId="0" fontId="96" fillId="4" borderId="1" xfId="0" applyFont="1" applyFill="1" applyBorder="1" applyAlignment="1">
      <alignment horizontal="center" vertical="center" wrapText="1" readingOrder="1"/>
    </xf>
    <xf numFmtId="0" fontId="96" fillId="8" borderId="1" xfId="0" applyFont="1" applyFill="1" applyBorder="1" applyAlignment="1">
      <alignment horizontal="center" vertical="center" wrapText="1" readingOrder="1"/>
    </xf>
    <xf numFmtId="0" fontId="97" fillId="9" borderId="1" xfId="0" applyFont="1" applyFill="1" applyBorder="1" applyAlignment="1">
      <alignment horizontal="center" vertical="center" wrapText="1" readingOrder="1"/>
    </xf>
    <xf numFmtId="0" fontId="53" fillId="3" borderId="0" xfId="0" applyFont="1" applyFill="1" applyAlignment="1">
      <alignment wrapText="1"/>
    </xf>
    <xf numFmtId="44" fontId="53" fillId="3" borderId="0" xfId="5" applyFont="1" applyFill="1" applyAlignment="1">
      <alignment horizontal="left" vertical="center" wrapText="1"/>
    </xf>
    <xf numFmtId="44" fontId="81" fillId="0" borderId="0" xfId="5" applyFont="1" applyAlignment="1">
      <alignment horizontal="left" vertical="center" wrapText="1"/>
    </xf>
    <xf numFmtId="44" fontId="12" fillId="3" borderId="0" xfId="5" applyFont="1" applyFill="1" applyAlignment="1">
      <alignment horizontal="left" vertical="top" wrapText="1"/>
    </xf>
    <xf numFmtId="44" fontId="12" fillId="3" borderId="0" xfId="5" applyFont="1" applyFill="1" applyAlignment="1">
      <alignment horizontal="left" vertical="center" wrapText="1"/>
    </xf>
    <xf numFmtId="0" fontId="12" fillId="3" borderId="0" xfId="0" applyFont="1" applyFill="1" applyAlignment="1">
      <alignment wrapText="1"/>
    </xf>
    <xf numFmtId="165" fontId="12" fillId="3" borderId="0" xfId="5" applyNumberFormat="1" applyFont="1" applyFill="1" applyAlignment="1">
      <alignment horizontal="center" vertical="center" wrapText="1"/>
    </xf>
    <xf numFmtId="44" fontId="12" fillId="0" borderId="0" xfId="5" applyFont="1" applyAlignment="1">
      <alignment horizontal="left" vertical="center" wrapText="1"/>
    </xf>
    <xf numFmtId="44" fontId="98" fillId="0" borderId="0" xfId="5" applyFont="1" applyAlignment="1">
      <alignment horizontal="left" vertical="center" wrapText="1"/>
    </xf>
    <xf numFmtId="44" fontId="12" fillId="0" borderId="0" xfId="5" applyFont="1" applyAlignment="1">
      <alignment horizontal="left" vertical="top" wrapText="1"/>
    </xf>
    <xf numFmtId="0" fontId="99" fillId="32" borderId="0" xfId="0" applyFont="1" applyFill="1" applyAlignment="1">
      <alignment horizontal="left" vertical="center" wrapText="1" readingOrder="1"/>
    </xf>
    <xf numFmtId="0" fontId="100" fillId="0" borderId="4" xfId="0" applyFont="1" applyBorder="1" applyAlignment="1">
      <alignment horizontal="left" vertical="center" wrapText="1" readingOrder="1"/>
    </xf>
    <xf numFmtId="0" fontId="99" fillId="6" borderId="0" xfId="0" applyFont="1" applyFill="1" applyAlignment="1">
      <alignment horizontal="left" vertical="center" wrapText="1" readingOrder="1"/>
    </xf>
    <xf numFmtId="0" fontId="100" fillId="0" borderId="64" xfId="0" applyFont="1" applyBorder="1" applyAlignment="1">
      <alignment horizontal="left" vertical="center" wrapText="1" readingOrder="1"/>
    </xf>
    <xf numFmtId="0" fontId="82" fillId="6" borderId="0" xfId="0" applyFont="1" applyFill="1" applyAlignment="1">
      <alignment horizontal="left" vertical="center" wrapText="1" readingOrder="1"/>
    </xf>
    <xf numFmtId="0" fontId="101" fillId="0" borderId="64" xfId="0" applyFont="1" applyBorder="1" applyAlignment="1">
      <alignment horizontal="left" vertical="center" wrapText="1" readingOrder="1"/>
    </xf>
    <xf numFmtId="166" fontId="101" fillId="0" borderId="64" xfId="0" applyNumberFormat="1" applyFont="1" applyBorder="1" applyAlignment="1">
      <alignment horizontal="left" vertical="center" wrapText="1" readingOrder="1"/>
    </xf>
    <xf numFmtId="44" fontId="4" fillId="3" borderId="0" xfId="5" applyFont="1" applyFill="1" applyAlignment="1">
      <alignment vertical="top"/>
    </xf>
    <xf numFmtId="0" fontId="4" fillId="3" borderId="0" xfId="0" applyFont="1" applyFill="1" applyAlignment="1">
      <alignment vertical="top"/>
    </xf>
    <xf numFmtId="0" fontId="103" fillId="32" borderId="0" xfId="0" applyFont="1" applyFill="1" applyAlignment="1">
      <alignment horizontal="center" vertical="center" wrapText="1" readingOrder="1"/>
    </xf>
    <xf numFmtId="0" fontId="103" fillId="6" borderId="0" xfId="0" applyFont="1" applyFill="1" applyAlignment="1">
      <alignment horizontal="center" vertical="center" wrapText="1" readingOrder="1"/>
    </xf>
    <xf numFmtId="0" fontId="2" fillId="5" borderId="4" xfId="0"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64" xfId="0" applyFont="1" applyBorder="1" applyAlignment="1">
      <alignment horizontal="center" vertical="center" wrapText="1" readingOrder="1"/>
    </xf>
    <xf numFmtId="0" fontId="2" fillId="0" borderId="64" xfId="0" applyFont="1" applyBorder="1" applyAlignment="1">
      <alignment horizontal="justify" vertical="center" wrapText="1" readingOrder="1"/>
    </xf>
    <xf numFmtId="166" fontId="2" fillId="0" borderId="64" xfId="0" applyNumberFormat="1" applyFont="1" applyBorder="1" applyAlignment="1">
      <alignment horizontal="center" vertical="center" wrapText="1" readingOrder="1"/>
    </xf>
    <xf numFmtId="0" fontId="2" fillId="7"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104" fillId="9" borderId="1" xfId="0" applyFont="1" applyFill="1" applyBorder="1" applyAlignment="1">
      <alignment horizontal="center" vertical="center" wrapText="1" readingOrder="1"/>
    </xf>
    <xf numFmtId="0" fontId="84" fillId="0" borderId="84" xfId="0" applyFont="1" applyBorder="1" applyAlignment="1" applyProtection="1">
      <alignment horizontal="justify" vertical="center" wrapText="1"/>
      <protection locked="0"/>
    </xf>
    <xf numFmtId="9" fontId="78" fillId="0" borderId="83" xfId="0" applyNumberFormat="1" applyFont="1" applyBorder="1" applyAlignment="1" applyProtection="1">
      <alignment horizontal="center" vertical="center" wrapText="1"/>
      <protection hidden="1"/>
    </xf>
    <xf numFmtId="0" fontId="48" fillId="3" borderId="47" xfId="3" applyFont="1" applyFill="1" applyBorder="1" applyAlignment="1">
      <alignment horizontal="left" vertical="top" wrapText="1" readingOrder="1"/>
    </xf>
    <xf numFmtId="0" fontId="48" fillId="3" borderId="48" xfId="3" applyFont="1" applyFill="1" applyBorder="1" applyAlignment="1">
      <alignment horizontal="left" vertical="top" wrapText="1" readingOrder="1"/>
    </xf>
    <xf numFmtId="0" fontId="49" fillId="3" borderId="49" xfId="2" applyFont="1" applyFill="1" applyBorder="1" applyAlignment="1">
      <alignment horizontal="justify" vertical="center" wrapText="1"/>
    </xf>
    <xf numFmtId="0" fontId="49" fillId="3" borderId="50" xfId="2" applyFont="1" applyFill="1" applyBorder="1" applyAlignment="1">
      <alignment horizontal="justify" vertical="center" wrapText="1"/>
    </xf>
    <xf numFmtId="0" fontId="49" fillId="3" borderId="53" xfId="2" applyFont="1" applyFill="1" applyBorder="1" applyAlignment="1">
      <alignment horizontal="justify" vertical="center" wrapText="1"/>
    </xf>
    <xf numFmtId="0" fontId="49" fillId="3" borderId="54" xfId="2" applyFont="1" applyFill="1" applyBorder="1" applyAlignment="1">
      <alignment horizontal="justify" vertical="center" wrapText="1"/>
    </xf>
    <xf numFmtId="0" fontId="48" fillId="3" borderId="51" xfId="0" applyFont="1" applyFill="1" applyBorder="1" applyAlignment="1">
      <alignment horizontal="left" vertical="center" wrapText="1"/>
    </xf>
    <xf numFmtId="0" fontId="48" fillId="3" borderId="52" xfId="0" applyFont="1" applyFill="1" applyBorder="1" applyAlignment="1">
      <alignment horizontal="left" vertical="center" wrapText="1"/>
    </xf>
    <xf numFmtId="0" fontId="48" fillId="3" borderId="60" xfId="0" applyFont="1" applyFill="1" applyBorder="1" applyAlignment="1">
      <alignment horizontal="left" vertical="center" wrapText="1"/>
    </xf>
    <xf numFmtId="0" fontId="48" fillId="3" borderId="61" xfId="0" applyFont="1" applyFill="1" applyBorder="1" applyAlignment="1">
      <alignment horizontal="left" vertical="center" wrapText="1"/>
    </xf>
    <xf numFmtId="0" fontId="48" fillId="3" borderId="62" xfId="0" applyFont="1" applyFill="1" applyBorder="1" applyAlignment="1">
      <alignment horizontal="left" vertical="center" wrapText="1"/>
    </xf>
    <xf numFmtId="0" fontId="48" fillId="3" borderId="63" xfId="0" applyFont="1" applyFill="1" applyBorder="1" applyAlignment="1">
      <alignment horizontal="left" vertical="center" wrapText="1"/>
    </xf>
    <xf numFmtId="0" fontId="49" fillId="3" borderId="55" xfId="0" applyFont="1" applyFill="1" applyBorder="1" applyAlignment="1">
      <alignment horizontal="justify" vertical="center" wrapText="1"/>
    </xf>
    <xf numFmtId="0" fontId="49" fillId="3" borderId="56" xfId="0" applyFont="1" applyFill="1" applyBorder="1" applyAlignment="1">
      <alignment horizontal="justify" vertical="center" wrapText="1"/>
    </xf>
    <xf numFmtId="0" fontId="44" fillId="23" borderId="37" xfId="2" applyFont="1" applyFill="1" applyBorder="1" applyAlignment="1">
      <alignment horizontal="center" vertical="center" wrapText="1"/>
    </xf>
    <xf numFmtId="0" fontId="44" fillId="23" borderId="38" xfId="2" applyFont="1" applyFill="1" applyBorder="1" applyAlignment="1">
      <alignment horizontal="center" vertical="center" wrapText="1"/>
    </xf>
    <xf numFmtId="0" fontId="44" fillId="23" borderId="39" xfId="2" applyFont="1" applyFill="1" applyBorder="1" applyAlignment="1">
      <alignment horizontal="center" vertical="center" wrapText="1"/>
    </xf>
    <xf numFmtId="0" fontId="43" fillId="0" borderId="7" xfId="2" quotePrefix="1" applyFont="1" applyBorder="1" applyAlignment="1">
      <alignment horizontal="left" vertical="center" wrapText="1"/>
    </xf>
    <xf numFmtId="0" fontId="43" fillId="0" borderId="0" xfId="2" quotePrefix="1" applyFont="1" applyAlignment="1">
      <alignment horizontal="left" vertical="center" wrapText="1"/>
    </xf>
    <xf numFmtId="0" fontId="43" fillId="0" borderId="8" xfId="2" quotePrefix="1" applyFont="1" applyBorder="1" applyAlignment="1">
      <alignment horizontal="left" vertical="center" wrapText="1"/>
    </xf>
    <xf numFmtId="0" fontId="43" fillId="0" borderId="57" xfId="2" quotePrefix="1" applyFont="1" applyBorder="1" applyAlignment="1">
      <alignment horizontal="left" vertical="center" wrapText="1"/>
    </xf>
    <xf numFmtId="0" fontId="43" fillId="0" borderId="58" xfId="2" quotePrefix="1" applyFont="1" applyBorder="1" applyAlignment="1">
      <alignment horizontal="left" vertical="center" wrapText="1"/>
    </xf>
    <xf numFmtId="0" fontId="43" fillId="0" borderId="59" xfId="2" quotePrefix="1" applyFont="1" applyBorder="1" applyAlignment="1">
      <alignment horizontal="left" vertical="center" wrapText="1"/>
    </xf>
    <xf numFmtId="0" fontId="45" fillId="3" borderId="40" xfId="2" quotePrefix="1" applyFont="1" applyFill="1" applyBorder="1" applyAlignment="1">
      <alignment horizontal="left" vertical="top" wrapText="1"/>
    </xf>
    <xf numFmtId="0" fontId="46" fillId="3" borderId="41" xfId="2" quotePrefix="1" applyFont="1" applyFill="1" applyBorder="1" applyAlignment="1">
      <alignment horizontal="left" vertical="top" wrapText="1"/>
    </xf>
    <xf numFmtId="0" fontId="46" fillId="3" borderId="42" xfId="2" quotePrefix="1" applyFont="1" applyFill="1" applyBorder="1" applyAlignment="1">
      <alignment horizontal="left" vertical="top" wrapText="1"/>
    </xf>
    <xf numFmtId="0" fontId="43" fillId="0" borderId="7" xfId="2" quotePrefix="1" applyFont="1" applyBorder="1" applyAlignment="1">
      <alignment horizontal="left" vertical="top" wrapText="1"/>
    </xf>
    <xf numFmtId="0" fontId="43" fillId="0" borderId="0" xfId="2" quotePrefix="1" applyFont="1" applyAlignment="1">
      <alignment horizontal="left" vertical="top" wrapText="1"/>
    </xf>
    <xf numFmtId="0" fontId="43" fillId="0" borderId="8" xfId="2" quotePrefix="1" applyFont="1" applyBorder="1" applyAlignment="1">
      <alignment horizontal="left" vertical="top" wrapText="1"/>
    </xf>
    <xf numFmtId="0" fontId="48" fillId="14" borderId="43" xfId="3" applyFont="1" applyFill="1" applyBorder="1" applyAlignment="1">
      <alignment horizontal="center" vertical="center" wrapText="1"/>
    </xf>
    <xf numFmtId="0" fontId="48" fillId="14" borderId="44" xfId="3" applyFont="1" applyFill="1" applyBorder="1" applyAlignment="1">
      <alignment horizontal="center" vertical="center" wrapText="1"/>
    </xf>
    <xf numFmtId="0" fontId="48" fillId="14" borderId="45" xfId="2" applyFont="1" applyFill="1" applyBorder="1" applyAlignment="1">
      <alignment horizontal="center" vertical="center"/>
    </xf>
    <xf numFmtId="0" fontId="48"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0" fillId="17" borderId="66" xfId="0" applyFont="1" applyFill="1" applyBorder="1" applyAlignment="1">
      <alignment horizontal="center" vertical="center" wrapText="1"/>
    </xf>
    <xf numFmtId="0" fontId="60" fillId="17" borderId="67" xfId="0" applyFont="1" applyFill="1" applyBorder="1" applyAlignment="1">
      <alignment horizontal="center" vertical="center" wrapText="1"/>
    </xf>
    <xf numFmtId="0" fontId="60" fillId="18" borderId="68" xfId="0" applyFont="1" applyFill="1" applyBorder="1" applyAlignment="1">
      <alignment horizontal="center" vertical="center" textRotation="90"/>
    </xf>
    <xf numFmtId="0" fontId="60" fillId="18" borderId="70" xfId="0" applyFont="1" applyFill="1" applyBorder="1" applyAlignment="1">
      <alignment horizontal="center" vertical="center" textRotation="90"/>
    </xf>
    <xf numFmtId="0" fontId="60" fillId="18" borderId="72" xfId="0" applyFont="1" applyFill="1" applyBorder="1" applyAlignment="1">
      <alignment horizontal="center" vertical="center" textRotation="90"/>
    </xf>
    <xf numFmtId="0" fontId="76" fillId="22" borderId="81" xfId="0" applyFont="1" applyFill="1" applyBorder="1" applyAlignment="1">
      <alignment horizontal="center" vertical="center"/>
    </xf>
    <xf numFmtId="0" fontId="76" fillId="22" borderId="82" xfId="0" applyFont="1" applyFill="1" applyBorder="1" applyAlignment="1">
      <alignment horizontal="center" vertical="center"/>
    </xf>
    <xf numFmtId="0" fontId="74" fillId="0" borderId="71" xfId="0" applyFont="1" applyBorder="1" applyAlignment="1">
      <alignment horizontal="center" vertical="center" wrapText="1"/>
    </xf>
    <xf numFmtId="0" fontId="74" fillId="0" borderId="70"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68" xfId="0" applyFont="1" applyBorder="1" applyAlignment="1">
      <alignment horizontal="center" vertical="center" wrapText="1"/>
    </xf>
    <xf numFmtId="0" fontId="78" fillId="0" borderId="83" xfId="0" applyFont="1" applyBorder="1" applyAlignment="1" applyProtection="1">
      <alignment horizontal="center" vertical="center" wrapText="1"/>
      <protection locked="0"/>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78" fillId="3" borderId="0" xfId="0" applyFont="1" applyFill="1" applyAlignment="1">
      <alignment horizontal="left" wrapText="1"/>
    </xf>
    <xf numFmtId="0" fontId="77" fillId="0" borderId="0" xfId="0" applyFont="1" applyAlignment="1">
      <alignment horizontal="center" vertical="center"/>
    </xf>
    <xf numFmtId="0" fontId="77" fillId="0" borderId="0" xfId="0" applyFont="1" applyAlignment="1">
      <alignment horizontal="left" vertical="center"/>
    </xf>
    <xf numFmtId="0" fontId="79" fillId="21" borderId="93" xfId="0" applyFont="1" applyFill="1" applyBorder="1" applyAlignment="1">
      <alignment horizontal="left" vertical="center"/>
    </xf>
    <xf numFmtId="0" fontId="79" fillId="21" borderId="94" xfId="0" applyFont="1" applyFill="1" applyBorder="1" applyAlignment="1">
      <alignment horizontal="left" vertical="center"/>
    </xf>
    <xf numFmtId="0" fontId="79" fillId="21" borderId="95" xfId="0" applyFont="1" applyFill="1" applyBorder="1" applyAlignment="1">
      <alignment horizontal="left" vertical="center"/>
    </xf>
    <xf numFmtId="0" fontId="79" fillId="21" borderId="96" xfId="0" applyFont="1" applyFill="1" applyBorder="1" applyAlignment="1">
      <alignment horizontal="left" vertical="center"/>
    </xf>
    <xf numFmtId="0" fontId="79" fillId="21" borderId="97" xfId="0" applyFont="1" applyFill="1" applyBorder="1" applyAlignment="1">
      <alignment horizontal="left" vertical="center"/>
    </xf>
    <xf numFmtId="0" fontId="79" fillId="21" borderId="98" xfId="0" applyFont="1" applyFill="1" applyBorder="1" applyAlignment="1">
      <alignment horizontal="left" vertical="center"/>
    </xf>
    <xf numFmtId="0" fontId="79" fillId="3" borderId="0" xfId="0" applyFont="1" applyFill="1" applyAlignment="1">
      <alignment horizontal="left" vertical="center"/>
    </xf>
    <xf numFmtId="0" fontId="89" fillId="0" borderId="24" xfId="0" applyFont="1" applyBorder="1" applyAlignment="1" applyProtection="1">
      <alignment horizontal="center" vertical="center"/>
      <protection locked="0"/>
    </xf>
    <xf numFmtId="0" fontId="89" fillId="0" borderId="25" xfId="0" applyFont="1" applyBorder="1" applyAlignment="1" applyProtection="1">
      <alignment horizontal="center" vertical="center"/>
      <protection locked="0"/>
    </xf>
    <xf numFmtId="0" fontId="89" fillId="0" borderId="36" xfId="0" applyFont="1" applyBorder="1" applyAlignment="1" applyProtection="1">
      <alignment horizontal="center" vertical="center"/>
      <protection locked="0"/>
    </xf>
    <xf numFmtId="0" fontId="78" fillId="3" borderId="24" xfId="0" applyFont="1" applyFill="1" applyBorder="1" applyAlignment="1" applyProtection="1">
      <alignment horizontal="center" vertical="center" wrapText="1"/>
      <protection locked="0"/>
    </xf>
    <xf numFmtId="0" fontId="78" fillId="3" borderId="25" xfId="0" applyFont="1" applyFill="1" applyBorder="1" applyAlignment="1" applyProtection="1">
      <alignment horizontal="center" vertical="center" wrapText="1"/>
      <protection locked="0"/>
    </xf>
    <xf numFmtId="0" fontId="78" fillId="3" borderId="36" xfId="0" applyFont="1" applyFill="1" applyBorder="1" applyAlignment="1" applyProtection="1">
      <alignment horizontal="center" vertical="center" wrapText="1"/>
      <protection locked="0"/>
    </xf>
    <xf numFmtId="0" fontId="83" fillId="0" borderId="87" xfId="0" applyFont="1" applyBorder="1" applyAlignment="1">
      <alignment horizontal="center" vertical="center"/>
    </xf>
    <xf numFmtId="0" fontId="83" fillId="0" borderId="88" xfId="0" applyFont="1" applyBorder="1" applyAlignment="1">
      <alignment horizontal="center" vertical="center"/>
    </xf>
    <xf numFmtId="0" fontId="83" fillId="0" borderId="106" xfId="0" applyFont="1" applyBorder="1" applyAlignment="1">
      <alignment horizontal="center" vertical="center"/>
    </xf>
    <xf numFmtId="0" fontId="83" fillId="0" borderId="89" xfId="0" applyFont="1" applyBorder="1" applyAlignment="1">
      <alignment horizontal="center" vertical="center"/>
    </xf>
    <xf numFmtId="0" fontId="83" fillId="0" borderId="83" xfId="0" applyFont="1" applyBorder="1" applyAlignment="1">
      <alignment horizontal="center" vertical="center"/>
    </xf>
    <xf numFmtId="0" fontId="83" fillId="0" borderId="108" xfId="0" applyFont="1" applyBorder="1" applyAlignment="1">
      <alignment horizontal="center" vertical="center"/>
    </xf>
    <xf numFmtId="0" fontId="83" fillId="0" borderId="90" xfId="0" applyFont="1" applyBorder="1" applyAlignment="1">
      <alignment horizontal="center" vertical="center"/>
    </xf>
    <xf numFmtId="0" fontId="83" fillId="0" borderId="91" xfId="0" applyFont="1" applyBorder="1" applyAlignment="1">
      <alignment horizontal="center" vertical="center"/>
    </xf>
    <xf numFmtId="0" fontId="83" fillId="0" borderId="107" xfId="0" applyFont="1" applyBorder="1" applyAlignment="1">
      <alignment horizontal="center" vertical="center"/>
    </xf>
    <xf numFmtId="0" fontId="77" fillId="0" borderId="5" xfId="0" applyFont="1" applyBorder="1" applyAlignment="1">
      <alignment horizontal="center" vertical="center"/>
    </xf>
    <xf numFmtId="0" fontId="77" fillId="0" borderId="12" xfId="0" applyFont="1" applyBorder="1" applyAlignment="1">
      <alignment horizontal="center" vertical="center"/>
    </xf>
    <xf numFmtId="0" fontId="77" fillId="0" borderId="6" xfId="0" applyFont="1" applyBorder="1" applyAlignment="1">
      <alignment horizontal="center" vertical="center"/>
    </xf>
    <xf numFmtId="0" fontId="77" fillId="0" borderId="9" xfId="0" applyFont="1" applyBorder="1" applyAlignment="1">
      <alignment horizontal="center" vertical="center"/>
    </xf>
    <xf numFmtId="0" fontId="77" fillId="0" borderId="11" xfId="0" applyFont="1" applyBorder="1" applyAlignment="1">
      <alignment horizontal="center" vertical="center"/>
    </xf>
    <xf numFmtId="0" fontId="77" fillId="0" borderId="10" xfId="0" applyFont="1" applyBorder="1" applyAlignment="1">
      <alignment horizontal="center" vertical="center"/>
    </xf>
    <xf numFmtId="0" fontId="77" fillId="0" borderId="24" xfId="0" applyFont="1" applyBorder="1" applyAlignment="1">
      <alignment horizontal="left" vertical="center"/>
    </xf>
    <xf numFmtId="0" fontId="77" fillId="0" borderId="25" xfId="0" applyFont="1" applyBorder="1" applyAlignment="1">
      <alignment horizontal="left" vertical="center"/>
    </xf>
    <xf numFmtId="0" fontId="77" fillId="0" borderId="36" xfId="0" applyFont="1" applyBorder="1" applyAlignment="1">
      <alignment horizontal="left" vertical="center"/>
    </xf>
    <xf numFmtId="0" fontId="79" fillId="27" borderId="83" xfId="0" applyFont="1" applyFill="1" applyBorder="1" applyAlignment="1">
      <alignment horizontal="center" vertical="center" textRotation="90"/>
    </xf>
    <xf numFmtId="0" fontId="79" fillId="28" borderId="83" xfId="0" applyFont="1" applyFill="1" applyBorder="1" applyAlignment="1">
      <alignment horizontal="center" vertical="center" wrapText="1"/>
    </xf>
    <xf numFmtId="0" fontId="79" fillId="28" borderId="83" xfId="0" applyFont="1" applyFill="1" applyBorder="1" applyAlignment="1">
      <alignment horizontal="center" vertical="center"/>
    </xf>
    <xf numFmtId="0" fontId="79" fillId="27" borderId="105" xfId="0" applyFont="1" applyFill="1" applyBorder="1" applyAlignment="1">
      <alignment horizontal="center" vertical="center" wrapText="1"/>
    </xf>
    <xf numFmtId="0" fontId="79" fillId="27" borderId="86" xfId="0" applyFont="1" applyFill="1" applyBorder="1" applyAlignment="1">
      <alignment horizontal="center" vertical="center" wrapText="1"/>
    </xf>
    <xf numFmtId="0" fontId="79" fillId="27" borderId="83" xfId="0" applyFont="1" applyFill="1" applyBorder="1" applyAlignment="1">
      <alignment horizontal="center" vertical="center" wrapText="1"/>
    </xf>
    <xf numFmtId="0" fontId="79" fillId="27" borderId="83" xfId="0" applyFont="1" applyFill="1" applyBorder="1" applyAlignment="1">
      <alignment horizontal="center" vertical="center"/>
    </xf>
    <xf numFmtId="0" fontId="79" fillId="27" borderId="84"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78" fillId="31" borderId="84" xfId="0" applyFont="1" applyFill="1" applyBorder="1" applyAlignment="1" applyProtection="1">
      <alignment horizontal="center" vertical="center" wrapText="1"/>
      <protection locked="0"/>
    </xf>
    <xf numFmtId="0" fontId="78" fillId="31" borderId="92" xfId="0" applyFont="1" applyFill="1" applyBorder="1" applyAlignment="1" applyProtection="1">
      <alignment horizontal="center" vertical="center" wrapText="1"/>
      <protection locked="0"/>
    </xf>
    <xf numFmtId="0" fontId="78" fillId="31" borderId="85" xfId="0" applyFont="1" applyFill="1" applyBorder="1" applyAlignment="1" applyProtection="1">
      <alignment horizontal="center" vertical="center" wrapText="1"/>
      <protection locked="0"/>
    </xf>
    <xf numFmtId="0" fontId="79" fillId="0" borderId="84" xfId="0" applyFont="1" applyBorder="1" applyAlignment="1" applyProtection="1">
      <alignment horizontal="center" vertical="center" wrapText="1"/>
      <protection hidden="1"/>
    </xf>
    <xf numFmtId="0" fontId="79" fillId="0" borderId="92" xfId="0" applyFont="1" applyBorder="1" applyAlignment="1" applyProtection="1">
      <alignment horizontal="center" vertical="center" wrapText="1"/>
      <protection hidden="1"/>
    </xf>
    <xf numFmtId="0" fontId="79" fillId="0" borderId="85" xfId="0" applyFont="1" applyBorder="1" applyAlignment="1" applyProtection="1">
      <alignment horizontal="center" vertical="center" wrapText="1"/>
      <protection hidden="1"/>
    </xf>
    <xf numFmtId="9" fontId="78" fillId="0" borderId="84" xfId="0" applyNumberFormat="1" applyFont="1" applyBorder="1" applyAlignment="1" applyProtection="1">
      <alignment horizontal="center" vertical="center" wrapText="1"/>
      <protection locked="0"/>
    </xf>
    <xf numFmtId="9" fontId="78" fillId="0" borderId="92" xfId="0" applyNumberFormat="1" applyFont="1" applyBorder="1" applyAlignment="1" applyProtection="1">
      <alignment horizontal="center" vertical="center" wrapText="1"/>
      <protection locked="0"/>
    </xf>
    <xf numFmtId="9" fontId="78" fillId="0" borderId="85" xfId="0" applyNumberFormat="1" applyFont="1" applyBorder="1" applyAlignment="1" applyProtection="1">
      <alignment horizontal="center" vertical="center" wrapText="1"/>
      <protection locked="0"/>
    </xf>
    <xf numFmtId="0" fontId="79" fillId="21" borderId="84" xfId="0" applyFont="1" applyFill="1" applyBorder="1" applyAlignment="1">
      <alignment horizontal="center" vertical="center" wrapText="1"/>
    </xf>
    <xf numFmtId="0" fontId="79" fillId="21" borderId="85" xfId="0" applyFont="1" applyFill="1" applyBorder="1" applyAlignment="1">
      <alignment horizontal="center" vertical="center" wrapText="1"/>
    </xf>
    <xf numFmtId="0" fontId="79" fillId="0" borderId="83" xfId="0" applyFont="1" applyBorder="1" applyAlignment="1">
      <alignment horizontal="center" vertical="center"/>
    </xf>
    <xf numFmtId="0" fontId="78" fillId="0" borderId="83" xfId="0" applyFont="1" applyBorder="1" applyAlignment="1" applyProtection="1">
      <alignment horizontal="left" vertical="center" wrapText="1"/>
      <protection locked="0"/>
    </xf>
    <xf numFmtId="0" fontId="78" fillId="0" borderId="83" xfId="0" applyFont="1" applyBorder="1" applyAlignment="1" applyProtection="1">
      <alignment horizontal="justify" vertical="center" wrapText="1"/>
      <protection locked="0"/>
    </xf>
    <xf numFmtId="0" fontId="78" fillId="0" borderId="83" xfId="0" applyFont="1" applyBorder="1" applyAlignment="1" applyProtection="1">
      <alignment horizontal="center" vertical="center"/>
      <protection locked="0"/>
    </xf>
    <xf numFmtId="0" fontId="79" fillId="0" borderId="83" xfId="0" applyFont="1" applyBorder="1" applyAlignment="1" applyProtection="1">
      <alignment horizontal="center" vertical="center" wrapText="1"/>
      <protection hidden="1"/>
    </xf>
    <xf numFmtId="9" fontId="78" fillId="0" borderId="83" xfId="0" applyNumberFormat="1" applyFont="1" applyBorder="1" applyAlignment="1" applyProtection="1">
      <alignment horizontal="center" vertical="center" wrapText="1"/>
      <protection hidden="1"/>
    </xf>
    <xf numFmtId="9" fontId="78" fillId="0" borderId="83" xfId="0" applyNumberFormat="1" applyFont="1" applyBorder="1" applyAlignment="1" applyProtection="1">
      <alignment horizontal="center" vertical="center" wrapText="1"/>
      <protection locked="0"/>
    </xf>
    <xf numFmtId="0" fontId="78" fillId="0" borderId="2" xfId="0" applyFont="1" applyBorder="1" applyAlignment="1">
      <alignment horizontal="left" vertical="center" wrapText="1"/>
    </xf>
    <xf numFmtId="0" fontId="78" fillId="0" borderId="21" xfId="0" applyFont="1" applyBorder="1" applyAlignment="1">
      <alignment horizontal="left" vertical="center" wrapText="1"/>
    </xf>
    <xf numFmtId="0" fontId="79" fillId="0" borderId="83" xfId="0" applyFont="1" applyBorder="1" applyAlignment="1" applyProtection="1">
      <alignment horizontal="center" vertical="center"/>
      <protection hidden="1"/>
    </xf>
    <xf numFmtId="0" fontId="79" fillId="28" borderId="99" xfId="0" applyFont="1" applyFill="1" applyBorder="1" applyAlignment="1">
      <alignment horizontal="center" vertical="center"/>
    </xf>
    <xf numFmtId="0" fontId="79" fillId="28" borderId="100" xfId="0" applyFont="1" applyFill="1" applyBorder="1" applyAlignment="1">
      <alignment horizontal="center" vertical="center"/>
    </xf>
    <xf numFmtId="0" fontId="79" fillId="27" borderId="99" xfId="0" applyFont="1" applyFill="1" applyBorder="1" applyAlignment="1">
      <alignment horizontal="center" vertical="center"/>
    </xf>
    <xf numFmtId="0" fontId="79" fillId="27" borderId="100" xfId="0" applyFont="1" applyFill="1" applyBorder="1" applyAlignment="1">
      <alignment horizontal="center" vertical="center"/>
    </xf>
    <xf numFmtId="0" fontId="79" fillId="27" borderId="101" xfId="0" applyFont="1" applyFill="1" applyBorder="1" applyAlignment="1">
      <alignment horizontal="center" vertical="center"/>
    </xf>
    <xf numFmtId="0" fontId="79" fillId="0" borderId="84" xfId="0" applyFont="1" applyBorder="1" applyAlignment="1">
      <alignment horizontal="center" vertical="center"/>
    </xf>
    <xf numFmtId="0" fontId="79" fillId="0" borderId="92" xfId="0" applyFont="1" applyBorder="1" applyAlignment="1">
      <alignment horizontal="center" vertical="center"/>
    </xf>
    <xf numFmtId="0" fontId="79" fillId="0" borderId="85" xfId="0" applyFont="1" applyBorder="1" applyAlignment="1">
      <alignment horizontal="center" vertical="center"/>
    </xf>
    <xf numFmtId="0" fontId="79" fillId="21" borderId="83" xfId="0" applyFont="1" applyFill="1" applyBorder="1" applyAlignment="1">
      <alignment horizontal="center" vertical="center" textRotation="90" wrapText="1"/>
    </xf>
    <xf numFmtId="0" fontId="79" fillId="21" borderId="83" xfId="0" applyFont="1" applyFill="1" applyBorder="1" applyAlignment="1">
      <alignment horizontal="center" vertical="center" wrapText="1"/>
    </xf>
    <xf numFmtId="0" fontId="79" fillId="27" borderId="83" xfId="0" applyFont="1" applyFill="1" applyBorder="1" applyAlignment="1">
      <alignment horizontal="center" vertical="center" textRotation="90" wrapText="1"/>
    </xf>
    <xf numFmtId="0" fontId="79" fillId="21" borderId="99" xfId="0" applyFont="1" applyFill="1" applyBorder="1" applyAlignment="1">
      <alignment horizontal="center" vertical="center"/>
    </xf>
    <xf numFmtId="0" fontId="79" fillId="21" borderId="100" xfId="0" applyFont="1" applyFill="1" applyBorder="1" applyAlignment="1">
      <alignment horizontal="center" vertical="center"/>
    </xf>
    <xf numFmtId="0" fontId="79" fillId="21" borderId="101" xfId="0" applyFont="1" applyFill="1" applyBorder="1" applyAlignment="1">
      <alignment horizontal="center" vertical="center"/>
    </xf>
    <xf numFmtId="0" fontId="79" fillId="21" borderId="99" xfId="0" applyFont="1" applyFill="1" applyBorder="1" applyAlignment="1">
      <alignment horizontal="center" vertical="center" wrapText="1"/>
    </xf>
    <xf numFmtId="0" fontId="79" fillId="21" borderId="100" xfId="0" applyFont="1" applyFill="1" applyBorder="1" applyAlignment="1">
      <alignment horizontal="center" vertical="center" wrapText="1"/>
    </xf>
    <xf numFmtId="0" fontId="79" fillId="21" borderId="101" xfId="0" applyFont="1" applyFill="1" applyBorder="1" applyAlignment="1">
      <alignment horizontal="center" vertical="center" wrapText="1"/>
    </xf>
    <xf numFmtId="0" fontId="79" fillId="0" borderId="84" xfId="0" applyFont="1" applyBorder="1" applyAlignment="1" applyProtection="1">
      <alignment horizontal="center" vertical="center"/>
      <protection hidden="1"/>
    </xf>
    <xf numFmtId="0" fontId="79" fillId="0" borderId="92" xfId="0" applyFont="1" applyBorder="1" applyAlignment="1" applyProtection="1">
      <alignment horizontal="center" vertical="center"/>
      <protection hidden="1"/>
    </xf>
    <xf numFmtId="0" fontId="79" fillId="0" borderId="85" xfId="0" applyFont="1" applyBorder="1" applyAlignment="1" applyProtection="1">
      <alignment horizontal="center" vertical="center"/>
      <protection hidden="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4" borderId="0" xfId="0" applyFont="1" applyFill="1" applyAlignment="1">
      <alignment horizontal="center" vertical="center" wrapText="1"/>
    </xf>
    <xf numFmtId="0" fontId="36" fillId="11" borderId="13" xfId="0" applyFont="1" applyFill="1" applyBorder="1" applyAlignment="1">
      <alignment horizontal="center" vertical="center" wrapText="1" readingOrder="1"/>
    </xf>
    <xf numFmtId="0" fontId="36" fillId="11" borderId="14" xfId="0" applyFont="1" applyFill="1" applyBorder="1" applyAlignment="1">
      <alignment horizontal="center" vertical="center" wrapText="1" readingOrder="1"/>
    </xf>
    <xf numFmtId="0" fontId="36" fillId="11" borderId="15" xfId="0" applyFont="1" applyFill="1" applyBorder="1" applyAlignment="1">
      <alignment horizontal="center" vertical="center" wrapText="1" readingOrder="1"/>
    </xf>
    <xf numFmtId="0" fontId="36" fillId="11" borderId="16" xfId="0" applyFont="1" applyFill="1" applyBorder="1" applyAlignment="1">
      <alignment horizontal="center" vertical="center" wrapText="1" readingOrder="1"/>
    </xf>
    <xf numFmtId="0" fontId="36" fillId="11" borderId="0" xfId="0" applyFont="1" applyFill="1" applyAlignment="1">
      <alignment horizontal="center" vertical="center" wrapText="1" readingOrder="1"/>
    </xf>
    <xf numFmtId="0" fontId="36" fillId="11" borderId="17" xfId="0" applyFont="1" applyFill="1" applyBorder="1" applyAlignment="1">
      <alignment horizontal="center" vertical="center" wrapText="1" readingOrder="1"/>
    </xf>
    <xf numFmtId="0" fontId="36" fillId="11" borderId="18" xfId="0" applyFont="1" applyFill="1" applyBorder="1" applyAlignment="1">
      <alignment horizontal="center" vertical="center" wrapText="1" readingOrder="1"/>
    </xf>
    <xf numFmtId="0" fontId="36" fillId="11" borderId="19" xfId="0" applyFont="1" applyFill="1" applyBorder="1" applyAlignment="1">
      <alignment horizontal="center" vertical="center" wrapText="1" readingOrder="1"/>
    </xf>
    <xf numFmtId="0" fontId="36" fillId="11" borderId="20" xfId="0" applyFont="1" applyFill="1" applyBorder="1" applyAlignment="1">
      <alignment horizontal="center" vertical="center" wrapText="1" readingOrder="1"/>
    </xf>
    <xf numFmtId="0" fontId="37" fillId="0" borderId="5" xfId="0" applyFont="1" applyBorder="1" applyAlignment="1">
      <alignment horizontal="center" vertical="center" wrapText="1"/>
    </xf>
    <xf numFmtId="0" fontId="37" fillId="0" borderId="12" xfId="0" applyFont="1" applyBorder="1" applyAlignment="1">
      <alignment horizontal="center" vertical="center"/>
    </xf>
    <xf numFmtId="0" fontId="37" fillId="0" borderId="7" xfId="0" applyFont="1" applyBorder="1" applyAlignment="1">
      <alignment horizontal="center" vertical="center" wrapText="1"/>
    </xf>
    <xf numFmtId="0" fontId="37" fillId="0" borderId="0" xfId="0" applyFont="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6" fillId="12" borderId="13" xfId="0" applyFont="1" applyFill="1" applyBorder="1" applyAlignment="1">
      <alignment horizontal="center" vertical="center" wrapText="1" readingOrder="1"/>
    </xf>
    <xf numFmtId="0" fontId="36" fillId="12" borderId="14" xfId="0" applyFont="1" applyFill="1" applyBorder="1" applyAlignment="1">
      <alignment horizontal="center" vertical="center" wrapText="1" readingOrder="1"/>
    </xf>
    <xf numFmtId="0" fontId="36" fillId="12" borderId="15" xfId="0" applyFont="1" applyFill="1" applyBorder="1" applyAlignment="1">
      <alignment horizontal="center" vertical="center" wrapText="1" readingOrder="1"/>
    </xf>
    <xf numFmtId="0" fontId="36" fillId="12" borderId="16" xfId="0" applyFont="1" applyFill="1" applyBorder="1" applyAlignment="1">
      <alignment horizontal="center" vertical="center" wrapText="1" readingOrder="1"/>
    </xf>
    <xf numFmtId="0" fontId="36" fillId="12" borderId="0" xfId="0" applyFont="1" applyFill="1" applyAlignment="1">
      <alignment horizontal="center" vertical="center" wrapText="1" readingOrder="1"/>
    </xf>
    <xf numFmtId="0" fontId="36" fillId="12" borderId="17" xfId="0" applyFont="1" applyFill="1" applyBorder="1" applyAlignment="1">
      <alignment horizontal="center" vertical="center" wrapText="1" readingOrder="1"/>
    </xf>
    <xf numFmtId="0" fontId="36" fillId="12" borderId="18" xfId="0" applyFont="1" applyFill="1" applyBorder="1" applyAlignment="1">
      <alignment horizontal="center" vertical="center" wrapText="1" readingOrder="1"/>
    </xf>
    <xf numFmtId="0" fontId="36" fillId="12" borderId="19" xfId="0" applyFont="1" applyFill="1" applyBorder="1" applyAlignment="1">
      <alignment horizontal="center" vertical="center" wrapText="1" readingOrder="1"/>
    </xf>
    <xf numFmtId="0" fontId="36" fillId="12" borderId="20" xfId="0" applyFont="1" applyFill="1" applyBorder="1" applyAlignment="1">
      <alignment horizontal="center" vertical="center" wrapText="1" readingOrder="1"/>
    </xf>
    <xf numFmtId="0" fontId="88" fillId="24" borderId="0" xfId="0" applyFont="1" applyFill="1" applyAlignment="1">
      <alignment horizontal="center" vertical="center" wrapText="1"/>
    </xf>
    <xf numFmtId="0" fontId="21" fillId="24" borderId="0" xfId="0" applyFont="1" applyFill="1" applyAlignment="1">
      <alignment horizontal="center" vertical="center" wrapText="1"/>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10" xfId="0" applyFont="1" applyBorder="1" applyAlignment="1">
      <alignment horizontal="center" vertical="center"/>
    </xf>
    <xf numFmtId="0" fontId="36" fillId="5" borderId="13" xfId="0" applyFont="1" applyFill="1" applyBorder="1" applyAlignment="1">
      <alignment horizontal="center" vertical="center" wrapText="1" readingOrder="1"/>
    </xf>
    <xf numFmtId="0" fontId="36" fillId="5" borderId="14" xfId="0" applyFont="1" applyFill="1" applyBorder="1" applyAlignment="1">
      <alignment horizontal="center" vertical="center" wrapText="1" readingOrder="1"/>
    </xf>
    <xf numFmtId="0" fontId="36" fillId="5" borderId="15" xfId="0" applyFont="1" applyFill="1" applyBorder="1" applyAlignment="1">
      <alignment horizontal="center" vertical="center" wrapText="1" readingOrder="1"/>
    </xf>
    <xf numFmtId="0" fontId="36" fillId="5" borderId="16" xfId="0" applyFont="1" applyFill="1" applyBorder="1" applyAlignment="1">
      <alignment horizontal="center" vertical="center" wrapText="1" readingOrder="1"/>
    </xf>
    <xf numFmtId="0" fontId="36" fillId="5" borderId="0" xfId="0" applyFont="1" applyFill="1" applyAlignment="1">
      <alignment horizontal="center" vertical="center" wrapText="1" readingOrder="1"/>
    </xf>
    <xf numFmtId="0" fontId="36" fillId="5" borderId="17" xfId="0" applyFont="1" applyFill="1" applyBorder="1" applyAlignment="1">
      <alignment horizontal="center" vertical="center" wrapText="1" readingOrder="1"/>
    </xf>
    <xf numFmtId="0" fontId="36" fillId="5" borderId="18" xfId="0" applyFont="1" applyFill="1" applyBorder="1" applyAlignment="1">
      <alignment horizontal="center" vertical="center" wrapText="1" readingOrder="1"/>
    </xf>
    <xf numFmtId="0" fontId="36" fillId="5" borderId="19" xfId="0" applyFont="1" applyFill="1" applyBorder="1" applyAlignment="1">
      <alignment horizontal="center" vertical="center" wrapText="1" readingOrder="1"/>
    </xf>
    <xf numFmtId="0" fontId="36" fillId="5" borderId="20" xfId="0" applyFont="1" applyFill="1" applyBorder="1" applyAlignment="1">
      <alignment horizontal="center" vertical="center" wrapText="1" readingOrder="1"/>
    </xf>
    <xf numFmtId="0" fontId="36" fillId="13" borderId="13" xfId="0" applyFont="1" applyFill="1" applyBorder="1" applyAlignment="1">
      <alignment horizontal="center" vertical="center" wrapText="1" readingOrder="1"/>
    </xf>
    <xf numFmtId="0" fontId="36" fillId="13" borderId="14" xfId="0" applyFont="1" applyFill="1" applyBorder="1" applyAlignment="1">
      <alignment horizontal="center" vertical="center" wrapText="1" readingOrder="1"/>
    </xf>
    <xf numFmtId="0" fontId="36" fillId="13" borderId="15" xfId="0" applyFont="1" applyFill="1" applyBorder="1" applyAlignment="1">
      <alignment horizontal="center" vertical="center" wrapText="1" readingOrder="1"/>
    </xf>
    <xf numFmtId="0" fontId="36" fillId="13" borderId="16" xfId="0" applyFont="1" applyFill="1" applyBorder="1" applyAlignment="1">
      <alignment horizontal="center" vertical="center" wrapText="1" readingOrder="1"/>
    </xf>
    <xf numFmtId="0" fontId="36" fillId="13" borderId="0" xfId="0" applyFont="1" applyFill="1" applyAlignment="1">
      <alignment horizontal="center" vertical="center" wrapText="1" readingOrder="1"/>
    </xf>
    <xf numFmtId="0" fontId="36" fillId="13" borderId="17" xfId="0" applyFont="1" applyFill="1" applyBorder="1" applyAlignment="1">
      <alignment horizontal="center" vertical="center" wrapText="1" readingOrder="1"/>
    </xf>
    <xf numFmtId="0" fontId="36" fillId="13" borderId="18" xfId="0" applyFont="1" applyFill="1" applyBorder="1" applyAlignment="1">
      <alignment horizontal="center" vertical="center" wrapText="1" readingOrder="1"/>
    </xf>
    <xf numFmtId="0" fontId="36" fillId="13" borderId="19" xfId="0" applyFont="1" applyFill="1" applyBorder="1" applyAlignment="1">
      <alignment horizontal="center" vertical="center" wrapText="1" readingOrder="1"/>
    </xf>
    <xf numFmtId="0" fontId="36" fillId="13" borderId="20" xfId="0" applyFont="1" applyFill="1" applyBorder="1" applyAlignment="1">
      <alignment horizontal="center" vertical="center" wrapText="1" readingOrder="1"/>
    </xf>
    <xf numFmtId="0" fontId="37" fillId="0" borderId="12" xfId="0" applyFont="1" applyBorder="1" applyAlignment="1">
      <alignment horizontal="center" vertical="center" wrapText="1"/>
    </xf>
    <xf numFmtId="0" fontId="79" fillId="2" borderId="99" xfId="0" applyFont="1" applyFill="1" applyBorder="1" applyAlignment="1">
      <alignment horizontal="center" vertical="center"/>
    </xf>
    <xf numFmtId="0" fontId="79" fillId="2" borderId="100" xfId="0" applyFont="1" applyFill="1" applyBorder="1" applyAlignment="1">
      <alignment horizontal="center" vertical="center"/>
    </xf>
    <xf numFmtId="0" fontId="79" fillId="2" borderId="101" xfId="0" applyFont="1" applyFill="1" applyBorder="1" applyAlignment="1">
      <alignment horizontal="center" vertical="center"/>
    </xf>
    <xf numFmtId="0" fontId="79" fillId="2" borderId="105" xfId="0" applyFont="1" applyFill="1" applyBorder="1" applyAlignment="1">
      <alignment horizontal="center" vertical="center" wrapText="1"/>
    </xf>
    <xf numFmtId="0" fontId="79" fillId="2" borderId="86" xfId="0" applyFont="1" applyFill="1" applyBorder="1" applyAlignment="1">
      <alignment horizontal="center" vertical="center"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3" xfId="0" applyFont="1" applyFill="1" applyBorder="1" applyAlignment="1">
      <alignment horizontal="center" vertical="center"/>
    </xf>
    <xf numFmtId="0" fontId="79" fillId="2" borderId="83" xfId="0" applyFont="1" applyFill="1" applyBorder="1" applyAlignment="1">
      <alignment horizontal="center" vertical="center" textRotation="90" wrapText="1"/>
    </xf>
    <xf numFmtId="0" fontId="79" fillId="21" borderId="83" xfId="0" applyFont="1" applyFill="1" applyBorder="1" applyAlignment="1">
      <alignment horizontal="center" vertical="center"/>
    </xf>
    <xf numFmtId="0" fontId="70" fillId="0" borderId="12" xfId="0" applyFont="1" applyBorder="1" applyAlignment="1">
      <alignment horizontal="left" wrapText="1"/>
    </xf>
    <xf numFmtId="0" fontId="70" fillId="0" borderId="0" xfId="0" applyFont="1" applyAlignment="1">
      <alignment horizontal="left" wrapText="1"/>
    </xf>
    <xf numFmtId="0" fontId="70" fillId="4" borderId="12" xfId="0" applyFont="1" applyFill="1" applyBorder="1" applyAlignment="1">
      <alignment horizontal="center" vertical="center" wrapText="1"/>
    </xf>
    <xf numFmtId="0" fontId="70" fillId="4" borderId="0" xfId="0" applyFont="1" applyFill="1" applyAlignment="1">
      <alignment horizontal="center" vertical="center" wrapText="1"/>
    </xf>
    <xf numFmtId="0" fontId="73" fillId="21" borderId="34" xfId="0" applyFont="1" applyFill="1" applyBorder="1" applyAlignment="1">
      <alignment horizontal="center" vertical="center" wrapText="1"/>
    </xf>
    <xf numFmtId="0" fontId="73" fillId="21" borderId="35" xfId="0" applyFont="1" applyFill="1" applyBorder="1" applyAlignment="1">
      <alignment horizontal="center" vertical="center" wrapText="1"/>
    </xf>
    <xf numFmtId="0" fontId="70" fillId="0" borderId="22" xfId="0" applyFont="1" applyBorder="1" applyAlignment="1">
      <alignment horizontal="left" vertical="center" wrapText="1"/>
    </xf>
    <xf numFmtId="0" fontId="70" fillId="0" borderId="76" xfId="0" applyFont="1" applyBorder="1" applyAlignment="1">
      <alignment horizontal="left" vertical="center" wrapText="1"/>
    </xf>
    <xf numFmtId="0" fontId="73" fillId="21" borderId="33" xfId="0" applyFont="1" applyFill="1" applyBorder="1" applyAlignment="1">
      <alignment horizontal="center" vertical="center" wrapText="1"/>
    </xf>
    <xf numFmtId="0" fontId="71" fillId="16" borderId="24" xfId="0" applyFont="1" applyFill="1" applyBorder="1" applyAlignment="1">
      <alignment horizontal="center" vertical="center" wrapText="1"/>
    </xf>
    <xf numFmtId="0" fontId="71" fillId="16" borderId="25" xfId="0" applyFont="1" applyFill="1" applyBorder="1" applyAlignment="1">
      <alignment horizontal="center" vertical="center" wrapText="1"/>
    </xf>
    <xf numFmtId="0" fontId="71" fillId="16" borderId="36" xfId="0" applyFont="1" applyFill="1" applyBorder="1" applyAlignment="1">
      <alignment horizontal="center" vertical="center" wrapText="1"/>
    </xf>
    <xf numFmtId="0" fontId="72" fillId="16" borderId="73" xfId="0" applyFont="1" applyFill="1" applyBorder="1" applyAlignment="1">
      <alignment horizontal="center" vertical="center" wrapText="1"/>
    </xf>
    <xf numFmtId="0" fontId="72" fillId="16" borderId="28" xfId="0" applyFont="1" applyFill="1" applyBorder="1" applyAlignment="1">
      <alignment horizontal="center" vertical="center" wrapText="1"/>
    </xf>
    <xf numFmtId="0" fontId="72" fillId="16" borderId="74" xfId="0" applyFont="1" applyFill="1" applyBorder="1" applyAlignment="1">
      <alignment horizontal="center" vertical="center" wrapText="1"/>
    </xf>
    <xf numFmtId="0" fontId="72" fillId="16" borderId="29" xfId="0" applyFont="1" applyFill="1" applyBorder="1" applyAlignment="1">
      <alignment horizontal="center" vertical="center" wrapText="1"/>
    </xf>
    <xf numFmtId="0" fontId="72" fillId="16" borderId="75" xfId="0" applyFont="1" applyFill="1" applyBorder="1" applyAlignment="1">
      <alignment horizontal="center" vertical="center" wrapText="1"/>
    </xf>
    <xf numFmtId="0" fontId="70" fillId="0" borderId="74" xfId="0" applyFont="1" applyBorder="1" applyAlignment="1">
      <alignment horizontal="left" vertical="center" wrapText="1"/>
    </xf>
    <xf numFmtId="0" fontId="79" fillId="17" borderId="84" xfId="0" applyFont="1" applyFill="1" applyBorder="1" applyAlignment="1">
      <alignment horizontal="center" vertical="center" wrapText="1"/>
    </xf>
    <xf numFmtId="0" fontId="79" fillId="17" borderId="85" xfId="0" applyFont="1" applyFill="1" applyBorder="1" applyAlignment="1">
      <alignment horizontal="center" vertical="center" wrapText="1"/>
    </xf>
    <xf numFmtId="0" fontId="79" fillId="17" borderId="83" xfId="0" applyFont="1" applyFill="1" applyBorder="1" applyAlignment="1">
      <alignment horizontal="center" vertical="center" wrapText="1"/>
    </xf>
    <xf numFmtId="9" fontId="78" fillId="14" borderId="83" xfId="0" applyNumberFormat="1" applyFont="1" applyFill="1" applyBorder="1" applyAlignment="1" applyProtection="1">
      <alignment horizontal="center" vertical="center" wrapText="1"/>
      <protection hidden="1"/>
    </xf>
    <xf numFmtId="0" fontId="79" fillId="33" borderId="83" xfId="0" applyFont="1" applyFill="1" applyBorder="1" applyAlignment="1">
      <alignment horizontal="center" vertical="center" wrapText="1"/>
    </xf>
    <xf numFmtId="0" fontId="102"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35" fillId="15" borderId="24" xfId="0" applyFont="1" applyFill="1" applyBorder="1" applyAlignment="1">
      <alignment horizontal="center" vertical="center" wrapText="1" readingOrder="1"/>
    </xf>
    <xf numFmtId="0" fontId="35" fillId="15" borderId="25" xfId="0" applyFont="1" applyFill="1" applyBorder="1" applyAlignment="1">
      <alignment horizontal="center" vertical="center" wrapText="1" readingOrder="1"/>
    </xf>
    <xf numFmtId="0" fontId="35" fillId="15" borderId="36" xfId="0" applyFont="1" applyFill="1" applyBorder="1" applyAlignment="1">
      <alignment horizontal="center" vertical="center" wrapText="1" readingOrder="1"/>
    </xf>
    <xf numFmtId="0" fontId="30" fillId="3" borderId="0" xfId="0" applyFont="1" applyFill="1" applyAlignment="1">
      <alignment horizontal="justify" vertical="center" wrapText="1"/>
    </xf>
    <xf numFmtId="0" fontId="32" fillId="15" borderId="33" xfId="0" applyFont="1" applyFill="1" applyBorder="1" applyAlignment="1">
      <alignment horizontal="center" vertical="center" wrapText="1" readingOrder="1"/>
    </xf>
    <xf numFmtId="0" fontId="32" fillId="15" borderId="34" xfId="0" applyFont="1" applyFill="1" applyBorder="1" applyAlignment="1">
      <alignment horizontal="center" vertical="center" wrapText="1" readingOrder="1"/>
    </xf>
    <xf numFmtId="0" fontId="32" fillId="3" borderId="31" xfId="0" applyFont="1" applyFill="1" applyBorder="1" applyAlignment="1">
      <alignment horizontal="center" vertical="center" wrapText="1" readingOrder="1"/>
    </xf>
    <xf numFmtId="0" fontId="32" fillId="3" borderId="26" xfId="0" applyFont="1" applyFill="1" applyBorder="1" applyAlignment="1">
      <alignment horizontal="center" vertical="center" wrapText="1" readingOrder="1"/>
    </xf>
    <xf numFmtId="0" fontId="32" fillId="3" borderId="23" xfId="0"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2" fillId="3" borderId="28"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41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justify" vertical="center" textRotation="0" wrapText="1" indent="0" justifyLastLine="0" shrinkToFit="0" readingOrder="0"/>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auto="1"/>
        <name val="Arial"/>
        <scheme val="none"/>
      </font>
      <fill>
        <patternFill patternType="none">
          <fgColor indexed="64"/>
          <bgColor auto="1"/>
        </patternFill>
      </fill>
    </dxf>
    <dxf>
      <font>
        <b/>
        <i val="0"/>
        <strike val="0"/>
        <condense val="0"/>
        <extend val="0"/>
        <outline val="0"/>
        <shadow val="0"/>
        <u val="none"/>
        <vertAlign val="baseline"/>
        <sz val="9"/>
        <color auto="1"/>
        <name val="Arial"/>
        <scheme val="none"/>
      </font>
      <fill>
        <patternFill patternType="solid">
          <fgColor indexed="64"/>
          <bgColor rgb="FF4BACC6"/>
        </patternFill>
      </fill>
      <alignment horizontal="center" vertical="center"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857250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2DB39274-1C83-45E4-B0AB-9A8500C833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D1ACC238-C3F5-48B6-AFA7-310E67E66E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A1CF0E48-F612-4383-9C1F-E5353CFA4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 val="Listas"/>
      <sheetName val="Opciones Tratamient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418">
      <pivotArea dataOnly="0" labelOnly="1" outline="0" fieldPosition="0">
        <references count="1">
          <reference field="0" count="1">
            <x v="1"/>
          </reference>
        </references>
      </pivotArea>
    </format>
    <format dxfId="417">
      <pivotArea dataOnly="0" labelOnly="1" outline="0" fieldPosition="0">
        <references count="2">
          <reference field="0" count="1" selected="0">
            <x v="1"/>
          </reference>
          <reference field="1" count="5">
            <x v="1"/>
            <x v="2"/>
            <x v="3"/>
            <x v="4"/>
            <x v="5"/>
          </reference>
        </references>
      </pivotArea>
    </format>
    <format dxfId="416">
      <pivotArea dataOnly="0" labelOnly="1" outline="0" fieldPosition="0">
        <references count="2">
          <reference field="0" count="1" selected="0">
            <x v="1"/>
          </reference>
          <reference field="1" count="5">
            <x v="1"/>
            <x v="2"/>
            <x v="3"/>
            <x v="4"/>
            <x v="5"/>
          </reference>
        </references>
      </pivotArea>
    </format>
    <format dxfId="415">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414" dataDxfId="413">
  <autoFilter ref="B210:C220" xr:uid="{00000000-0009-0000-0100-000001000000}"/>
  <tableColumns count="2">
    <tableColumn id="1" xr3:uid="{00000000-0010-0000-0000-000001000000}" name="Criterios" dataDxfId="412"/>
    <tableColumn id="2" xr3:uid="{00000000-0010-0000-0000-000002000000}" name="Subcriterios" dataDxfId="4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3:D19" totalsRowShown="0" headerRowDxfId="410" dataDxfId="409">
  <autoFilter ref="B3:D19" xr:uid="{00000000-0009-0000-0100-000002000000}"/>
  <tableColumns count="3">
    <tableColumn id="1" xr3:uid="{00000000-0010-0000-0100-000001000000}" name="Tipo " dataDxfId="408"/>
    <tableColumn id="2" xr3:uid="{00000000-0010-0000-0100-000002000000}" name="Clasificación " dataDxfId="407"/>
    <tableColumn id="3" xr3:uid="{00000000-0010-0000-0100-000003000000}" name="Descripción " dataDxfId="406"/>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1:H317"/>
  <sheetViews>
    <sheetView topLeftCell="A36" zoomScale="110" zoomScaleNormal="110" workbookViewId="0">
      <selection activeCell="B2" sqref="B2:H2"/>
    </sheetView>
  </sheetViews>
  <sheetFormatPr baseColWidth="10" defaultColWidth="11.42578125" defaultRowHeight="15" x14ac:dyDescent="0.25"/>
  <cols>
    <col min="1" max="1" width="2.85546875" style="66" customWidth="1"/>
    <col min="2" max="2" width="24.7109375" style="66" customWidth="1"/>
    <col min="3" max="3" width="36.2851562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320" t="s">
        <v>0</v>
      </c>
      <c r="C2" s="321"/>
      <c r="D2" s="321"/>
      <c r="E2" s="321"/>
      <c r="F2" s="321"/>
      <c r="G2" s="321"/>
      <c r="H2" s="322"/>
    </row>
    <row r="3" spans="2:8" x14ac:dyDescent="0.25">
      <c r="B3" s="67"/>
      <c r="C3" s="68"/>
      <c r="D3" s="68"/>
      <c r="E3" s="68"/>
      <c r="F3" s="68"/>
      <c r="G3" s="68"/>
      <c r="H3" s="69"/>
    </row>
    <row r="4" spans="2:8" ht="63" customHeight="1" x14ac:dyDescent="0.25">
      <c r="B4" s="323" t="s">
        <v>1</v>
      </c>
      <c r="C4" s="324"/>
      <c r="D4" s="324"/>
      <c r="E4" s="324"/>
      <c r="F4" s="324"/>
      <c r="G4" s="324"/>
      <c r="H4" s="325"/>
    </row>
    <row r="5" spans="2:8" ht="63" customHeight="1" x14ac:dyDescent="0.25">
      <c r="B5" s="326"/>
      <c r="C5" s="327"/>
      <c r="D5" s="327"/>
      <c r="E5" s="327"/>
      <c r="F5" s="327"/>
      <c r="G5" s="327"/>
      <c r="H5" s="328"/>
    </row>
    <row r="6" spans="2:8" ht="16.5" x14ac:dyDescent="0.25">
      <c r="B6" s="329" t="s">
        <v>2</v>
      </c>
      <c r="C6" s="330"/>
      <c r="D6" s="330"/>
      <c r="E6" s="330"/>
      <c r="F6" s="330"/>
      <c r="G6" s="330"/>
      <c r="H6" s="331"/>
    </row>
    <row r="7" spans="2:8" ht="95.25" customHeight="1" x14ac:dyDescent="0.25">
      <c r="B7" s="339" t="s">
        <v>3</v>
      </c>
      <c r="C7" s="340"/>
      <c r="D7" s="340"/>
      <c r="E7" s="340"/>
      <c r="F7" s="340"/>
      <c r="G7" s="340"/>
      <c r="H7" s="341"/>
    </row>
    <row r="8" spans="2:8" ht="16.5" x14ac:dyDescent="0.25">
      <c r="B8" s="101"/>
      <c r="C8" s="102"/>
      <c r="D8" s="102"/>
      <c r="E8" s="102"/>
      <c r="F8" s="102"/>
      <c r="G8" s="102"/>
      <c r="H8" s="103"/>
    </row>
    <row r="9" spans="2:8" ht="16.5" customHeight="1" x14ac:dyDescent="0.25">
      <c r="B9" s="332" t="s">
        <v>4</v>
      </c>
      <c r="C9" s="333"/>
      <c r="D9" s="333"/>
      <c r="E9" s="333"/>
      <c r="F9" s="333"/>
      <c r="G9" s="333"/>
      <c r="H9" s="334"/>
    </row>
    <row r="10" spans="2:8" ht="44.25" customHeight="1" x14ac:dyDescent="0.25">
      <c r="B10" s="332"/>
      <c r="C10" s="333"/>
      <c r="D10" s="333"/>
      <c r="E10" s="333"/>
      <c r="F10" s="333"/>
      <c r="G10" s="333"/>
      <c r="H10" s="334"/>
    </row>
    <row r="11" spans="2:8" ht="15.75" thickBot="1" x14ac:dyDescent="0.3">
      <c r="B11" s="90"/>
      <c r="C11" s="93"/>
      <c r="D11" s="98"/>
      <c r="E11" s="99"/>
      <c r="F11" s="99"/>
      <c r="G11" s="100"/>
      <c r="H11" s="94"/>
    </row>
    <row r="12" spans="2:8" ht="15.75" thickTop="1" x14ac:dyDescent="0.25">
      <c r="B12" s="90"/>
      <c r="C12" s="335" t="s">
        <v>5</v>
      </c>
      <c r="D12" s="336"/>
      <c r="E12" s="337" t="s">
        <v>6</v>
      </c>
      <c r="F12" s="338"/>
      <c r="G12" s="93"/>
      <c r="H12" s="94"/>
    </row>
    <row r="13" spans="2:8" ht="35.25" customHeight="1" x14ac:dyDescent="0.25">
      <c r="B13" s="90"/>
      <c r="C13" s="306" t="s">
        <v>7</v>
      </c>
      <c r="D13" s="307"/>
      <c r="E13" s="308" t="s">
        <v>8</v>
      </c>
      <c r="F13" s="309"/>
      <c r="G13" s="93"/>
      <c r="H13" s="94"/>
    </row>
    <row r="14" spans="2:8" ht="17.25" customHeight="1" x14ac:dyDescent="0.25">
      <c r="B14" s="90"/>
      <c r="C14" s="306" t="s">
        <v>9</v>
      </c>
      <c r="D14" s="307"/>
      <c r="E14" s="308" t="s">
        <v>10</v>
      </c>
      <c r="F14" s="309"/>
      <c r="G14" s="93"/>
      <c r="H14" s="94"/>
    </row>
    <row r="15" spans="2:8" ht="19.5" customHeight="1" x14ac:dyDescent="0.25">
      <c r="B15" s="90"/>
      <c r="C15" s="306" t="s">
        <v>11</v>
      </c>
      <c r="D15" s="307"/>
      <c r="E15" s="308" t="s">
        <v>12</v>
      </c>
      <c r="F15" s="309"/>
      <c r="G15" s="93"/>
      <c r="H15" s="94"/>
    </row>
    <row r="16" spans="2:8" ht="69.75" customHeight="1" x14ac:dyDescent="0.25">
      <c r="B16" s="90"/>
      <c r="C16" s="306" t="s">
        <v>13</v>
      </c>
      <c r="D16" s="307"/>
      <c r="E16" s="308" t="s">
        <v>14</v>
      </c>
      <c r="F16" s="309"/>
      <c r="G16" s="93"/>
      <c r="H16" s="94"/>
    </row>
    <row r="17" spans="2:8" ht="34.5" customHeight="1" x14ac:dyDescent="0.25">
      <c r="B17" s="90"/>
      <c r="C17" s="312" t="s">
        <v>15</v>
      </c>
      <c r="D17" s="313"/>
      <c r="E17" s="310" t="s">
        <v>16</v>
      </c>
      <c r="F17" s="311"/>
      <c r="G17" s="93"/>
      <c r="H17" s="94"/>
    </row>
    <row r="18" spans="2:8" ht="27.75" customHeight="1" x14ac:dyDescent="0.25">
      <c r="B18" s="90"/>
      <c r="C18" s="312" t="s">
        <v>17</v>
      </c>
      <c r="D18" s="313"/>
      <c r="E18" s="310" t="s">
        <v>18</v>
      </c>
      <c r="F18" s="311"/>
      <c r="G18" s="93"/>
      <c r="H18" s="94"/>
    </row>
    <row r="19" spans="2:8" ht="28.5" customHeight="1" x14ac:dyDescent="0.25">
      <c r="B19" s="90"/>
      <c r="C19" s="312" t="s">
        <v>19</v>
      </c>
      <c r="D19" s="313"/>
      <c r="E19" s="310" t="s">
        <v>20</v>
      </c>
      <c r="F19" s="311"/>
      <c r="G19" s="93"/>
      <c r="H19" s="94"/>
    </row>
    <row r="20" spans="2:8" ht="72.75" customHeight="1" x14ac:dyDescent="0.25">
      <c r="B20" s="90"/>
      <c r="C20" s="312" t="s">
        <v>21</v>
      </c>
      <c r="D20" s="313"/>
      <c r="E20" s="310" t="s">
        <v>22</v>
      </c>
      <c r="F20" s="311"/>
      <c r="G20" s="93"/>
      <c r="H20" s="94"/>
    </row>
    <row r="21" spans="2:8" ht="34.5" customHeight="1" x14ac:dyDescent="0.25">
      <c r="B21" s="90"/>
      <c r="C21" s="312" t="s">
        <v>23</v>
      </c>
      <c r="D21" s="313"/>
      <c r="E21" s="310" t="s">
        <v>24</v>
      </c>
      <c r="F21" s="311"/>
      <c r="G21" s="93"/>
      <c r="H21" s="94"/>
    </row>
    <row r="22" spans="2:8" ht="71.25" customHeight="1" x14ac:dyDescent="0.25">
      <c r="B22" s="90"/>
      <c r="C22" s="312" t="s">
        <v>25</v>
      </c>
      <c r="D22" s="313"/>
      <c r="E22" s="310" t="s">
        <v>26</v>
      </c>
      <c r="F22" s="311"/>
      <c r="G22" s="93"/>
      <c r="H22" s="94"/>
    </row>
    <row r="23" spans="2:8" ht="55.5" customHeight="1" x14ac:dyDescent="0.25">
      <c r="B23" s="90"/>
      <c r="C23" s="314" t="s">
        <v>27</v>
      </c>
      <c r="D23" s="315"/>
      <c r="E23" s="310" t="s">
        <v>28</v>
      </c>
      <c r="F23" s="311"/>
      <c r="G23" s="93"/>
      <c r="H23" s="94"/>
    </row>
    <row r="24" spans="2:8" ht="42" customHeight="1" x14ac:dyDescent="0.25">
      <c r="B24" s="90"/>
      <c r="C24" s="314" t="s">
        <v>29</v>
      </c>
      <c r="D24" s="315"/>
      <c r="E24" s="310" t="s">
        <v>30</v>
      </c>
      <c r="F24" s="311"/>
      <c r="G24" s="93"/>
      <c r="H24" s="94"/>
    </row>
    <row r="25" spans="2:8" ht="59.25" customHeight="1" x14ac:dyDescent="0.25">
      <c r="B25" s="90"/>
      <c r="C25" s="314" t="s">
        <v>31</v>
      </c>
      <c r="D25" s="315"/>
      <c r="E25" s="310" t="s">
        <v>32</v>
      </c>
      <c r="F25" s="311"/>
      <c r="G25" s="93"/>
      <c r="H25" s="94"/>
    </row>
    <row r="26" spans="2:8" ht="23.25" customHeight="1" x14ac:dyDescent="0.25">
      <c r="B26" s="90"/>
      <c r="C26" s="314" t="s">
        <v>33</v>
      </c>
      <c r="D26" s="315"/>
      <c r="E26" s="310" t="s">
        <v>34</v>
      </c>
      <c r="F26" s="311"/>
      <c r="G26" s="93"/>
      <c r="H26" s="94"/>
    </row>
    <row r="27" spans="2:8" ht="30.75" customHeight="1" x14ac:dyDescent="0.25">
      <c r="B27" s="90"/>
      <c r="C27" s="314" t="s">
        <v>35</v>
      </c>
      <c r="D27" s="315"/>
      <c r="E27" s="310" t="s">
        <v>36</v>
      </c>
      <c r="F27" s="311"/>
      <c r="G27" s="93"/>
      <c r="H27" s="94"/>
    </row>
    <row r="28" spans="2:8" ht="35.25" customHeight="1" x14ac:dyDescent="0.25">
      <c r="B28" s="90"/>
      <c r="C28" s="314" t="s">
        <v>37</v>
      </c>
      <c r="D28" s="315"/>
      <c r="E28" s="310" t="s">
        <v>38</v>
      </c>
      <c r="F28" s="311"/>
      <c r="G28" s="93"/>
      <c r="H28" s="94"/>
    </row>
    <row r="29" spans="2:8" ht="33" customHeight="1" x14ac:dyDescent="0.25">
      <c r="B29" s="90"/>
      <c r="C29" s="314" t="s">
        <v>37</v>
      </c>
      <c r="D29" s="315"/>
      <c r="E29" s="310" t="s">
        <v>38</v>
      </c>
      <c r="F29" s="311"/>
      <c r="G29" s="93"/>
      <c r="H29" s="94"/>
    </row>
    <row r="30" spans="2:8" ht="30" customHeight="1" x14ac:dyDescent="0.25">
      <c r="B30" s="90"/>
      <c r="C30" s="314" t="s">
        <v>39</v>
      </c>
      <c r="D30" s="315"/>
      <c r="E30" s="310" t="s">
        <v>40</v>
      </c>
      <c r="F30" s="311"/>
      <c r="G30" s="93"/>
      <c r="H30" s="94"/>
    </row>
    <row r="31" spans="2:8" ht="35.25" customHeight="1" x14ac:dyDescent="0.25">
      <c r="B31" s="90"/>
      <c r="C31" s="314" t="s">
        <v>41</v>
      </c>
      <c r="D31" s="315"/>
      <c r="E31" s="310" t="s">
        <v>42</v>
      </c>
      <c r="F31" s="311"/>
      <c r="G31" s="93"/>
      <c r="H31" s="94"/>
    </row>
    <row r="32" spans="2:8" ht="31.5" customHeight="1" x14ac:dyDescent="0.25">
      <c r="B32" s="90"/>
      <c r="C32" s="314" t="s">
        <v>43</v>
      </c>
      <c r="D32" s="315"/>
      <c r="E32" s="310" t="s">
        <v>44</v>
      </c>
      <c r="F32" s="311"/>
      <c r="G32" s="93"/>
      <c r="H32" s="94"/>
    </row>
    <row r="33" spans="2:8" ht="35.25" customHeight="1" x14ac:dyDescent="0.25">
      <c r="B33" s="90"/>
      <c r="C33" s="314" t="s">
        <v>45</v>
      </c>
      <c r="D33" s="315"/>
      <c r="E33" s="310" t="s">
        <v>46</v>
      </c>
      <c r="F33" s="311"/>
      <c r="G33" s="93"/>
      <c r="H33" s="94"/>
    </row>
    <row r="34" spans="2:8" ht="59.25" customHeight="1" x14ac:dyDescent="0.25">
      <c r="B34" s="90"/>
      <c r="C34" s="314" t="s">
        <v>47</v>
      </c>
      <c r="D34" s="315"/>
      <c r="E34" s="310" t="s">
        <v>48</v>
      </c>
      <c r="F34" s="311"/>
      <c r="G34" s="93"/>
      <c r="H34" s="94"/>
    </row>
    <row r="35" spans="2:8" ht="29.25" customHeight="1" x14ac:dyDescent="0.25">
      <c r="B35" s="90"/>
      <c r="C35" s="314" t="s">
        <v>49</v>
      </c>
      <c r="D35" s="315"/>
      <c r="E35" s="310" t="s">
        <v>50</v>
      </c>
      <c r="F35" s="311"/>
      <c r="G35" s="93"/>
      <c r="H35" s="94"/>
    </row>
    <row r="36" spans="2:8" ht="82.5" customHeight="1" x14ac:dyDescent="0.25">
      <c r="B36" s="90"/>
      <c r="C36" s="314" t="s">
        <v>51</v>
      </c>
      <c r="D36" s="315"/>
      <c r="E36" s="310" t="s">
        <v>52</v>
      </c>
      <c r="F36" s="311"/>
      <c r="G36" s="93"/>
      <c r="H36" s="94"/>
    </row>
    <row r="37" spans="2:8" ht="6.75" customHeight="1" thickBot="1" x14ac:dyDescent="0.3">
      <c r="B37" s="90"/>
      <c r="C37" s="316"/>
      <c r="D37" s="317"/>
      <c r="E37" s="318"/>
      <c r="F37" s="319"/>
      <c r="G37" s="93"/>
      <c r="H37" s="94"/>
    </row>
    <row r="38" spans="2:8" ht="15.75" thickTop="1" x14ac:dyDescent="0.25">
      <c r="B38" s="90"/>
      <c r="C38" s="91"/>
      <c r="D38" s="91"/>
      <c r="E38" s="92"/>
      <c r="F38" s="92"/>
      <c r="G38" s="93"/>
      <c r="H38" s="94"/>
    </row>
    <row r="39" spans="2:8" ht="15.75" thickBot="1" x14ac:dyDescent="0.3">
      <c r="B39" s="95"/>
      <c r="C39" s="96"/>
      <c r="D39" s="96"/>
      <c r="E39" s="96"/>
      <c r="F39" s="96"/>
      <c r="G39" s="96"/>
      <c r="H39" s="97"/>
    </row>
    <row r="41" spans="2:8" x14ac:dyDescent="0.25">
      <c r="B41" s="233" t="s">
        <v>53</v>
      </c>
    </row>
    <row r="42" spans="2:8" x14ac:dyDescent="0.25">
      <c r="B42" s="66" t="s">
        <v>54</v>
      </c>
    </row>
    <row r="43" spans="2:8" ht="28.5" customHeight="1" x14ac:dyDescent="0.25">
      <c r="B43" s="225" t="s">
        <v>55</v>
      </c>
      <c r="C43" s="225" t="s">
        <v>56</v>
      </c>
      <c r="D43" s="225" t="s">
        <v>57</v>
      </c>
      <c r="E43" s="226" t="s">
        <v>58</v>
      </c>
      <c r="F43" s="227" t="s">
        <v>59</v>
      </c>
    </row>
    <row r="44" spans="2:8" ht="45" x14ac:dyDescent="0.25">
      <c r="B44" s="228" t="s">
        <v>60</v>
      </c>
      <c r="C44" s="228" t="s">
        <v>61</v>
      </c>
      <c r="D44" s="229">
        <v>45306</v>
      </c>
      <c r="E44" s="228" t="s">
        <v>62</v>
      </c>
      <c r="F44" s="230" t="s">
        <v>63</v>
      </c>
    </row>
    <row r="45" spans="2:8" x14ac:dyDescent="0.25">
      <c r="B45" s="228"/>
      <c r="C45" s="228"/>
      <c r="D45" s="229"/>
      <c r="E45" s="228"/>
      <c r="F45" s="230"/>
    </row>
    <row r="294" spans="3:3" x14ac:dyDescent="0.25">
      <c r="C294" s="264" t="s">
        <v>64</v>
      </c>
    </row>
    <row r="295" spans="3:3" x14ac:dyDescent="0.25">
      <c r="C295" s="264" t="s">
        <v>65</v>
      </c>
    </row>
    <row r="296" spans="3:3" ht="36" x14ac:dyDescent="0.25">
      <c r="C296" s="264" t="s">
        <v>66</v>
      </c>
    </row>
    <row r="297" spans="3:3" x14ac:dyDescent="0.25">
      <c r="C297" s="264" t="s">
        <v>67</v>
      </c>
    </row>
    <row r="298" spans="3:3" ht="24" x14ac:dyDescent="0.25">
      <c r="C298" s="264" t="s">
        <v>68</v>
      </c>
    </row>
    <row r="299" spans="3:3" x14ac:dyDescent="0.25">
      <c r="C299" s="264" t="s">
        <v>69</v>
      </c>
    </row>
    <row r="300" spans="3:3" x14ac:dyDescent="0.25">
      <c r="C300" s="264" t="s">
        <v>70</v>
      </c>
    </row>
    <row r="301" spans="3:3" ht="24" x14ac:dyDescent="0.25">
      <c r="C301" s="264" t="s">
        <v>71</v>
      </c>
    </row>
    <row r="302" spans="3:3" ht="24" x14ac:dyDescent="0.25">
      <c r="C302" s="264" t="s">
        <v>72</v>
      </c>
    </row>
    <row r="303" spans="3:3" ht="24" x14ac:dyDescent="0.25">
      <c r="C303" s="264" t="s">
        <v>73</v>
      </c>
    </row>
    <row r="304" spans="3:3" x14ac:dyDescent="0.25">
      <c r="C304" s="264" t="s">
        <v>74</v>
      </c>
    </row>
    <row r="305" spans="3:3" x14ac:dyDescent="0.25">
      <c r="C305" s="264" t="s">
        <v>75</v>
      </c>
    </row>
    <row r="306" spans="3:3" x14ac:dyDescent="0.25">
      <c r="C306" s="264" t="s">
        <v>76</v>
      </c>
    </row>
    <row r="307" spans="3:3" x14ac:dyDescent="0.25">
      <c r="C307" s="264" t="s">
        <v>77</v>
      </c>
    </row>
    <row r="308" spans="3:3" x14ac:dyDescent="0.25">
      <c r="C308" s="264" t="s">
        <v>78</v>
      </c>
    </row>
    <row r="309" spans="3:3" x14ac:dyDescent="0.25">
      <c r="C309" s="264" t="s">
        <v>79</v>
      </c>
    </row>
    <row r="310" spans="3:3" x14ac:dyDescent="0.25">
      <c r="C310" s="264" t="s">
        <v>80</v>
      </c>
    </row>
    <row r="311" spans="3:3" x14ac:dyDescent="0.25">
      <c r="C311" s="264" t="s">
        <v>81</v>
      </c>
    </row>
    <row r="312" spans="3:3" ht="24" x14ac:dyDescent="0.25">
      <c r="C312" s="264" t="s">
        <v>82</v>
      </c>
    </row>
    <row r="313" spans="3:3" ht="24" x14ac:dyDescent="0.25">
      <c r="C313" s="265" t="s">
        <v>83</v>
      </c>
    </row>
    <row r="314" spans="3:3" x14ac:dyDescent="0.25">
      <c r="C314" t="s">
        <v>84</v>
      </c>
    </row>
    <row r="315" spans="3:3" x14ac:dyDescent="0.25">
      <c r="C315" t="s">
        <v>85</v>
      </c>
    </row>
    <row r="316" spans="3:3" x14ac:dyDescent="0.25">
      <c r="C316" t="s">
        <v>86</v>
      </c>
    </row>
    <row r="317" spans="3:3" x14ac:dyDescent="0.25">
      <c r="C317" t="s">
        <v>87</v>
      </c>
    </row>
  </sheetData>
  <mergeCells count="57">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C16:D16"/>
    <mergeCell ref="E16:F16"/>
    <mergeCell ref="C14:D14"/>
    <mergeCell ref="E14:F14"/>
    <mergeCell ref="C26:D26"/>
    <mergeCell ref="E26:F26"/>
    <mergeCell ref="E34:F34"/>
    <mergeCell ref="C32:D32"/>
    <mergeCell ref="C31:D31"/>
    <mergeCell ref="E31:F31"/>
    <mergeCell ref="E32:F32"/>
    <mergeCell ref="C27:D27"/>
    <mergeCell ref="E27:F27"/>
    <mergeCell ref="E28:F28"/>
    <mergeCell ref="C28:D28"/>
    <mergeCell ref="C37:D37"/>
    <mergeCell ref="E37:F37"/>
    <mergeCell ref="C33:D33"/>
    <mergeCell ref="C29:D29"/>
    <mergeCell ref="E29:F29"/>
    <mergeCell ref="C30:D30"/>
    <mergeCell ref="E30:F30"/>
    <mergeCell ref="E33:F33"/>
    <mergeCell ref="C34:D34"/>
    <mergeCell ref="C35:D35"/>
    <mergeCell ref="E35:F35"/>
    <mergeCell ref="C36:D36"/>
    <mergeCell ref="E36:F36"/>
    <mergeCell ref="C15:D15"/>
    <mergeCell ref="E15:F15"/>
    <mergeCell ref="E22:F22"/>
    <mergeCell ref="C22:D22"/>
    <mergeCell ref="C25:D25"/>
    <mergeCell ref="E25:F25"/>
    <mergeCell ref="E23:F23"/>
    <mergeCell ref="C23:D23"/>
    <mergeCell ref="C24:D24"/>
    <mergeCell ref="E24:F24"/>
  </mergeCells>
  <phoneticPr fontId="8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JO76"/>
  <sheetViews>
    <sheetView zoomScale="70" zoomScaleNormal="70" zoomScaleSheetLayoutView="50" zoomScalePageLayoutView="60" workbookViewId="0">
      <selection sqref="A1:C4"/>
    </sheetView>
  </sheetViews>
  <sheetFormatPr baseColWidth="10" defaultColWidth="11.42578125" defaultRowHeight="15" x14ac:dyDescent="0.2"/>
  <cols>
    <col min="1" max="1" width="6.42578125" style="203" customWidth="1"/>
    <col min="2" max="2" width="22.7109375" style="203" customWidth="1"/>
    <col min="3" max="3" width="19.140625" style="203" customWidth="1"/>
    <col min="4" max="5" width="25.28515625" style="203" customWidth="1"/>
    <col min="6" max="6" width="51.140625" style="203" customWidth="1"/>
    <col min="7" max="7" width="21" style="185" customWidth="1"/>
    <col min="8" max="8" width="17.7109375" style="185" customWidth="1"/>
    <col min="9" max="10" width="18.85546875" style="185" customWidth="1"/>
    <col min="11" max="11" width="24.28515625" style="185" customWidth="1"/>
    <col min="12" max="12" width="19.42578125" style="185" customWidth="1"/>
    <col min="13" max="13" width="20.42578125" style="185" customWidth="1"/>
    <col min="14" max="14" width="16.7109375" style="204" customWidth="1"/>
    <col min="15" max="15" width="16.7109375" style="185" customWidth="1"/>
    <col min="16" max="16" width="13.85546875" style="185" hidden="1" customWidth="1"/>
    <col min="17" max="17" width="19.42578125" style="185" customWidth="1"/>
    <col min="18" max="18" width="35.85546875" style="185" hidden="1" customWidth="1"/>
    <col min="19" max="19" width="19" style="185" customWidth="1"/>
    <col min="20" max="20" width="17.42578125" style="185" hidden="1" customWidth="1"/>
    <col min="21" max="21" width="15" style="185" customWidth="1"/>
    <col min="22" max="22" width="5.140625" style="185" customWidth="1"/>
    <col min="23" max="23" width="29.85546875" style="185" customWidth="1"/>
    <col min="24" max="24" width="11.7109375" style="185" customWidth="1"/>
    <col min="25" max="25" width="33.42578125" style="185" customWidth="1"/>
    <col min="26" max="26" width="32.7109375" style="185" customWidth="1"/>
    <col min="27" max="27" width="19.7109375" style="185" hidden="1" customWidth="1"/>
    <col min="28" max="28" width="5.85546875" style="185" customWidth="1"/>
    <col min="29" max="29" width="6.85546875" style="185" customWidth="1"/>
    <col min="30" max="30" width="5" style="185" hidden="1" customWidth="1"/>
    <col min="31" max="31" width="5.42578125" style="185" customWidth="1"/>
    <col min="32" max="32" width="7.140625" style="185" customWidth="1"/>
    <col min="33" max="33" width="6.7109375" style="185" customWidth="1"/>
    <col min="34" max="34" width="7.42578125" style="185" hidden="1" customWidth="1"/>
    <col min="35" max="35" width="8.42578125" style="185" customWidth="1"/>
    <col min="36" max="40" width="10.85546875" style="185" customWidth="1"/>
    <col min="41" max="41" width="33.28515625" style="202" customWidth="1"/>
    <col min="42" max="42" width="23" style="185" customWidth="1"/>
    <col min="43" max="43" width="18.85546875" style="185" customWidth="1"/>
    <col min="44" max="44" width="23.7109375" style="185" customWidth="1"/>
    <col min="45" max="45" width="22.42578125" style="185" customWidth="1"/>
    <col min="46" max="46" width="16.42578125" style="185" customWidth="1"/>
    <col min="47" max="47" width="20.42578125" style="185" customWidth="1"/>
    <col min="48" max="16384" width="11.42578125" style="185"/>
  </cols>
  <sheetData>
    <row r="1" spans="1:275" s="187" customFormat="1" ht="20.25" x14ac:dyDescent="0.3">
      <c r="A1" s="373"/>
      <c r="B1" s="374"/>
      <c r="C1" s="375"/>
      <c r="D1" s="382" t="s">
        <v>218</v>
      </c>
      <c r="E1" s="383"/>
      <c r="F1" s="383"/>
      <c r="G1" s="383"/>
      <c r="H1" s="383"/>
      <c r="I1" s="383"/>
      <c r="J1" s="383"/>
      <c r="K1" s="383"/>
      <c r="L1" s="383"/>
      <c r="M1" s="383"/>
      <c r="N1" s="383"/>
      <c r="O1" s="383"/>
      <c r="P1" s="383"/>
      <c r="Q1" s="383"/>
      <c r="R1" s="383"/>
      <c r="S1" s="383"/>
      <c r="T1" s="384"/>
      <c r="U1" s="234"/>
      <c r="V1" s="234"/>
      <c r="W1" s="234"/>
      <c r="X1" s="234"/>
      <c r="Y1" s="234"/>
      <c r="Z1" s="234"/>
      <c r="AA1" s="358"/>
      <c r="AB1" s="358"/>
      <c r="AC1" s="358"/>
      <c r="AD1" s="358"/>
      <c r="AE1" s="358"/>
      <c r="AF1" s="358"/>
      <c r="AG1" s="358"/>
      <c r="AH1" s="358"/>
      <c r="AI1" s="358"/>
      <c r="AJ1" s="358"/>
      <c r="AK1" s="358"/>
      <c r="AL1" s="358"/>
      <c r="AM1" s="358"/>
      <c r="AN1" s="358"/>
      <c r="AO1" s="358"/>
      <c r="AP1" s="358"/>
      <c r="AQ1" s="358"/>
      <c r="AR1" s="358"/>
      <c r="AS1" s="358"/>
      <c r="AT1" s="358"/>
      <c r="AU1" s="358"/>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376"/>
      <c r="B2" s="377"/>
      <c r="C2" s="378"/>
      <c r="D2" s="385"/>
      <c r="E2" s="386"/>
      <c r="F2" s="386"/>
      <c r="G2" s="386"/>
      <c r="H2" s="386"/>
      <c r="I2" s="386"/>
      <c r="J2" s="386"/>
      <c r="K2" s="386"/>
      <c r="L2" s="386"/>
      <c r="M2" s="386"/>
      <c r="N2" s="386"/>
      <c r="O2" s="386"/>
      <c r="P2" s="386"/>
      <c r="Q2" s="386"/>
      <c r="R2" s="386"/>
      <c r="S2" s="386"/>
      <c r="T2" s="387"/>
      <c r="U2" s="234"/>
      <c r="V2" s="234"/>
      <c r="W2" s="234"/>
      <c r="X2" s="234"/>
      <c r="Y2" s="234"/>
      <c r="Z2" s="234"/>
      <c r="AA2" s="358"/>
      <c r="AB2" s="358"/>
      <c r="AC2" s="358"/>
      <c r="AD2" s="358"/>
      <c r="AE2" s="358"/>
      <c r="AF2" s="358"/>
      <c r="AG2" s="358"/>
      <c r="AH2" s="358"/>
      <c r="AI2" s="358"/>
      <c r="AJ2" s="358"/>
      <c r="AK2" s="358"/>
      <c r="AL2" s="358"/>
      <c r="AM2" s="358"/>
      <c r="AN2" s="358"/>
      <c r="AO2" s="358"/>
      <c r="AP2" s="358"/>
      <c r="AQ2" s="358"/>
      <c r="AR2" s="358"/>
      <c r="AS2" s="358"/>
      <c r="AT2" s="358"/>
      <c r="AU2" s="358"/>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376"/>
      <c r="B3" s="377"/>
      <c r="C3" s="378"/>
      <c r="D3" s="388" t="s">
        <v>219</v>
      </c>
      <c r="E3" s="389"/>
      <c r="F3" s="389"/>
      <c r="G3" s="389"/>
      <c r="H3" s="389"/>
      <c r="I3" s="390"/>
      <c r="J3" s="388" t="s">
        <v>220</v>
      </c>
      <c r="K3" s="389"/>
      <c r="L3" s="389"/>
      <c r="M3" s="389"/>
      <c r="N3" s="389"/>
      <c r="O3" s="389"/>
      <c r="P3" s="389"/>
      <c r="Q3" s="389"/>
      <c r="R3" s="389"/>
      <c r="S3" s="389"/>
      <c r="T3" s="390"/>
      <c r="U3" s="235"/>
      <c r="V3" s="235"/>
      <c r="W3" s="235"/>
      <c r="X3" s="235"/>
      <c r="Y3" s="235"/>
      <c r="Z3" s="234"/>
      <c r="AA3" s="359"/>
      <c r="AB3" s="359"/>
      <c r="AC3" s="359"/>
      <c r="AD3" s="359"/>
      <c r="AE3" s="359"/>
      <c r="AF3" s="359"/>
      <c r="AG3" s="359"/>
      <c r="AH3" s="359"/>
      <c r="AI3" s="359"/>
      <c r="AJ3" s="359"/>
      <c r="AK3" s="359"/>
      <c r="AL3" s="359"/>
      <c r="AM3" s="359"/>
      <c r="AN3" s="359"/>
      <c r="AO3" s="359"/>
      <c r="AP3" s="359"/>
      <c r="AQ3" s="359"/>
      <c r="AR3" s="359"/>
      <c r="AS3" s="359"/>
      <c r="AT3" s="359"/>
      <c r="AU3" s="359"/>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379"/>
      <c r="B4" s="380"/>
      <c r="C4" s="381"/>
      <c r="D4" s="388" t="s">
        <v>221</v>
      </c>
      <c r="E4" s="389"/>
      <c r="F4" s="389"/>
      <c r="G4" s="389"/>
      <c r="H4" s="389"/>
      <c r="I4" s="389"/>
      <c r="J4" s="389"/>
      <c r="K4" s="389"/>
      <c r="L4" s="389"/>
      <c r="M4" s="389"/>
      <c r="N4" s="389"/>
      <c r="O4" s="389"/>
      <c r="P4" s="389"/>
      <c r="Q4" s="389"/>
      <c r="R4" s="389"/>
      <c r="S4" s="389"/>
      <c r="T4" s="390"/>
      <c r="U4" s="234"/>
      <c r="V4" s="234"/>
      <c r="W4" s="234"/>
      <c r="X4" s="234"/>
      <c r="Y4" s="234"/>
      <c r="Z4" s="234"/>
      <c r="AA4" s="359"/>
      <c r="AB4" s="359"/>
      <c r="AC4" s="359"/>
      <c r="AD4" s="359"/>
      <c r="AE4" s="359"/>
      <c r="AF4" s="359"/>
      <c r="AG4" s="359"/>
      <c r="AH4" s="359"/>
      <c r="AI4" s="359"/>
      <c r="AJ4" s="359"/>
      <c r="AK4" s="359"/>
      <c r="AL4" s="359"/>
      <c r="AM4" s="359"/>
      <c r="AN4" s="359"/>
      <c r="AO4" s="359"/>
      <c r="AP4" s="359"/>
      <c r="AQ4" s="359"/>
      <c r="AR4" s="359"/>
      <c r="AS4" s="359"/>
      <c r="AT4" s="359"/>
      <c r="AU4" s="359"/>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C5" s="188"/>
      <c r="D5" s="188"/>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360" t="s">
        <v>222</v>
      </c>
      <c r="B6" s="361"/>
      <c r="C6" s="367" t="s">
        <v>66</v>
      </c>
      <c r="D6" s="368"/>
      <c r="E6" s="368"/>
      <c r="F6" s="368"/>
      <c r="G6" s="368"/>
      <c r="H6" s="368"/>
      <c r="I6" s="368"/>
      <c r="J6" s="368"/>
      <c r="K6" s="368"/>
      <c r="L6" s="368"/>
      <c r="M6" s="368"/>
      <c r="N6" s="368"/>
      <c r="O6" s="368"/>
      <c r="P6" s="368"/>
      <c r="Q6" s="368"/>
      <c r="R6" s="368"/>
      <c r="S6" s="368"/>
      <c r="T6" s="369"/>
      <c r="U6" s="237"/>
      <c r="V6" s="237"/>
      <c r="W6" s="237"/>
      <c r="X6" s="237"/>
      <c r="Y6" s="237"/>
      <c r="Z6" s="366"/>
      <c r="AA6" s="366"/>
      <c r="AB6" s="366"/>
      <c r="AC6" s="357"/>
      <c r="AD6" s="357"/>
      <c r="AE6" s="357"/>
      <c r="AF6" s="357"/>
      <c r="AG6" s="357"/>
      <c r="AH6" s="357"/>
      <c r="AI6" s="357"/>
      <c r="AJ6" s="357"/>
      <c r="AK6" s="357"/>
      <c r="AL6" s="357"/>
      <c r="AM6" s="357"/>
      <c r="AN6" s="357"/>
      <c r="AO6" s="357"/>
      <c r="AP6" s="357"/>
      <c r="AQ6" s="357"/>
      <c r="AR6" s="357"/>
      <c r="AS6" s="357"/>
      <c r="AT6" s="357"/>
      <c r="AU6" s="357"/>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362" t="s">
        <v>223</v>
      </c>
      <c r="B7" s="363"/>
      <c r="C7" s="370"/>
      <c r="D7" s="371"/>
      <c r="E7" s="371"/>
      <c r="F7" s="371"/>
      <c r="G7" s="371"/>
      <c r="H7" s="371"/>
      <c r="I7" s="371"/>
      <c r="J7" s="371"/>
      <c r="K7" s="371"/>
      <c r="L7" s="371"/>
      <c r="M7" s="371"/>
      <c r="N7" s="371"/>
      <c r="O7" s="371"/>
      <c r="P7" s="371"/>
      <c r="Q7" s="371"/>
      <c r="R7" s="371"/>
      <c r="S7" s="371"/>
      <c r="T7" s="372"/>
      <c r="U7" s="238"/>
      <c r="V7" s="238"/>
      <c r="W7" s="238"/>
      <c r="X7" s="238"/>
      <c r="Y7" s="238"/>
      <c r="Z7" s="239"/>
      <c r="AA7" s="239"/>
      <c r="AB7" s="239"/>
      <c r="AC7" s="357"/>
      <c r="AD7" s="357"/>
      <c r="AE7" s="357"/>
      <c r="AF7" s="357"/>
      <c r="AG7" s="357"/>
      <c r="AH7" s="357"/>
      <c r="AI7" s="357"/>
      <c r="AJ7" s="357"/>
      <c r="AK7" s="357"/>
      <c r="AL7" s="357"/>
      <c r="AM7" s="357"/>
      <c r="AN7" s="357"/>
      <c r="AO7" s="357"/>
      <c r="AP7" s="357"/>
      <c r="AQ7" s="357"/>
      <c r="AR7" s="357"/>
      <c r="AS7" s="357"/>
      <c r="AT7" s="357"/>
      <c r="AU7" s="357"/>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27" customHeight="1" thickBot="1" x14ac:dyDescent="0.3">
      <c r="A8" s="364" t="s">
        <v>224</v>
      </c>
      <c r="B8" s="365"/>
      <c r="C8" s="370"/>
      <c r="D8" s="371"/>
      <c r="E8" s="371"/>
      <c r="F8" s="371"/>
      <c r="G8" s="371"/>
      <c r="H8" s="371"/>
      <c r="I8" s="371"/>
      <c r="J8" s="371"/>
      <c r="K8" s="371"/>
      <c r="L8" s="371"/>
      <c r="M8" s="371"/>
      <c r="N8" s="371"/>
      <c r="O8" s="371"/>
      <c r="P8" s="371"/>
      <c r="Q8" s="371"/>
      <c r="R8" s="371"/>
      <c r="S8" s="371"/>
      <c r="T8" s="372"/>
      <c r="U8" s="238"/>
      <c r="V8" s="238"/>
      <c r="W8" s="238"/>
      <c r="X8" s="238"/>
      <c r="Y8" s="238"/>
      <c r="Z8" s="239"/>
      <c r="AA8" s="239"/>
      <c r="AB8" s="239"/>
      <c r="AC8" s="357"/>
      <c r="AD8" s="357"/>
      <c r="AE8" s="357"/>
      <c r="AF8" s="357"/>
      <c r="AG8" s="357"/>
      <c r="AH8" s="357"/>
      <c r="AI8" s="357"/>
      <c r="AJ8" s="357"/>
      <c r="AK8" s="357"/>
      <c r="AL8" s="357"/>
      <c r="AM8" s="357"/>
      <c r="AN8" s="357"/>
      <c r="AO8" s="357"/>
      <c r="AP8" s="357"/>
      <c r="AQ8" s="357"/>
      <c r="AR8" s="357"/>
      <c r="AS8" s="357"/>
      <c r="AT8" s="357"/>
      <c r="AU8" s="357"/>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27.75" customHeight="1" x14ac:dyDescent="0.2">
      <c r="A10" s="423" t="s">
        <v>225</v>
      </c>
      <c r="B10" s="424"/>
      <c r="C10" s="424"/>
      <c r="D10" s="424"/>
      <c r="E10" s="424"/>
      <c r="F10" s="424"/>
      <c r="G10" s="425"/>
      <c r="H10" s="432" t="s">
        <v>226</v>
      </c>
      <c r="I10" s="433"/>
      <c r="J10" s="433"/>
      <c r="K10" s="434"/>
      <c r="L10" s="394" t="s">
        <v>227</v>
      </c>
      <c r="M10" s="395"/>
      <c r="N10" s="421" t="s">
        <v>228</v>
      </c>
      <c r="O10" s="422"/>
      <c r="P10" s="422"/>
      <c r="Q10" s="422"/>
      <c r="R10" s="422"/>
      <c r="S10" s="422"/>
      <c r="T10" s="422"/>
      <c r="U10" s="422"/>
      <c r="V10" s="424" t="s">
        <v>229</v>
      </c>
      <c r="W10" s="424"/>
      <c r="X10" s="424"/>
      <c r="Y10" s="424"/>
      <c r="Z10" s="424"/>
      <c r="AA10" s="424"/>
      <c r="AB10" s="424"/>
      <c r="AC10" s="424"/>
      <c r="AD10" s="424"/>
      <c r="AE10" s="424"/>
      <c r="AF10" s="424"/>
      <c r="AG10" s="424"/>
      <c r="AH10" s="425"/>
      <c r="AI10" s="435" t="s">
        <v>230</v>
      </c>
      <c r="AJ10" s="436"/>
      <c r="AK10" s="436"/>
      <c r="AL10" s="436"/>
      <c r="AM10" s="437"/>
      <c r="AN10" s="423" t="s">
        <v>231</v>
      </c>
      <c r="AO10" s="424"/>
      <c r="AP10" s="424"/>
      <c r="AQ10" s="424"/>
      <c r="AR10" s="425"/>
      <c r="AS10" s="432" t="s">
        <v>232</v>
      </c>
      <c r="AT10" s="433"/>
      <c r="AU10" s="434"/>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customHeight="1" x14ac:dyDescent="0.2">
      <c r="A11" s="391" t="s">
        <v>233</v>
      </c>
      <c r="B11" s="396" t="s">
        <v>234</v>
      </c>
      <c r="C11" s="396" t="s">
        <v>235</v>
      </c>
      <c r="D11" s="396" t="s">
        <v>236</v>
      </c>
      <c r="E11" s="398" t="s">
        <v>237</v>
      </c>
      <c r="F11" s="396" t="s">
        <v>238</v>
      </c>
      <c r="G11" s="396" t="s">
        <v>338</v>
      </c>
      <c r="H11" s="409" t="s">
        <v>130</v>
      </c>
      <c r="I11" s="409" t="s">
        <v>239</v>
      </c>
      <c r="J11" s="409" t="s">
        <v>240</v>
      </c>
      <c r="K11" s="409" t="s">
        <v>241</v>
      </c>
      <c r="L11" s="394"/>
      <c r="M11" s="395"/>
      <c r="N11" s="392" t="s">
        <v>242</v>
      </c>
      <c r="O11" s="392" t="s">
        <v>243</v>
      </c>
      <c r="P11" s="393" t="s">
        <v>244</v>
      </c>
      <c r="Q11" s="392" t="s">
        <v>245</v>
      </c>
      <c r="R11" s="608" t="s">
        <v>246</v>
      </c>
      <c r="S11" s="392" t="s">
        <v>247</v>
      </c>
      <c r="T11" s="392" t="s">
        <v>244</v>
      </c>
      <c r="U11" s="392" t="s">
        <v>248</v>
      </c>
      <c r="V11" s="431" t="s">
        <v>249</v>
      </c>
      <c r="W11" s="252"/>
      <c r="X11" s="252"/>
      <c r="Y11" s="252"/>
      <c r="Z11" s="396" t="s">
        <v>31</v>
      </c>
      <c r="AA11" s="396" t="s">
        <v>33</v>
      </c>
      <c r="AB11" s="396" t="s">
        <v>250</v>
      </c>
      <c r="AC11" s="396"/>
      <c r="AD11" s="396"/>
      <c r="AE11" s="396"/>
      <c r="AF11" s="396"/>
      <c r="AG11" s="396"/>
      <c r="AH11" s="431" t="s">
        <v>251</v>
      </c>
      <c r="AI11" s="429" t="s">
        <v>252</v>
      </c>
      <c r="AJ11" s="429" t="s">
        <v>244</v>
      </c>
      <c r="AK11" s="429" t="s">
        <v>253</v>
      </c>
      <c r="AL11" s="429" t="s">
        <v>244</v>
      </c>
      <c r="AM11" s="429" t="s">
        <v>254</v>
      </c>
      <c r="AN11" s="431" t="s">
        <v>49</v>
      </c>
      <c r="AO11" s="396" t="s">
        <v>255</v>
      </c>
      <c r="AP11" s="396" t="s">
        <v>256</v>
      </c>
      <c r="AQ11" s="396" t="s">
        <v>257</v>
      </c>
      <c r="AR11" s="396" t="s">
        <v>258</v>
      </c>
      <c r="AS11" s="430" t="s">
        <v>259</v>
      </c>
      <c r="AT11" s="430" t="s">
        <v>257</v>
      </c>
      <c r="AU11" s="430" t="s">
        <v>260</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99" x14ac:dyDescent="0.25">
      <c r="A12" s="391"/>
      <c r="B12" s="397"/>
      <c r="C12" s="396"/>
      <c r="D12" s="396"/>
      <c r="E12" s="399"/>
      <c r="F12" s="397"/>
      <c r="G12" s="396"/>
      <c r="H12" s="410"/>
      <c r="I12" s="410"/>
      <c r="J12" s="410"/>
      <c r="K12" s="410"/>
      <c r="L12" s="251" t="s">
        <v>261</v>
      </c>
      <c r="M12" s="251" t="s">
        <v>262</v>
      </c>
      <c r="N12" s="392"/>
      <c r="O12" s="392"/>
      <c r="P12" s="393"/>
      <c r="Q12" s="392"/>
      <c r="R12" s="608"/>
      <c r="S12" s="392"/>
      <c r="T12" s="392"/>
      <c r="U12" s="392"/>
      <c r="V12" s="431"/>
      <c r="W12" s="250" t="s">
        <v>260</v>
      </c>
      <c r="X12" s="250" t="s">
        <v>259</v>
      </c>
      <c r="Y12" s="250" t="s">
        <v>263</v>
      </c>
      <c r="Z12" s="396"/>
      <c r="AA12" s="396"/>
      <c r="AB12" s="249" t="s">
        <v>264</v>
      </c>
      <c r="AC12" s="249" t="s">
        <v>265</v>
      </c>
      <c r="AD12" s="249" t="s">
        <v>266</v>
      </c>
      <c r="AE12" s="249" t="s">
        <v>267</v>
      </c>
      <c r="AF12" s="249" t="s">
        <v>268</v>
      </c>
      <c r="AG12" s="249" t="s">
        <v>269</v>
      </c>
      <c r="AH12" s="431"/>
      <c r="AI12" s="429"/>
      <c r="AJ12" s="429"/>
      <c r="AK12" s="429"/>
      <c r="AL12" s="429"/>
      <c r="AM12" s="429"/>
      <c r="AN12" s="431"/>
      <c r="AO12" s="396"/>
      <c r="AP12" s="396"/>
      <c r="AQ12" s="396"/>
      <c r="AR12" s="396"/>
      <c r="AS12" s="430"/>
      <c r="AT12" s="430"/>
      <c r="AU12" s="430"/>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x14ac:dyDescent="0.25">
      <c r="A13" s="411">
        <v>1</v>
      </c>
      <c r="B13" s="353"/>
      <c r="C13" s="353"/>
      <c r="D13" s="353"/>
      <c r="E13" s="353"/>
      <c r="F13" s="413" t="str">
        <f>+CONCATENATE(B13," ",C13," ",D13)</f>
        <v xml:space="preserve">  </v>
      </c>
      <c r="G13" s="353"/>
      <c r="H13" s="354"/>
      <c r="I13" s="354"/>
      <c r="J13" s="354"/>
      <c r="K13" s="354"/>
      <c r="L13" s="354"/>
      <c r="M13" s="354"/>
      <c r="N13" s="414"/>
      <c r="O13" s="415" t="str">
        <f>IF(N13&lt;=0,"",IF(N13&lt;=2,"Muy Baja",IF(N13&lt;=24,"Baja",IF(N13&lt;=500,"Media",IF(N13&lt;=5000,"Alta","Muy Alta")))))</f>
        <v/>
      </c>
      <c r="P13" s="416" t="str">
        <f>IF(O13="","",IF(O13="Muy Baja",0.2,IF(O13="Baja",0.4,IF(O13="Media",0.6,IF(O13="Alta",0.8,IF(O13="Muy Alta",1,))))))</f>
        <v/>
      </c>
      <c r="Q13" s="417"/>
      <c r="R13" s="607">
        <f>IF(NOT(ISERROR(MATCH(Q13,'Tabla Impacto'!$B$245:$B$249,0))),'Tabla Impacto'!$F$224&amp;"Por favor no seleccionar los criterios de impacto(Reputacional, Operativo, Legal, ni Contagio)",Q13)</f>
        <v>0</v>
      </c>
      <c r="S13" s="415" t="str">
        <f>IFERROR(VLOOKUP(R13,'Tabla Impacto'!F235:$I$263,2,FALSE),"")</f>
        <v/>
      </c>
      <c r="T13" s="416" t="str">
        <f>IF(S13="","",IF(S13="Leve",0.2,IF(S13="Menor",0.4,IF(S13="Moderado",0.6,IF(S13="Mayor",0.8,IF(S13="Catastrófico",1,))))))</f>
        <v/>
      </c>
      <c r="U13" s="420"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199">
        <v>1</v>
      </c>
      <c r="W13" s="244"/>
      <c r="X13" s="244"/>
      <c r="Y13" s="244"/>
      <c r="Z13" s="224" t="str">
        <f>+CONCATENATE(W13," ",X13," ",Y13)</f>
        <v xml:space="preserve">  </v>
      </c>
      <c r="AA13" s="176" t="str">
        <f t="shared" ref="AA13:AA18" si="0">IF(OR(AB13="Preventivo",AB13="Detectivo"),"Probabilidad",IF(AB13="Correctivo","Impacto",""))</f>
        <v/>
      </c>
      <c r="AB13" s="177"/>
      <c r="AC13" s="177"/>
      <c r="AD13" s="178" t="str">
        <f>IF(AND(AB13="Preventivo",AC13="Automático"),"50%",IF(AND(AB13="Preventivo",AC13="Manual"),"40%",IF(AND(AB13="Detectivo",AC13="Automático"),"40%",IF(AND(AB13="Detectivo",AC13="Manual"),"30%",IF(AND(AB13="Correctivo",AC13="Automático"),"35%",IF(AND(AB13="Correctivo",AC13="Manual"),"25%",""))))))</f>
        <v/>
      </c>
      <c r="AE13" s="177"/>
      <c r="AF13" s="177"/>
      <c r="AG13" s="177"/>
      <c r="AH13" s="179" t="str">
        <f>IFERROR(IF(AA13="Probabilidad",(P13-(+P13*AD13)),IF(AA13="Impacto",P13,"")),"")</f>
        <v/>
      </c>
      <c r="AI13" s="180" t="str">
        <f>IFERROR(IF(AH13="","",IF(AH13&lt;=0.2,"Muy Baja",IF(AH13&lt;=0.4,"Baja",IF(AH13&lt;=0.6,"Media",IF(AH13&lt;=0.8,"Alta","Muy Alta"))))),"")</f>
        <v/>
      </c>
      <c r="AJ13" s="178" t="str">
        <f>+AH13</f>
        <v/>
      </c>
      <c r="AK13" s="180" t="str">
        <f>IFERROR(IF(AL13="","",IF(AL13&lt;=0.2,"Leve",IF(AL13&lt;=0.4,"Menor",IF(AL13&lt;=0.6,"Moderado",IF(AL13&lt;=0.8,"Mayor","Catastrófico"))))),"")</f>
        <v/>
      </c>
      <c r="AL13" s="178" t="str">
        <f>IFERROR(IF(AA13="Impacto",(T13-(+T13*AD13)),IF(AA13="Probabilidad",T13,"")),"")</f>
        <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
      </c>
      <c r="AN13" s="182"/>
      <c r="AO13" s="175"/>
      <c r="AP13" s="183"/>
      <c r="AQ13" s="183"/>
      <c r="AR13" s="184"/>
      <c r="AS13" s="353"/>
      <c r="AT13" s="353"/>
      <c r="AU13" s="353"/>
    </row>
    <row r="14" spans="1:275" ht="19.5" customHeight="1" x14ac:dyDescent="0.2">
      <c r="A14" s="411"/>
      <c r="B14" s="353"/>
      <c r="C14" s="353"/>
      <c r="D14" s="353"/>
      <c r="E14" s="353"/>
      <c r="F14" s="413"/>
      <c r="G14" s="353"/>
      <c r="H14" s="355"/>
      <c r="I14" s="355"/>
      <c r="J14" s="355"/>
      <c r="K14" s="355"/>
      <c r="L14" s="355"/>
      <c r="M14" s="355"/>
      <c r="N14" s="414"/>
      <c r="O14" s="415"/>
      <c r="P14" s="416"/>
      <c r="Q14" s="417"/>
      <c r="R14" s="607"/>
      <c r="S14" s="415"/>
      <c r="T14" s="416"/>
      <c r="U14" s="420"/>
      <c r="V14" s="199">
        <v>2</v>
      </c>
      <c r="W14" s="244"/>
      <c r="X14" s="199"/>
      <c r="Y14" s="199"/>
      <c r="Z14" s="224" t="str">
        <f t="shared" ref="Z14:Z72" si="1">+CONCATENATE(W14," ",X14," ",Y14)</f>
        <v xml:space="preserve">  </v>
      </c>
      <c r="AA14" s="176" t="str">
        <f t="shared" si="0"/>
        <v/>
      </c>
      <c r="AB14" s="177"/>
      <c r="AC14" s="177"/>
      <c r="AD14" s="178" t="str">
        <f t="shared" ref="AD14:AD18" si="2">IF(AND(AB14="Preventivo",AC14="Automático"),"50%",IF(AND(AB14="Preventivo",AC14="Manual"),"40%",IF(AND(AB14="Detectivo",AC14="Automático"),"40%",IF(AND(AB14="Detectivo",AC14="Manual"),"30%",IF(AND(AB14="Correctivo",AC14="Automático"),"35%",IF(AND(AB14="Correctivo",AC14="Manual"),"25%",""))))))</f>
        <v/>
      </c>
      <c r="AE14" s="177"/>
      <c r="AF14" s="177"/>
      <c r="AG14" s="177"/>
      <c r="AH14" s="179" t="str">
        <f>IFERROR(IF(AND(AA13="Probabilidad",AA14="Probabilidad"),(AJ13-(+AJ13*AD14)),IF(AA14="Probabilidad",(P13-(+P13*AD14)),IF(AA14="Impacto",AJ13,""))),"")</f>
        <v/>
      </c>
      <c r="AI14" s="180" t="str">
        <f t="shared" ref="AI14:AI72" si="3">IFERROR(IF(AH14="","",IF(AH14&lt;=0.2,"Muy Baja",IF(AH14&lt;=0.4,"Baja",IF(AH14&lt;=0.6,"Media",IF(AH14&lt;=0.8,"Alta","Muy Alta"))))),"")</f>
        <v/>
      </c>
      <c r="AJ14" s="178" t="str">
        <f t="shared" ref="AJ14:AJ18" si="4">+AH14</f>
        <v/>
      </c>
      <c r="AK14" s="180" t="str">
        <f t="shared" ref="AK14:AK72" si="5">IFERROR(IF(AL14="","",IF(AL14&lt;=0.2,"Leve",IF(AL14&lt;=0.4,"Menor",IF(AL14&lt;=0.6,"Moderado",IF(AL14&lt;=0.8,"Mayor","Catastrófico"))))),"")</f>
        <v/>
      </c>
      <c r="AL14" s="178" t="str">
        <f>IFERROR(IF(AND(AA13="Impacto",AA14="Impacto"),(AL13-(+AL13*AD14)),IF(AA14="Impacto",($T$13-(+$T$13*AD14)),IF(AA14="Probabilidad",AL13,""))),"")</f>
        <v/>
      </c>
      <c r="AM14" s="181"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182"/>
      <c r="AO14" s="175"/>
      <c r="AP14" s="183"/>
      <c r="AQ14" s="175"/>
      <c r="AR14" s="184"/>
      <c r="AS14" s="353"/>
      <c r="AT14" s="353"/>
      <c r="AU14" s="353"/>
    </row>
    <row r="15" spans="1:275" x14ac:dyDescent="0.2">
      <c r="A15" s="411"/>
      <c r="B15" s="353"/>
      <c r="C15" s="353"/>
      <c r="D15" s="353"/>
      <c r="E15" s="353"/>
      <c r="F15" s="413"/>
      <c r="G15" s="353"/>
      <c r="H15" s="355"/>
      <c r="I15" s="355"/>
      <c r="J15" s="355"/>
      <c r="K15" s="355"/>
      <c r="L15" s="355"/>
      <c r="M15" s="355"/>
      <c r="N15" s="414"/>
      <c r="O15" s="415"/>
      <c r="P15" s="416"/>
      <c r="Q15" s="417"/>
      <c r="R15" s="607"/>
      <c r="S15" s="415"/>
      <c r="T15" s="416"/>
      <c r="U15" s="420"/>
      <c r="V15" s="199">
        <v>3</v>
      </c>
      <c r="W15" s="244"/>
      <c r="X15" s="199"/>
      <c r="Y15" s="199"/>
      <c r="Z15" s="224" t="str">
        <f t="shared" si="1"/>
        <v xml:space="preserve">  </v>
      </c>
      <c r="AA15" s="176" t="str">
        <f t="shared" si="0"/>
        <v/>
      </c>
      <c r="AB15" s="177"/>
      <c r="AC15" s="177"/>
      <c r="AD15" s="178" t="str">
        <f t="shared" si="2"/>
        <v/>
      </c>
      <c r="AE15" s="177"/>
      <c r="AF15" s="177"/>
      <c r="AG15" s="177"/>
      <c r="AH15" s="179" t="str">
        <f>IFERROR(IF(AND(AA14="Probabilidad",AA15="Probabilidad"),(AJ14-(+AJ14*AD15)),IF(AND(AA14="Impacto",AA15="Probabilidad"),(AJ13-(+AJ13*AD15)),IF(AA15="Impacto",AJ14,""))),"")</f>
        <v/>
      </c>
      <c r="AI15" s="180" t="str">
        <f t="shared" si="3"/>
        <v/>
      </c>
      <c r="AJ15" s="178" t="str">
        <f t="shared" si="4"/>
        <v/>
      </c>
      <c r="AK15" s="180" t="str">
        <f t="shared" si="5"/>
        <v/>
      </c>
      <c r="AL15" s="178" t="str">
        <f>IFERROR(IF(AND(AA14="Impacto",AA15="Impacto"),(AL14-(+AL14*AD15)),IF(AND(AA14="Probabilidad",AA15="Impacto"),(AL13-(+AL13*AD15)),IF(AA15="Probabilidad",AL14,""))),"")</f>
        <v/>
      </c>
      <c r="AM15" s="181" t="str">
        <f t="shared" si="6"/>
        <v/>
      </c>
      <c r="AN15" s="182"/>
      <c r="AO15" s="175"/>
      <c r="AP15" s="183"/>
      <c r="AQ15" s="183"/>
      <c r="AR15" s="184"/>
      <c r="AS15" s="353"/>
      <c r="AT15" s="353"/>
      <c r="AU15" s="353"/>
    </row>
    <row r="16" spans="1:275" x14ac:dyDescent="0.2">
      <c r="A16" s="411"/>
      <c r="B16" s="353"/>
      <c r="C16" s="353"/>
      <c r="D16" s="353"/>
      <c r="E16" s="353"/>
      <c r="F16" s="413"/>
      <c r="G16" s="353"/>
      <c r="H16" s="355"/>
      <c r="I16" s="355"/>
      <c r="J16" s="355"/>
      <c r="K16" s="355"/>
      <c r="L16" s="355"/>
      <c r="M16" s="355"/>
      <c r="N16" s="414"/>
      <c r="O16" s="415"/>
      <c r="P16" s="416"/>
      <c r="Q16" s="417"/>
      <c r="R16" s="607"/>
      <c r="S16" s="415"/>
      <c r="T16" s="416"/>
      <c r="U16" s="420"/>
      <c r="V16" s="199">
        <v>4</v>
      </c>
      <c r="W16" s="244"/>
      <c r="X16" s="199"/>
      <c r="Y16" s="199"/>
      <c r="Z16" s="224" t="str">
        <f t="shared" si="1"/>
        <v xml:space="preserve">  </v>
      </c>
      <c r="AA16" s="176" t="str">
        <f t="shared" si="0"/>
        <v/>
      </c>
      <c r="AB16" s="177"/>
      <c r="AC16" s="177"/>
      <c r="AD16" s="178" t="str">
        <f t="shared" si="2"/>
        <v/>
      </c>
      <c r="AE16" s="177"/>
      <c r="AF16" s="177"/>
      <c r="AG16" s="177"/>
      <c r="AH16" s="179" t="str">
        <f t="shared" ref="AH16:AH18" si="7">IFERROR(IF(AND(AA15="Probabilidad",AA16="Probabilidad"),(AJ15-(+AJ15*AD16)),IF(AND(AA15="Impacto",AA16="Probabilidad"),(AJ14-(+AJ14*AD16)),IF(AA16="Impacto",AJ15,""))),"")</f>
        <v/>
      </c>
      <c r="AI16" s="180" t="str">
        <f t="shared" si="3"/>
        <v/>
      </c>
      <c r="AJ16" s="178" t="str">
        <f t="shared" si="4"/>
        <v/>
      </c>
      <c r="AK16" s="180" t="str">
        <f t="shared" si="5"/>
        <v/>
      </c>
      <c r="AL16" s="178" t="str">
        <f t="shared" ref="AL16:AL18" si="8">IFERROR(IF(AND(AA15="Impacto",AA16="Impacto"),(AL15-(+AL15*AD16)),IF(AND(AA15="Probabilidad",AA16="Impacto"),(AL14-(+AL14*AD16)),IF(AA16="Probabilidad",AL15,""))),"")</f>
        <v/>
      </c>
      <c r="AM16" s="181"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182"/>
      <c r="AO16" s="175"/>
      <c r="AP16" s="183"/>
      <c r="AQ16" s="183"/>
      <c r="AR16" s="184"/>
      <c r="AS16" s="353"/>
      <c r="AT16" s="353"/>
      <c r="AU16" s="353"/>
    </row>
    <row r="17" spans="1:47" x14ac:dyDescent="0.2">
      <c r="A17" s="411"/>
      <c r="B17" s="353"/>
      <c r="C17" s="353"/>
      <c r="D17" s="353"/>
      <c r="E17" s="353"/>
      <c r="F17" s="413"/>
      <c r="G17" s="353"/>
      <c r="H17" s="355"/>
      <c r="I17" s="355"/>
      <c r="J17" s="355"/>
      <c r="K17" s="355"/>
      <c r="L17" s="355"/>
      <c r="M17" s="355"/>
      <c r="N17" s="414"/>
      <c r="O17" s="415"/>
      <c r="P17" s="416"/>
      <c r="Q17" s="417"/>
      <c r="R17" s="607"/>
      <c r="S17" s="415"/>
      <c r="T17" s="416"/>
      <c r="U17" s="420"/>
      <c r="V17" s="199">
        <v>5</v>
      </c>
      <c r="W17" s="244"/>
      <c r="X17" s="199"/>
      <c r="Y17" s="199"/>
      <c r="Z17" s="224" t="str">
        <f t="shared" si="1"/>
        <v xml:space="preserve">  </v>
      </c>
      <c r="AA17" s="176" t="str">
        <f t="shared" si="0"/>
        <v/>
      </c>
      <c r="AB17" s="177"/>
      <c r="AC17" s="177"/>
      <c r="AD17" s="178" t="str">
        <f t="shared" si="2"/>
        <v/>
      </c>
      <c r="AE17" s="177"/>
      <c r="AF17" s="177"/>
      <c r="AG17" s="177"/>
      <c r="AH17" s="179" t="str">
        <f t="shared" si="7"/>
        <v/>
      </c>
      <c r="AI17" s="180" t="str">
        <f t="shared" si="3"/>
        <v/>
      </c>
      <c r="AJ17" s="178" t="str">
        <f t="shared" si="4"/>
        <v/>
      </c>
      <c r="AK17" s="180" t="str">
        <f t="shared" si="5"/>
        <v/>
      </c>
      <c r="AL17" s="178" t="str">
        <f t="shared" si="8"/>
        <v/>
      </c>
      <c r="AM17" s="181" t="str">
        <f t="shared" si="6"/>
        <v/>
      </c>
      <c r="AN17" s="182"/>
      <c r="AO17" s="175"/>
      <c r="AP17" s="183"/>
      <c r="AQ17" s="183"/>
      <c r="AR17" s="184"/>
      <c r="AS17" s="353"/>
      <c r="AT17" s="353"/>
      <c r="AU17" s="353"/>
    </row>
    <row r="18" spans="1:47" x14ac:dyDescent="0.2">
      <c r="A18" s="411"/>
      <c r="B18" s="353"/>
      <c r="C18" s="353"/>
      <c r="D18" s="353"/>
      <c r="E18" s="353"/>
      <c r="F18" s="413"/>
      <c r="G18" s="353"/>
      <c r="H18" s="356"/>
      <c r="I18" s="356"/>
      <c r="J18" s="356"/>
      <c r="K18" s="356"/>
      <c r="L18" s="356"/>
      <c r="M18" s="356"/>
      <c r="N18" s="414"/>
      <c r="O18" s="415"/>
      <c r="P18" s="416"/>
      <c r="Q18" s="417"/>
      <c r="R18" s="607"/>
      <c r="S18" s="415"/>
      <c r="T18" s="416"/>
      <c r="U18" s="420"/>
      <c r="V18" s="199">
        <v>6</v>
      </c>
      <c r="W18" s="244"/>
      <c r="X18" s="199"/>
      <c r="Y18" s="199"/>
      <c r="Z18" s="224" t="str">
        <f t="shared" si="1"/>
        <v xml:space="preserve">  </v>
      </c>
      <c r="AA18" s="176" t="str">
        <f t="shared" si="0"/>
        <v/>
      </c>
      <c r="AB18" s="177"/>
      <c r="AC18" s="177"/>
      <c r="AD18" s="178" t="str">
        <f t="shared" si="2"/>
        <v/>
      </c>
      <c r="AE18" s="177"/>
      <c r="AF18" s="177"/>
      <c r="AG18" s="177"/>
      <c r="AH18" s="179" t="str">
        <f t="shared" si="7"/>
        <v/>
      </c>
      <c r="AI18" s="180" t="str">
        <f t="shared" si="3"/>
        <v/>
      </c>
      <c r="AJ18" s="178" t="str">
        <f t="shared" si="4"/>
        <v/>
      </c>
      <c r="AK18" s="180" t="str">
        <f t="shared" si="5"/>
        <v/>
      </c>
      <c r="AL18" s="178" t="str">
        <f t="shared" si="8"/>
        <v/>
      </c>
      <c r="AM18" s="181" t="str">
        <f t="shared" si="6"/>
        <v/>
      </c>
      <c r="AN18" s="182"/>
      <c r="AO18" s="175"/>
      <c r="AP18" s="183"/>
      <c r="AQ18" s="183"/>
      <c r="AR18" s="184"/>
      <c r="AS18" s="353"/>
      <c r="AT18" s="353"/>
      <c r="AU18" s="353"/>
    </row>
    <row r="19" spans="1:47" x14ac:dyDescent="0.2">
      <c r="A19" s="411">
        <v>2</v>
      </c>
      <c r="B19" s="353"/>
      <c r="C19" s="353"/>
      <c r="D19" s="353"/>
      <c r="E19" s="353"/>
      <c r="F19" s="413" t="str">
        <f t="shared" ref="F19" si="9">+CONCATENATE(B19," ",C19," ",D19)</f>
        <v xml:space="preserve">  </v>
      </c>
      <c r="G19" s="353"/>
      <c r="H19" s="354"/>
      <c r="I19" s="354"/>
      <c r="J19" s="354"/>
      <c r="K19" s="354"/>
      <c r="L19" s="354"/>
      <c r="M19" s="354"/>
      <c r="N19" s="414"/>
      <c r="O19" s="415" t="str">
        <f>IF(N19&lt;=0,"",IF(N19&lt;=2,"Muy Baja",IF(N19&lt;=24,"Baja",IF(N19&lt;=500,"Media",IF(N19&lt;=5000,"Alta","Muy Alta")))))</f>
        <v/>
      </c>
      <c r="P19" s="416" t="str">
        <f>IF(O19="","",IF(O19="Muy Baja",0.2,IF(O19="Baja",0.4,IF(O19="Media",0.6,IF(O19="Alta",0.8,IF(O19="Muy Alta",1,))))))</f>
        <v/>
      </c>
      <c r="Q19" s="417"/>
      <c r="R19" s="416">
        <f>IF(NOT(ISERROR(MATCH(Q19,'Tabla Impacto'!$B$245:$B$249,0))),'Tabla Impacto'!$F$224&amp;"Por favor no seleccionar los criterios de impacto(Reputacional, Operativo, Legal, ni Contagio)",Q19)</f>
        <v>0</v>
      </c>
      <c r="S19" s="415" t="str">
        <f>IFERROR(VLOOKUP(R19,'Tabla Impacto'!F241:$I$263,2,FALSE),"")</f>
        <v/>
      </c>
      <c r="T19" s="416" t="str">
        <f>IF(S19="","",IF(S19="Leve",0.2,IF(S19="Menor",0.4,IF(S19="Moderado",0.6,IF(S19="Mayor",0.8,IF(S19="Catastrófico",1,))))))</f>
        <v/>
      </c>
      <c r="U19" s="420"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199">
        <v>1</v>
      </c>
      <c r="W19" s="244"/>
      <c r="X19" s="199"/>
      <c r="Y19" s="199"/>
      <c r="Z19" s="224" t="str">
        <f t="shared" si="1"/>
        <v xml:space="preserve">  </v>
      </c>
      <c r="AA19" s="176" t="str">
        <f>IF(OR(AB19="Preventivo",AB19="Detectivo"),"Probabilidad",IF(AB19="Correctivo","Impacto",""))</f>
        <v/>
      </c>
      <c r="AB19" s="177"/>
      <c r="AC19" s="177"/>
      <c r="AD19" s="178" t="str">
        <f>IF(AND(AB19="Preventivo",AC19="Automático"),"50%",IF(AND(AB19="Preventivo",AC19="Manual"),"40%",IF(AND(AB19="Detectivo",AC19="Automático"),"40%",IF(AND(AB19="Detectivo",AC19="Manual"),"30%",IF(AND(AB19="Correctivo",AC19="Automático"),"35%",IF(AND(AB19="Correctivo",AC19="Manual"),"25%",""))))))</f>
        <v/>
      </c>
      <c r="AE19" s="177"/>
      <c r="AF19" s="177"/>
      <c r="AG19" s="177"/>
      <c r="AH19" s="179" t="str">
        <f>IFERROR(IF(AA19="Probabilidad",(P19-(+P19*AD19)),IF(AA19="Impacto",P19,"")),"")</f>
        <v/>
      </c>
      <c r="AI19" s="180" t="str">
        <f>IFERROR(IF(AH19="","",IF(AH19&lt;=0.2,"Muy Baja",IF(AH19&lt;=0.4,"Baja",IF(AH19&lt;=0.6,"Media",IF(AH19&lt;=0.8,"Alta","Muy Alta"))))),"")</f>
        <v/>
      </c>
      <c r="AJ19" s="178" t="str">
        <f>+AH19</f>
        <v/>
      </c>
      <c r="AK19" s="180" t="str">
        <f>IFERROR(IF(AL19="","",IF(AL19&lt;=0.2,"Leve",IF(AL19&lt;=0.4,"Menor",IF(AL19&lt;=0.6,"Moderado",IF(AL19&lt;=0.8,"Mayor","Catastrófico"))))),"")</f>
        <v/>
      </c>
      <c r="AL19" s="178" t="str">
        <f t="shared" ref="AL19" si="10">IFERROR(IF(AA19="Impacto",(T19-(+T19*AD19)),IF(AA19="Probabilidad",T19,"")),"")</f>
        <v/>
      </c>
      <c r="AM19" s="181"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82"/>
      <c r="AO19" s="175"/>
      <c r="AP19" s="183"/>
      <c r="AQ19" s="183"/>
      <c r="AR19" s="184"/>
      <c r="AS19" s="414"/>
      <c r="AT19" s="414"/>
      <c r="AU19" s="414"/>
    </row>
    <row r="20" spans="1:47" x14ac:dyDescent="0.2">
      <c r="A20" s="411"/>
      <c r="B20" s="353"/>
      <c r="C20" s="353"/>
      <c r="D20" s="353"/>
      <c r="E20" s="353"/>
      <c r="F20" s="413"/>
      <c r="G20" s="353"/>
      <c r="H20" s="355"/>
      <c r="I20" s="355"/>
      <c r="J20" s="355"/>
      <c r="K20" s="355"/>
      <c r="L20" s="355"/>
      <c r="M20" s="355"/>
      <c r="N20" s="414"/>
      <c r="O20" s="415"/>
      <c r="P20" s="416"/>
      <c r="Q20" s="417"/>
      <c r="R20" s="416"/>
      <c r="S20" s="415"/>
      <c r="T20" s="416"/>
      <c r="U20" s="420"/>
      <c r="V20" s="199">
        <v>2</v>
      </c>
      <c r="W20" s="244"/>
      <c r="X20" s="199"/>
      <c r="Y20" s="199"/>
      <c r="Z20" s="224" t="str">
        <f t="shared" si="1"/>
        <v xml:space="preserve">  </v>
      </c>
      <c r="AA20" s="176" t="str">
        <f>IF(OR(AB20="Preventivo",AB20="Detectivo"),"Probabilidad",IF(AB20="Correctivo","Impacto",""))</f>
        <v/>
      </c>
      <c r="AB20" s="177"/>
      <c r="AC20" s="177"/>
      <c r="AD20" s="178" t="str">
        <f t="shared" ref="AD20:AD24" si="11">IF(AND(AB20="Preventivo",AC20="Automático"),"50%",IF(AND(AB20="Preventivo",AC20="Manual"),"40%",IF(AND(AB20="Detectivo",AC20="Automático"),"40%",IF(AND(AB20="Detectivo",AC20="Manual"),"30%",IF(AND(AB20="Correctivo",AC20="Automático"),"35%",IF(AND(AB20="Correctivo",AC20="Manual"),"25%",""))))))</f>
        <v/>
      </c>
      <c r="AE20" s="177"/>
      <c r="AF20" s="177"/>
      <c r="AG20" s="177"/>
      <c r="AH20" s="179" t="str">
        <f>IFERROR(IF(AND(AA19="Probabilidad",AA20="Probabilidad"),(AJ19-(+AJ19*AD20)),IF(AA20="Probabilidad",(P19-(+P19*AD20)),IF(AA20="Impacto",AJ19,""))),"")</f>
        <v/>
      </c>
      <c r="AI20" s="180" t="str">
        <f t="shared" si="3"/>
        <v/>
      </c>
      <c r="AJ20" s="178" t="str">
        <f t="shared" ref="AJ20:AJ24" si="12">+AH20</f>
        <v/>
      </c>
      <c r="AK20" s="180" t="str">
        <f t="shared" si="5"/>
        <v/>
      </c>
      <c r="AL20" s="178" t="str">
        <f t="shared" ref="AL20" si="13">IFERROR(IF(AND(AA19="Impacto",AA20="Impacto"),(AL19-(+AL19*AD20)),IF(AA20="Impacto",($T$13-(+$T$13*AD20)),IF(AA20="Probabilidad",AL19,""))),"")</f>
        <v/>
      </c>
      <c r="AM20" s="181" t="str">
        <f t="shared" ref="AM20:AM21" si="14">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82"/>
      <c r="AO20" s="175"/>
      <c r="AP20" s="183"/>
      <c r="AQ20" s="175"/>
      <c r="AR20" s="184"/>
      <c r="AS20" s="414"/>
      <c r="AT20" s="414"/>
      <c r="AU20" s="414"/>
    </row>
    <row r="21" spans="1:47" x14ac:dyDescent="0.2">
      <c r="A21" s="411"/>
      <c r="B21" s="353"/>
      <c r="C21" s="353"/>
      <c r="D21" s="353"/>
      <c r="E21" s="353"/>
      <c r="F21" s="413"/>
      <c r="G21" s="353"/>
      <c r="H21" s="355"/>
      <c r="I21" s="355"/>
      <c r="J21" s="355"/>
      <c r="K21" s="355"/>
      <c r="L21" s="355"/>
      <c r="M21" s="355"/>
      <c r="N21" s="414"/>
      <c r="O21" s="415"/>
      <c r="P21" s="416"/>
      <c r="Q21" s="417"/>
      <c r="R21" s="416"/>
      <c r="S21" s="415"/>
      <c r="T21" s="416"/>
      <c r="U21" s="420"/>
      <c r="V21" s="199">
        <v>3</v>
      </c>
      <c r="W21" s="244"/>
      <c r="X21" s="199"/>
      <c r="Y21" s="199"/>
      <c r="Z21" s="224" t="str">
        <f t="shared" si="1"/>
        <v xml:space="preserve">  </v>
      </c>
      <c r="AA21" s="176" t="str">
        <f>IF(OR(AB21="Preventivo",AB21="Detectivo"),"Probabilidad",IF(AB21="Correctivo","Impacto",""))</f>
        <v/>
      </c>
      <c r="AB21" s="177"/>
      <c r="AC21" s="177"/>
      <c r="AD21" s="178" t="str">
        <f t="shared" si="11"/>
        <v/>
      </c>
      <c r="AE21" s="177"/>
      <c r="AF21" s="177"/>
      <c r="AG21" s="177"/>
      <c r="AH21" s="179" t="str">
        <f>IFERROR(IF(AND(AA20="Probabilidad",AA21="Probabilidad"),(AJ20-(+AJ20*AD21)),IF(AND(AA20="Impacto",AA21="Probabilidad"),(AJ19-(+AJ19*AD21)),IF(AA21="Impacto",AJ20,""))),"")</f>
        <v/>
      </c>
      <c r="AI21" s="180" t="str">
        <f t="shared" si="3"/>
        <v/>
      </c>
      <c r="AJ21" s="178" t="str">
        <f t="shared" si="12"/>
        <v/>
      </c>
      <c r="AK21" s="180" t="str">
        <f t="shared" si="5"/>
        <v/>
      </c>
      <c r="AL21" s="178" t="str">
        <f t="shared" ref="AL21:AL72" si="15">IFERROR(IF(AND(AA20="Impacto",AA21="Impacto"),(AL20-(+AL20*AD21)),IF(AND(AA20="Probabilidad",AA21="Impacto"),(AL19-(+AL19*AD21)),IF(AA21="Probabilidad",AL20,""))),"")</f>
        <v/>
      </c>
      <c r="AM21" s="181" t="str">
        <f t="shared" si="14"/>
        <v/>
      </c>
      <c r="AN21" s="182"/>
      <c r="AO21" s="175"/>
      <c r="AP21" s="183"/>
      <c r="AQ21" s="183"/>
      <c r="AR21" s="184"/>
      <c r="AS21" s="414"/>
      <c r="AT21" s="414"/>
      <c r="AU21" s="414"/>
    </row>
    <row r="22" spans="1:47" x14ac:dyDescent="0.2">
      <c r="A22" s="411"/>
      <c r="B22" s="353"/>
      <c r="C22" s="353"/>
      <c r="D22" s="353"/>
      <c r="E22" s="353"/>
      <c r="F22" s="413"/>
      <c r="G22" s="353"/>
      <c r="H22" s="355"/>
      <c r="I22" s="355"/>
      <c r="J22" s="355"/>
      <c r="K22" s="355"/>
      <c r="L22" s="355"/>
      <c r="M22" s="355"/>
      <c r="N22" s="414"/>
      <c r="O22" s="415"/>
      <c r="P22" s="416"/>
      <c r="Q22" s="417"/>
      <c r="R22" s="416"/>
      <c r="S22" s="415"/>
      <c r="T22" s="416"/>
      <c r="U22" s="420"/>
      <c r="V22" s="199">
        <v>4</v>
      </c>
      <c r="W22" s="244"/>
      <c r="X22" s="199"/>
      <c r="Y22" s="199"/>
      <c r="Z22" s="224" t="str">
        <f t="shared" si="1"/>
        <v xml:space="preserve">  </v>
      </c>
      <c r="AA22" s="176" t="str">
        <f t="shared" ref="AA22:AA24" si="16">IF(OR(AB22="Preventivo",AB22="Detectivo"),"Probabilidad",IF(AB22="Correctivo","Impacto",""))</f>
        <v/>
      </c>
      <c r="AB22" s="177"/>
      <c r="AC22" s="177"/>
      <c r="AD22" s="178" t="str">
        <f t="shared" si="11"/>
        <v/>
      </c>
      <c r="AE22" s="177"/>
      <c r="AF22" s="177"/>
      <c r="AG22" s="177"/>
      <c r="AH22" s="179" t="str">
        <f t="shared" ref="AH22:AH24" si="17">IFERROR(IF(AND(AA21="Probabilidad",AA22="Probabilidad"),(AJ21-(+AJ21*AD22)),IF(AND(AA21="Impacto",AA22="Probabilidad"),(AJ20-(+AJ20*AD22)),IF(AA22="Impacto",AJ21,""))),"")</f>
        <v/>
      </c>
      <c r="AI22" s="180" t="str">
        <f t="shared" si="3"/>
        <v/>
      </c>
      <c r="AJ22" s="178" t="str">
        <f t="shared" si="12"/>
        <v/>
      </c>
      <c r="AK22" s="180" t="str">
        <f t="shared" si="5"/>
        <v/>
      </c>
      <c r="AL22" s="178" t="str">
        <f t="shared" si="15"/>
        <v/>
      </c>
      <c r="AM22" s="181"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82"/>
      <c r="AO22" s="175"/>
      <c r="AP22" s="183"/>
      <c r="AQ22" s="183"/>
      <c r="AR22" s="184"/>
      <c r="AS22" s="414"/>
      <c r="AT22" s="414"/>
      <c r="AU22" s="414"/>
    </row>
    <row r="23" spans="1:47" x14ac:dyDescent="0.2">
      <c r="A23" s="411"/>
      <c r="B23" s="353"/>
      <c r="C23" s="353"/>
      <c r="D23" s="353"/>
      <c r="E23" s="353"/>
      <c r="F23" s="413"/>
      <c r="G23" s="353"/>
      <c r="H23" s="355"/>
      <c r="I23" s="355"/>
      <c r="J23" s="355"/>
      <c r="K23" s="355"/>
      <c r="L23" s="355"/>
      <c r="M23" s="355"/>
      <c r="N23" s="414"/>
      <c r="O23" s="415"/>
      <c r="P23" s="416"/>
      <c r="Q23" s="417"/>
      <c r="R23" s="416"/>
      <c r="S23" s="415"/>
      <c r="T23" s="416"/>
      <c r="U23" s="420"/>
      <c r="V23" s="199">
        <v>5</v>
      </c>
      <c r="W23" s="244"/>
      <c r="X23" s="199"/>
      <c r="Y23" s="199"/>
      <c r="Z23" s="224" t="str">
        <f t="shared" si="1"/>
        <v xml:space="preserve">  </v>
      </c>
      <c r="AA23" s="176" t="str">
        <f t="shared" si="16"/>
        <v/>
      </c>
      <c r="AB23" s="177"/>
      <c r="AC23" s="177"/>
      <c r="AD23" s="178" t="str">
        <f t="shared" si="11"/>
        <v/>
      </c>
      <c r="AE23" s="177"/>
      <c r="AF23" s="177"/>
      <c r="AG23" s="177"/>
      <c r="AH23" s="179" t="str">
        <f t="shared" si="17"/>
        <v/>
      </c>
      <c r="AI23" s="180" t="str">
        <f t="shared" si="3"/>
        <v/>
      </c>
      <c r="AJ23" s="178" t="str">
        <f t="shared" si="12"/>
        <v/>
      </c>
      <c r="AK23" s="180" t="str">
        <f t="shared" si="5"/>
        <v/>
      </c>
      <c r="AL23" s="178" t="str">
        <f t="shared" si="15"/>
        <v/>
      </c>
      <c r="AM23" s="181" t="str">
        <f t="shared" ref="AM23:AM24" si="18">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82"/>
      <c r="AO23" s="175"/>
      <c r="AP23" s="183"/>
      <c r="AQ23" s="183"/>
      <c r="AR23" s="184"/>
      <c r="AS23" s="414"/>
      <c r="AT23" s="414"/>
      <c r="AU23" s="414"/>
    </row>
    <row r="24" spans="1:47" x14ac:dyDescent="0.2">
      <c r="A24" s="411"/>
      <c r="B24" s="353"/>
      <c r="C24" s="353"/>
      <c r="D24" s="353"/>
      <c r="E24" s="353"/>
      <c r="F24" s="413"/>
      <c r="G24" s="353"/>
      <c r="H24" s="356"/>
      <c r="I24" s="356"/>
      <c r="J24" s="356"/>
      <c r="K24" s="356"/>
      <c r="L24" s="356"/>
      <c r="M24" s="356"/>
      <c r="N24" s="414"/>
      <c r="O24" s="415"/>
      <c r="P24" s="416"/>
      <c r="Q24" s="417"/>
      <c r="R24" s="416"/>
      <c r="S24" s="415"/>
      <c r="T24" s="416"/>
      <c r="U24" s="420"/>
      <c r="V24" s="199">
        <v>6</v>
      </c>
      <c r="W24" s="199"/>
      <c r="X24" s="199"/>
      <c r="Y24" s="199"/>
      <c r="Z24" s="224" t="str">
        <f t="shared" si="1"/>
        <v xml:space="preserve">  </v>
      </c>
      <c r="AA24" s="176" t="str">
        <f t="shared" si="16"/>
        <v/>
      </c>
      <c r="AB24" s="177"/>
      <c r="AC24" s="177"/>
      <c r="AD24" s="178" t="str">
        <f t="shared" si="11"/>
        <v/>
      </c>
      <c r="AE24" s="177"/>
      <c r="AF24" s="177"/>
      <c r="AG24" s="177"/>
      <c r="AH24" s="179" t="str">
        <f t="shared" si="17"/>
        <v/>
      </c>
      <c r="AI24" s="180" t="str">
        <f t="shared" si="3"/>
        <v/>
      </c>
      <c r="AJ24" s="178" t="str">
        <f t="shared" si="12"/>
        <v/>
      </c>
      <c r="AK24" s="180" t="str">
        <f t="shared" si="5"/>
        <v/>
      </c>
      <c r="AL24" s="178" t="str">
        <f t="shared" si="15"/>
        <v/>
      </c>
      <c r="AM24" s="181" t="str">
        <f t="shared" si="18"/>
        <v/>
      </c>
      <c r="AN24" s="182"/>
      <c r="AO24" s="175"/>
      <c r="AP24" s="183"/>
      <c r="AQ24" s="183"/>
      <c r="AR24" s="184"/>
      <c r="AS24" s="414"/>
      <c r="AT24" s="414"/>
      <c r="AU24" s="414"/>
    </row>
    <row r="25" spans="1:47" x14ac:dyDescent="0.2">
      <c r="A25" s="411">
        <v>3</v>
      </c>
      <c r="B25" s="353"/>
      <c r="C25" s="353"/>
      <c r="D25" s="353"/>
      <c r="E25" s="353"/>
      <c r="F25" s="413" t="str">
        <f t="shared" ref="F25" si="19">+CONCATENATE(B25," ",C25," ",D25)</f>
        <v xml:space="preserve">  </v>
      </c>
      <c r="G25" s="353"/>
      <c r="H25" s="354"/>
      <c r="I25" s="354"/>
      <c r="J25" s="354"/>
      <c r="K25" s="354"/>
      <c r="L25" s="354"/>
      <c r="M25" s="354"/>
      <c r="N25" s="414"/>
      <c r="O25" s="415" t="str">
        <f>IF(N25&lt;=0,"",IF(N25&lt;=2,"Muy Baja",IF(N25&lt;=24,"Baja",IF(N25&lt;=500,"Media",IF(N25&lt;=5000,"Alta","Muy Alta")))))</f>
        <v/>
      </c>
      <c r="P25" s="416" t="str">
        <f>IF(O25="","",IF(O25="Muy Baja",0.2,IF(O25="Baja",0.4,IF(O25="Media",0.6,IF(O25="Alta",0.8,IF(O25="Muy Alta",1,))))))</f>
        <v/>
      </c>
      <c r="Q25" s="417"/>
      <c r="R25" s="416">
        <f>IF(NOT(ISERROR(MATCH(Q25,'Tabla Impacto'!$B$245:$B$249,0))),'Tabla Impacto'!$F$224&amp;"Por favor no seleccionar los criterios de impacto(Reputacional, Operativo, Legal, ni Contagio)",Q25)</f>
        <v>0</v>
      </c>
      <c r="S25" s="415" t="str">
        <f>IF(OR(R25='Tabla Impacto'!$C$12,R25='Tabla Impacto'!$D$12),"Leve",IF(OR(R25='Tabla Impacto'!$C$13,R25='Tabla Impacto'!$D$13),"Menor",IF(OR(R25='Tabla Impacto'!$C$14,R25='Tabla Impacto'!$D$14),"Moderado",IF(OR(R25='Tabla Impacto'!$C$15,R25='Tabla Impacto'!$D$15),"Mayor",IF(OR(R25='Tabla Impacto'!$C$16,R25='Tabla Impacto'!$D$16),"Catastrófico","")))))</f>
        <v/>
      </c>
      <c r="T25" s="416" t="str">
        <f>IF(S25="","",IF(S25="Leve",0.2,IF(S25="Menor",0.4,IF(S25="Moderado",0.6,IF(S25="Mayor",0.8,IF(S25="Catastrófico",1,))))))</f>
        <v/>
      </c>
      <c r="U25" s="420"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9">
        <v>1</v>
      </c>
      <c r="W25" s="199"/>
      <c r="X25" s="199"/>
      <c r="Y25" s="199"/>
      <c r="Z25" s="224" t="str">
        <f t="shared" si="1"/>
        <v xml:space="preserve">  </v>
      </c>
      <c r="AA25" s="176" t="str">
        <f>IF(OR(AB25="Preventivo",AB25="Detectivo"),"Probabilidad",IF(AB25="Correctivo","Impacto",""))</f>
        <v/>
      </c>
      <c r="AB25" s="177"/>
      <c r="AC25" s="177"/>
      <c r="AD25" s="178" t="str">
        <f>IF(AND(AB25="Preventivo",AC25="Automático"),"50%",IF(AND(AB25="Preventivo",AC25="Manual"),"40%",IF(AND(AB25="Detectivo",AC25="Automático"),"40%",IF(AND(AB25="Detectivo",AC25="Manual"),"30%",IF(AND(AB25="Correctivo",AC25="Automático"),"35%",IF(AND(AB25="Correctivo",AC25="Manual"),"25%",""))))))</f>
        <v/>
      </c>
      <c r="AE25" s="177"/>
      <c r="AF25" s="177"/>
      <c r="AG25" s="177"/>
      <c r="AH25" s="179" t="str">
        <f>IFERROR(IF(AA25="Probabilidad",(P25-(+P25*AD25)),IF(AA25="Impacto",P25,"")),"")</f>
        <v/>
      </c>
      <c r="AI25" s="180" t="str">
        <f>IFERROR(IF(AH25="","",IF(AH25&lt;=0.2,"Muy Baja",IF(AH25&lt;=0.4,"Baja",IF(AH25&lt;=0.6,"Media",IF(AH25&lt;=0.8,"Alta","Muy Alta"))))),"")</f>
        <v/>
      </c>
      <c r="AJ25" s="178" t="str">
        <f>+AH25</f>
        <v/>
      </c>
      <c r="AK25" s="180" t="str">
        <f>IFERROR(IF(AL25="","",IF(AL25&lt;=0.2,"Leve",IF(AL25&lt;=0.4,"Menor",IF(AL25&lt;=0.6,"Moderado",IF(AL25&lt;=0.8,"Mayor","Catastrófico"))))),"")</f>
        <v/>
      </c>
      <c r="AL25" s="178" t="str">
        <f t="shared" ref="AL25" si="20">IFERROR(IF(AA25="Impacto",(T25-(+T25*AD25)),IF(AA25="Probabilidad",T25,"")),"")</f>
        <v/>
      </c>
      <c r="AM25" s="181"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82"/>
      <c r="AO25" s="175"/>
      <c r="AP25" s="183"/>
      <c r="AQ25" s="183"/>
      <c r="AR25" s="184"/>
      <c r="AS25" s="414"/>
      <c r="AT25" s="414"/>
      <c r="AU25" s="414"/>
    </row>
    <row r="26" spans="1:47" x14ac:dyDescent="0.2">
      <c r="A26" s="411"/>
      <c r="B26" s="353"/>
      <c r="C26" s="353"/>
      <c r="D26" s="353"/>
      <c r="E26" s="353"/>
      <c r="F26" s="413"/>
      <c r="G26" s="353"/>
      <c r="H26" s="355"/>
      <c r="I26" s="355"/>
      <c r="J26" s="355"/>
      <c r="K26" s="355"/>
      <c r="L26" s="355"/>
      <c r="M26" s="355"/>
      <c r="N26" s="414"/>
      <c r="O26" s="415"/>
      <c r="P26" s="416"/>
      <c r="Q26" s="417"/>
      <c r="R26" s="416"/>
      <c r="S26" s="415"/>
      <c r="T26" s="416"/>
      <c r="U26" s="420"/>
      <c r="V26" s="199">
        <v>2</v>
      </c>
      <c r="W26" s="199"/>
      <c r="X26" s="199"/>
      <c r="Y26" s="199"/>
      <c r="Z26" s="224" t="str">
        <f t="shared" si="1"/>
        <v xml:space="preserve">  </v>
      </c>
      <c r="AA26" s="176" t="str">
        <f>IF(OR(AB26="Preventivo",AB26="Detectivo"),"Probabilidad",IF(AB26="Correctivo","Impacto",""))</f>
        <v/>
      </c>
      <c r="AB26" s="177"/>
      <c r="AC26" s="177"/>
      <c r="AD26" s="178" t="str">
        <f t="shared" ref="AD26:AD30" si="21">IF(AND(AB26="Preventivo",AC26="Automático"),"50%",IF(AND(AB26="Preventivo",AC26="Manual"),"40%",IF(AND(AB26="Detectivo",AC26="Automático"),"40%",IF(AND(AB26="Detectivo",AC26="Manual"),"30%",IF(AND(AB26="Correctivo",AC26="Automático"),"35%",IF(AND(AB26="Correctivo",AC26="Manual"),"25%",""))))))</f>
        <v/>
      </c>
      <c r="AE26" s="177"/>
      <c r="AF26" s="177"/>
      <c r="AG26" s="177"/>
      <c r="AH26" s="179" t="str">
        <f>IFERROR(IF(AND(AA25="Probabilidad",AA26="Probabilidad"),(AJ25-(+AJ25*AD26)),IF(AA26="Probabilidad",(P25-(+P25*AD26)),IF(AA26="Impacto",AJ25,""))),"")</f>
        <v/>
      </c>
      <c r="AI26" s="180" t="str">
        <f t="shared" si="3"/>
        <v/>
      </c>
      <c r="AJ26" s="178" t="str">
        <f t="shared" ref="AJ26:AJ30" si="22">+AH26</f>
        <v/>
      </c>
      <c r="AK26" s="180" t="str">
        <f t="shared" si="5"/>
        <v/>
      </c>
      <c r="AL26" s="178" t="str">
        <f t="shared" ref="AL26" si="23">IFERROR(IF(AND(AA25="Impacto",AA26="Impacto"),(AL25-(+AL25*AD26)),IF(AA26="Impacto",($T$13-(+$T$13*AD26)),IF(AA26="Probabilidad",AL25,""))),"")</f>
        <v/>
      </c>
      <c r="AM26" s="181" t="str">
        <f t="shared" ref="AM26:AM27" si="24">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82"/>
      <c r="AO26" s="175"/>
      <c r="AP26" s="183"/>
      <c r="AQ26" s="183"/>
      <c r="AR26" s="184"/>
      <c r="AS26" s="414"/>
      <c r="AT26" s="414"/>
      <c r="AU26" s="414"/>
    </row>
    <row r="27" spans="1:47" x14ac:dyDescent="0.2">
      <c r="A27" s="411"/>
      <c r="B27" s="353"/>
      <c r="C27" s="353"/>
      <c r="D27" s="353"/>
      <c r="E27" s="353"/>
      <c r="F27" s="413"/>
      <c r="G27" s="353"/>
      <c r="H27" s="355"/>
      <c r="I27" s="355"/>
      <c r="J27" s="355"/>
      <c r="K27" s="355"/>
      <c r="L27" s="355"/>
      <c r="M27" s="355"/>
      <c r="N27" s="414"/>
      <c r="O27" s="415"/>
      <c r="P27" s="416"/>
      <c r="Q27" s="417"/>
      <c r="R27" s="416"/>
      <c r="S27" s="415"/>
      <c r="T27" s="416"/>
      <c r="U27" s="420"/>
      <c r="V27" s="199">
        <v>3</v>
      </c>
      <c r="W27" s="199"/>
      <c r="X27" s="199"/>
      <c r="Y27" s="199"/>
      <c r="Z27" s="224" t="str">
        <f t="shared" si="1"/>
        <v xml:space="preserve">  </v>
      </c>
      <c r="AA27" s="176" t="str">
        <f>IF(OR(AB27="Preventivo",AB27="Detectivo"),"Probabilidad",IF(AB27="Correctivo","Impacto",""))</f>
        <v/>
      </c>
      <c r="AB27" s="177"/>
      <c r="AC27" s="177"/>
      <c r="AD27" s="178" t="str">
        <f t="shared" si="21"/>
        <v/>
      </c>
      <c r="AE27" s="177"/>
      <c r="AF27" s="177"/>
      <c r="AG27" s="177"/>
      <c r="AH27" s="179" t="str">
        <f>IFERROR(IF(AND(AA26="Probabilidad",AA27="Probabilidad"),(AJ26-(+AJ26*AD27)),IF(AND(AA26="Impacto",AA27="Probabilidad"),(AJ25-(+AJ25*AD27)),IF(AA27="Impacto",AJ26,""))),"")</f>
        <v/>
      </c>
      <c r="AI27" s="180" t="str">
        <f t="shared" si="3"/>
        <v/>
      </c>
      <c r="AJ27" s="178" t="str">
        <f t="shared" si="22"/>
        <v/>
      </c>
      <c r="AK27" s="180" t="str">
        <f t="shared" si="5"/>
        <v/>
      </c>
      <c r="AL27" s="178" t="str">
        <f t="shared" ref="AL27" si="25">IFERROR(IF(AND(AA26="Impacto",AA27="Impacto"),(AL26-(+AL26*AD27)),IF(AND(AA26="Probabilidad",AA27="Impacto"),(AL25-(+AL25*AD27)),IF(AA27="Probabilidad",AL26,""))),"")</f>
        <v/>
      </c>
      <c r="AM27" s="181" t="str">
        <f t="shared" si="24"/>
        <v/>
      </c>
      <c r="AN27" s="182"/>
      <c r="AO27" s="175"/>
      <c r="AP27" s="183"/>
      <c r="AQ27" s="183"/>
      <c r="AR27" s="184"/>
      <c r="AS27" s="414"/>
      <c r="AT27" s="414"/>
      <c r="AU27" s="414"/>
    </row>
    <row r="28" spans="1:47" x14ac:dyDescent="0.2">
      <c r="A28" s="411"/>
      <c r="B28" s="353"/>
      <c r="C28" s="353"/>
      <c r="D28" s="353"/>
      <c r="E28" s="353"/>
      <c r="F28" s="413"/>
      <c r="G28" s="353"/>
      <c r="H28" s="355"/>
      <c r="I28" s="355"/>
      <c r="J28" s="355"/>
      <c r="K28" s="355"/>
      <c r="L28" s="355"/>
      <c r="M28" s="355"/>
      <c r="N28" s="414"/>
      <c r="O28" s="415"/>
      <c r="P28" s="416"/>
      <c r="Q28" s="417"/>
      <c r="R28" s="416"/>
      <c r="S28" s="415"/>
      <c r="T28" s="416"/>
      <c r="U28" s="420"/>
      <c r="V28" s="199">
        <v>4</v>
      </c>
      <c r="W28" s="199"/>
      <c r="X28" s="199"/>
      <c r="Y28" s="199"/>
      <c r="Z28" s="224" t="str">
        <f t="shared" si="1"/>
        <v xml:space="preserve">  </v>
      </c>
      <c r="AA28" s="176" t="str">
        <f t="shared" ref="AA28:AA30" si="26">IF(OR(AB28="Preventivo",AB28="Detectivo"),"Probabilidad",IF(AB28="Correctivo","Impacto",""))</f>
        <v/>
      </c>
      <c r="AB28" s="177"/>
      <c r="AC28" s="177"/>
      <c r="AD28" s="178" t="str">
        <f t="shared" si="21"/>
        <v/>
      </c>
      <c r="AE28" s="177"/>
      <c r="AF28" s="177"/>
      <c r="AG28" s="177"/>
      <c r="AH28" s="179" t="str">
        <f t="shared" ref="AH28:AH30" si="27">IFERROR(IF(AND(AA27="Probabilidad",AA28="Probabilidad"),(AJ27-(+AJ27*AD28)),IF(AND(AA27="Impacto",AA28="Probabilidad"),(AJ26-(+AJ26*AD28)),IF(AA28="Impacto",AJ27,""))),"")</f>
        <v/>
      </c>
      <c r="AI28" s="180" t="str">
        <f t="shared" si="3"/>
        <v/>
      </c>
      <c r="AJ28" s="178" t="str">
        <f t="shared" si="22"/>
        <v/>
      </c>
      <c r="AK28" s="180" t="str">
        <f t="shared" si="5"/>
        <v/>
      </c>
      <c r="AL28" s="178" t="str">
        <f t="shared" si="15"/>
        <v/>
      </c>
      <c r="AM28" s="181"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82"/>
      <c r="AO28" s="175"/>
      <c r="AP28" s="183"/>
      <c r="AQ28" s="183"/>
      <c r="AR28" s="184"/>
      <c r="AS28" s="414"/>
      <c r="AT28" s="414"/>
      <c r="AU28" s="414"/>
    </row>
    <row r="29" spans="1:47" x14ac:dyDescent="0.2">
      <c r="A29" s="411"/>
      <c r="B29" s="353"/>
      <c r="C29" s="353"/>
      <c r="D29" s="353"/>
      <c r="E29" s="353"/>
      <c r="F29" s="413"/>
      <c r="G29" s="353"/>
      <c r="H29" s="355"/>
      <c r="I29" s="355"/>
      <c r="J29" s="355"/>
      <c r="K29" s="355"/>
      <c r="L29" s="355"/>
      <c r="M29" s="355"/>
      <c r="N29" s="414"/>
      <c r="O29" s="415"/>
      <c r="P29" s="416"/>
      <c r="Q29" s="417"/>
      <c r="R29" s="416"/>
      <c r="S29" s="415"/>
      <c r="T29" s="416"/>
      <c r="U29" s="420"/>
      <c r="V29" s="199">
        <v>5</v>
      </c>
      <c r="W29" s="199"/>
      <c r="X29" s="199"/>
      <c r="Y29" s="199"/>
      <c r="Z29" s="224" t="str">
        <f t="shared" si="1"/>
        <v xml:space="preserve">  </v>
      </c>
      <c r="AA29" s="176" t="str">
        <f t="shared" si="26"/>
        <v/>
      </c>
      <c r="AB29" s="177"/>
      <c r="AC29" s="177"/>
      <c r="AD29" s="178" t="str">
        <f t="shared" si="21"/>
        <v/>
      </c>
      <c r="AE29" s="177"/>
      <c r="AF29" s="177"/>
      <c r="AG29" s="177"/>
      <c r="AH29" s="179" t="str">
        <f t="shared" si="27"/>
        <v/>
      </c>
      <c r="AI29" s="180" t="str">
        <f t="shared" si="3"/>
        <v/>
      </c>
      <c r="AJ29" s="178" t="str">
        <f t="shared" si="22"/>
        <v/>
      </c>
      <c r="AK29" s="180" t="str">
        <f t="shared" si="5"/>
        <v/>
      </c>
      <c r="AL29" s="178" t="str">
        <f t="shared" si="15"/>
        <v/>
      </c>
      <c r="AM29" s="181" t="str">
        <f t="shared" ref="AM29:AM30" si="28">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82"/>
      <c r="AO29" s="175"/>
      <c r="AP29" s="183"/>
      <c r="AQ29" s="183"/>
      <c r="AR29" s="184"/>
      <c r="AS29" s="414"/>
      <c r="AT29" s="414"/>
      <c r="AU29" s="414"/>
    </row>
    <row r="30" spans="1:47" x14ac:dyDescent="0.2">
      <c r="A30" s="411"/>
      <c r="B30" s="353"/>
      <c r="C30" s="353"/>
      <c r="D30" s="353"/>
      <c r="E30" s="353"/>
      <c r="F30" s="413"/>
      <c r="G30" s="353"/>
      <c r="H30" s="356"/>
      <c r="I30" s="356"/>
      <c r="J30" s="356"/>
      <c r="K30" s="356"/>
      <c r="L30" s="356"/>
      <c r="M30" s="356"/>
      <c r="N30" s="414"/>
      <c r="O30" s="415"/>
      <c r="P30" s="416"/>
      <c r="Q30" s="417"/>
      <c r="R30" s="416"/>
      <c r="S30" s="415"/>
      <c r="T30" s="416"/>
      <c r="U30" s="420"/>
      <c r="V30" s="199">
        <v>6</v>
      </c>
      <c r="W30" s="199"/>
      <c r="X30" s="199"/>
      <c r="Y30" s="199"/>
      <c r="Z30" s="224" t="str">
        <f t="shared" si="1"/>
        <v xml:space="preserve">  </v>
      </c>
      <c r="AA30" s="176" t="str">
        <f t="shared" si="26"/>
        <v/>
      </c>
      <c r="AB30" s="177"/>
      <c r="AC30" s="177"/>
      <c r="AD30" s="178" t="str">
        <f t="shared" si="21"/>
        <v/>
      </c>
      <c r="AE30" s="177"/>
      <c r="AF30" s="177"/>
      <c r="AG30" s="177"/>
      <c r="AH30" s="179" t="str">
        <f t="shared" si="27"/>
        <v/>
      </c>
      <c r="AI30" s="180" t="str">
        <f t="shared" si="3"/>
        <v/>
      </c>
      <c r="AJ30" s="178" t="str">
        <f t="shared" si="22"/>
        <v/>
      </c>
      <c r="AK30" s="180" t="str">
        <f t="shared" si="5"/>
        <v/>
      </c>
      <c r="AL30" s="178" t="str">
        <f t="shared" si="15"/>
        <v/>
      </c>
      <c r="AM30" s="181" t="str">
        <f t="shared" si="28"/>
        <v/>
      </c>
      <c r="AN30" s="182"/>
      <c r="AO30" s="175"/>
      <c r="AP30" s="183"/>
      <c r="AQ30" s="183"/>
      <c r="AR30" s="184"/>
      <c r="AS30" s="414"/>
      <c r="AT30" s="414"/>
      <c r="AU30" s="414"/>
    </row>
    <row r="31" spans="1:47" x14ac:dyDescent="0.2">
      <c r="A31" s="411">
        <v>4</v>
      </c>
      <c r="B31" s="353"/>
      <c r="C31" s="353"/>
      <c r="D31" s="353"/>
      <c r="E31" s="353"/>
      <c r="F31" s="413" t="str">
        <f t="shared" ref="F31" si="29">+CONCATENATE(B31," ",C31," ",D31)</f>
        <v xml:space="preserve">  </v>
      </c>
      <c r="G31" s="353"/>
      <c r="H31" s="354"/>
      <c r="I31" s="354"/>
      <c r="J31" s="354"/>
      <c r="K31" s="354"/>
      <c r="L31" s="354"/>
      <c r="M31" s="354"/>
      <c r="N31" s="414"/>
      <c r="O31" s="415" t="str">
        <f>IF(N31&lt;=0,"",IF(N31&lt;=2,"Muy Baja",IF(N31&lt;=24,"Baja",IF(N31&lt;=500,"Media",IF(N31&lt;=5000,"Alta","Muy Alta")))))</f>
        <v/>
      </c>
      <c r="P31" s="416" t="str">
        <f>IF(O31="","",IF(O31="Muy Baja",0.2,IF(O31="Baja",0.4,IF(O31="Media",0.6,IF(O31="Alta",0.8,IF(O31="Muy Alta",1,))))))</f>
        <v/>
      </c>
      <c r="Q31" s="417"/>
      <c r="R31" s="416">
        <f>IF(NOT(ISERROR(MATCH(Q31,'Tabla Impacto'!$B$245:$B$249,0))),'Tabla Impacto'!$F$224&amp;"Por favor no seleccionar los criterios de impacto(Reputacional, Operativo, Legal, ni Contagio)",Q31)</f>
        <v>0</v>
      </c>
      <c r="S31" s="415" t="str">
        <f>IF(OR(R31='Tabla Impacto'!$C$12,R31='Tabla Impacto'!$D$12),"Leve",IF(OR(R31='Tabla Impacto'!$C$13,R31='Tabla Impacto'!$D$13),"Menor",IF(OR(R31='Tabla Impacto'!$C$14,R31='Tabla Impacto'!$D$14),"Moderado",IF(OR(R31='Tabla Impacto'!$C$15,R31='Tabla Impacto'!$D$15),"Mayor",IF(OR(R31='Tabla Impacto'!$C$16,R31='Tabla Impacto'!$D$16),"Catastrófico","")))))</f>
        <v/>
      </c>
      <c r="T31" s="416" t="str">
        <f>IF(S31="","",IF(S31="Leve",0.2,IF(S31="Menor",0.4,IF(S31="Moderado",0.6,IF(S31="Mayor",0.8,IF(S31="Catastrófico",1,))))))</f>
        <v/>
      </c>
      <c r="U31" s="420"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1"/>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30">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414"/>
      <c r="AT31" s="414"/>
      <c r="AU31" s="414"/>
    </row>
    <row r="32" spans="1:47" x14ac:dyDescent="0.2">
      <c r="A32" s="411"/>
      <c r="B32" s="353"/>
      <c r="C32" s="353"/>
      <c r="D32" s="353"/>
      <c r="E32" s="353"/>
      <c r="F32" s="413"/>
      <c r="G32" s="353"/>
      <c r="H32" s="355"/>
      <c r="I32" s="355"/>
      <c r="J32" s="355"/>
      <c r="K32" s="355"/>
      <c r="L32" s="355"/>
      <c r="M32" s="355"/>
      <c r="N32" s="414"/>
      <c r="O32" s="415"/>
      <c r="P32" s="416"/>
      <c r="Q32" s="417"/>
      <c r="R32" s="416"/>
      <c r="S32" s="415"/>
      <c r="T32" s="416"/>
      <c r="U32" s="420"/>
      <c r="V32" s="199">
        <v>2</v>
      </c>
      <c r="W32" s="199"/>
      <c r="X32" s="199"/>
      <c r="Y32" s="199"/>
      <c r="Z32" s="224" t="str">
        <f t="shared" si="1"/>
        <v xml:space="preserve">  </v>
      </c>
      <c r="AA32" s="176" t="str">
        <f>IF(OR(AB32="Preventivo",AB32="Detectivo"),"Probabilidad",IF(AB32="Correctivo","Impacto",""))</f>
        <v/>
      </c>
      <c r="AB32" s="177"/>
      <c r="AC32" s="177"/>
      <c r="AD32" s="178" t="str">
        <f t="shared" ref="AD32:AD36" si="31">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3"/>
        <v/>
      </c>
      <c r="AJ32" s="178" t="str">
        <f t="shared" ref="AJ32:AJ36" si="32">+AH32</f>
        <v/>
      </c>
      <c r="AK32" s="180" t="str">
        <f t="shared" si="5"/>
        <v/>
      </c>
      <c r="AL32" s="178" t="str">
        <f t="shared" ref="AL32" si="33">IFERROR(IF(AND(AA31="Impacto",AA32="Impacto"),(AL31-(+AL31*AD32)),IF(AA32="Impacto",($T$13-(+$T$13*AD32)),IF(AA32="Probabilidad",AL31,""))),"")</f>
        <v/>
      </c>
      <c r="AM32" s="181" t="str">
        <f t="shared" ref="AM32:AM33" si="34">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414"/>
      <c r="AT32" s="414"/>
      <c r="AU32" s="414"/>
    </row>
    <row r="33" spans="1:47" x14ac:dyDescent="0.2">
      <c r="A33" s="411"/>
      <c r="B33" s="353"/>
      <c r="C33" s="353"/>
      <c r="D33" s="353"/>
      <c r="E33" s="353"/>
      <c r="F33" s="413"/>
      <c r="G33" s="353"/>
      <c r="H33" s="355"/>
      <c r="I33" s="355"/>
      <c r="J33" s="355"/>
      <c r="K33" s="355"/>
      <c r="L33" s="355"/>
      <c r="M33" s="355"/>
      <c r="N33" s="414"/>
      <c r="O33" s="415"/>
      <c r="P33" s="416"/>
      <c r="Q33" s="417"/>
      <c r="R33" s="416"/>
      <c r="S33" s="415"/>
      <c r="T33" s="416"/>
      <c r="U33" s="420"/>
      <c r="V33" s="199">
        <v>3</v>
      </c>
      <c r="W33" s="199"/>
      <c r="X33" s="199"/>
      <c r="Y33" s="199"/>
      <c r="Z33" s="224" t="str">
        <f t="shared" si="1"/>
        <v xml:space="preserve">  </v>
      </c>
      <c r="AA33" s="176" t="str">
        <f>IF(OR(AB33="Preventivo",AB33="Detectivo"),"Probabilidad",IF(AB33="Correctivo","Impacto",""))</f>
        <v/>
      </c>
      <c r="AB33" s="177"/>
      <c r="AC33" s="177"/>
      <c r="AD33" s="178" t="str">
        <f t="shared" si="31"/>
        <v/>
      </c>
      <c r="AE33" s="177"/>
      <c r="AF33" s="177"/>
      <c r="AG33" s="177"/>
      <c r="AH33" s="179" t="str">
        <f>IFERROR(IF(AND(AA32="Probabilidad",AA33="Probabilidad"),(AJ32-(+AJ32*AD33)),IF(AND(AA32="Impacto",AA33="Probabilidad"),(AJ31-(+AJ31*AD33)),IF(AA33="Impacto",AJ32,""))),"")</f>
        <v/>
      </c>
      <c r="AI33" s="180" t="str">
        <f t="shared" si="3"/>
        <v/>
      </c>
      <c r="AJ33" s="178" t="str">
        <f t="shared" si="32"/>
        <v/>
      </c>
      <c r="AK33" s="180" t="str">
        <f t="shared" si="5"/>
        <v/>
      </c>
      <c r="AL33" s="178" t="str">
        <f t="shared" ref="AL33" si="35">IFERROR(IF(AND(AA32="Impacto",AA33="Impacto"),(AL32-(+AL32*AD33)),IF(AND(AA32="Probabilidad",AA33="Impacto"),(AL31-(+AL31*AD33)),IF(AA33="Probabilidad",AL32,""))),"")</f>
        <v/>
      </c>
      <c r="AM33" s="181" t="str">
        <f t="shared" si="34"/>
        <v/>
      </c>
      <c r="AN33" s="182"/>
      <c r="AO33" s="175"/>
      <c r="AP33" s="183"/>
      <c r="AQ33" s="183"/>
      <c r="AR33" s="184"/>
      <c r="AS33" s="414"/>
      <c r="AT33" s="414"/>
      <c r="AU33" s="414"/>
    </row>
    <row r="34" spans="1:47" x14ac:dyDescent="0.2">
      <c r="A34" s="411"/>
      <c r="B34" s="353"/>
      <c r="C34" s="353"/>
      <c r="D34" s="353"/>
      <c r="E34" s="353"/>
      <c r="F34" s="413"/>
      <c r="G34" s="353"/>
      <c r="H34" s="355"/>
      <c r="I34" s="355"/>
      <c r="J34" s="355"/>
      <c r="K34" s="355"/>
      <c r="L34" s="355"/>
      <c r="M34" s="355"/>
      <c r="N34" s="414"/>
      <c r="O34" s="415"/>
      <c r="P34" s="416"/>
      <c r="Q34" s="417"/>
      <c r="R34" s="416"/>
      <c r="S34" s="415"/>
      <c r="T34" s="416"/>
      <c r="U34" s="420"/>
      <c r="V34" s="199">
        <v>4</v>
      </c>
      <c r="W34" s="199"/>
      <c r="X34" s="199"/>
      <c r="Y34" s="199"/>
      <c r="Z34" s="224" t="str">
        <f t="shared" si="1"/>
        <v xml:space="preserve">  </v>
      </c>
      <c r="AA34" s="176" t="str">
        <f t="shared" ref="AA34:AA36" si="36">IF(OR(AB34="Preventivo",AB34="Detectivo"),"Probabilidad",IF(AB34="Correctivo","Impacto",""))</f>
        <v/>
      </c>
      <c r="AB34" s="177"/>
      <c r="AC34" s="177"/>
      <c r="AD34" s="178" t="str">
        <f t="shared" si="31"/>
        <v/>
      </c>
      <c r="AE34" s="177"/>
      <c r="AF34" s="177"/>
      <c r="AG34" s="177"/>
      <c r="AH34" s="179" t="str">
        <f t="shared" ref="AH34:AH36" si="37">IFERROR(IF(AND(AA33="Probabilidad",AA34="Probabilidad"),(AJ33-(+AJ33*AD34)),IF(AND(AA33="Impacto",AA34="Probabilidad"),(AJ32-(+AJ32*AD34)),IF(AA34="Impacto",AJ33,""))),"")</f>
        <v/>
      </c>
      <c r="AI34" s="180" t="str">
        <f t="shared" si="3"/>
        <v/>
      </c>
      <c r="AJ34" s="178" t="str">
        <f t="shared" si="32"/>
        <v/>
      </c>
      <c r="AK34" s="180" t="str">
        <f t="shared" si="5"/>
        <v/>
      </c>
      <c r="AL34" s="178" t="str">
        <f t="shared" si="15"/>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414"/>
      <c r="AT34" s="414"/>
      <c r="AU34" s="414"/>
    </row>
    <row r="35" spans="1:47" x14ac:dyDescent="0.2">
      <c r="A35" s="411"/>
      <c r="B35" s="353"/>
      <c r="C35" s="353"/>
      <c r="D35" s="353"/>
      <c r="E35" s="353"/>
      <c r="F35" s="413"/>
      <c r="G35" s="353"/>
      <c r="H35" s="355"/>
      <c r="I35" s="355"/>
      <c r="J35" s="355"/>
      <c r="K35" s="355"/>
      <c r="L35" s="355"/>
      <c r="M35" s="355"/>
      <c r="N35" s="414"/>
      <c r="O35" s="415"/>
      <c r="P35" s="416"/>
      <c r="Q35" s="417"/>
      <c r="R35" s="416"/>
      <c r="S35" s="415"/>
      <c r="T35" s="416"/>
      <c r="U35" s="420"/>
      <c r="V35" s="199">
        <v>5</v>
      </c>
      <c r="W35" s="199"/>
      <c r="X35" s="199"/>
      <c r="Y35" s="199"/>
      <c r="Z35" s="224" t="str">
        <f t="shared" si="1"/>
        <v xml:space="preserve">  </v>
      </c>
      <c r="AA35" s="176" t="str">
        <f t="shared" si="36"/>
        <v/>
      </c>
      <c r="AB35" s="177"/>
      <c r="AC35" s="177"/>
      <c r="AD35" s="178" t="str">
        <f t="shared" si="31"/>
        <v/>
      </c>
      <c r="AE35" s="177"/>
      <c r="AF35" s="177"/>
      <c r="AG35" s="177"/>
      <c r="AH35" s="179" t="str">
        <f t="shared" si="37"/>
        <v/>
      </c>
      <c r="AI35" s="180" t="str">
        <f>IFERROR(IF(AH35="","",IF(AH35&lt;=0.2,"Muy Baja",IF(AH35&lt;=0.4,"Baja",IF(AH35&lt;=0.6,"Media",IF(AH35&lt;=0.8,"Alta","Muy Alta"))))),"")</f>
        <v/>
      </c>
      <c r="AJ35" s="178" t="str">
        <f t="shared" si="32"/>
        <v/>
      </c>
      <c r="AK35" s="180" t="str">
        <f t="shared" si="5"/>
        <v/>
      </c>
      <c r="AL35" s="178" t="str">
        <f t="shared" si="15"/>
        <v/>
      </c>
      <c r="AM35" s="181" t="str">
        <f t="shared" ref="AM35:AM36" si="38">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414"/>
      <c r="AT35" s="414"/>
      <c r="AU35" s="414"/>
    </row>
    <row r="36" spans="1:47" x14ac:dyDescent="0.2">
      <c r="A36" s="411"/>
      <c r="B36" s="353"/>
      <c r="C36" s="353"/>
      <c r="D36" s="353"/>
      <c r="E36" s="353"/>
      <c r="F36" s="413"/>
      <c r="G36" s="353"/>
      <c r="H36" s="356"/>
      <c r="I36" s="356"/>
      <c r="J36" s="356"/>
      <c r="K36" s="356"/>
      <c r="L36" s="356"/>
      <c r="M36" s="356"/>
      <c r="N36" s="414"/>
      <c r="O36" s="415"/>
      <c r="P36" s="416"/>
      <c r="Q36" s="417"/>
      <c r="R36" s="416"/>
      <c r="S36" s="415"/>
      <c r="T36" s="416"/>
      <c r="U36" s="420"/>
      <c r="V36" s="199">
        <v>6</v>
      </c>
      <c r="W36" s="199"/>
      <c r="X36" s="199"/>
      <c r="Y36" s="199"/>
      <c r="Z36" s="224" t="str">
        <f t="shared" si="1"/>
        <v xml:space="preserve">  </v>
      </c>
      <c r="AA36" s="176" t="str">
        <f t="shared" si="36"/>
        <v/>
      </c>
      <c r="AB36" s="177"/>
      <c r="AC36" s="177"/>
      <c r="AD36" s="178" t="str">
        <f t="shared" si="31"/>
        <v/>
      </c>
      <c r="AE36" s="177"/>
      <c r="AF36" s="177"/>
      <c r="AG36" s="177"/>
      <c r="AH36" s="179" t="str">
        <f t="shared" si="37"/>
        <v/>
      </c>
      <c r="AI36" s="180" t="str">
        <f t="shared" si="3"/>
        <v/>
      </c>
      <c r="AJ36" s="178" t="str">
        <f t="shared" si="32"/>
        <v/>
      </c>
      <c r="AK36" s="180" t="str">
        <f t="shared" si="5"/>
        <v/>
      </c>
      <c r="AL36" s="178" t="str">
        <f t="shared" si="15"/>
        <v/>
      </c>
      <c r="AM36" s="181" t="str">
        <f t="shared" si="38"/>
        <v/>
      </c>
      <c r="AN36" s="182"/>
      <c r="AO36" s="175"/>
      <c r="AP36" s="183"/>
      <c r="AQ36" s="183"/>
      <c r="AR36" s="184"/>
      <c r="AS36" s="414"/>
      <c r="AT36" s="414"/>
      <c r="AU36" s="414"/>
    </row>
    <row r="37" spans="1:47" x14ac:dyDescent="0.2">
      <c r="A37" s="411">
        <v>5</v>
      </c>
      <c r="B37" s="353"/>
      <c r="C37" s="353"/>
      <c r="D37" s="353"/>
      <c r="E37" s="353"/>
      <c r="F37" s="413" t="str">
        <f t="shared" ref="F37" si="39">+CONCATENATE(B37," ",C37," ",D37)</f>
        <v xml:space="preserve">  </v>
      </c>
      <c r="G37" s="353"/>
      <c r="H37" s="354"/>
      <c r="I37" s="354"/>
      <c r="J37" s="354"/>
      <c r="K37" s="354"/>
      <c r="L37" s="354"/>
      <c r="M37" s="354"/>
      <c r="N37" s="414"/>
      <c r="O37" s="415" t="str">
        <f>IF(N37&lt;=0,"",IF(N37&lt;=2,"Muy Baja",IF(N37&lt;=24,"Baja",IF(N37&lt;=500,"Media",IF(N37&lt;=5000,"Alta","Muy Alta")))))</f>
        <v/>
      </c>
      <c r="P37" s="416" t="str">
        <f>IF(O37="","",IF(O37="Muy Baja",0.2,IF(O37="Baja",0.4,IF(O37="Media",0.6,IF(O37="Alta",0.8,IF(O37="Muy Alta",1,))))))</f>
        <v/>
      </c>
      <c r="Q37" s="417"/>
      <c r="R37" s="416">
        <f>IF(NOT(ISERROR(MATCH(Q37,'Tabla Impacto'!$B$245:$B$249,0))),'Tabla Impacto'!$F$224&amp;"Por favor no seleccionar los criterios de impacto(Reputacional, Operativo, Legal, ni Contagio)",Q37)</f>
        <v>0</v>
      </c>
      <c r="S37" s="415" t="str">
        <f>IF(OR(R37='Tabla Impacto'!$C$12,R37='Tabla Impacto'!$D$12),"Leve",IF(OR(R37='Tabla Impacto'!$C$13,R37='Tabla Impacto'!$D$13),"Menor",IF(OR(R37='Tabla Impacto'!$C$14,R37='Tabla Impacto'!$D$14),"Moderado",IF(OR(R37='Tabla Impacto'!$C$15,R37='Tabla Impacto'!$D$15),"Mayor",IF(OR(R37='Tabla Impacto'!$C$16,R37='Tabla Impacto'!$D$16),"Catastrófico","")))))</f>
        <v/>
      </c>
      <c r="T37" s="416" t="str">
        <f>IF(S37="","",IF(S37="Leve",0.2,IF(S37="Menor",0.4,IF(S37="Moderado",0.6,IF(S37="Mayor",0.8,IF(S37="Catastrófico",1,))))))</f>
        <v/>
      </c>
      <c r="U37" s="420"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9">
        <v>1</v>
      </c>
      <c r="W37" s="199"/>
      <c r="X37" s="199"/>
      <c r="Y37" s="199"/>
      <c r="Z37" s="224" t="str">
        <f t="shared" si="1"/>
        <v xml:space="preserve">  </v>
      </c>
      <c r="AA37" s="176" t="str">
        <f>IF(OR(AB37="Preventivo",AB37="Detectivo"),"Probabilidad",IF(AB37="Correctivo","Impacto",""))</f>
        <v/>
      </c>
      <c r="AB37" s="177"/>
      <c r="AC37" s="177"/>
      <c r="AD37" s="178" t="str">
        <f>IF(AND(AB37="Preventivo",AC37="Automático"),"50%",IF(AND(AB37="Preventivo",AC37="Manual"),"40%",IF(AND(AB37="Detectivo",AC37="Automático"),"40%",IF(AND(AB37="Detectivo",AC37="Manual"),"30%",IF(AND(AB37="Correctivo",AC37="Automático"),"35%",IF(AND(AB37="Correctivo",AC37="Manual"),"25%",""))))))</f>
        <v/>
      </c>
      <c r="AE37" s="177"/>
      <c r="AF37" s="177"/>
      <c r="AG37" s="177"/>
      <c r="AH37" s="179" t="str">
        <f>IFERROR(IF(AA37="Probabilidad",(P37-(+P37*AD37)),IF(AA37="Impacto",P37,"")),"")</f>
        <v/>
      </c>
      <c r="AI37" s="180" t="str">
        <f>IFERROR(IF(AH37="","",IF(AH37&lt;=0.2,"Muy Baja",IF(AH37&lt;=0.4,"Baja",IF(AH37&lt;=0.6,"Media",IF(AH37&lt;=0.8,"Alta","Muy Alta"))))),"")</f>
        <v/>
      </c>
      <c r="AJ37" s="178" t="str">
        <f>+AH37</f>
        <v/>
      </c>
      <c r="AK37" s="180" t="str">
        <f>IFERROR(IF(AL37="","",IF(AL37&lt;=0.2,"Leve",IF(AL37&lt;=0.4,"Menor",IF(AL37&lt;=0.6,"Moderado",IF(AL37&lt;=0.8,"Mayor","Catastrófico"))))),"")</f>
        <v/>
      </c>
      <c r="AL37" s="178" t="str">
        <f t="shared" ref="AL37" si="40">IFERROR(IF(AA37="Impacto",(T37-(+T37*AD37)),IF(AA37="Probabilidad",T37,"")),"")</f>
        <v/>
      </c>
      <c r="AM37" s="181"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82"/>
      <c r="AO37" s="175"/>
      <c r="AP37" s="183"/>
      <c r="AQ37" s="183"/>
      <c r="AR37" s="184"/>
      <c r="AS37" s="414"/>
      <c r="AT37" s="414"/>
      <c r="AU37" s="414"/>
    </row>
    <row r="38" spans="1:47" x14ac:dyDescent="0.2">
      <c r="A38" s="411"/>
      <c r="B38" s="353"/>
      <c r="C38" s="353"/>
      <c r="D38" s="353"/>
      <c r="E38" s="353"/>
      <c r="F38" s="413"/>
      <c r="G38" s="353"/>
      <c r="H38" s="355"/>
      <c r="I38" s="355"/>
      <c r="J38" s="355"/>
      <c r="K38" s="355"/>
      <c r="L38" s="355"/>
      <c r="M38" s="355"/>
      <c r="N38" s="414"/>
      <c r="O38" s="415"/>
      <c r="P38" s="416"/>
      <c r="Q38" s="417"/>
      <c r="R38" s="416"/>
      <c r="S38" s="415"/>
      <c r="T38" s="416"/>
      <c r="U38" s="420"/>
      <c r="V38" s="199">
        <v>2</v>
      </c>
      <c r="W38" s="199"/>
      <c r="X38" s="199"/>
      <c r="Y38" s="199"/>
      <c r="Z38" s="224" t="str">
        <f t="shared" si="1"/>
        <v xml:space="preserve">  </v>
      </c>
      <c r="AA38" s="176" t="str">
        <f>IF(OR(AB38="Preventivo",AB38="Detectivo"),"Probabilidad",IF(AB38="Correctivo","Impacto",""))</f>
        <v/>
      </c>
      <c r="AB38" s="177"/>
      <c r="AC38" s="177"/>
      <c r="AD38" s="178" t="str">
        <f t="shared" ref="AD38:AD42" si="41">IF(AND(AB38="Preventivo",AC38="Automático"),"50%",IF(AND(AB38="Preventivo",AC38="Manual"),"40%",IF(AND(AB38="Detectivo",AC38="Automático"),"40%",IF(AND(AB38="Detectivo",AC38="Manual"),"30%",IF(AND(AB38="Correctivo",AC38="Automático"),"35%",IF(AND(AB38="Correctivo",AC38="Manual"),"25%",""))))))</f>
        <v/>
      </c>
      <c r="AE38" s="177"/>
      <c r="AF38" s="177"/>
      <c r="AG38" s="177"/>
      <c r="AH38" s="179" t="str">
        <f>IFERROR(IF(AND(AA37="Probabilidad",AA38="Probabilidad"),(AJ37-(+AJ37*AD38)),IF(AA38="Probabilidad",(P37-(+P37*AD38)),IF(AA38="Impacto",AJ37,""))),"")</f>
        <v/>
      </c>
      <c r="AI38" s="180" t="str">
        <f t="shared" si="3"/>
        <v/>
      </c>
      <c r="AJ38" s="178" t="str">
        <f t="shared" ref="AJ38:AJ42" si="42">+AH38</f>
        <v/>
      </c>
      <c r="AK38" s="180" t="str">
        <f t="shared" si="5"/>
        <v/>
      </c>
      <c r="AL38" s="178" t="str">
        <f t="shared" ref="AL38" si="43">IFERROR(IF(AND(AA37="Impacto",AA38="Impacto"),(AL37-(+AL37*AD38)),IF(AA38="Impacto",($T$13-(+$T$13*AD38)),IF(AA38="Probabilidad",AL37,""))),"")</f>
        <v/>
      </c>
      <c r="AM38" s="181" t="str">
        <f t="shared" ref="AM38:AM39" si="44">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82"/>
      <c r="AO38" s="175"/>
      <c r="AP38" s="183"/>
      <c r="AQ38" s="183"/>
      <c r="AR38" s="184"/>
      <c r="AS38" s="414"/>
      <c r="AT38" s="414"/>
      <c r="AU38" s="414"/>
    </row>
    <row r="39" spans="1:47" x14ac:dyDescent="0.2">
      <c r="A39" s="411"/>
      <c r="B39" s="353"/>
      <c r="C39" s="353"/>
      <c r="D39" s="353"/>
      <c r="E39" s="353"/>
      <c r="F39" s="413"/>
      <c r="G39" s="353"/>
      <c r="H39" s="355"/>
      <c r="I39" s="355"/>
      <c r="J39" s="355"/>
      <c r="K39" s="355"/>
      <c r="L39" s="355"/>
      <c r="M39" s="355"/>
      <c r="N39" s="414"/>
      <c r="O39" s="415"/>
      <c r="P39" s="416"/>
      <c r="Q39" s="417"/>
      <c r="R39" s="416"/>
      <c r="S39" s="415"/>
      <c r="T39" s="416"/>
      <c r="U39" s="420"/>
      <c r="V39" s="199">
        <v>3</v>
      </c>
      <c r="W39" s="199"/>
      <c r="X39" s="199"/>
      <c r="Y39" s="199"/>
      <c r="Z39" s="224" t="str">
        <f t="shared" si="1"/>
        <v xml:space="preserve">  </v>
      </c>
      <c r="AA39" s="176" t="str">
        <f>IF(OR(AB39="Preventivo",AB39="Detectivo"),"Probabilidad",IF(AB39="Correctivo","Impacto",""))</f>
        <v/>
      </c>
      <c r="AB39" s="177"/>
      <c r="AC39" s="177"/>
      <c r="AD39" s="178" t="str">
        <f t="shared" si="41"/>
        <v/>
      </c>
      <c r="AE39" s="177"/>
      <c r="AF39" s="177"/>
      <c r="AG39" s="177"/>
      <c r="AH39" s="179" t="str">
        <f>IFERROR(IF(AND(AA38="Probabilidad",AA39="Probabilidad"),(AJ38-(+AJ38*AD39)),IF(AND(AA38="Impacto",AA39="Probabilidad"),(AJ37-(+AJ37*AD39)),IF(AA39="Impacto",AJ38,""))),"")</f>
        <v/>
      </c>
      <c r="AI39" s="180" t="str">
        <f t="shared" si="3"/>
        <v/>
      </c>
      <c r="AJ39" s="178" t="str">
        <f t="shared" si="42"/>
        <v/>
      </c>
      <c r="AK39" s="180" t="str">
        <f t="shared" si="5"/>
        <v/>
      </c>
      <c r="AL39" s="178" t="str">
        <f t="shared" ref="AL39" si="45">IFERROR(IF(AND(AA38="Impacto",AA39="Impacto"),(AL38-(+AL38*AD39)),IF(AND(AA38="Probabilidad",AA39="Impacto"),(AL37-(+AL37*AD39)),IF(AA39="Probabilidad",AL38,""))),"")</f>
        <v/>
      </c>
      <c r="AM39" s="181" t="str">
        <f t="shared" si="44"/>
        <v/>
      </c>
      <c r="AN39" s="182"/>
      <c r="AO39" s="175"/>
      <c r="AP39" s="183"/>
      <c r="AQ39" s="183"/>
      <c r="AR39" s="184"/>
      <c r="AS39" s="414"/>
      <c r="AT39" s="414"/>
      <c r="AU39" s="414"/>
    </row>
    <row r="40" spans="1:47" x14ac:dyDescent="0.2">
      <c r="A40" s="411"/>
      <c r="B40" s="353"/>
      <c r="C40" s="353"/>
      <c r="D40" s="353"/>
      <c r="E40" s="353"/>
      <c r="F40" s="413"/>
      <c r="G40" s="353"/>
      <c r="H40" s="355"/>
      <c r="I40" s="355"/>
      <c r="J40" s="355"/>
      <c r="K40" s="355"/>
      <c r="L40" s="355"/>
      <c r="M40" s="355"/>
      <c r="N40" s="414"/>
      <c r="O40" s="415"/>
      <c r="P40" s="416"/>
      <c r="Q40" s="417"/>
      <c r="R40" s="416"/>
      <c r="S40" s="415"/>
      <c r="T40" s="416"/>
      <c r="U40" s="420"/>
      <c r="V40" s="199">
        <v>4</v>
      </c>
      <c r="W40" s="199"/>
      <c r="X40" s="199"/>
      <c r="Y40" s="199"/>
      <c r="Z40" s="224" t="str">
        <f t="shared" si="1"/>
        <v xml:space="preserve">  </v>
      </c>
      <c r="AA40" s="176" t="str">
        <f t="shared" ref="AA40:AA42" si="46">IF(OR(AB40="Preventivo",AB40="Detectivo"),"Probabilidad",IF(AB40="Correctivo","Impacto",""))</f>
        <v/>
      </c>
      <c r="AB40" s="177"/>
      <c r="AC40" s="177"/>
      <c r="AD40" s="178" t="str">
        <f t="shared" si="41"/>
        <v/>
      </c>
      <c r="AE40" s="177"/>
      <c r="AF40" s="177"/>
      <c r="AG40" s="177"/>
      <c r="AH40" s="179" t="str">
        <f t="shared" ref="AH40:AH42" si="47">IFERROR(IF(AND(AA39="Probabilidad",AA40="Probabilidad"),(AJ39-(+AJ39*AD40)),IF(AND(AA39="Impacto",AA40="Probabilidad"),(AJ38-(+AJ38*AD40)),IF(AA40="Impacto",AJ39,""))),"")</f>
        <v/>
      </c>
      <c r="AI40" s="180" t="str">
        <f t="shared" si="3"/>
        <v/>
      </c>
      <c r="AJ40" s="178" t="str">
        <f t="shared" si="42"/>
        <v/>
      </c>
      <c r="AK40" s="180" t="str">
        <f t="shared" si="5"/>
        <v/>
      </c>
      <c r="AL40" s="178" t="str">
        <f t="shared" si="15"/>
        <v/>
      </c>
      <c r="AM40" s="181"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82"/>
      <c r="AO40" s="175"/>
      <c r="AP40" s="183"/>
      <c r="AQ40" s="183"/>
      <c r="AR40" s="184"/>
      <c r="AS40" s="414"/>
      <c r="AT40" s="414"/>
      <c r="AU40" s="414"/>
    </row>
    <row r="41" spans="1:47" x14ac:dyDescent="0.2">
      <c r="A41" s="411"/>
      <c r="B41" s="353"/>
      <c r="C41" s="353"/>
      <c r="D41" s="353"/>
      <c r="E41" s="353"/>
      <c r="F41" s="413"/>
      <c r="G41" s="353"/>
      <c r="H41" s="355"/>
      <c r="I41" s="355"/>
      <c r="J41" s="355"/>
      <c r="K41" s="355"/>
      <c r="L41" s="355"/>
      <c r="M41" s="355"/>
      <c r="N41" s="414"/>
      <c r="O41" s="415"/>
      <c r="P41" s="416"/>
      <c r="Q41" s="417"/>
      <c r="R41" s="416"/>
      <c r="S41" s="415"/>
      <c r="T41" s="416"/>
      <c r="U41" s="420"/>
      <c r="V41" s="199">
        <v>5</v>
      </c>
      <c r="W41" s="199"/>
      <c r="X41" s="199"/>
      <c r="Y41" s="199"/>
      <c r="Z41" s="224" t="str">
        <f t="shared" si="1"/>
        <v xml:space="preserve">  </v>
      </c>
      <c r="AA41" s="176" t="str">
        <f t="shared" si="46"/>
        <v/>
      </c>
      <c r="AB41" s="177"/>
      <c r="AC41" s="177"/>
      <c r="AD41" s="178" t="str">
        <f t="shared" si="41"/>
        <v/>
      </c>
      <c r="AE41" s="177"/>
      <c r="AF41" s="177"/>
      <c r="AG41" s="177"/>
      <c r="AH41" s="179" t="str">
        <f t="shared" si="47"/>
        <v/>
      </c>
      <c r="AI41" s="180" t="str">
        <f t="shared" si="3"/>
        <v/>
      </c>
      <c r="AJ41" s="178" t="str">
        <f t="shared" si="42"/>
        <v/>
      </c>
      <c r="AK41" s="180" t="str">
        <f t="shared" si="5"/>
        <v/>
      </c>
      <c r="AL41" s="178" t="str">
        <f t="shared" si="15"/>
        <v/>
      </c>
      <c r="AM41" s="181" t="str">
        <f t="shared" ref="AM41:AM42" si="48">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82"/>
      <c r="AO41" s="175"/>
      <c r="AP41" s="183"/>
      <c r="AQ41" s="183"/>
      <c r="AR41" s="184"/>
      <c r="AS41" s="414"/>
      <c r="AT41" s="414"/>
      <c r="AU41" s="414"/>
    </row>
    <row r="42" spans="1:47" x14ac:dyDescent="0.2">
      <c r="A42" s="411"/>
      <c r="B42" s="353"/>
      <c r="C42" s="353"/>
      <c r="D42" s="353"/>
      <c r="E42" s="353"/>
      <c r="F42" s="413"/>
      <c r="G42" s="353"/>
      <c r="H42" s="356"/>
      <c r="I42" s="356"/>
      <c r="J42" s="356"/>
      <c r="K42" s="356"/>
      <c r="L42" s="356"/>
      <c r="M42" s="356"/>
      <c r="N42" s="414"/>
      <c r="O42" s="415"/>
      <c r="P42" s="416"/>
      <c r="Q42" s="417"/>
      <c r="R42" s="416"/>
      <c r="S42" s="415"/>
      <c r="T42" s="416"/>
      <c r="U42" s="420"/>
      <c r="V42" s="199">
        <v>6</v>
      </c>
      <c r="W42" s="199"/>
      <c r="X42" s="199"/>
      <c r="Y42" s="199"/>
      <c r="Z42" s="224" t="str">
        <f t="shared" si="1"/>
        <v xml:space="preserve">  </v>
      </c>
      <c r="AA42" s="176" t="str">
        <f t="shared" si="46"/>
        <v/>
      </c>
      <c r="AB42" s="177"/>
      <c r="AC42" s="177"/>
      <c r="AD42" s="178" t="str">
        <f t="shared" si="41"/>
        <v/>
      </c>
      <c r="AE42" s="177"/>
      <c r="AF42" s="177"/>
      <c r="AG42" s="177"/>
      <c r="AH42" s="179" t="str">
        <f t="shared" si="47"/>
        <v/>
      </c>
      <c r="AI42" s="180" t="str">
        <f t="shared" si="3"/>
        <v/>
      </c>
      <c r="AJ42" s="178" t="str">
        <f t="shared" si="42"/>
        <v/>
      </c>
      <c r="AK42" s="180" t="str">
        <f t="shared" si="5"/>
        <v/>
      </c>
      <c r="AL42" s="178" t="str">
        <f t="shared" si="15"/>
        <v/>
      </c>
      <c r="AM42" s="181" t="str">
        <f t="shared" si="48"/>
        <v/>
      </c>
      <c r="AN42" s="182"/>
      <c r="AO42" s="175"/>
      <c r="AP42" s="183"/>
      <c r="AQ42" s="183"/>
      <c r="AR42" s="184"/>
      <c r="AS42" s="414"/>
      <c r="AT42" s="414"/>
      <c r="AU42" s="414"/>
    </row>
    <row r="43" spans="1:47" x14ac:dyDescent="0.2">
      <c r="A43" s="411">
        <v>6</v>
      </c>
      <c r="B43" s="353"/>
      <c r="C43" s="353"/>
      <c r="D43" s="353"/>
      <c r="E43" s="353"/>
      <c r="F43" s="413" t="str">
        <f t="shared" ref="F43" si="49">+CONCATENATE(B43," ",C43," ",D43)</f>
        <v xml:space="preserve">  </v>
      </c>
      <c r="G43" s="353"/>
      <c r="H43" s="354"/>
      <c r="I43" s="354"/>
      <c r="J43" s="354"/>
      <c r="K43" s="354"/>
      <c r="L43" s="354"/>
      <c r="M43" s="354"/>
      <c r="N43" s="414"/>
      <c r="O43" s="415" t="str">
        <f>IF(N43&lt;=0,"",IF(N43&lt;=2,"Muy Baja",IF(N43&lt;=24,"Baja",IF(N43&lt;=500,"Media",IF(N43&lt;=5000,"Alta","Muy Alta")))))</f>
        <v/>
      </c>
      <c r="P43" s="416" t="str">
        <f>IF(O43="","",IF(O43="Muy Baja",0.2,IF(O43="Baja",0.4,IF(O43="Media",0.6,IF(O43="Alta",0.8,IF(O43="Muy Alta",1,))))))</f>
        <v/>
      </c>
      <c r="Q43" s="417"/>
      <c r="R43" s="416">
        <f>IF(NOT(ISERROR(MATCH(Q43,'Tabla Impacto'!$B$245:$B$249,0))),'Tabla Impacto'!$F$224&amp;"Por favor no seleccionar los criterios de impacto(Reputacional, Operativo, Legal, ni Contagio)",Q43)</f>
        <v>0</v>
      </c>
      <c r="S43" s="415" t="str">
        <f>IF(OR(R43='Tabla Impacto'!$C$12,R43='Tabla Impacto'!$D$12),"Leve",IF(OR(R43='Tabla Impacto'!$C$13,R43='Tabla Impacto'!$D$13),"Menor",IF(OR(R43='Tabla Impacto'!$C$14,R43='Tabla Impacto'!$D$14),"Moderado",IF(OR(R43='Tabla Impacto'!$C$15,R43='Tabla Impacto'!$D$15),"Mayor",IF(OR(R43='Tabla Impacto'!$C$16,R43='Tabla Impacto'!$D$16),"Catastrófico","")))))</f>
        <v/>
      </c>
      <c r="T43" s="416" t="str">
        <f>IF(S43="","",IF(S43="Leve",0.2,IF(S43="Menor",0.4,IF(S43="Moderado",0.6,IF(S43="Mayor",0.8,IF(S43="Catastrófico",1,))))))</f>
        <v/>
      </c>
      <c r="U43" s="420"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9">
        <v>1</v>
      </c>
      <c r="W43" s="199"/>
      <c r="X43" s="199"/>
      <c r="Y43" s="199"/>
      <c r="Z43" s="224" t="str">
        <f t="shared" si="1"/>
        <v xml:space="preserve">  </v>
      </c>
      <c r="AA43" s="176" t="str">
        <f>IF(OR(AB43="Preventivo",AB43="Detectivo"),"Probabilidad",IF(AB43="Correctivo","Impacto",""))</f>
        <v/>
      </c>
      <c r="AB43" s="177"/>
      <c r="AC43" s="177"/>
      <c r="AD43" s="178" t="str">
        <f>IF(AND(AB43="Preventivo",AC43="Automático"),"50%",IF(AND(AB43="Preventivo",AC43="Manual"),"40%",IF(AND(AB43="Detectivo",AC43="Automático"),"40%",IF(AND(AB43="Detectivo",AC43="Manual"),"30%",IF(AND(AB43="Correctivo",AC43="Automático"),"35%",IF(AND(AB43="Correctivo",AC43="Manual"),"25%",""))))))</f>
        <v/>
      </c>
      <c r="AE43" s="177"/>
      <c r="AF43" s="177"/>
      <c r="AG43" s="177"/>
      <c r="AH43" s="179" t="str">
        <f>IFERROR(IF(AA43="Probabilidad",(P43-(+P43*AD43)),IF(AA43="Impacto",P43,"")),"")</f>
        <v/>
      </c>
      <c r="AI43" s="180" t="str">
        <f>IFERROR(IF(AH43="","",IF(AH43&lt;=0.2,"Muy Baja",IF(AH43&lt;=0.4,"Baja",IF(AH43&lt;=0.6,"Media",IF(AH43&lt;=0.8,"Alta","Muy Alta"))))),"")</f>
        <v/>
      </c>
      <c r="AJ43" s="178" t="str">
        <f>+AH43</f>
        <v/>
      </c>
      <c r="AK43" s="180" t="str">
        <f>IFERROR(IF(AL43="","",IF(AL43&lt;=0.2,"Leve",IF(AL43&lt;=0.4,"Menor",IF(AL43&lt;=0.6,"Moderado",IF(AL43&lt;=0.8,"Mayor","Catastrófico"))))),"")</f>
        <v/>
      </c>
      <c r="AL43" s="178" t="str">
        <f t="shared" ref="AL43" si="50">IFERROR(IF(AA43="Impacto",(T43-(+T43*AD43)),IF(AA43="Probabilidad",T43,"")),"")</f>
        <v/>
      </c>
      <c r="AM43" s="181"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7"/>
      <c r="AO43" s="175"/>
      <c r="AP43" s="183"/>
      <c r="AQ43" s="183"/>
      <c r="AR43" s="184"/>
      <c r="AS43" s="414"/>
      <c r="AT43" s="414"/>
      <c r="AU43" s="414"/>
    </row>
    <row r="44" spans="1:47" x14ac:dyDescent="0.2">
      <c r="A44" s="411"/>
      <c r="B44" s="353"/>
      <c r="C44" s="353"/>
      <c r="D44" s="353"/>
      <c r="E44" s="353"/>
      <c r="F44" s="413"/>
      <c r="G44" s="353"/>
      <c r="H44" s="355"/>
      <c r="I44" s="355"/>
      <c r="J44" s="355"/>
      <c r="K44" s="355"/>
      <c r="L44" s="355"/>
      <c r="M44" s="355"/>
      <c r="N44" s="414"/>
      <c r="O44" s="415"/>
      <c r="P44" s="416"/>
      <c r="Q44" s="417"/>
      <c r="R44" s="416"/>
      <c r="S44" s="415"/>
      <c r="T44" s="416"/>
      <c r="U44" s="420"/>
      <c r="V44" s="199">
        <v>2</v>
      </c>
      <c r="W44" s="199"/>
      <c r="X44" s="199"/>
      <c r="Y44" s="199"/>
      <c r="Z44" s="224" t="str">
        <f t="shared" si="1"/>
        <v xml:space="preserve">  </v>
      </c>
      <c r="AA44" s="176" t="str">
        <f>IF(OR(AB44="Preventivo",AB44="Detectivo"),"Probabilidad",IF(AB44="Correctivo","Impacto",""))</f>
        <v/>
      </c>
      <c r="AB44" s="177"/>
      <c r="AC44" s="177"/>
      <c r="AD44" s="178" t="str">
        <f t="shared" ref="AD44:AD48" si="51">IF(AND(AB44="Preventivo",AC44="Automático"),"50%",IF(AND(AB44="Preventivo",AC44="Manual"),"40%",IF(AND(AB44="Detectivo",AC44="Automático"),"40%",IF(AND(AB44="Detectivo",AC44="Manual"),"30%",IF(AND(AB44="Correctivo",AC44="Automático"),"35%",IF(AND(AB44="Correctivo",AC44="Manual"),"25%",""))))))</f>
        <v/>
      </c>
      <c r="AE44" s="177"/>
      <c r="AF44" s="177"/>
      <c r="AG44" s="177"/>
      <c r="AH44" s="179" t="str">
        <f>IFERROR(IF(AND(AA43="Probabilidad",AA44="Probabilidad"),(AJ43-(+AJ43*AD44)),IF(AA44="Probabilidad",(P43-(+P43*AD44)),IF(AA44="Impacto",AJ43,""))),"")</f>
        <v/>
      </c>
      <c r="AI44" s="180" t="str">
        <f t="shared" si="3"/>
        <v/>
      </c>
      <c r="AJ44" s="178" t="str">
        <f t="shared" ref="AJ44:AJ48" si="52">+AH44</f>
        <v/>
      </c>
      <c r="AK44" s="180" t="str">
        <f t="shared" si="5"/>
        <v/>
      </c>
      <c r="AL44" s="178" t="str">
        <f t="shared" ref="AL44" si="53">IFERROR(IF(AND(AA43="Impacto",AA44="Impacto"),(AL43-(+AL43*AD44)),IF(AA44="Impacto",($T$13-(+$T$13*AD44)),IF(AA44="Probabilidad",AL43,""))),"")</f>
        <v/>
      </c>
      <c r="AM44" s="181" t="str">
        <f t="shared" ref="AM44:AM45" si="54">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82"/>
      <c r="AO44" s="175"/>
      <c r="AP44" s="183"/>
      <c r="AQ44" s="183"/>
      <c r="AR44" s="184"/>
      <c r="AS44" s="414"/>
      <c r="AT44" s="414"/>
      <c r="AU44" s="414"/>
    </row>
    <row r="45" spans="1:47" x14ac:dyDescent="0.2">
      <c r="A45" s="411"/>
      <c r="B45" s="353"/>
      <c r="C45" s="353"/>
      <c r="D45" s="353"/>
      <c r="E45" s="353"/>
      <c r="F45" s="413"/>
      <c r="G45" s="353"/>
      <c r="H45" s="355"/>
      <c r="I45" s="355"/>
      <c r="J45" s="355"/>
      <c r="K45" s="355"/>
      <c r="L45" s="355"/>
      <c r="M45" s="355"/>
      <c r="N45" s="414"/>
      <c r="O45" s="415"/>
      <c r="P45" s="416"/>
      <c r="Q45" s="417"/>
      <c r="R45" s="416"/>
      <c r="S45" s="415"/>
      <c r="T45" s="416"/>
      <c r="U45" s="420"/>
      <c r="V45" s="199">
        <v>3</v>
      </c>
      <c r="W45" s="199"/>
      <c r="X45" s="199"/>
      <c r="Y45" s="199"/>
      <c r="Z45" s="224" t="str">
        <f t="shared" si="1"/>
        <v xml:space="preserve">  </v>
      </c>
      <c r="AA45" s="176" t="str">
        <f>IF(OR(AB45="Preventivo",AB45="Detectivo"),"Probabilidad",IF(AB45="Correctivo","Impacto",""))</f>
        <v/>
      </c>
      <c r="AB45" s="177"/>
      <c r="AC45" s="177"/>
      <c r="AD45" s="178" t="str">
        <f t="shared" si="51"/>
        <v/>
      </c>
      <c r="AE45" s="177"/>
      <c r="AF45" s="177"/>
      <c r="AG45" s="177"/>
      <c r="AH45" s="179" t="str">
        <f>IFERROR(IF(AND(AA44="Probabilidad",AA45="Probabilidad"),(AJ44-(+AJ44*AD45)),IF(AND(AA44="Impacto",AA45="Probabilidad"),(AJ43-(+AJ43*AD45)),IF(AA45="Impacto",AJ44,""))),"")</f>
        <v/>
      </c>
      <c r="AI45" s="180" t="str">
        <f t="shared" si="3"/>
        <v/>
      </c>
      <c r="AJ45" s="178" t="str">
        <f t="shared" si="52"/>
        <v/>
      </c>
      <c r="AK45" s="180" t="str">
        <f t="shared" si="5"/>
        <v/>
      </c>
      <c r="AL45" s="178" t="str">
        <f t="shared" ref="AL45" si="55">IFERROR(IF(AND(AA44="Impacto",AA45="Impacto"),(AL44-(+AL44*AD45)),IF(AND(AA44="Probabilidad",AA45="Impacto"),(AL43-(+AL43*AD45)),IF(AA45="Probabilidad",AL44,""))),"")</f>
        <v/>
      </c>
      <c r="AM45" s="181" t="str">
        <f t="shared" si="54"/>
        <v/>
      </c>
      <c r="AN45" s="182"/>
      <c r="AO45" s="175"/>
      <c r="AP45" s="183"/>
      <c r="AQ45" s="183"/>
      <c r="AR45" s="184"/>
      <c r="AS45" s="414"/>
      <c r="AT45" s="414"/>
      <c r="AU45" s="414"/>
    </row>
    <row r="46" spans="1:47" x14ac:dyDescent="0.2">
      <c r="A46" s="411"/>
      <c r="B46" s="353"/>
      <c r="C46" s="353"/>
      <c r="D46" s="353"/>
      <c r="E46" s="353"/>
      <c r="F46" s="413"/>
      <c r="G46" s="353"/>
      <c r="H46" s="355"/>
      <c r="I46" s="355"/>
      <c r="J46" s="355"/>
      <c r="K46" s="355"/>
      <c r="L46" s="355"/>
      <c r="M46" s="355"/>
      <c r="N46" s="414"/>
      <c r="O46" s="415"/>
      <c r="P46" s="416"/>
      <c r="Q46" s="417"/>
      <c r="R46" s="416"/>
      <c r="S46" s="415"/>
      <c r="T46" s="416"/>
      <c r="U46" s="420"/>
      <c r="V46" s="199">
        <v>4</v>
      </c>
      <c r="W46" s="199"/>
      <c r="X46" s="199"/>
      <c r="Y46" s="199"/>
      <c r="Z46" s="224" t="str">
        <f t="shared" si="1"/>
        <v xml:space="preserve">  </v>
      </c>
      <c r="AA46" s="176" t="str">
        <f t="shared" ref="AA46:AA48" si="56">IF(OR(AB46="Preventivo",AB46="Detectivo"),"Probabilidad",IF(AB46="Correctivo","Impacto",""))</f>
        <v/>
      </c>
      <c r="AB46" s="177"/>
      <c r="AC46" s="177"/>
      <c r="AD46" s="178" t="str">
        <f t="shared" si="51"/>
        <v/>
      </c>
      <c r="AE46" s="177"/>
      <c r="AF46" s="177"/>
      <c r="AG46" s="177"/>
      <c r="AH46" s="179" t="str">
        <f t="shared" ref="AH46:AH48" si="57">IFERROR(IF(AND(AA45="Probabilidad",AA46="Probabilidad"),(AJ45-(+AJ45*AD46)),IF(AND(AA45="Impacto",AA46="Probabilidad"),(AJ44-(+AJ44*AD46)),IF(AA46="Impacto",AJ45,""))),"")</f>
        <v/>
      </c>
      <c r="AI46" s="180" t="str">
        <f t="shared" si="3"/>
        <v/>
      </c>
      <c r="AJ46" s="178" t="str">
        <f t="shared" si="52"/>
        <v/>
      </c>
      <c r="AK46" s="180" t="str">
        <f t="shared" si="5"/>
        <v/>
      </c>
      <c r="AL46" s="178" t="str">
        <f t="shared" si="15"/>
        <v/>
      </c>
      <c r="AM46" s="181"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82"/>
      <c r="AO46" s="175"/>
      <c r="AP46" s="183"/>
      <c r="AQ46" s="183"/>
      <c r="AR46" s="184"/>
      <c r="AS46" s="414"/>
      <c r="AT46" s="414"/>
      <c r="AU46" s="414"/>
    </row>
    <row r="47" spans="1:47" x14ac:dyDescent="0.2">
      <c r="A47" s="411"/>
      <c r="B47" s="353"/>
      <c r="C47" s="353"/>
      <c r="D47" s="353"/>
      <c r="E47" s="353"/>
      <c r="F47" s="413"/>
      <c r="G47" s="353"/>
      <c r="H47" s="355"/>
      <c r="I47" s="355"/>
      <c r="J47" s="355"/>
      <c r="K47" s="355"/>
      <c r="L47" s="355"/>
      <c r="M47" s="355"/>
      <c r="N47" s="414"/>
      <c r="O47" s="415"/>
      <c r="P47" s="416"/>
      <c r="Q47" s="417"/>
      <c r="R47" s="416"/>
      <c r="S47" s="415"/>
      <c r="T47" s="416"/>
      <c r="U47" s="420"/>
      <c r="V47" s="199">
        <v>5</v>
      </c>
      <c r="W47" s="199"/>
      <c r="X47" s="199"/>
      <c r="Y47" s="199"/>
      <c r="Z47" s="224" t="str">
        <f t="shared" si="1"/>
        <v xml:space="preserve">  </v>
      </c>
      <c r="AA47" s="176" t="str">
        <f t="shared" si="56"/>
        <v/>
      </c>
      <c r="AB47" s="177"/>
      <c r="AC47" s="177"/>
      <c r="AD47" s="178" t="str">
        <f t="shared" si="51"/>
        <v/>
      </c>
      <c r="AE47" s="177"/>
      <c r="AF47" s="177"/>
      <c r="AG47" s="177"/>
      <c r="AH47" s="179" t="str">
        <f t="shared" si="57"/>
        <v/>
      </c>
      <c r="AI47" s="180" t="str">
        <f t="shared" si="3"/>
        <v/>
      </c>
      <c r="AJ47" s="178" t="str">
        <f t="shared" si="52"/>
        <v/>
      </c>
      <c r="AK47" s="180" t="str">
        <f t="shared" si="5"/>
        <v/>
      </c>
      <c r="AL47" s="178" t="str">
        <f t="shared" si="15"/>
        <v/>
      </c>
      <c r="AM47" s="181" t="str">
        <f t="shared" ref="AM47" si="58">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82"/>
      <c r="AO47" s="175"/>
      <c r="AP47" s="183"/>
      <c r="AQ47" s="183"/>
      <c r="AR47" s="184"/>
      <c r="AS47" s="414"/>
      <c r="AT47" s="414"/>
      <c r="AU47" s="414"/>
    </row>
    <row r="48" spans="1:47" x14ac:dyDescent="0.2">
      <c r="A48" s="411"/>
      <c r="B48" s="353"/>
      <c r="C48" s="353"/>
      <c r="D48" s="353"/>
      <c r="E48" s="353"/>
      <c r="F48" s="413"/>
      <c r="G48" s="353"/>
      <c r="H48" s="356"/>
      <c r="I48" s="356"/>
      <c r="J48" s="356"/>
      <c r="K48" s="356"/>
      <c r="L48" s="356"/>
      <c r="M48" s="356"/>
      <c r="N48" s="414"/>
      <c r="O48" s="415"/>
      <c r="P48" s="416"/>
      <c r="Q48" s="417"/>
      <c r="R48" s="416"/>
      <c r="S48" s="415"/>
      <c r="T48" s="416"/>
      <c r="U48" s="420"/>
      <c r="V48" s="199">
        <v>6</v>
      </c>
      <c r="W48" s="199"/>
      <c r="X48" s="199"/>
      <c r="Y48" s="199"/>
      <c r="Z48" s="224" t="str">
        <f t="shared" si="1"/>
        <v xml:space="preserve">  </v>
      </c>
      <c r="AA48" s="176" t="str">
        <f t="shared" si="56"/>
        <v/>
      </c>
      <c r="AB48" s="177"/>
      <c r="AC48" s="177"/>
      <c r="AD48" s="178" t="str">
        <f t="shared" si="51"/>
        <v/>
      </c>
      <c r="AE48" s="177"/>
      <c r="AF48" s="177"/>
      <c r="AG48" s="177"/>
      <c r="AH48" s="179" t="str">
        <f t="shared" si="57"/>
        <v/>
      </c>
      <c r="AI48" s="180" t="str">
        <f t="shared" si="3"/>
        <v/>
      </c>
      <c r="AJ48" s="178" t="str">
        <f t="shared" si="52"/>
        <v/>
      </c>
      <c r="AK48" s="180" t="str">
        <f>IFERROR(IF(AL48="","",IF(AL48&lt;=0.2,"Leve",IF(AL48&lt;=0.4,"Menor",IF(AL48&lt;=0.6,"Moderado",IF(AL48&lt;=0.8,"Mayor","Catastrófico"))))),"")</f>
        <v/>
      </c>
      <c r="AL48" s="178" t="str">
        <f t="shared" si="15"/>
        <v/>
      </c>
      <c r="AM48" s="181"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82"/>
      <c r="AO48" s="175"/>
      <c r="AP48" s="183"/>
      <c r="AQ48" s="183"/>
      <c r="AR48" s="184"/>
      <c r="AS48" s="414"/>
      <c r="AT48" s="414"/>
      <c r="AU48" s="414"/>
    </row>
    <row r="49" spans="1:47" x14ac:dyDescent="0.2">
      <c r="A49" s="411">
        <v>7</v>
      </c>
      <c r="B49" s="353"/>
      <c r="C49" s="353"/>
      <c r="D49" s="412"/>
      <c r="E49" s="412"/>
      <c r="F49" s="413" t="str">
        <f t="shared" ref="F49" si="59">+CONCATENATE(B49," ",C49," ",D49)</f>
        <v xml:space="preserve">  </v>
      </c>
      <c r="G49" s="353"/>
      <c r="H49" s="354"/>
      <c r="I49" s="354"/>
      <c r="J49" s="354"/>
      <c r="K49" s="354"/>
      <c r="L49" s="354"/>
      <c r="M49" s="354"/>
      <c r="N49" s="414"/>
      <c r="O49" s="415" t="str">
        <f>IF(N49&lt;=0,"",IF(N49&lt;=2,"Muy Baja",IF(N49&lt;=24,"Baja",IF(N49&lt;=500,"Media",IF(N49&lt;=5000,"Alta","Muy Alta")))))</f>
        <v/>
      </c>
      <c r="P49" s="416" t="str">
        <f>IF(O49="","",IF(O49="Muy Baja",0.2,IF(O49="Baja",0.4,IF(O49="Media",0.6,IF(O49="Alta",0.8,IF(O49="Muy Alta",1,))))))</f>
        <v/>
      </c>
      <c r="Q49" s="417"/>
      <c r="R49" s="416">
        <f>IF(NOT(ISERROR(MATCH(Q49,'Tabla Impacto'!$B$245:$B$249,0))),'Tabla Impacto'!$F$224&amp;"Por favor no seleccionar los criterios de impacto(Reputacional, Operativo, Legal, ni Contagio)",Q49)</f>
        <v>0</v>
      </c>
      <c r="S49" s="415" t="str">
        <f>IF(OR(R49='Tabla Impacto'!$C$12,R49='Tabla Impacto'!$D$12),"Leve",IF(OR(R49='Tabla Impacto'!$C$13,R49='Tabla Impacto'!$D$13),"Menor",IF(OR(R49='Tabla Impacto'!$C$14,R49='Tabla Impacto'!$D$14),"Moderado",IF(OR(R49='Tabla Impacto'!$C$15,R49='Tabla Impacto'!$D$15),"Mayor",IF(OR(R49='Tabla Impacto'!$C$16,R49='Tabla Impacto'!$D$16),"Catastrófico","")))))</f>
        <v/>
      </c>
      <c r="T49" s="416" t="str">
        <f>IF(S49="","",IF(S49="Leve",0.2,IF(S49="Menor",0.4,IF(S49="Moderado",0.6,IF(S49="Mayor",0.8,IF(S49="Catastrófico",1,))))))</f>
        <v/>
      </c>
      <c r="U49" s="420"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9">
        <v>1</v>
      </c>
      <c r="W49" s="199"/>
      <c r="X49" s="199"/>
      <c r="Y49" s="199"/>
      <c r="Z49" s="224" t="str">
        <f t="shared" si="1"/>
        <v xml:space="preserve">  </v>
      </c>
      <c r="AA49" s="176" t="str">
        <f>IF(OR(AB49="Preventivo",AB49="Detectivo"),"Probabilidad",IF(AB49="Correctivo","Impacto",""))</f>
        <v/>
      </c>
      <c r="AB49" s="177"/>
      <c r="AC49" s="177"/>
      <c r="AD49" s="178" t="str">
        <f>IF(AND(AB49="Preventivo",AC49="Automático"),"50%",IF(AND(AB49="Preventivo",AC49="Manual"),"40%",IF(AND(AB49="Detectivo",AC49="Automático"),"40%",IF(AND(AB49="Detectivo",AC49="Manual"),"30%",IF(AND(AB49="Correctivo",AC49="Automático"),"35%",IF(AND(AB49="Correctivo",AC49="Manual"),"25%",""))))))</f>
        <v/>
      </c>
      <c r="AE49" s="177"/>
      <c r="AF49" s="177"/>
      <c r="AG49" s="177"/>
      <c r="AH49" s="179" t="str">
        <f>IFERROR(IF(AA49="Probabilidad",(P49-(+P49*AD49)),IF(AA49="Impacto",P49,"")),"")</f>
        <v/>
      </c>
      <c r="AI49" s="180" t="str">
        <f>IFERROR(IF(AH49="","",IF(AH49&lt;=0.2,"Muy Baja",IF(AH49&lt;=0.4,"Baja",IF(AH49&lt;=0.6,"Media",IF(AH49&lt;=0.8,"Alta","Muy Alta"))))),"")</f>
        <v/>
      </c>
      <c r="AJ49" s="178" t="str">
        <f>+AH49</f>
        <v/>
      </c>
      <c r="AK49" s="180" t="str">
        <f>IFERROR(IF(AL49="","",IF(AL49&lt;=0.2,"Leve",IF(AL49&lt;=0.4,"Menor",IF(AL49&lt;=0.6,"Moderado",IF(AL49&lt;=0.8,"Mayor","Catastrófico"))))),"")</f>
        <v/>
      </c>
      <c r="AL49" s="178" t="str">
        <f t="shared" ref="AL49" si="60">IFERROR(IF(AA49="Impacto",(T49-(+T49*AD49)),IF(AA49="Probabilidad",T49,"")),"")</f>
        <v/>
      </c>
      <c r="AM49" s="181"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82"/>
      <c r="AO49" s="175"/>
      <c r="AP49" s="183"/>
      <c r="AQ49" s="183"/>
      <c r="AR49" s="184"/>
      <c r="AS49" s="414"/>
      <c r="AT49" s="414"/>
      <c r="AU49" s="414"/>
    </row>
    <row r="50" spans="1:47" x14ac:dyDescent="0.2">
      <c r="A50" s="411"/>
      <c r="B50" s="353"/>
      <c r="C50" s="353"/>
      <c r="D50" s="412"/>
      <c r="E50" s="412"/>
      <c r="F50" s="413"/>
      <c r="G50" s="353"/>
      <c r="H50" s="355"/>
      <c r="I50" s="355"/>
      <c r="J50" s="355"/>
      <c r="K50" s="355"/>
      <c r="L50" s="355"/>
      <c r="M50" s="355"/>
      <c r="N50" s="414"/>
      <c r="O50" s="415"/>
      <c r="P50" s="416"/>
      <c r="Q50" s="417"/>
      <c r="R50" s="416"/>
      <c r="S50" s="415"/>
      <c r="T50" s="416"/>
      <c r="U50" s="420"/>
      <c r="V50" s="199">
        <v>2</v>
      </c>
      <c r="W50" s="199"/>
      <c r="X50" s="199"/>
      <c r="Y50" s="199"/>
      <c r="Z50" s="224" t="str">
        <f t="shared" si="1"/>
        <v xml:space="preserve">  </v>
      </c>
      <c r="AA50" s="176" t="str">
        <f>IF(OR(AB50="Preventivo",AB50="Detectivo"),"Probabilidad",IF(AB50="Correctivo","Impacto",""))</f>
        <v/>
      </c>
      <c r="AB50" s="177"/>
      <c r="AC50" s="177"/>
      <c r="AD50" s="178" t="str">
        <f t="shared" ref="AD50:AD54" si="61">IF(AND(AB50="Preventivo",AC50="Automático"),"50%",IF(AND(AB50="Preventivo",AC50="Manual"),"40%",IF(AND(AB50="Detectivo",AC50="Automático"),"40%",IF(AND(AB50="Detectivo",AC50="Manual"),"30%",IF(AND(AB50="Correctivo",AC50="Automático"),"35%",IF(AND(AB50="Correctivo",AC50="Manual"),"25%",""))))))</f>
        <v/>
      </c>
      <c r="AE50" s="177"/>
      <c r="AF50" s="177"/>
      <c r="AG50" s="177"/>
      <c r="AH50" s="179" t="str">
        <f>IFERROR(IF(AND(AA49="Probabilidad",AA50="Probabilidad"),(AJ49-(+AJ49*AD50)),IF(AA50="Probabilidad",(P49-(+P49*AD50)),IF(AA50="Impacto",AJ49,""))),"")</f>
        <v/>
      </c>
      <c r="AI50" s="180" t="str">
        <f t="shared" si="3"/>
        <v/>
      </c>
      <c r="AJ50" s="178" t="str">
        <f t="shared" ref="AJ50:AJ54" si="62">+AH50</f>
        <v/>
      </c>
      <c r="AK50" s="180" t="str">
        <f t="shared" si="5"/>
        <v/>
      </c>
      <c r="AL50" s="178" t="str">
        <f t="shared" ref="AL50" si="63">IFERROR(IF(AND(AA49="Impacto",AA50="Impacto"),(AL49-(+AL49*AD50)),IF(AA50="Impacto",($T$13-(+$T$13*AD50)),IF(AA50="Probabilidad",AL49,""))),"")</f>
        <v/>
      </c>
      <c r="AM50" s="181" t="str">
        <f t="shared" ref="AM50:AM51" si="64">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82"/>
      <c r="AO50" s="175"/>
      <c r="AP50" s="183"/>
      <c r="AQ50" s="183"/>
      <c r="AR50" s="184"/>
      <c r="AS50" s="414"/>
      <c r="AT50" s="414"/>
      <c r="AU50" s="414"/>
    </row>
    <row r="51" spans="1:47" x14ac:dyDescent="0.2">
      <c r="A51" s="411"/>
      <c r="B51" s="353"/>
      <c r="C51" s="353"/>
      <c r="D51" s="412"/>
      <c r="E51" s="412"/>
      <c r="F51" s="413"/>
      <c r="G51" s="353"/>
      <c r="H51" s="355"/>
      <c r="I51" s="355"/>
      <c r="J51" s="355"/>
      <c r="K51" s="355"/>
      <c r="L51" s="355"/>
      <c r="M51" s="355"/>
      <c r="N51" s="414"/>
      <c r="O51" s="415"/>
      <c r="P51" s="416"/>
      <c r="Q51" s="417"/>
      <c r="R51" s="416"/>
      <c r="S51" s="415"/>
      <c r="T51" s="416"/>
      <c r="U51" s="420"/>
      <c r="V51" s="199">
        <v>3</v>
      </c>
      <c r="W51" s="199"/>
      <c r="X51" s="199"/>
      <c r="Y51" s="199"/>
      <c r="Z51" s="224" t="str">
        <f t="shared" si="1"/>
        <v xml:space="preserve">  </v>
      </c>
      <c r="AA51" s="176" t="str">
        <f>IF(OR(AB51="Preventivo",AB51="Detectivo"),"Probabilidad",IF(AB51="Correctivo","Impacto",""))</f>
        <v/>
      </c>
      <c r="AB51" s="177"/>
      <c r="AC51" s="177"/>
      <c r="AD51" s="178" t="str">
        <f t="shared" si="61"/>
        <v/>
      </c>
      <c r="AE51" s="177"/>
      <c r="AF51" s="177"/>
      <c r="AG51" s="177"/>
      <c r="AH51" s="179" t="str">
        <f>IFERROR(IF(AND(AA50="Probabilidad",AA51="Probabilidad"),(AJ50-(+AJ50*AD51)),IF(AND(AA50="Impacto",AA51="Probabilidad"),(AJ49-(+AJ49*AD51)),IF(AA51="Impacto",AJ50,""))),"")</f>
        <v/>
      </c>
      <c r="AI51" s="180" t="str">
        <f t="shared" si="3"/>
        <v/>
      </c>
      <c r="AJ51" s="178" t="str">
        <f t="shared" si="62"/>
        <v/>
      </c>
      <c r="AK51" s="180" t="str">
        <f t="shared" si="5"/>
        <v/>
      </c>
      <c r="AL51" s="178" t="str">
        <f t="shared" ref="AL51" si="65">IFERROR(IF(AND(AA50="Impacto",AA51="Impacto"),(AL50-(+AL50*AD51)),IF(AND(AA50="Probabilidad",AA51="Impacto"),(AL49-(+AL49*AD51)),IF(AA51="Probabilidad",AL50,""))),"")</f>
        <v/>
      </c>
      <c r="AM51" s="181" t="str">
        <f t="shared" si="64"/>
        <v/>
      </c>
      <c r="AN51" s="182"/>
      <c r="AO51" s="175"/>
      <c r="AP51" s="183"/>
      <c r="AQ51" s="183"/>
      <c r="AR51" s="184"/>
      <c r="AS51" s="414"/>
      <c r="AT51" s="414"/>
      <c r="AU51" s="414"/>
    </row>
    <row r="52" spans="1:47" x14ac:dyDescent="0.2">
      <c r="A52" s="411"/>
      <c r="B52" s="353"/>
      <c r="C52" s="353"/>
      <c r="D52" s="412"/>
      <c r="E52" s="412"/>
      <c r="F52" s="413"/>
      <c r="G52" s="353"/>
      <c r="H52" s="355"/>
      <c r="I52" s="355"/>
      <c r="J52" s="355"/>
      <c r="K52" s="355"/>
      <c r="L52" s="355"/>
      <c r="M52" s="355"/>
      <c r="N52" s="414"/>
      <c r="O52" s="415"/>
      <c r="P52" s="416"/>
      <c r="Q52" s="417"/>
      <c r="R52" s="416"/>
      <c r="S52" s="415"/>
      <c r="T52" s="416"/>
      <c r="U52" s="420"/>
      <c r="V52" s="199">
        <v>4</v>
      </c>
      <c r="W52" s="199"/>
      <c r="X52" s="199"/>
      <c r="Y52" s="199"/>
      <c r="Z52" s="224" t="str">
        <f t="shared" si="1"/>
        <v xml:space="preserve">  </v>
      </c>
      <c r="AA52" s="176" t="str">
        <f t="shared" ref="AA52:AA54" si="66">IF(OR(AB52="Preventivo",AB52="Detectivo"),"Probabilidad",IF(AB52="Correctivo","Impacto",""))</f>
        <v/>
      </c>
      <c r="AB52" s="177"/>
      <c r="AC52" s="177"/>
      <c r="AD52" s="178" t="str">
        <f t="shared" si="61"/>
        <v/>
      </c>
      <c r="AE52" s="177"/>
      <c r="AF52" s="177"/>
      <c r="AG52" s="177"/>
      <c r="AH52" s="179" t="str">
        <f t="shared" ref="AH52:AH54" si="67">IFERROR(IF(AND(AA51="Probabilidad",AA52="Probabilidad"),(AJ51-(+AJ51*AD52)),IF(AND(AA51="Impacto",AA52="Probabilidad"),(AJ50-(+AJ50*AD52)),IF(AA52="Impacto",AJ51,""))),"")</f>
        <v/>
      </c>
      <c r="AI52" s="180" t="str">
        <f t="shared" si="3"/>
        <v/>
      </c>
      <c r="AJ52" s="178" t="str">
        <f t="shared" si="62"/>
        <v/>
      </c>
      <c r="AK52" s="180" t="str">
        <f t="shared" si="5"/>
        <v/>
      </c>
      <c r="AL52" s="178" t="str">
        <f t="shared" si="15"/>
        <v/>
      </c>
      <c r="AM52" s="181"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82"/>
      <c r="AO52" s="175"/>
      <c r="AP52" s="183"/>
      <c r="AQ52" s="183"/>
      <c r="AR52" s="184"/>
      <c r="AS52" s="414"/>
      <c r="AT52" s="414"/>
      <c r="AU52" s="414"/>
    </row>
    <row r="53" spans="1:47" x14ac:dyDescent="0.2">
      <c r="A53" s="411"/>
      <c r="B53" s="353"/>
      <c r="C53" s="353"/>
      <c r="D53" s="412"/>
      <c r="E53" s="412"/>
      <c r="F53" s="413"/>
      <c r="G53" s="353"/>
      <c r="H53" s="355"/>
      <c r="I53" s="355"/>
      <c r="J53" s="355"/>
      <c r="K53" s="355"/>
      <c r="L53" s="355"/>
      <c r="M53" s="355"/>
      <c r="N53" s="414"/>
      <c r="O53" s="415"/>
      <c r="P53" s="416"/>
      <c r="Q53" s="417"/>
      <c r="R53" s="416"/>
      <c r="S53" s="415"/>
      <c r="T53" s="416"/>
      <c r="U53" s="420"/>
      <c r="V53" s="199">
        <v>5</v>
      </c>
      <c r="W53" s="199"/>
      <c r="X53" s="199"/>
      <c r="Y53" s="199"/>
      <c r="Z53" s="224" t="str">
        <f t="shared" si="1"/>
        <v xml:space="preserve">  </v>
      </c>
      <c r="AA53" s="176" t="str">
        <f t="shared" si="66"/>
        <v/>
      </c>
      <c r="AB53" s="177"/>
      <c r="AC53" s="177"/>
      <c r="AD53" s="178" t="str">
        <f t="shared" si="61"/>
        <v/>
      </c>
      <c r="AE53" s="177"/>
      <c r="AF53" s="177"/>
      <c r="AG53" s="177"/>
      <c r="AH53" s="179" t="str">
        <f t="shared" si="67"/>
        <v/>
      </c>
      <c r="AI53" s="180" t="str">
        <f t="shared" si="3"/>
        <v/>
      </c>
      <c r="AJ53" s="178" t="str">
        <f t="shared" si="62"/>
        <v/>
      </c>
      <c r="AK53" s="180" t="str">
        <f t="shared" si="5"/>
        <v/>
      </c>
      <c r="AL53" s="178" t="str">
        <f t="shared" si="15"/>
        <v/>
      </c>
      <c r="AM53" s="181" t="str">
        <f t="shared" ref="AM53:AM54" si="68">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82"/>
      <c r="AO53" s="175"/>
      <c r="AP53" s="183"/>
      <c r="AQ53" s="183"/>
      <c r="AR53" s="184"/>
      <c r="AS53" s="414"/>
      <c r="AT53" s="414"/>
      <c r="AU53" s="414"/>
    </row>
    <row r="54" spans="1:47" x14ac:dyDescent="0.2">
      <c r="A54" s="411"/>
      <c r="B54" s="353"/>
      <c r="C54" s="353"/>
      <c r="D54" s="412"/>
      <c r="E54" s="412"/>
      <c r="F54" s="413"/>
      <c r="G54" s="353"/>
      <c r="H54" s="356"/>
      <c r="I54" s="356"/>
      <c r="J54" s="356"/>
      <c r="K54" s="356"/>
      <c r="L54" s="356"/>
      <c r="M54" s="356"/>
      <c r="N54" s="414"/>
      <c r="O54" s="415"/>
      <c r="P54" s="416"/>
      <c r="Q54" s="417"/>
      <c r="R54" s="416"/>
      <c r="S54" s="415"/>
      <c r="T54" s="416"/>
      <c r="U54" s="420"/>
      <c r="V54" s="199">
        <v>6</v>
      </c>
      <c r="W54" s="199"/>
      <c r="X54" s="199"/>
      <c r="Y54" s="199"/>
      <c r="Z54" s="224" t="str">
        <f t="shared" si="1"/>
        <v xml:space="preserve">  </v>
      </c>
      <c r="AA54" s="176" t="str">
        <f t="shared" si="66"/>
        <v/>
      </c>
      <c r="AB54" s="177"/>
      <c r="AC54" s="177"/>
      <c r="AD54" s="178" t="str">
        <f t="shared" si="61"/>
        <v/>
      </c>
      <c r="AE54" s="177"/>
      <c r="AF54" s="177"/>
      <c r="AG54" s="177"/>
      <c r="AH54" s="179" t="str">
        <f t="shared" si="67"/>
        <v/>
      </c>
      <c r="AI54" s="180" t="str">
        <f t="shared" si="3"/>
        <v/>
      </c>
      <c r="AJ54" s="178" t="str">
        <f t="shared" si="62"/>
        <v/>
      </c>
      <c r="AK54" s="180" t="str">
        <f t="shared" si="5"/>
        <v/>
      </c>
      <c r="AL54" s="178" t="str">
        <f t="shared" si="15"/>
        <v/>
      </c>
      <c r="AM54" s="181" t="str">
        <f t="shared" si="68"/>
        <v/>
      </c>
      <c r="AN54" s="182"/>
      <c r="AO54" s="175"/>
      <c r="AP54" s="183"/>
      <c r="AQ54" s="183"/>
      <c r="AR54" s="184"/>
      <c r="AS54" s="414"/>
      <c r="AT54" s="414"/>
      <c r="AU54" s="414"/>
    </row>
    <row r="55" spans="1:47" x14ac:dyDescent="0.2">
      <c r="A55" s="411">
        <v>8</v>
      </c>
      <c r="B55" s="353"/>
      <c r="C55" s="353"/>
      <c r="D55" s="353"/>
      <c r="E55" s="353"/>
      <c r="F55" s="413" t="str">
        <f t="shared" ref="F55" si="69">+CONCATENATE(B55," ",C55," ",D55)</f>
        <v xml:space="preserve">  </v>
      </c>
      <c r="G55" s="353"/>
      <c r="H55" s="354"/>
      <c r="I55" s="354"/>
      <c r="J55" s="354"/>
      <c r="K55" s="354"/>
      <c r="L55" s="354"/>
      <c r="M55" s="354"/>
      <c r="N55" s="414"/>
      <c r="O55" s="415" t="str">
        <f>IF(N55&lt;=0,"",IF(N55&lt;=2,"Muy Baja",IF(N55&lt;=24,"Baja",IF(N55&lt;=500,"Media",IF(N55&lt;=5000,"Alta","Muy Alta")))))</f>
        <v/>
      </c>
      <c r="P55" s="416" t="str">
        <f>IF(O55="","",IF(O55="Muy Baja",0.2,IF(O55="Baja",0.4,IF(O55="Media",0.6,IF(O55="Alta",0.8,IF(O55="Muy Alta",1,))))))</f>
        <v/>
      </c>
      <c r="Q55" s="417"/>
      <c r="R55" s="416">
        <f>IF(NOT(ISERROR(MATCH(Q55,'Tabla Impacto'!$B$245:$B$249,0))),'Tabla Impacto'!$F$224&amp;"Por favor no seleccionar los criterios de impacto(Reputacional, Operativo, Legal, ni Contagio)",Q55)</f>
        <v>0</v>
      </c>
      <c r="S55" s="415" t="str">
        <f>IF(OR(R55='Tabla Impacto'!$C$12,R55='Tabla Impacto'!$D$12),"Leve",IF(OR(R55='Tabla Impacto'!$C$13,R55='Tabla Impacto'!$D$13),"Menor",IF(OR(R55='Tabla Impacto'!$C$14,R55='Tabla Impacto'!$D$14),"Moderado",IF(OR(R55='Tabla Impacto'!$C$15,R55='Tabla Impacto'!$D$15),"Mayor",IF(OR(R55='Tabla Impacto'!$C$16,R55='Tabla Impacto'!$D$16),"Catastrófico","")))))</f>
        <v/>
      </c>
      <c r="T55" s="416" t="str">
        <f>IF(S55="","",IF(S55="Leve",0.2,IF(S55="Menor",0.4,IF(S55="Moderado",0.6,IF(S55="Mayor",0.8,IF(S55="Catastrófico",1,))))))</f>
        <v/>
      </c>
      <c r="U55" s="420"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9">
        <v>1</v>
      </c>
      <c r="W55" s="199"/>
      <c r="X55" s="199"/>
      <c r="Y55" s="199"/>
      <c r="Z55" s="224" t="str">
        <f t="shared" si="1"/>
        <v xml:space="preserve">  </v>
      </c>
      <c r="AA55" s="176" t="str">
        <f>IF(OR(AB55="Preventivo",AB55="Detectivo"),"Probabilidad",IF(AB55="Correctivo","Impacto",""))</f>
        <v/>
      </c>
      <c r="AB55" s="177"/>
      <c r="AC55" s="177"/>
      <c r="AD55" s="178" t="str">
        <f>IF(AND(AB55="Preventivo",AC55="Automático"),"50%",IF(AND(AB55="Preventivo",AC55="Manual"),"40%",IF(AND(AB55="Detectivo",AC55="Automático"),"40%",IF(AND(AB55="Detectivo",AC55="Manual"),"30%",IF(AND(AB55="Correctivo",AC55="Automático"),"35%",IF(AND(AB55="Correctivo",AC55="Manual"),"25%",""))))))</f>
        <v/>
      </c>
      <c r="AE55" s="177"/>
      <c r="AF55" s="177"/>
      <c r="AG55" s="177"/>
      <c r="AH55" s="179" t="str">
        <f>IFERROR(IF(AA55="Probabilidad",(P55-(+P55*AD55)),IF(AA55="Impacto",P55,"")),"")</f>
        <v/>
      </c>
      <c r="AI55" s="180" t="str">
        <f>IFERROR(IF(AH55="","",IF(AH55&lt;=0.2,"Muy Baja",IF(AH55&lt;=0.4,"Baja",IF(AH55&lt;=0.6,"Media",IF(AH55&lt;=0.8,"Alta","Muy Alta"))))),"")</f>
        <v/>
      </c>
      <c r="AJ55" s="178" t="str">
        <f>+AH55</f>
        <v/>
      </c>
      <c r="AK55" s="180" t="str">
        <f>IFERROR(IF(AL55="","",IF(AL55&lt;=0.2,"Leve",IF(AL55&lt;=0.4,"Menor",IF(AL55&lt;=0.6,"Moderado",IF(AL55&lt;=0.8,"Mayor","Catastrófico"))))),"")</f>
        <v/>
      </c>
      <c r="AL55" s="178" t="str">
        <f t="shared" ref="AL55" si="70">IFERROR(IF(AA55="Impacto",(T55-(+T55*AD55)),IF(AA55="Probabilidad",T55,"")),"")</f>
        <v/>
      </c>
      <c r="AM55" s="181"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82"/>
      <c r="AO55" s="175"/>
      <c r="AP55" s="183"/>
      <c r="AQ55" s="183"/>
      <c r="AR55" s="184"/>
      <c r="AS55" s="414"/>
      <c r="AT55" s="414"/>
      <c r="AU55" s="414"/>
    </row>
    <row r="56" spans="1:47" x14ac:dyDescent="0.2">
      <c r="A56" s="411"/>
      <c r="B56" s="353"/>
      <c r="C56" s="353"/>
      <c r="D56" s="353"/>
      <c r="E56" s="353"/>
      <c r="F56" s="413"/>
      <c r="G56" s="353"/>
      <c r="H56" s="355"/>
      <c r="I56" s="355"/>
      <c r="J56" s="355"/>
      <c r="K56" s="355"/>
      <c r="L56" s="355"/>
      <c r="M56" s="355"/>
      <c r="N56" s="414"/>
      <c r="O56" s="415"/>
      <c r="P56" s="416"/>
      <c r="Q56" s="417"/>
      <c r="R56" s="416"/>
      <c r="S56" s="415"/>
      <c r="T56" s="416"/>
      <c r="U56" s="420"/>
      <c r="V56" s="199">
        <v>2</v>
      </c>
      <c r="W56" s="199"/>
      <c r="X56" s="199"/>
      <c r="Y56" s="199"/>
      <c r="Z56" s="224" t="str">
        <f t="shared" si="1"/>
        <v xml:space="preserve">  </v>
      </c>
      <c r="AA56" s="176" t="str">
        <f>IF(OR(AB56="Preventivo",AB56="Detectivo"),"Probabilidad",IF(AB56="Correctivo","Impacto",""))</f>
        <v/>
      </c>
      <c r="AB56" s="177"/>
      <c r="AC56" s="177"/>
      <c r="AD56" s="178" t="str">
        <f t="shared" ref="AD56:AD60" si="71">IF(AND(AB56="Preventivo",AC56="Automático"),"50%",IF(AND(AB56="Preventivo",AC56="Manual"),"40%",IF(AND(AB56="Detectivo",AC56="Automático"),"40%",IF(AND(AB56="Detectivo",AC56="Manual"),"30%",IF(AND(AB56="Correctivo",AC56="Automático"),"35%",IF(AND(AB56="Correctivo",AC56="Manual"),"25%",""))))))</f>
        <v/>
      </c>
      <c r="AE56" s="177"/>
      <c r="AF56" s="177"/>
      <c r="AG56" s="177"/>
      <c r="AH56" s="179" t="str">
        <f>IFERROR(IF(AND(AA55="Probabilidad",AA56="Probabilidad"),(AJ55-(+AJ55*AD56)),IF(AA56="Probabilidad",(P55-(+P55*AD56)),IF(AA56="Impacto",AJ55,""))),"")</f>
        <v/>
      </c>
      <c r="AI56" s="180" t="str">
        <f t="shared" si="3"/>
        <v/>
      </c>
      <c r="AJ56" s="178" t="str">
        <f t="shared" ref="AJ56:AJ60" si="72">+AH56</f>
        <v/>
      </c>
      <c r="AK56" s="180" t="str">
        <f t="shared" si="5"/>
        <v/>
      </c>
      <c r="AL56" s="178" t="str">
        <f t="shared" ref="AL56" si="73">IFERROR(IF(AND(AA55="Impacto",AA56="Impacto"),(AL55-(+AL55*AD56)),IF(AA56="Impacto",($T$13-(+$T$13*AD56)),IF(AA56="Probabilidad",AL55,""))),"")</f>
        <v/>
      </c>
      <c r="AM56" s="181" t="str">
        <f t="shared" ref="AM56:AM57" si="74">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82"/>
      <c r="AO56" s="175"/>
      <c r="AP56" s="183"/>
      <c r="AQ56" s="183"/>
      <c r="AR56" s="184"/>
      <c r="AS56" s="414"/>
      <c r="AT56" s="414"/>
      <c r="AU56" s="414"/>
    </row>
    <row r="57" spans="1:47" x14ac:dyDescent="0.2">
      <c r="A57" s="411"/>
      <c r="B57" s="353"/>
      <c r="C57" s="353"/>
      <c r="D57" s="353"/>
      <c r="E57" s="353"/>
      <c r="F57" s="413"/>
      <c r="G57" s="353"/>
      <c r="H57" s="355"/>
      <c r="I57" s="355"/>
      <c r="J57" s="355"/>
      <c r="K57" s="355"/>
      <c r="L57" s="355"/>
      <c r="M57" s="355"/>
      <c r="N57" s="414"/>
      <c r="O57" s="415"/>
      <c r="P57" s="416"/>
      <c r="Q57" s="417"/>
      <c r="R57" s="416"/>
      <c r="S57" s="415"/>
      <c r="T57" s="416"/>
      <c r="U57" s="420"/>
      <c r="V57" s="199">
        <v>3</v>
      </c>
      <c r="W57" s="199"/>
      <c r="X57" s="199"/>
      <c r="Y57" s="199"/>
      <c r="Z57" s="224" t="str">
        <f t="shared" si="1"/>
        <v xml:space="preserve">  </v>
      </c>
      <c r="AA57" s="176" t="str">
        <f>IF(OR(AB57="Preventivo",AB57="Detectivo"),"Probabilidad",IF(AB57="Correctivo","Impacto",""))</f>
        <v/>
      </c>
      <c r="AB57" s="177"/>
      <c r="AC57" s="177"/>
      <c r="AD57" s="178" t="str">
        <f t="shared" si="71"/>
        <v/>
      </c>
      <c r="AE57" s="177"/>
      <c r="AF57" s="177"/>
      <c r="AG57" s="177"/>
      <c r="AH57" s="179" t="str">
        <f>IFERROR(IF(AND(AA56="Probabilidad",AA57="Probabilidad"),(AJ56-(+AJ56*AD57)),IF(AND(AA56="Impacto",AA57="Probabilidad"),(AJ55-(+AJ55*AD57)),IF(AA57="Impacto",AJ56,""))),"")</f>
        <v/>
      </c>
      <c r="AI57" s="180" t="str">
        <f t="shared" si="3"/>
        <v/>
      </c>
      <c r="AJ57" s="178" t="str">
        <f t="shared" si="72"/>
        <v/>
      </c>
      <c r="AK57" s="180" t="str">
        <f t="shared" si="5"/>
        <v/>
      </c>
      <c r="AL57" s="178" t="str">
        <f t="shared" ref="AL57" si="75">IFERROR(IF(AND(AA56="Impacto",AA57="Impacto"),(AL56-(+AL56*AD57)),IF(AND(AA56="Probabilidad",AA57="Impacto"),(AL55-(+AL55*AD57)),IF(AA57="Probabilidad",AL56,""))),"")</f>
        <v/>
      </c>
      <c r="AM57" s="181" t="str">
        <f t="shared" si="74"/>
        <v/>
      </c>
      <c r="AN57" s="182"/>
      <c r="AO57" s="175"/>
      <c r="AP57" s="183"/>
      <c r="AQ57" s="183"/>
      <c r="AR57" s="184"/>
      <c r="AS57" s="414"/>
      <c r="AT57" s="414"/>
      <c r="AU57" s="414"/>
    </row>
    <row r="58" spans="1:47" x14ac:dyDescent="0.2">
      <c r="A58" s="411"/>
      <c r="B58" s="353"/>
      <c r="C58" s="353"/>
      <c r="D58" s="353"/>
      <c r="E58" s="353"/>
      <c r="F58" s="413"/>
      <c r="G58" s="353"/>
      <c r="H58" s="355"/>
      <c r="I58" s="355"/>
      <c r="J58" s="355"/>
      <c r="K58" s="355"/>
      <c r="L58" s="355"/>
      <c r="M58" s="355"/>
      <c r="N58" s="414"/>
      <c r="O58" s="415"/>
      <c r="P58" s="416"/>
      <c r="Q58" s="417"/>
      <c r="R58" s="416"/>
      <c r="S58" s="415"/>
      <c r="T58" s="416"/>
      <c r="U58" s="420"/>
      <c r="V58" s="199">
        <v>4</v>
      </c>
      <c r="W58" s="199"/>
      <c r="X58" s="199"/>
      <c r="Y58" s="199"/>
      <c r="Z58" s="224" t="str">
        <f t="shared" si="1"/>
        <v xml:space="preserve">  </v>
      </c>
      <c r="AA58" s="176" t="str">
        <f t="shared" ref="AA58:AA60" si="76">IF(OR(AB58="Preventivo",AB58="Detectivo"),"Probabilidad",IF(AB58="Correctivo","Impacto",""))</f>
        <v/>
      </c>
      <c r="AB58" s="177"/>
      <c r="AC58" s="177"/>
      <c r="AD58" s="178" t="str">
        <f t="shared" si="71"/>
        <v/>
      </c>
      <c r="AE58" s="177"/>
      <c r="AF58" s="177"/>
      <c r="AG58" s="177"/>
      <c r="AH58" s="179" t="str">
        <f t="shared" ref="AH58:AH60" si="77">IFERROR(IF(AND(AA57="Probabilidad",AA58="Probabilidad"),(AJ57-(+AJ57*AD58)),IF(AND(AA57="Impacto",AA58="Probabilidad"),(AJ56-(+AJ56*AD58)),IF(AA58="Impacto",AJ57,""))),"")</f>
        <v/>
      </c>
      <c r="AI58" s="180" t="str">
        <f t="shared" si="3"/>
        <v/>
      </c>
      <c r="AJ58" s="178" t="str">
        <f t="shared" si="72"/>
        <v/>
      </c>
      <c r="AK58" s="180" t="str">
        <f t="shared" si="5"/>
        <v/>
      </c>
      <c r="AL58" s="178" t="str">
        <f t="shared" si="15"/>
        <v/>
      </c>
      <c r="AM58" s="181"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82"/>
      <c r="AO58" s="175"/>
      <c r="AP58" s="183"/>
      <c r="AQ58" s="183"/>
      <c r="AR58" s="184"/>
      <c r="AS58" s="414"/>
      <c r="AT58" s="414"/>
      <c r="AU58" s="414"/>
    </row>
    <row r="59" spans="1:47" x14ac:dyDescent="0.2">
      <c r="A59" s="411"/>
      <c r="B59" s="353"/>
      <c r="C59" s="353"/>
      <c r="D59" s="353"/>
      <c r="E59" s="353"/>
      <c r="F59" s="413"/>
      <c r="G59" s="353"/>
      <c r="H59" s="355"/>
      <c r="I59" s="355"/>
      <c r="J59" s="355"/>
      <c r="K59" s="355"/>
      <c r="L59" s="355"/>
      <c r="M59" s="355"/>
      <c r="N59" s="414"/>
      <c r="O59" s="415"/>
      <c r="P59" s="416"/>
      <c r="Q59" s="417"/>
      <c r="R59" s="416"/>
      <c r="S59" s="415"/>
      <c r="T59" s="416"/>
      <c r="U59" s="420"/>
      <c r="V59" s="199">
        <v>5</v>
      </c>
      <c r="W59" s="199"/>
      <c r="X59" s="199"/>
      <c r="Y59" s="199"/>
      <c r="Z59" s="224" t="str">
        <f t="shared" si="1"/>
        <v xml:space="preserve">  </v>
      </c>
      <c r="AA59" s="176" t="str">
        <f t="shared" si="76"/>
        <v/>
      </c>
      <c r="AB59" s="177"/>
      <c r="AC59" s="177"/>
      <c r="AD59" s="178" t="str">
        <f t="shared" si="71"/>
        <v/>
      </c>
      <c r="AE59" s="177"/>
      <c r="AF59" s="177"/>
      <c r="AG59" s="177"/>
      <c r="AH59" s="179" t="str">
        <f t="shared" si="77"/>
        <v/>
      </c>
      <c r="AI59" s="180" t="str">
        <f t="shared" si="3"/>
        <v/>
      </c>
      <c r="AJ59" s="178" t="str">
        <f t="shared" si="72"/>
        <v/>
      </c>
      <c r="AK59" s="180" t="str">
        <f t="shared" si="5"/>
        <v/>
      </c>
      <c r="AL59" s="178" t="str">
        <f t="shared" si="15"/>
        <v/>
      </c>
      <c r="AM59" s="181" t="str">
        <f t="shared" ref="AM59:AM60" si="78">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82"/>
      <c r="AO59" s="175"/>
      <c r="AP59" s="183"/>
      <c r="AQ59" s="183"/>
      <c r="AR59" s="184"/>
      <c r="AS59" s="414"/>
      <c r="AT59" s="414"/>
      <c r="AU59" s="414"/>
    </row>
    <row r="60" spans="1:47" x14ac:dyDescent="0.2">
      <c r="A60" s="411"/>
      <c r="B60" s="353"/>
      <c r="C60" s="353"/>
      <c r="D60" s="353"/>
      <c r="E60" s="353"/>
      <c r="F60" s="413"/>
      <c r="G60" s="353"/>
      <c r="H60" s="356"/>
      <c r="I60" s="356"/>
      <c r="J60" s="356"/>
      <c r="K60" s="356"/>
      <c r="L60" s="356"/>
      <c r="M60" s="356"/>
      <c r="N60" s="414"/>
      <c r="O60" s="415"/>
      <c r="P60" s="416"/>
      <c r="Q60" s="417"/>
      <c r="R60" s="416"/>
      <c r="S60" s="415"/>
      <c r="T60" s="416"/>
      <c r="U60" s="420"/>
      <c r="V60" s="199">
        <v>6</v>
      </c>
      <c r="W60" s="199"/>
      <c r="X60" s="199"/>
      <c r="Y60" s="199"/>
      <c r="Z60" s="224" t="str">
        <f t="shared" si="1"/>
        <v xml:space="preserve">  </v>
      </c>
      <c r="AA60" s="176" t="str">
        <f t="shared" si="76"/>
        <v/>
      </c>
      <c r="AB60" s="177"/>
      <c r="AC60" s="177"/>
      <c r="AD60" s="178" t="str">
        <f t="shared" si="71"/>
        <v/>
      </c>
      <c r="AE60" s="177"/>
      <c r="AF60" s="177"/>
      <c r="AG60" s="177"/>
      <c r="AH60" s="179" t="str">
        <f t="shared" si="77"/>
        <v/>
      </c>
      <c r="AI60" s="180" t="str">
        <f t="shared" si="3"/>
        <v/>
      </c>
      <c r="AJ60" s="178" t="str">
        <f t="shared" si="72"/>
        <v/>
      </c>
      <c r="AK60" s="180" t="str">
        <f t="shared" si="5"/>
        <v/>
      </c>
      <c r="AL60" s="178" t="str">
        <f t="shared" si="15"/>
        <v/>
      </c>
      <c r="AM60" s="181" t="str">
        <f t="shared" si="78"/>
        <v/>
      </c>
      <c r="AN60" s="182"/>
      <c r="AO60" s="175"/>
      <c r="AP60" s="183"/>
      <c r="AQ60" s="183"/>
      <c r="AR60" s="184"/>
      <c r="AS60" s="414"/>
      <c r="AT60" s="414"/>
      <c r="AU60" s="414"/>
    </row>
    <row r="61" spans="1:47" x14ac:dyDescent="0.2">
      <c r="A61" s="411">
        <v>9</v>
      </c>
      <c r="B61" s="353"/>
      <c r="C61" s="353"/>
      <c r="D61" s="353"/>
      <c r="E61" s="353"/>
      <c r="F61" s="413" t="str">
        <f t="shared" ref="F61" si="79">+CONCATENATE(B61," ",C61," ",D61)</f>
        <v xml:space="preserve">  </v>
      </c>
      <c r="G61" s="353"/>
      <c r="H61" s="354"/>
      <c r="I61" s="206"/>
      <c r="J61" s="206"/>
      <c r="K61" s="206"/>
      <c r="L61" s="354"/>
      <c r="M61" s="354"/>
      <c r="N61" s="414"/>
      <c r="O61" s="415" t="str">
        <f>IF(N61&lt;=0,"",IF(N61&lt;=2,"Muy Baja",IF(N61&lt;=24,"Baja",IF(N61&lt;=500,"Media",IF(N61&lt;=5000,"Alta","Muy Alta")))))</f>
        <v/>
      </c>
      <c r="P61" s="416" t="str">
        <f>IF(O61="","",IF(O61="Muy Baja",0.2,IF(O61="Baja",0.4,IF(O61="Media",0.6,IF(O61="Alta",0.8,IF(O61="Muy Alta",1,))))))</f>
        <v/>
      </c>
      <c r="Q61" s="417"/>
      <c r="R61" s="416">
        <f>IF(NOT(ISERROR(MATCH(Q61,'Tabla Impacto'!$B$245:$B$249,0))),'Tabla Impacto'!$F$224&amp;"Por favor no seleccionar los criterios de impacto(Reputacional, Operativo, Legal, ni Contagio)",Q61)</f>
        <v>0</v>
      </c>
      <c r="S61" s="415" t="str">
        <f>IF(OR(R61='Tabla Impacto'!$C$12,R61='Tabla Impacto'!$D$12),"Leve",IF(OR(R61='Tabla Impacto'!$C$13,R61='Tabla Impacto'!$D$13),"Menor",IF(OR(R61='Tabla Impacto'!$C$14,R61='Tabla Impacto'!$D$14),"Moderado",IF(OR(R61='Tabla Impacto'!$C$15,R61='Tabla Impacto'!$D$15),"Mayor",IF(OR(R61='Tabla Impacto'!$C$16,R61='Tabla Impacto'!$D$16),"Catastrófico","")))))</f>
        <v/>
      </c>
      <c r="T61" s="416" t="str">
        <f>IF(S61="","",IF(S61="Leve",0.2,IF(S61="Menor",0.4,IF(S61="Moderado",0.6,IF(S61="Mayor",0.8,IF(S61="Catastrófico",1,))))))</f>
        <v/>
      </c>
      <c r="U61" s="420"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9">
        <v>1</v>
      </c>
      <c r="W61" s="199"/>
      <c r="X61" s="199"/>
      <c r="Y61" s="199"/>
      <c r="Z61" s="224" t="str">
        <f t="shared" si="1"/>
        <v xml:space="preserve">  </v>
      </c>
      <c r="AA61" s="176" t="str">
        <f>IF(OR(AB61="Preventivo",AB61="Detectivo"),"Probabilidad",IF(AB61="Correctivo","Impacto",""))</f>
        <v/>
      </c>
      <c r="AB61" s="177"/>
      <c r="AC61" s="177"/>
      <c r="AD61" s="178" t="str">
        <f>IF(AND(AB61="Preventivo",AC61="Automático"),"50%",IF(AND(AB61="Preventivo",AC61="Manual"),"40%",IF(AND(AB61="Detectivo",AC61="Automático"),"40%",IF(AND(AB61="Detectivo",AC61="Manual"),"30%",IF(AND(AB61="Correctivo",AC61="Automático"),"35%",IF(AND(AB61="Correctivo",AC61="Manual"),"25%",""))))))</f>
        <v/>
      </c>
      <c r="AE61" s="177"/>
      <c r="AF61" s="177"/>
      <c r="AG61" s="177"/>
      <c r="AH61" s="179" t="str">
        <f>IFERROR(IF(AA61="Probabilidad",(P61-(+P61*AD61)),IF(AA61="Impacto",P61,"")),"")</f>
        <v/>
      </c>
      <c r="AI61" s="180" t="str">
        <f>IFERROR(IF(AH61="","",IF(AH61&lt;=0.2,"Muy Baja",IF(AH61&lt;=0.4,"Baja",IF(AH61&lt;=0.6,"Media",IF(AH61&lt;=0.8,"Alta","Muy Alta"))))),"")</f>
        <v/>
      </c>
      <c r="AJ61" s="178" t="str">
        <f>+AH61</f>
        <v/>
      </c>
      <c r="AK61" s="180" t="str">
        <f>IFERROR(IF(AL61="","",IF(AL61&lt;=0.2,"Leve",IF(AL61&lt;=0.4,"Menor",IF(AL61&lt;=0.6,"Moderado",IF(AL61&lt;=0.8,"Mayor","Catastrófico"))))),"")</f>
        <v/>
      </c>
      <c r="AL61" s="178" t="str">
        <f t="shared" ref="AL61" si="80">IFERROR(IF(AA61="Impacto",(T61-(+T61*AD61)),IF(AA61="Probabilidad",T61,"")),"")</f>
        <v/>
      </c>
      <c r="AM61" s="181"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82"/>
      <c r="AO61" s="175"/>
      <c r="AP61" s="183"/>
      <c r="AQ61" s="183"/>
      <c r="AR61" s="184"/>
      <c r="AS61" s="414"/>
      <c r="AT61" s="414"/>
      <c r="AU61" s="414"/>
    </row>
    <row r="62" spans="1:47" x14ac:dyDescent="0.2">
      <c r="A62" s="411"/>
      <c r="B62" s="353"/>
      <c r="C62" s="353"/>
      <c r="D62" s="353"/>
      <c r="E62" s="353"/>
      <c r="F62" s="413"/>
      <c r="G62" s="353"/>
      <c r="H62" s="355"/>
      <c r="I62" s="207"/>
      <c r="J62" s="207"/>
      <c r="K62" s="207"/>
      <c r="L62" s="355"/>
      <c r="M62" s="355"/>
      <c r="N62" s="414"/>
      <c r="O62" s="415"/>
      <c r="P62" s="416"/>
      <c r="Q62" s="417"/>
      <c r="R62" s="416"/>
      <c r="S62" s="415"/>
      <c r="T62" s="416"/>
      <c r="U62" s="420"/>
      <c r="V62" s="199">
        <v>2</v>
      </c>
      <c r="W62" s="199"/>
      <c r="X62" s="199"/>
      <c r="Y62" s="199"/>
      <c r="Z62" s="224" t="str">
        <f t="shared" si="1"/>
        <v xml:space="preserve">  </v>
      </c>
      <c r="AA62" s="176" t="str">
        <f>IF(OR(AB62="Preventivo",AB62="Detectivo"),"Probabilidad",IF(AB62="Correctivo","Impacto",""))</f>
        <v/>
      </c>
      <c r="AB62" s="177"/>
      <c r="AC62" s="177"/>
      <c r="AD62" s="178" t="str">
        <f t="shared" ref="AD62:AD66" si="81">IF(AND(AB62="Preventivo",AC62="Automático"),"50%",IF(AND(AB62="Preventivo",AC62="Manual"),"40%",IF(AND(AB62="Detectivo",AC62="Automático"),"40%",IF(AND(AB62="Detectivo",AC62="Manual"),"30%",IF(AND(AB62="Correctivo",AC62="Automático"),"35%",IF(AND(AB62="Correctivo",AC62="Manual"),"25%",""))))))</f>
        <v/>
      </c>
      <c r="AE62" s="177"/>
      <c r="AF62" s="177"/>
      <c r="AG62" s="177"/>
      <c r="AH62" s="179" t="str">
        <f>IFERROR(IF(AND(AA61="Probabilidad",AA62="Probabilidad"),(AJ61-(+AJ61*AD62)),IF(AA62="Probabilidad",(P61-(+P61*AD62)),IF(AA62="Impacto",AJ61,""))),"")</f>
        <v/>
      </c>
      <c r="AI62" s="180" t="str">
        <f t="shared" si="3"/>
        <v/>
      </c>
      <c r="AJ62" s="178" t="str">
        <f t="shared" ref="AJ62:AJ66" si="82">+AH62</f>
        <v/>
      </c>
      <c r="AK62" s="180" t="str">
        <f t="shared" si="5"/>
        <v/>
      </c>
      <c r="AL62" s="178" t="str">
        <f t="shared" ref="AL62" si="83">IFERROR(IF(AND(AA61="Impacto",AA62="Impacto"),(AL61-(+AL61*AD62)),IF(AA62="Impacto",($T$13-(+$T$13*AD62)),IF(AA62="Probabilidad",AL61,""))),"")</f>
        <v/>
      </c>
      <c r="AM62" s="181" t="str">
        <f t="shared" ref="AM62:AM63" si="84">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82"/>
      <c r="AO62" s="175"/>
      <c r="AP62" s="183"/>
      <c r="AQ62" s="183"/>
      <c r="AR62" s="184"/>
      <c r="AS62" s="414"/>
      <c r="AT62" s="414"/>
      <c r="AU62" s="414"/>
    </row>
    <row r="63" spans="1:47" x14ac:dyDescent="0.2">
      <c r="A63" s="411"/>
      <c r="B63" s="353"/>
      <c r="C63" s="353"/>
      <c r="D63" s="353"/>
      <c r="E63" s="353"/>
      <c r="F63" s="413"/>
      <c r="G63" s="353"/>
      <c r="H63" s="355"/>
      <c r="I63" s="207"/>
      <c r="J63" s="207"/>
      <c r="K63" s="207"/>
      <c r="L63" s="355"/>
      <c r="M63" s="355"/>
      <c r="N63" s="414"/>
      <c r="O63" s="415"/>
      <c r="P63" s="416"/>
      <c r="Q63" s="417"/>
      <c r="R63" s="416"/>
      <c r="S63" s="415"/>
      <c r="T63" s="416"/>
      <c r="U63" s="420"/>
      <c r="V63" s="199">
        <v>3</v>
      </c>
      <c r="W63" s="199"/>
      <c r="X63" s="199"/>
      <c r="Y63" s="199"/>
      <c r="Z63" s="224" t="str">
        <f t="shared" si="1"/>
        <v xml:space="preserve">  </v>
      </c>
      <c r="AA63" s="176" t="str">
        <f>IF(OR(AB63="Preventivo",AB63="Detectivo"),"Probabilidad",IF(AB63="Correctivo","Impacto",""))</f>
        <v/>
      </c>
      <c r="AB63" s="177"/>
      <c r="AC63" s="177"/>
      <c r="AD63" s="178" t="str">
        <f t="shared" si="81"/>
        <v/>
      </c>
      <c r="AE63" s="177"/>
      <c r="AF63" s="177"/>
      <c r="AG63" s="177"/>
      <c r="AH63" s="179" t="str">
        <f>IFERROR(IF(AND(AA62="Probabilidad",AA63="Probabilidad"),(AJ62-(+AJ62*AD63)),IF(AND(AA62="Impacto",AA63="Probabilidad"),(AJ61-(+AJ61*AD63)),IF(AA63="Impacto",AJ62,""))),"")</f>
        <v/>
      </c>
      <c r="AI63" s="180" t="str">
        <f t="shared" si="3"/>
        <v/>
      </c>
      <c r="AJ63" s="178" t="str">
        <f t="shared" si="82"/>
        <v/>
      </c>
      <c r="AK63" s="180" t="str">
        <f t="shared" si="5"/>
        <v/>
      </c>
      <c r="AL63" s="178" t="str">
        <f t="shared" ref="AL63" si="85">IFERROR(IF(AND(AA62="Impacto",AA63="Impacto"),(AL62-(+AL62*AD63)),IF(AND(AA62="Probabilidad",AA63="Impacto"),(AL61-(+AL61*AD63)),IF(AA63="Probabilidad",AL62,""))),"")</f>
        <v/>
      </c>
      <c r="AM63" s="181" t="str">
        <f t="shared" si="84"/>
        <v/>
      </c>
      <c r="AN63" s="182"/>
      <c r="AO63" s="175"/>
      <c r="AP63" s="183"/>
      <c r="AQ63" s="183"/>
      <c r="AR63" s="184"/>
      <c r="AS63" s="414"/>
      <c r="AT63" s="414"/>
      <c r="AU63" s="414"/>
    </row>
    <row r="64" spans="1:47" x14ac:dyDescent="0.2">
      <c r="A64" s="411"/>
      <c r="B64" s="353"/>
      <c r="C64" s="353"/>
      <c r="D64" s="353"/>
      <c r="E64" s="353"/>
      <c r="F64" s="413"/>
      <c r="G64" s="353"/>
      <c r="H64" s="355"/>
      <c r="I64" s="207"/>
      <c r="J64" s="207"/>
      <c r="K64" s="207"/>
      <c r="L64" s="355"/>
      <c r="M64" s="355"/>
      <c r="N64" s="414"/>
      <c r="O64" s="415"/>
      <c r="P64" s="416"/>
      <c r="Q64" s="417"/>
      <c r="R64" s="416"/>
      <c r="S64" s="415"/>
      <c r="T64" s="416"/>
      <c r="U64" s="420"/>
      <c r="V64" s="199">
        <v>4</v>
      </c>
      <c r="W64" s="199"/>
      <c r="X64" s="199"/>
      <c r="Y64" s="199"/>
      <c r="Z64" s="224" t="str">
        <f t="shared" si="1"/>
        <v xml:space="preserve">  </v>
      </c>
      <c r="AA64" s="176" t="str">
        <f t="shared" ref="AA64:AA66" si="86">IF(OR(AB64="Preventivo",AB64="Detectivo"),"Probabilidad",IF(AB64="Correctivo","Impacto",""))</f>
        <v/>
      </c>
      <c r="AB64" s="177"/>
      <c r="AC64" s="177"/>
      <c r="AD64" s="178" t="str">
        <f t="shared" si="81"/>
        <v/>
      </c>
      <c r="AE64" s="177"/>
      <c r="AF64" s="177"/>
      <c r="AG64" s="177"/>
      <c r="AH64" s="179" t="str">
        <f t="shared" ref="AH64:AH66" si="87">IFERROR(IF(AND(AA63="Probabilidad",AA64="Probabilidad"),(AJ63-(+AJ63*AD64)),IF(AND(AA63="Impacto",AA64="Probabilidad"),(AJ62-(+AJ62*AD64)),IF(AA64="Impacto",AJ63,""))),"")</f>
        <v/>
      </c>
      <c r="AI64" s="180" t="str">
        <f t="shared" si="3"/>
        <v/>
      </c>
      <c r="AJ64" s="178" t="str">
        <f t="shared" si="82"/>
        <v/>
      </c>
      <c r="AK64" s="180" t="str">
        <f t="shared" si="5"/>
        <v/>
      </c>
      <c r="AL64" s="178" t="str">
        <f t="shared" si="15"/>
        <v/>
      </c>
      <c r="AM64" s="181"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82"/>
      <c r="AO64" s="175"/>
      <c r="AP64" s="183"/>
      <c r="AQ64" s="183"/>
      <c r="AR64" s="184"/>
      <c r="AS64" s="414"/>
      <c r="AT64" s="414"/>
      <c r="AU64" s="414"/>
    </row>
    <row r="65" spans="1:47" x14ac:dyDescent="0.2">
      <c r="A65" s="411"/>
      <c r="B65" s="353"/>
      <c r="C65" s="353"/>
      <c r="D65" s="353"/>
      <c r="E65" s="353"/>
      <c r="F65" s="413"/>
      <c r="G65" s="353"/>
      <c r="H65" s="355"/>
      <c r="I65" s="207"/>
      <c r="J65" s="207"/>
      <c r="K65" s="207"/>
      <c r="L65" s="355"/>
      <c r="M65" s="355"/>
      <c r="N65" s="414"/>
      <c r="O65" s="415"/>
      <c r="P65" s="416"/>
      <c r="Q65" s="417"/>
      <c r="R65" s="416"/>
      <c r="S65" s="415"/>
      <c r="T65" s="416"/>
      <c r="U65" s="420"/>
      <c r="V65" s="199">
        <v>5</v>
      </c>
      <c r="W65" s="199"/>
      <c r="X65" s="199"/>
      <c r="Y65" s="199"/>
      <c r="Z65" s="224" t="str">
        <f t="shared" si="1"/>
        <v xml:space="preserve">  </v>
      </c>
      <c r="AA65" s="176" t="str">
        <f t="shared" si="86"/>
        <v/>
      </c>
      <c r="AB65" s="177"/>
      <c r="AC65" s="177"/>
      <c r="AD65" s="178" t="str">
        <f t="shared" si="81"/>
        <v/>
      </c>
      <c r="AE65" s="177"/>
      <c r="AF65" s="177"/>
      <c r="AG65" s="177"/>
      <c r="AH65" s="179" t="str">
        <f t="shared" si="87"/>
        <v/>
      </c>
      <c r="AI65" s="180" t="str">
        <f t="shared" si="3"/>
        <v/>
      </c>
      <c r="AJ65" s="178" t="str">
        <f t="shared" si="82"/>
        <v/>
      </c>
      <c r="AK65" s="180" t="str">
        <f t="shared" si="5"/>
        <v/>
      </c>
      <c r="AL65" s="178" t="str">
        <f t="shared" si="15"/>
        <v/>
      </c>
      <c r="AM65" s="181" t="str">
        <f t="shared" ref="AM65:AM66" si="88">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82"/>
      <c r="AO65" s="175"/>
      <c r="AP65" s="183"/>
      <c r="AQ65" s="183"/>
      <c r="AR65" s="184"/>
      <c r="AS65" s="414"/>
      <c r="AT65" s="414"/>
      <c r="AU65" s="414"/>
    </row>
    <row r="66" spans="1:47" x14ac:dyDescent="0.2">
      <c r="A66" s="411"/>
      <c r="B66" s="353"/>
      <c r="C66" s="353"/>
      <c r="D66" s="353"/>
      <c r="E66" s="353"/>
      <c r="F66" s="413"/>
      <c r="G66" s="353"/>
      <c r="H66" s="356"/>
      <c r="I66" s="208"/>
      <c r="J66" s="208"/>
      <c r="K66" s="208"/>
      <c r="L66" s="356"/>
      <c r="M66" s="356"/>
      <c r="N66" s="414"/>
      <c r="O66" s="415"/>
      <c r="P66" s="416"/>
      <c r="Q66" s="417"/>
      <c r="R66" s="416"/>
      <c r="S66" s="415"/>
      <c r="T66" s="416"/>
      <c r="U66" s="420"/>
      <c r="V66" s="199">
        <v>6</v>
      </c>
      <c r="W66" s="199"/>
      <c r="X66" s="199"/>
      <c r="Y66" s="199"/>
      <c r="Z66" s="224" t="str">
        <f t="shared" si="1"/>
        <v xml:space="preserve">  </v>
      </c>
      <c r="AA66" s="176" t="str">
        <f t="shared" si="86"/>
        <v/>
      </c>
      <c r="AB66" s="177"/>
      <c r="AC66" s="177"/>
      <c r="AD66" s="178" t="str">
        <f t="shared" si="81"/>
        <v/>
      </c>
      <c r="AE66" s="177"/>
      <c r="AF66" s="177"/>
      <c r="AG66" s="177"/>
      <c r="AH66" s="179" t="str">
        <f t="shared" si="87"/>
        <v/>
      </c>
      <c r="AI66" s="180" t="str">
        <f t="shared" si="3"/>
        <v/>
      </c>
      <c r="AJ66" s="178" t="str">
        <f t="shared" si="82"/>
        <v/>
      </c>
      <c r="AK66" s="180" t="str">
        <f t="shared" si="5"/>
        <v/>
      </c>
      <c r="AL66" s="178" t="str">
        <f t="shared" si="15"/>
        <v/>
      </c>
      <c r="AM66" s="181" t="str">
        <f t="shared" si="88"/>
        <v/>
      </c>
      <c r="AN66" s="182"/>
      <c r="AO66" s="175"/>
      <c r="AP66" s="183"/>
      <c r="AQ66" s="183"/>
      <c r="AR66" s="184"/>
      <c r="AS66" s="414"/>
      <c r="AT66" s="414"/>
      <c r="AU66" s="414"/>
    </row>
    <row r="67" spans="1:47" x14ac:dyDescent="0.2">
      <c r="A67" s="411">
        <v>10</v>
      </c>
      <c r="B67" s="353"/>
      <c r="C67" s="353"/>
      <c r="D67" s="353"/>
      <c r="E67" s="353"/>
      <c r="F67" s="413" t="str">
        <f t="shared" ref="F67" si="89">+CONCATENATE(B67," ",C67," ",D67)</f>
        <v xml:space="preserve">  </v>
      </c>
      <c r="G67" s="353"/>
      <c r="H67" s="354"/>
      <c r="I67" s="206"/>
      <c r="J67" s="206"/>
      <c r="K67" s="206"/>
      <c r="L67" s="354"/>
      <c r="M67" s="354"/>
      <c r="N67" s="414"/>
      <c r="O67" s="415" t="str">
        <f>IF(N67&lt;=0,"",IF(N67&lt;=2,"Muy Baja",IF(N67&lt;=24,"Baja",IF(N67&lt;=500,"Media",IF(N67&lt;=5000,"Alta","Muy Alta")))))</f>
        <v/>
      </c>
      <c r="P67" s="416" t="str">
        <f>IF(O67="","",IF(O67="Muy Baja",0.2,IF(O67="Baja",0.4,IF(O67="Media",0.6,IF(O67="Alta",0.8,IF(O67="Muy Alta",1,))))))</f>
        <v/>
      </c>
      <c r="Q67" s="417"/>
      <c r="R67" s="416">
        <f>IF(NOT(ISERROR(MATCH(Q67,'Tabla Impacto'!$B$245:$B$249,0))),'Tabla Impacto'!$F$224&amp;"Por favor no seleccionar los criterios de impacto(Reputacional, Operativo, Legal, ni Contagio)",Q67)</f>
        <v>0</v>
      </c>
      <c r="S67" s="415" t="str">
        <f>IF(OR(R67='Tabla Impacto'!$C$12,R67='Tabla Impacto'!$D$12),"Leve",IF(OR(R67='Tabla Impacto'!$C$13,R67='Tabla Impacto'!$D$13),"Menor",IF(OR(R67='Tabla Impacto'!$C$14,R67='Tabla Impacto'!$D$14),"Moderado",IF(OR(R67='Tabla Impacto'!$C$15,R67='Tabla Impacto'!$D$15),"Mayor",IF(OR(R67='Tabla Impacto'!$C$16,R67='Tabla Impacto'!$D$16),"Catastrófico","")))))</f>
        <v/>
      </c>
      <c r="T67" s="416" t="str">
        <f>IF(S67="","",IF(S67="Leve",0.2,IF(S67="Menor",0.4,IF(S67="Moderado",0.6,IF(S67="Mayor",0.8,IF(S67="Catastrófico",1,))))))</f>
        <v/>
      </c>
      <c r="U67" s="420"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9">
        <v>1</v>
      </c>
      <c r="W67" s="199"/>
      <c r="X67" s="199"/>
      <c r="Y67" s="199"/>
      <c r="Z67" s="224" t="str">
        <f t="shared" si="1"/>
        <v xml:space="preserve">  </v>
      </c>
      <c r="AA67" s="176" t="str">
        <f>IF(OR(AB67="Preventivo",AB67="Detectivo"),"Probabilidad",IF(AB67="Correctivo","Impacto",""))</f>
        <v/>
      </c>
      <c r="AB67" s="177"/>
      <c r="AC67" s="177"/>
      <c r="AD67" s="178" t="str">
        <f>IF(AND(AB67="Preventivo",AC67="Automático"),"50%",IF(AND(AB67="Preventivo",AC67="Manual"),"40%",IF(AND(AB67="Detectivo",AC67="Automático"),"40%",IF(AND(AB67="Detectivo",AC67="Manual"),"30%",IF(AND(AB67="Correctivo",AC67="Automático"),"35%",IF(AND(AB67="Correctivo",AC67="Manual"),"25%",""))))))</f>
        <v/>
      </c>
      <c r="AE67" s="177"/>
      <c r="AF67" s="177"/>
      <c r="AG67" s="177"/>
      <c r="AH67" s="179" t="str">
        <f>IFERROR(IF(AA67="Probabilidad",(P67-(+P67*AD67)),IF(AA67="Impacto",P67,"")),"")</f>
        <v/>
      </c>
      <c r="AI67" s="180" t="str">
        <f>IFERROR(IF(AH67="","",IF(AH67&lt;=0.2,"Muy Baja",IF(AH67&lt;=0.4,"Baja",IF(AH67&lt;=0.6,"Media",IF(AH67&lt;=0.8,"Alta","Muy Alta"))))),"")</f>
        <v/>
      </c>
      <c r="AJ67" s="178" t="str">
        <f>+AH67</f>
        <v/>
      </c>
      <c r="AK67" s="180" t="str">
        <f>IFERROR(IF(AL67="","",IF(AL67&lt;=0.2,"Leve",IF(AL67&lt;=0.4,"Menor",IF(AL67&lt;=0.6,"Moderado",IF(AL67&lt;=0.8,"Mayor","Catastrófico"))))),"")</f>
        <v/>
      </c>
      <c r="AL67" s="178" t="str">
        <f t="shared" ref="AL67" si="90">IFERROR(IF(AA67="Impacto",(T67-(+T67*AD67)),IF(AA67="Probabilidad",T67,"")),"")</f>
        <v/>
      </c>
      <c r="AM67" s="181"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82"/>
      <c r="AO67" s="175"/>
      <c r="AP67" s="183"/>
      <c r="AQ67" s="183"/>
      <c r="AR67" s="184"/>
      <c r="AS67" s="414"/>
      <c r="AT67" s="414"/>
      <c r="AU67" s="414"/>
    </row>
    <row r="68" spans="1:47" x14ac:dyDescent="0.2">
      <c r="A68" s="411"/>
      <c r="B68" s="353"/>
      <c r="C68" s="353"/>
      <c r="D68" s="353"/>
      <c r="E68" s="353"/>
      <c r="F68" s="413"/>
      <c r="G68" s="353"/>
      <c r="H68" s="355"/>
      <c r="I68" s="207"/>
      <c r="J68" s="207"/>
      <c r="K68" s="207"/>
      <c r="L68" s="355"/>
      <c r="M68" s="355"/>
      <c r="N68" s="414"/>
      <c r="O68" s="415"/>
      <c r="P68" s="416"/>
      <c r="Q68" s="417"/>
      <c r="R68" s="416"/>
      <c r="S68" s="415"/>
      <c r="T68" s="416"/>
      <c r="U68" s="420"/>
      <c r="V68" s="199">
        <v>2</v>
      </c>
      <c r="W68" s="199"/>
      <c r="X68" s="199"/>
      <c r="Y68" s="199"/>
      <c r="Z68" s="224" t="str">
        <f t="shared" si="1"/>
        <v xml:space="preserve">  </v>
      </c>
      <c r="AA68" s="176" t="str">
        <f>IF(OR(AB68="Preventivo",AB68="Detectivo"),"Probabilidad",IF(AB68="Correctivo","Impacto",""))</f>
        <v/>
      </c>
      <c r="AB68" s="177"/>
      <c r="AC68" s="177"/>
      <c r="AD68" s="178" t="str">
        <f t="shared" ref="AD68:AD72" si="91">IF(AND(AB68="Preventivo",AC68="Automático"),"50%",IF(AND(AB68="Preventivo",AC68="Manual"),"40%",IF(AND(AB68="Detectivo",AC68="Automático"),"40%",IF(AND(AB68="Detectivo",AC68="Manual"),"30%",IF(AND(AB68="Correctivo",AC68="Automático"),"35%",IF(AND(AB68="Correctivo",AC68="Manual"),"25%",""))))))</f>
        <v/>
      </c>
      <c r="AE68" s="177"/>
      <c r="AF68" s="177"/>
      <c r="AG68" s="177"/>
      <c r="AH68" s="179" t="str">
        <f>IFERROR(IF(AND(AA67="Probabilidad",AA68="Probabilidad"),(AJ67-(+AJ67*AD68)),IF(AA68="Probabilidad",(P67-(+P67*AD68)),IF(AA68="Impacto",AJ67,""))),"")</f>
        <v/>
      </c>
      <c r="AI68" s="180" t="str">
        <f t="shared" si="3"/>
        <v/>
      </c>
      <c r="AJ68" s="178" t="str">
        <f t="shared" ref="AJ68:AJ72" si="92">+AH68</f>
        <v/>
      </c>
      <c r="AK68" s="180" t="str">
        <f t="shared" si="5"/>
        <v/>
      </c>
      <c r="AL68" s="178" t="str">
        <f t="shared" ref="AL68" si="93">IFERROR(IF(AND(AA67="Impacto",AA68="Impacto"),(AL67-(+AL67*AD68)),IF(AA68="Impacto",($T$13-(+$T$13*AD68)),IF(AA68="Probabilidad",AL67,""))),"")</f>
        <v/>
      </c>
      <c r="AM68" s="181" t="str">
        <f t="shared" ref="AM68:AM69" si="94">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82"/>
      <c r="AO68" s="175"/>
      <c r="AP68" s="183"/>
      <c r="AQ68" s="183"/>
      <c r="AR68" s="184"/>
      <c r="AS68" s="414"/>
      <c r="AT68" s="414"/>
      <c r="AU68" s="414"/>
    </row>
    <row r="69" spans="1:47" x14ac:dyDescent="0.2">
      <c r="A69" s="411"/>
      <c r="B69" s="353"/>
      <c r="C69" s="353"/>
      <c r="D69" s="353"/>
      <c r="E69" s="353"/>
      <c r="F69" s="413"/>
      <c r="G69" s="353"/>
      <c r="H69" s="355"/>
      <c r="I69" s="207"/>
      <c r="J69" s="207"/>
      <c r="K69" s="207"/>
      <c r="L69" s="355"/>
      <c r="M69" s="355"/>
      <c r="N69" s="414"/>
      <c r="O69" s="415"/>
      <c r="P69" s="416"/>
      <c r="Q69" s="417"/>
      <c r="R69" s="416"/>
      <c r="S69" s="415"/>
      <c r="T69" s="416"/>
      <c r="U69" s="420"/>
      <c r="V69" s="199">
        <v>3</v>
      </c>
      <c r="W69" s="199"/>
      <c r="X69" s="199"/>
      <c r="Y69" s="199"/>
      <c r="Z69" s="224" t="str">
        <f t="shared" si="1"/>
        <v xml:space="preserve">  </v>
      </c>
      <c r="AA69" s="176" t="str">
        <f>IF(OR(AB69="Preventivo",AB69="Detectivo"),"Probabilidad",IF(AB69="Correctivo","Impacto",""))</f>
        <v/>
      </c>
      <c r="AB69" s="177"/>
      <c r="AC69" s="177"/>
      <c r="AD69" s="178" t="str">
        <f t="shared" si="91"/>
        <v/>
      </c>
      <c r="AE69" s="177"/>
      <c r="AF69" s="177"/>
      <c r="AG69" s="177"/>
      <c r="AH69" s="179" t="str">
        <f>IFERROR(IF(AND(AA68="Probabilidad",AA69="Probabilidad"),(AJ68-(+AJ68*AD69)),IF(AND(AA68="Impacto",AA69="Probabilidad"),(AJ67-(+AJ67*AD69)),IF(AA69="Impacto",AJ68,""))),"")</f>
        <v/>
      </c>
      <c r="AI69" s="180" t="str">
        <f t="shared" si="3"/>
        <v/>
      </c>
      <c r="AJ69" s="178" t="str">
        <f t="shared" si="92"/>
        <v/>
      </c>
      <c r="AK69" s="180" t="str">
        <f t="shared" si="5"/>
        <v/>
      </c>
      <c r="AL69" s="178" t="str">
        <f t="shared" ref="AL69" si="95">IFERROR(IF(AND(AA68="Impacto",AA69="Impacto"),(AL68-(+AL68*AD69)),IF(AND(AA68="Probabilidad",AA69="Impacto"),(AL67-(+AL67*AD69)),IF(AA69="Probabilidad",AL68,""))),"")</f>
        <v/>
      </c>
      <c r="AM69" s="181" t="str">
        <f t="shared" si="94"/>
        <v/>
      </c>
      <c r="AN69" s="182"/>
      <c r="AO69" s="175"/>
      <c r="AP69" s="183"/>
      <c r="AQ69" s="183"/>
      <c r="AR69" s="184"/>
      <c r="AS69" s="414"/>
      <c r="AT69" s="414"/>
      <c r="AU69" s="414"/>
    </row>
    <row r="70" spans="1:47" x14ac:dyDescent="0.2">
      <c r="A70" s="411"/>
      <c r="B70" s="353"/>
      <c r="C70" s="353"/>
      <c r="D70" s="353"/>
      <c r="E70" s="353"/>
      <c r="F70" s="413"/>
      <c r="G70" s="353"/>
      <c r="H70" s="355"/>
      <c r="I70" s="207"/>
      <c r="J70" s="207"/>
      <c r="K70" s="207"/>
      <c r="L70" s="355"/>
      <c r="M70" s="355"/>
      <c r="N70" s="414"/>
      <c r="O70" s="415"/>
      <c r="P70" s="416"/>
      <c r="Q70" s="417"/>
      <c r="R70" s="416"/>
      <c r="S70" s="415"/>
      <c r="T70" s="416"/>
      <c r="U70" s="420"/>
      <c r="V70" s="199">
        <v>4</v>
      </c>
      <c r="W70" s="199"/>
      <c r="X70" s="199"/>
      <c r="Y70" s="199"/>
      <c r="Z70" s="224" t="str">
        <f t="shared" si="1"/>
        <v xml:space="preserve">  </v>
      </c>
      <c r="AA70" s="176" t="str">
        <f t="shared" ref="AA70:AA72" si="96">IF(OR(AB70="Preventivo",AB70="Detectivo"),"Probabilidad",IF(AB70="Correctivo","Impacto",""))</f>
        <v/>
      </c>
      <c r="AB70" s="177"/>
      <c r="AC70" s="177"/>
      <c r="AD70" s="178" t="str">
        <f t="shared" si="91"/>
        <v/>
      </c>
      <c r="AE70" s="177"/>
      <c r="AF70" s="177"/>
      <c r="AG70" s="177"/>
      <c r="AH70" s="179" t="str">
        <f t="shared" ref="AH70:AH72" si="97">IFERROR(IF(AND(AA69="Probabilidad",AA70="Probabilidad"),(AJ69-(+AJ69*AD70)),IF(AND(AA69="Impacto",AA70="Probabilidad"),(AJ68-(+AJ68*AD70)),IF(AA70="Impacto",AJ69,""))),"")</f>
        <v/>
      </c>
      <c r="AI70" s="180" t="str">
        <f t="shared" si="3"/>
        <v/>
      </c>
      <c r="AJ70" s="178" t="str">
        <f t="shared" si="92"/>
        <v/>
      </c>
      <c r="AK70" s="180" t="str">
        <f t="shared" si="5"/>
        <v/>
      </c>
      <c r="AL70" s="178" t="str">
        <f t="shared" si="15"/>
        <v/>
      </c>
      <c r="AM70" s="181"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82"/>
      <c r="AO70" s="175"/>
      <c r="AP70" s="183"/>
      <c r="AQ70" s="183"/>
      <c r="AR70" s="184"/>
      <c r="AS70" s="414"/>
      <c r="AT70" s="414"/>
      <c r="AU70" s="414"/>
    </row>
    <row r="71" spans="1:47" x14ac:dyDescent="0.2">
      <c r="A71" s="411"/>
      <c r="B71" s="353"/>
      <c r="C71" s="353"/>
      <c r="D71" s="353"/>
      <c r="E71" s="353"/>
      <c r="F71" s="413"/>
      <c r="G71" s="353"/>
      <c r="H71" s="355"/>
      <c r="I71" s="207"/>
      <c r="J71" s="207"/>
      <c r="K71" s="207"/>
      <c r="L71" s="355"/>
      <c r="M71" s="355"/>
      <c r="N71" s="414"/>
      <c r="O71" s="415"/>
      <c r="P71" s="416"/>
      <c r="Q71" s="417"/>
      <c r="R71" s="416"/>
      <c r="S71" s="415"/>
      <c r="T71" s="416"/>
      <c r="U71" s="420"/>
      <c r="V71" s="199">
        <v>5</v>
      </c>
      <c r="W71" s="199"/>
      <c r="X71" s="199"/>
      <c r="Y71" s="199"/>
      <c r="Z71" s="224" t="str">
        <f t="shared" si="1"/>
        <v xml:space="preserve">  </v>
      </c>
      <c r="AA71" s="176" t="str">
        <f t="shared" si="96"/>
        <v/>
      </c>
      <c r="AB71" s="177"/>
      <c r="AC71" s="177"/>
      <c r="AD71" s="178" t="str">
        <f t="shared" si="91"/>
        <v/>
      </c>
      <c r="AE71" s="177"/>
      <c r="AF71" s="177"/>
      <c r="AG71" s="177"/>
      <c r="AH71" s="179" t="str">
        <f t="shared" si="97"/>
        <v/>
      </c>
      <c r="AI71" s="180" t="str">
        <f t="shared" si="3"/>
        <v/>
      </c>
      <c r="AJ71" s="178" t="str">
        <f t="shared" si="92"/>
        <v/>
      </c>
      <c r="AK71" s="180" t="str">
        <f t="shared" si="5"/>
        <v/>
      </c>
      <c r="AL71" s="178" t="str">
        <f t="shared" si="15"/>
        <v/>
      </c>
      <c r="AM71" s="181" t="str">
        <f t="shared" ref="AM71:AM72" si="98">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82"/>
      <c r="AO71" s="175"/>
      <c r="AP71" s="183"/>
      <c r="AQ71" s="183"/>
      <c r="AR71" s="184"/>
      <c r="AS71" s="414"/>
      <c r="AT71" s="414"/>
      <c r="AU71" s="414"/>
    </row>
    <row r="72" spans="1:47" x14ac:dyDescent="0.2">
      <c r="A72" s="411"/>
      <c r="B72" s="353"/>
      <c r="C72" s="353"/>
      <c r="D72" s="353"/>
      <c r="E72" s="353"/>
      <c r="F72" s="413"/>
      <c r="G72" s="353"/>
      <c r="H72" s="356"/>
      <c r="I72" s="208"/>
      <c r="J72" s="208"/>
      <c r="K72" s="208"/>
      <c r="L72" s="356"/>
      <c r="M72" s="356"/>
      <c r="N72" s="414"/>
      <c r="O72" s="415"/>
      <c r="P72" s="416"/>
      <c r="Q72" s="417"/>
      <c r="R72" s="416"/>
      <c r="S72" s="415"/>
      <c r="T72" s="416"/>
      <c r="U72" s="420"/>
      <c r="V72" s="199">
        <v>6</v>
      </c>
      <c r="W72" s="199"/>
      <c r="X72" s="199"/>
      <c r="Y72" s="199"/>
      <c r="Z72" s="224" t="str">
        <f t="shared" si="1"/>
        <v xml:space="preserve">  </v>
      </c>
      <c r="AA72" s="176" t="str">
        <f t="shared" si="96"/>
        <v/>
      </c>
      <c r="AB72" s="177"/>
      <c r="AC72" s="177"/>
      <c r="AD72" s="178" t="str">
        <f t="shared" si="91"/>
        <v/>
      </c>
      <c r="AE72" s="177"/>
      <c r="AF72" s="177"/>
      <c r="AG72" s="177"/>
      <c r="AH72" s="179" t="str">
        <f t="shared" si="97"/>
        <v/>
      </c>
      <c r="AI72" s="180" t="str">
        <f t="shared" si="3"/>
        <v/>
      </c>
      <c r="AJ72" s="178" t="str">
        <f t="shared" si="92"/>
        <v/>
      </c>
      <c r="AK72" s="180" t="str">
        <f t="shared" si="5"/>
        <v/>
      </c>
      <c r="AL72" s="178" t="str">
        <f t="shared" si="15"/>
        <v/>
      </c>
      <c r="AM72" s="181" t="str">
        <f t="shared" si="98"/>
        <v/>
      </c>
      <c r="AN72" s="182"/>
      <c r="AO72" s="175"/>
      <c r="AP72" s="183"/>
      <c r="AQ72" s="183"/>
      <c r="AR72" s="184"/>
      <c r="AS72" s="414"/>
      <c r="AT72" s="414"/>
      <c r="AU72" s="414"/>
    </row>
    <row r="73" spans="1:47" x14ac:dyDescent="0.2">
      <c r="A73" s="201"/>
      <c r="B73" s="418"/>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row>
    <row r="75" spans="1:47" ht="15.75" x14ac:dyDescent="0.2">
      <c r="A75" s="185"/>
      <c r="B75" s="192"/>
      <c r="C75" s="185"/>
      <c r="D75" s="185"/>
      <c r="E75" s="185"/>
      <c r="F75" s="185"/>
      <c r="N75" s="185"/>
    </row>
    <row r="76" spans="1:47" s="241" customFormat="1" x14ac:dyDescent="0.2">
      <c r="A76" s="240"/>
      <c r="B76" s="240"/>
      <c r="C76" s="240"/>
      <c r="D76" s="240"/>
      <c r="E76" s="240"/>
      <c r="F76" s="240"/>
      <c r="N76" s="242"/>
      <c r="AO76" s="243"/>
    </row>
  </sheetData>
  <dataConsolidate/>
  <mergeCells count="299">
    <mergeCell ref="A6:B6"/>
    <mergeCell ref="C6:T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E11:E12"/>
    <mergeCell ref="F11:F12"/>
    <mergeCell ref="G11:G12"/>
    <mergeCell ref="H11:H12"/>
    <mergeCell ref="I11:I12"/>
    <mergeCell ref="AU11:AU12"/>
    <mergeCell ref="AO11:AO12"/>
    <mergeCell ref="AP11:AP12"/>
    <mergeCell ref="AQ11:AQ12"/>
    <mergeCell ref="A13:A18"/>
    <mergeCell ref="B13:B18"/>
    <mergeCell ref="C13:C18"/>
    <mergeCell ref="D13:D18"/>
    <mergeCell ref="E13:E18"/>
    <mergeCell ref="F13:F18"/>
    <mergeCell ref="AL11:AL12"/>
    <mergeCell ref="AM11:AM12"/>
    <mergeCell ref="AN11:AN12"/>
    <mergeCell ref="AA11:AA12"/>
    <mergeCell ref="AB11:AG11"/>
    <mergeCell ref="AH11:AH12"/>
    <mergeCell ref="AI11:AI12"/>
    <mergeCell ref="AJ11:AJ12"/>
    <mergeCell ref="AK11:AK12"/>
    <mergeCell ref="R11:R12"/>
    <mergeCell ref="S11:S12"/>
    <mergeCell ref="T11:T12"/>
    <mergeCell ref="U11:U12"/>
    <mergeCell ref="V11:V12"/>
    <mergeCell ref="G13:G18"/>
    <mergeCell ref="H13:H18"/>
    <mergeCell ref="I13:I18"/>
    <mergeCell ref="J13:J18"/>
    <mergeCell ref="AR11:AR12"/>
    <mergeCell ref="AS11:AS12"/>
    <mergeCell ref="AT11:AT12"/>
    <mergeCell ref="Z11:Z12"/>
    <mergeCell ref="J11:J12"/>
    <mergeCell ref="K11:K12"/>
    <mergeCell ref="N11:N12"/>
    <mergeCell ref="O11:O12"/>
    <mergeCell ref="P11:P12"/>
    <mergeCell ref="Q11:Q12"/>
    <mergeCell ref="AU13:AU18"/>
    <mergeCell ref="M13:M18"/>
    <mergeCell ref="N13:N18"/>
    <mergeCell ref="O13:O18"/>
    <mergeCell ref="P13:P18"/>
    <mergeCell ref="Q13:Q18"/>
    <mergeCell ref="R13:R18"/>
    <mergeCell ref="G19:G24"/>
    <mergeCell ref="H19:H24"/>
    <mergeCell ref="I19:I24"/>
    <mergeCell ref="J19:J24"/>
    <mergeCell ref="K19:K24"/>
    <mergeCell ref="L19:L24"/>
    <mergeCell ref="AS19:AS24"/>
    <mergeCell ref="AT19:AT24"/>
    <mergeCell ref="AU19:AU24"/>
    <mergeCell ref="K13:K18"/>
    <mergeCell ref="L13:L18"/>
    <mergeCell ref="S13:S18"/>
    <mergeCell ref="T13:T18"/>
    <mergeCell ref="U13:U18"/>
    <mergeCell ref="AS13:AS18"/>
    <mergeCell ref="AT13:A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S25:AS30"/>
    <mergeCell ref="AT25:AT30"/>
    <mergeCell ref="AU25:AU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S31:AS36"/>
    <mergeCell ref="AT31:AT36"/>
    <mergeCell ref="AU31:AU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S37:AS42"/>
    <mergeCell ref="AT37:AT42"/>
    <mergeCell ref="AU37:AU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S43:AS48"/>
    <mergeCell ref="AT43:AT48"/>
    <mergeCell ref="AU43:AU48"/>
    <mergeCell ref="M43:M48"/>
    <mergeCell ref="N43:N48"/>
    <mergeCell ref="O43:O48"/>
    <mergeCell ref="P43:P48"/>
    <mergeCell ref="Q43:Q48"/>
    <mergeCell ref="R43:R48"/>
    <mergeCell ref="AS49:AS54"/>
    <mergeCell ref="AT49:AT54"/>
    <mergeCell ref="AU49:AU54"/>
    <mergeCell ref="M49:M54"/>
    <mergeCell ref="N49:N54"/>
    <mergeCell ref="O49:O54"/>
    <mergeCell ref="P49:P54"/>
    <mergeCell ref="Q49:Q54"/>
    <mergeCell ref="R49:R54"/>
    <mergeCell ref="A55:A60"/>
    <mergeCell ref="B55:B60"/>
    <mergeCell ref="C55:C60"/>
    <mergeCell ref="D55:D60"/>
    <mergeCell ref="E55:E60"/>
    <mergeCell ref="F55:F60"/>
    <mergeCell ref="S49:S54"/>
    <mergeCell ref="T49:T54"/>
    <mergeCell ref="U49:U54"/>
    <mergeCell ref="G49:G54"/>
    <mergeCell ref="H49:H54"/>
    <mergeCell ref="I49:I54"/>
    <mergeCell ref="J49:J54"/>
    <mergeCell ref="K49:K54"/>
    <mergeCell ref="L49:L54"/>
    <mergeCell ref="A49:A54"/>
    <mergeCell ref="B49:B54"/>
    <mergeCell ref="C49:C54"/>
    <mergeCell ref="D49:D54"/>
    <mergeCell ref="E49:E54"/>
    <mergeCell ref="F49:F54"/>
    <mergeCell ref="AU55:AU60"/>
    <mergeCell ref="M55:M60"/>
    <mergeCell ref="N55:N60"/>
    <mergeCell ref="O55:O60"/>
    <mergeCell ref="P55:P60"/>
    <mergeCell ref="Q55:Q60"/>
    <mergeCell ref="R55:R60"/>
    <mergeCell ref="G55:G60"/>
    <mergeCell ref="H55:H60"/>
    <mergeCell ref="I55:I60"/>
    <mergeCell ref="J55:J60"/>
    <mergeCell ref="K55:K60"/>
    <mergeCell ref="L55:L60"/>
    <mergeCell ref="C61:C66"/>
    <mergeCell ref="D61:D66"/>
    <mergeCell ref="E61:E66"/>
    <mergeCell ref="F61:F66"/>
    <mergeCell ref="S55:S60"/>
    <mergeCell ref="T55:T60"/>
    <mergeCell ref="U55:U60"/>
    <mergeCell ref="AS55:AS60"/>
    <mergeCell ref="AT55:AT60"/>
    <mergeCell ref="AS61:AS66"/>
    <mergeCell ref="AT61:AT66"/>
    <mergeCell ref="AU61:AU66"/>
    <mergeCell ref="A67:A72"/>
    <mergeCell ref="B67:B72"/>
    <mergeCell ref="C67:C72"/>
    <mergeCell ref="D67:D72"/>
    <mergeCell ref="E67:E72"/>
    <mergeCell ref="F67:F72"/>
    <mergeCell ref="G67:G72"/>
    <mergeCell ref="P61:P66"/>
    <mergeCell ref="Q61:Q66"/>
    <mergeCell ref="R61:R66"/>
    <mergeCell ref="S61:S66"/>
    <mergeCell ref="T61:T66"/>
    <mergeCell ref="U61:U66"/>
    <mergeCell ref="G61:G66"/>
    <mergeCell ref="H61:H66"/>
    <mergeCell ref="L61:L66"/>
    <mergeCell ref="M61:M66"/>
    <mergeCell ref="N61:N66"/>
    <mergeCell ref="O61:O66"/>
    <mergeCell ref="A61:A66"/>
    <mergeCell ref="B61:B66"/>
    <mergeCell ref="AT67:AT72"/>
    <mergeCell ref="AU67:AU72"/>
    <mergeCell ref="B73:AS73"/>
    <mergeCell ref="Q67:Q72"/>
    <mergeCell ref="R67:R72"/>
    <mergeCell ref="S67:S72"/>
    <mergeCell ref="T67:T72"/>
    <mergeCell ref="U67:U72"/>
    <mergeCell ref="AS67:AS72"/>
    <mergeCell ref="H67:H72"/>
    <mergeCell ref="L67:L72"/>
    <mergeCell ref="M67:M72"/>
    <mergeCell ref="N67:N72"/>
    <mergeCell ref="O67:O72"/>
    <mergeCell ref="P67:P72"/>
  </mergeCells>
  <conditionalFormatting sqref="O13 O19">
    <cfRule type="cellIs" dxfId="104" priority="105" operator="equal">
      <formula>"Muy Baja"</formula>
    </cfRule>
    <cfRule type="cellIs" dxfId="103" priority="104" operator="equal">
      <formula>"Baja"</formula>
    </cfRule>
    <cfRule type="cellIs" dxfId="102" priority="103" operator="equal">
      <formula>"Media"</formula>
    </cfRule>
    <cfRule type="cellIs" dxfId="101" priority="102" operator="equal">
      <formula>"Alta"</formula>
    </cfRule>
    <cfRule type="cellIs" dxfId="100" priority="101" operator="equal">
      <formula>"Muy Alta"</formula>
    </cfRule>
  </conditionalFormatting>
  <conditionalFormatting sqref="O25">
    <cfRule type="cellIs" dxfId="99" priority="84" operator="equal">
      <formula>"Alta"</formula>
    </cfRule>
    <cfRule type="cellIs" dxfId="98" priority="83" operator="equal">
      <formula>"Muy Alta"</formula>
    </cfRule>
    <cfRule type="cellIs" dxfId="97" priority="87" operator="equal">
      <formula>"Muy Baja"</formula>
    </cfRule>
    <cfRule type="cellIs" dxfId="96" priority="86" operator="equal">
      <formula>"Baja"</formula>
    </cfRule>
    <cfRule type="cellIs" dxfId="95" priority="85" operator="equal">
      <formula>"Media"</formula>
    </cfRule>
  </conditionalFormatting>
  <conditionalFormatting sqref="O31">
    <cfRule type="cellIs" dxfId="94" priority="78" operator="equal">
      <formula>"Muy Baja"</formula>
    </cfRule>
    <cfRule type="cellIs" dxfId="93" priority="77" operator="equal">
      <formula>"Baja"</formula>
    </cfRule>
    <cfRule type="cellIs" dxfId="92" priority="74" operator="equal">
      <formula>"Muy Alta"</formula>
    </cfRule>
    <cfRule type="cellIs" dxfId="91" priority="75" operator="equal">
      <formula>"Alta"</formula>
    </cfRule>
    <cfRule type="cellIs" dxfId="90" priority="76" operator="equal">
      <formula>"Media"</formula>
    </cfRule>
  </conditionalFormatting>
  <conditionalFormatting sqref="O37">
    <cfRule type="cellIs" dxfId="89" priority="65" operator="equal">
      <formula>"Muy Alta"</formula>
    </cfRule>
    <cfRule type="cellIs" dxfId="88" priority="67" operator="equal">
      <formula>"Media"</formula>
    </cfRule>
    <cfRule type="cellIs" dxfId="87" priority="66" operator="equal">
      <formula>"Alta"</formula>
    </cfRule>
    <cfRule type="cellIs" dxfId="86" priority="68" operator="equal">
      <formula>"Baja"</formula>
    </cfRule>
    <cfRule type="cellIs" dxfId="85" priority="69" operator="equal">
      <formula>"Muy Baja"</formula>
    </cfRule>
  </conditionalFormatting>
  <conditionalFormatting sqref="O43">
    <cfRule type="cellIs" dxfId="84" priority="56" operator="equal">
      <formula>"Muy Alta"</formula>
    </cfRule>
    <cfRule type="cellIs" dxfId="83" priority="58" operator="equal">
      <formula>"Media"</formula>
    </cfRule>
    <cfRule type="cellIs" dxfId="82" priority="60" operator="equal">
      <formula>"Muy Baja"</formula>
    </cfRule>
    <cfRule type="cellIs" dxfId="81" priority="59" operator="equal">
      <formula>"Baja"</formula>
    </cfRule>
    <cfRule type="cellIs" dxfId="80" priority="57" operator="equal">
      <formula>"Alta"</formula>
    </cfRule>
  </conditionalFormatting>
  <conditionalFormatting sqref="O49">
    <cfRule type="cellIs" dxfId="79" priority="47" operator="equal">
      <formula>"Muy Alta"</formula>
    </cfRule>
    <cfRule type="cellIs" dxfId="78" priority="48" operator="equal">
      <formula>"Alta"</formula>
    </cfRule>
    <cfRule type="cellIs" dxfId="77" priority="49" operator="equal">
      <formula>"Media"</formula>
    </cfRule>
    <cfRule type="cellIs" dxfId="76" priority="50" operator="equal">
      <formula>"Baja"</formula>
    </cfRule>
    <cfRule type="cellIs" dxfId="75" priority="51" operator="equal">
      <formula>"Muy Baja"</formula>
    </cfRule>
  </conditionalFormatting>
  <conditionalFormatting sqref="O55">
    <cfRule type="cellIs" dxfId="74" priority="2" operator="equal">
      <formula>"Alta"</formula>
    </cfRule>
    <cfRule type="cellIs" dxfId="73" priority="3" operator="equal">
      <formula>"Media"</formula>
    </cfRule>
    <cfRule type="cellIs" dxfId="72" priority="4" operator="equal">
      <formula>"Baja"</formula>
    </cfRule>
    <cfRule type="cellIs" dxfId="71" priority="5" operator="equal">
      <formula>"Muy Baja"</formula>
    </cfRule>
    <cfRule type="cellIs" dxfId="70" priority="1" operator="equal">
      <formula>"Muy Alta"</formula>
    </cfRule>
  </conditionalFormatting>
  <conditionalFormatting sqref="O61">
    <cfRule type="cellIs" dxfId="69" priority="34" operator="equal">
      <formula>"Muy Alta"</formula>
    </cfRule>
    <cfRule type="cellIs" dxfId="68" priority="35" operator="equal">
      <formula>"Alta"</formula>
    </cfRule>
    <cfRule type="cellIs" dxfId="67" priority="36" operator="equal">
      <formula>"Media"</formula>
    </cfRule>
    <cfRule type="cellIs" dxfId="66" priority="37" operator="equal">
      <formula>"Baja"</formula>
    </cfRule>
    <cfRule type="cellIs" dxfId="65" priority="38" operator="equal">
      <formula>"Muy Baja"</formula>
    </cfRule>
  </conditionalFormatting>
  <conditionalFormatting sqref="O67">
    <cfRule type="cellIs" dxfId="64" priority="26" operator="equal">
      <formula>"Alta"</formula>
    </cfRule>
    <cfRule type="cellIs" dxfId="63" priority="27" operator="equal">
      <formula>"Media"</formula>
    </cfRule>
    <cfRule type="cellIs" dxfId="62" priority="25" operator="equal">
      <formula>"Muy Alta"</formula>
    </cfRule>
    <cfRule type="cellIs" dxfId="61" priority="28" operator="equal">
      <formula>"Baja"</formula>
    </cfRule>
    <cfRule type="cellIs" dxfId="60" priority="29" operator="equal">
      <formula>"Muy Baja"</formula>
    </cfRule>
  </conditionalFormatting>
  <conditionalFormatting sqref="R13:R72">
    <cfRule type="containsText" dxfId="59" priority="6" operator="containsText" text="❌">
      <formula>NOT(ISERROR(SEARCH("❌",R13)))</formula>
    </cfRule>
  </conditionalFormatting>
  <conditionalFormatting sqref="S13 S19 S25 S31 S37 S43 S49 S55 S61 S67">
    <cfRule type="cellIs" dxfId="58" priority="96" operator="equal">
      <formula>"Catastrófico"</formula>
    </cfRule>
    <cfRule type="cellIs" dxfId="57" priority="97" operator="equal">
      <formula>"Mayor"</formula>
    </cfRule>
    <cfRule type="cellIs" dxfId="56" priority="98" operator="equal">
      <formula>"Moderado"</formula>
    </cfRule>
    <cfRule type="cellIs" dxfId="55" priority="99" operator="equal">
      <formula>"Menor"</formula>
    </cfRule>
    <cfRule type="cellIs" dxfId="54" priority="100" operator="equal">
      <formula>"Leve"</formula>
    </cfRule>
  </conditionalFormatting>
  <conditionalFormatting sqref="U13">
    <cfRule type="cellIs" dxfId="53" priority="95" operator="equal">
      <formula>"Bajo"</formula>
    </cfRule>
    <cfRule type="cellIs" dxfId="52" priority="92" operator="equal">
      <formula>"Extremo"</formula>
    </cfRule>
    <cfRule type="cellIs" dxfId="51" priority="93" operator="equal">
      <formula>"Alto"</formula>
    </cfRule>
    <cfRule type="cellIs" dxfId="50" priority="94" operator="equal">
      <formula>"Moderado"</formula>
    </cfRule>
  </conditionalFormatting>
  <conditionalFormatting sqref="U19">
    <cfRule type="cellIs" dxfId="49" priority="88" operator="equal">
      <formula>"Extremo"</formula>
    </cfRule>
    <cfRule type="cellIs" dxfId="48" priority="91" operator="equal">
      <formula>"Bajo"</formula>
    </cfRule>
    <cfRule type="cellIs" dxfId="47" priority="90" operator="equal">
      <formula>"Moderado"</formula>
    </cfRule>
    <cfRule type="cellIs" dxfId="46" priority="89" operator="equal">
      <formula>"Alto"</formula>
    </cfRule>
  </conditionalFormatting>
  <conditionalFormatting sqref="U25">
    <cfRule type="cellIs" dxfId="45" priority="82" operator="equal">
      <formula>"Bajo"</formula>
    </cfRule>
    <cfRule type="cellIs" dxfId="44" priority="80" operator="equal">
      <formula>"Alto"</formula>
    </cfRule>
    <cfRule type="cellIs" dxfId="43" priority="79" operator="equal">
      <formula>"Extremo"</formula>
    </cfRule>
    <cfRule type="cellIs" dxfId="42" priority="81" operator="equal">
      <formula>"Moderado"</formula>
    </cfRule>
  </conditionalFormatting>
  <conditionalFormatting sqref="U31">
    <cfRule type="cellIs" dxfId="41" priority="70" operator="equal">
      <formula>"Extremo"</formula>
    </cfRule>
    <cfRule type="cellIs" dxfId="40" priority="71" operator="equal">
      <formula>"Alto"</formula>
    </cfRule>
    <cfRule type="cellIs" dxfId="39" priority="72" operator="equal">
      <formula>"Moderado"</formula>
    </cfRule>
    <cfRule type="cellIs" dxfId="38" priority="73" operator="equal">
      <formula>"Bajo"</formula>
    </cfRule>
  </conditionalFormatting>
  <conditionalFormatting sqref="U37">
    <cfRule type="cellIs" dxfId="37" priority="62" operator="equal">
      <formula>"Alto"</formula>
    </cfRule>
    <cfRule type="cellIs" dxfId="36" priority="61" operator="equal">
      <formula>"Extremo"</formula>
    </cfRule>
    <cfRule type="cellIs" dxfId="35" priority="63" operator="equal">
      <formula>"Moderado"</formula>
    </cfRule>
    <cfRule type="cellIs" dxfId="34" priority="64" operator="equal">
      <formula>"Bajo"</formula>
    </cfRule>
  </conditionalFormatting>
  <conditionalFormatting sqref="U43">
    <cfRule type="cellIs" dxfId="33" priority="54" operator="equal">
      <formula>"Moderado"</formula>
    </cfRule>
    <cfRule type="cellIs" dxfId="32" priority="53" operator="equal">
      <formula>"Alto"</formula>
    </cfRule>
    <cfRule type="cellIs" dxfId="31" priority="55" operator="equal">
      <formula>"Bajo"</formula>
    </cfRule>
    <cfRule type="cellIs" dxfId="30" priority="52" operator="equal">
      <formula>"Extremo"</formula>
    </cfRule>
  </conditionalFormatting>
  <conditionalFormatting sqref="U49">
    <cfRule type="cellIs" dxfId="29" priority="46" operator="equal">
      <formula>"Bajo"</formula>
    </cfRule>
    <cfRule type="cellIs" dxfId="28" priority="45" operator="equal">
      <formula>"Moderado"</formula>
    </cfRule>
    <cfRule type="cellIs" dxfId="27" priority="44" operator="equal">
      <formula>"Alto"</formula>
    </cfRule>
    <cfRule type="cellIs" dxfId="26" priority="43" operator="equal">
      <formula>"Extremo"</formula>
    </cfRule>
  </conditionalFormatting>
  <conditionalFormatting sqref="U55">
    <cfRule type="cellIs" dxfId="25" priority="41" operator="equal">
      <formula>"Moderado"</formula>
    </cfRule>
    <cfRule type="cellIs" dxfId="24" priority="39" operator="equal">
      <formula>"Extremo"</formula>
    </cfRule>
    <cfRule type="cellIs" dxfId="23" priority="42" operator="equal">
      <formula>"Bajo"</formula>
    </cfRule>
    <cfRule type="cellIs" dxfId="22" priority="40" operator="equal">
      <formula>"Alto"</formula>
    </cfRule>
  </conditionalFormatting>
  <conditionalFormatting sqref="U61">
    <cfRule type="cellIs" dxfId="21" priority="30" operator="equal">
      <formula>"Extremo"</formula>
    </cfRule>
    <cfRule type="cellIs" dxfId="20" priority="32" operator="equal">
      <formula>"Moderado"</formula>
    </cfRule>
    <cfRule type="cellIs" dxfId="19" priority="33" operator="equal">
      <formula>"Bajo"</formula>
    </cfRule>
    <cfRule type="cellIs" dxfId="18" priority="31" operator="equal">
      <formula>"Alto"</formula>
    </cfRule>
  </conditionalFormatting>
  <conditionalFormatting sqref="U67">
    <cfRule type="cellIs" dxfId="17" priority="21" operator="equal">
      <formula>"Extremo"</formula>
    </cfRule>
    <cfRule type="cellIs" dxfId="16" priority="24" operator="equal">
      <formula>"Bajo"</formula>
    </cfRule>
    <cfRule type="cellIs" dxfId="15" priority="23" operator="equal">
      <formula>"Moderado"</formula>
    </cfRule>
    <cfRule type="cellIs" dxfId="14" priority="22" operator="equal">
      <formula>"Alto"</formula>
    </cfRule>
  </conditionalFormatting>
  <conditionalFormatting sqref="AI13:AI72">
    <cfRule type="cellIs" dxfId="13" priority="20" operator="equal">
      <formula>"Muy Baja"</formula>
    </cfRule>
    <cfRule type="cellIs" dxfId="12" priority="19" operator="equal">
      <formula>"Baja"</formula>
    </cfRule>
    <cfRule type="cellIs" dxfId="11" priority="18" operator="equal">
      <formula>"Media"</formula>
    </cfRule>
    <cfRule type="cellIs" dxfId="10" priority="17" operator="equal">
      <formula>"Alta"</formula>
    </cfRule>
    <cfRule type="cellIs" dxfId="9" priority="16" operator="equal">
      <formula>"Muy Alta"</formula>
    </cfRule>
  </conditionalFormatting>
  <conditionalFormatting sqref="AK13:AK72">
    <cfRule type="cellIs" dxfId="8" priority="14" operator="equal">
      <formula>"Menor"</formula>
    </cfRule>
    <cfRule type="cellIs" dxfId="7" priority="15" operator="equal">
      <formula>"Leve"</formula>
    </cfRule>
    <cfRule type="cellIs" dxfId="6" priority="12" operator="equal">
      <formula>"Mayor"</formula>
    </cfRule>
    <cfRule type="cellIs" dxfId="5" priority="11" operator="equal">
      <formula>"Catastrófico"</formula>
    </cfRule>
    <cfRule type="cellIs" dxfId="4" priority="13" operator="equal">
      <formula>"Moderado"</formula>
    </cfRule>
  </conditionalFormatting>
  <conditionalFormatting sqref="AM13:AM72">
    <cfRule type="cellIs" dxfId="3" priority="7" operator="equal">
      <formula>"Extremo"</formula>
    </cfRule>
    <cfRule type="cellIs" dxfId="2" priority="10" operator="equal">
      <formula>"Bajo"</formula>
    </cfRule>
    <cfRule type="cellIs" dxfId="1" priority="9" operator="equal">
      <formula>"Moderado"</formula>
    </cfRule>
    <cfRule type="cellIs" dxfId="0"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900-000000000000}">
          <x14:formula1>
            <xm:f>'Intructivo control cambio'!$C$294:$C$317</xm:f>
          </x14:formula1>
          <xm:sqref>C6:T6</xm:sqref>
        </x14:dataValidation>
        <x14:dataValidation type="list" allowBlank="1" showInputMessage="1" showErrorMessage="1" xr:uid="{00000000-0002-0000-0900-000001000000}">
          <x14:formula1>
            <xm:f>'Intructivo control cambio'!$C$294:$C$308</xm:f>
          </x14:formula1>
          <xm:sqref>U6:Y6</xm:sqref>
        </x14:dataValidation>
        <x14:dataValidation type="list" allowBlank="1" showInputMessage="1" showErrorMessage="1" xr:uid="{00000000-0002-0000-0900-000002000000}">
          <x14:formula1>
            <xm:f>Listas!$H$15:$H$19</xm:f>
          </x14:formula1>
          <xm:sqref>M13:M72</xm:sqref>
        </x14:dataValidation>
        <x14:dataValidation type="list" allowBlank="1" showInputMessage="1" showErrorMessage="1" xr:uid="{00000000-0002-0000-0900-000003000000}">
          <x14:formula1>
            <xm:f>Listas!$H$2:$H$6</xm:f>
          </x14:formula1>
          <xm:sqref>X13:X72</xm:sqref>
        </x14:dataValidation>
        <x14:dataValidation type="list" allowBlank="1" showInputMessage="1" showErrorMessage="1" xr:uid="{00000000-0002-0000-0900-000004000000}">
          <x14:formula1>
            <xm:f>Listas!$H$9:$H$13</xm:f>
          </x14:formula1>
          <xm:sqref>L13:L72</xm:sqref>
        </x14:dataValidation>
        <x14:dataValidation type="list" allowBlank="1" showInputMessage="1" showErrorMessage="1" xr:uid="{00000000-0002-0000-0900-000005000000}">
          <x14:formula1>
            <xm:f>Listas!$F$9:$F$10</xm:f>
          </x14:formula1>
          <xm:sqref>H13:H72</xm:sqref>
        </x14:dataValidation>
        <x14:dataValidation type="list" allowBlank="1" showInputMessage="1" showErrorMessage="1" xr:uid="{00000000-0002-0000-0900-000006000000}">
          <x14:formula1>
            <xm:f>Listas!$B$26:$B$29</xm:f>
          </x14:formula1>
          <xm:sqref>G13:G72</xm:sqref>
        </x14:dataValidation>
        <x14:dataValidation type="custom" allowBlank="1" showInputMessage="1" showErrorMessage="1" error="Recuerde que las acciones se generan bajo la medida de mitigar el riesgo" xr:uid="{00000000-0002-0000-0900-000007000000}">
          <x14:formula1>
            <xm:f>IF(OR(#REF!=Listas!$B$2,#REF!=Listas!$B$3,#REF!=Listas!$B$4),ISBLANK(#REF!),ISTEXT(#REF!))</xm:f>
          </x14:formula1>
          <xm:sqref>AS19:AU19 AS67:AU67 AS61:AU61 AS55:AU55 AS49:AU49 AS43:AU43 AS37:AU37 AS31:AU31 AS25:AU25</xm:sqref>
        </x14:dataValidation>
        <x14:dataValidation type="list" allowBlank="1" showInputMessage="1" showErrorMessage="1" xr:uid="{00000000-0002-0000-0900-000008000000}">
          <x14:formula1>
            <xm:f>Listas!$B$2:$B$5</xm:f>
          </x14:formula1>
          <xm:sqref>AN13:AN72</xm:sqref>
        </x14:dataValidation>
        <x14:dataValidation type="list" allowBlank="1" showInputMessage="1" showErrorMessage="1" xr:uid="{00000000-0002-0000-0900-000009000000}">
          <x14:formula1>
            <xm:f>Listas!$E$2:$E$5</xm:f>
          </x14:formula1>
          <xm:sqref>B13:B72</xm:sqref>
        </x14:dataValidation>
        <x14:dataValidation type="list" allowBlank="1" showInputMessage="1" showErrorMessage="1" xr:uid="{00000000-0002-0000-0900-00000A000000}">
          <x14:formula1>
            <xm:f>'Tabla Valoración controles'!$D$13:$D$14</xm:f>
          </x14:formula1>
          <xm:sqref>AG13:AG72</xm:sqref>
        </x14:dataValidation>
        <x14:dataValidation type="list" allowBlank="1" showInputMessage="1" showErrorMessage="1" xr:uid="{00000000-0002-0000-0900-00000B000000}">
          <x14:formula1>
            <xm:f>'Tabla Valoración controles'!$D$11:$D$12</xm:f>
          </x14:formula1>
          <xm:sqref>AF13:AF72</xm:sqref>
        </x14:dataValidation>
        <x14:dataValidation type="list" allowBlank="1" showInputMessage="1" showErrorMessage="1" xr:uid="{00000000-0002-0000-0900-00000C000000}">
          <x14:formula1>
            <xm:f>'Tabla Valoración controles'!$D$9:$D$10</xm:f>
          </x14:formula1>
          <xm:sqref>AE13:AE72</xm:sqref>
        </x14:dataValidation>
        <x14:dataValidation type="list" allowBlank="1" showInputMessage="1" showErrorMessage="1" xr:uid="{00000000-0002-0000-0900-00000D000000}">
          <x14:formula1>
            <xm:f>'Tabla Valoración controles'!$D$7:$D$8</xm:f>
          </x14:formula1>
          <xm:sqref>AC13:AC72</xm:sqref>
        </x14:dataValidation>
        <x14:dataValidation type="list" allowBlank="1" showInputMessage="1" showErrorMessage="1" xr:uid="{00000000-0002-0000-0900-00000E000000}">
          <x14:formula1>
            <xm:f>'Tabla Valoración controles'!$D$4:$D$6</xm:f>
          </x14:formula1>
          <xm:sqref>AB13:AB72</xm:sqref>
        </x14:dataValidation>
        <x14:dataValidation type="list" allowBlank="1" showInputMessage="1" showErrorMessage="1" xr:uid="{00000000-0002-0000-0900-00000F000000}">
          <x14:formula1>
            <xm:f>'Tabla Impacto'!$F$240:$F$263</xm:f>
          </x14:formula1>
          <xm:sqref>Q13:Q72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2:F9"/>
  <sheetViews>
    <sheetView topLeftCell="A3" workbookViewId="0">
      <selection activeCell="B4" sqref="B4"/>
    </sheetView>
  </sheetViews>
  <sheetFormatPr baseColWidth="10" defaultColWidth="11.42578125" defaultRowHeight="12.75" x14ac:dyDescent="0.2"/>
  <cols>
    <col min="1" max="1" width="3.42578125" style="268" customWidth="1"/>
    <col min="2" max="2" width="14.28515625" style="1" customWidth="1"/>
    <col min="3" max="6" width="19.85546875" style="1" customWidth="1"/>
    <col min="7" max="16384" width="11.42578125" style="268"/>
  </cols>
  <sheetData>
    <row r="2" spans="2:6" x14ac:dyDescent="0.2">
      <c r="B2" s="609"/>
      <c r="C2" s="609"/>
      <c r="D2" s="609"/>
      <c r="E2" s="609"/>
      <c r="F2" s="609"/>
    </row>
    <row r="3" spans="2:6" x14ac:dyDescent="0.2">
      <c r="B3" s="291"/>
      <c r="C3" s="292"/>
      <c r="D3" s="292"/>
      <c r="E3" s="292"/>
      <c r="F3" s="292"/>
    </row>
    <row r="4" spans="2:6" ht="22.5" customHeight="1" x14ac:dyDescent="0.2">
      <c r="B4" s="293" t="s">
        <v>339</v>
      </c>
      <c r="C4" s="293" t="s">
        <v>340</v>
      </c>
      <c r="D4" s="294" t="s">
        <v>341</v>
      </c>
      <c r="E4" s="294" t="s">
        <v>342</v>
      </c>
      <c r="F4" s="294" t="s">
        <v>343</v>
      </c>
    </row>
    <row r="5" spans="2:6" ht="51" x14ac:dyDescent="0.2">
      <c r="B5" s="295" t="s">
        <v>344</v>
      </c>
      <c r="C5" s="296" t="s">
        <v>345</v>
      </c>
      <c r="D5" s="297" t="s">
        <v>346</v>
      </c>
      <c r="E5" s="298" t="s">
        <v>347</v>
      </c>
      <c r="F5" s="299" t="s">
        <v>348</v>
      </c>
    </row>
    <row r="6" spans="2:6" ht="76.5" x14ac:dyDescent="0.2">
      <c r="B6" s="300" t="s">
        <v>349</v>
      </c>
      <c r="C6" s="296" t="s">
        <v>350</v>
      </c>
      <c r="D6" s="297" t="s">
        <v>351</v>
      </c>
      <c r="E6" s="298" t="s">
        <v>352</v>
      </c>
      <c r="F6" s="299" t="s">
        <v>353</v>
      </c>
    </row>
    <row r="7" spans="2:6" ht="63.75" x14ac:dyDescent="0.2">
      <c r="B7" s="301" t="s">
        <v>354</v>
      </c>
      <c r="C7" s="296" t="s">
        <v>355</v>
      </c>
      <c r="D7" s="297" t="s">
        <v>356</v>
      </c>
      <c r="E7" s="298" t="s">
        <v>357</v>
      </c>
      <c r="F7" s="299" t="s">
        <v>358</v>
      </c>
    </row>
    <row r="8" spans="2:6" ht="51" x14ac:dyDescent="0.2">
      <c r="B8" s="302" t="s">
        <v>359</v>
      </c>
      <c r="C8" s="296" t="s">
        <v>360</v>
      </c>
      <c r="D8" s="297" t="s">
        <v>361</v>
      </c>
      <c r="E8" s="298" t="s">
        <v>362</v>
      </c>
      <c r="F8" s="299" t="s">
        <v>363</v>
      </c>
    </row>
    <row r="9" spans="2:6" ht="63.75" x14ac:dyDescent="0.2">
      <c r="B9" s="303" t="s">
        <v>364</v>
      </c>
      <c r="C9" s="296" t="s">
        <v>365</v>
      </c>
      <c r="D9" s="297" t="s">
        <v>366</v>
      </c>
      <c r="E9" s="298" t="s">
        <v>367</v>
      </c>
      <c r="F9" s="299" t="s">
        <v>368</v>
      </c>
    </row>
  </sheetData>
  <mergeCells count="1">
    <mergeCell ref="B2: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U263"/>
  <sheetViews>
    <sheetView zoomScale="60" zoomScaleNormal="60" workbookViewId="0">
      <selection activeCell="B2" sqref="B2:E2"/>
    </sheetView>
  </sheetViews>
  <sheetFormatPr baseColWidth="10" defaultColWidth="11.42578125" defaultRowHeight="15" x14ac:dyDescent="0.25"/>
  <cols>
    <col min="1" max="1" width="5.28515625" customWidth="1"/>
    <col min="2" max="2" width="56.85546875" customWidth="1"/>
    <col min="3" max="3" width="75.140625" customWidth="1"/>
    <col min="4" max="4" width="87.42578125" customWidth="1"/>
    <col min="5" max="5" width="46.42578125" customWidth="1"/>
    <col min="6" max="6" width="98.42578125" style="281" customWidth="1"/>
    <col min="7" max="7" width="26.85546875" customWidth="1"/>
    <col min="11" max="11" width="48.28515625" customWidth="1"/>
  </cols>
  <sheetData>
    <row r="2" spans="1:21" s="173" customFormat="1" ht="45.75" customHeight="1" x14ac:dyDescent="0.25">
      <c r="A2" s="172"/>
      <c r="B2" s="610" t="s">
        <v>369</v>
      </c>
      <c r="C2" s="610"/>
      <c r="D2" s="610"/>
      <c r="E2" s="610"/>
      <c r="F2" s="277"/>
      <c r="G2" s="172"/>
      <c r="H2" s="172"/>
      <c r="I2" s="172"/>
      <c r="J2" s="172"/>
      <c r="K2" s="172"/>
      <c r="L2" s="172"/>
      <c r="M2" s="172"/>
      <c r="N2" s="172"/>
      <c r="O2" s="172"/>
      <c r="P2" s="172"/>
      <c r="Q2" s="172"/>
      <c r="R2" s="172"/>
      <c r="S2" s="172"/>
      <c r="T2" s="172"/>
      <c r="U2" s="172"/>
    </row>
    <row r="3" spans="1:21" s="173" customFormat="1" ht="18.75" customHeight="1" x14ac:dyDescent="0.25">
      <c r="A3" s="172"/>
      <c r="B3" s="174"/>
      <c r="C3" s="172"/>
      <c r="D3" s="172"/>
      <c r="E3" s="172"/>
      <c r="F3" s="277"/>
      <c r="G3" s="172"/>
      <c r="H3" s="172"/>
      <c r="I3" s="172"/>
      <c r="J3" s="172"/>
      <c r="K3" s="172"/>
      <c r="L3" s="172"/>
      <c r="M3" s="172"/>
      <c r="N3" s="172"/>
      <c r="O3" s="172"/>
      <c r="P3" s="172"/>
      <c r="Q3" s="172"/>
      <c r="R3" s="172"/>
      <c r="S3" s="172"/>
      <c r="T3" s="172"/>
      <c r="U3" s="172"/>
    </row>
    <row r="4" spans="1:21" ht="67.5" customHeight="1" x14ac:dyDescent="0.25">
      <c r="A4" s="66"/>
      <c r="B4" s="106"/>
      <c r="C4" s="21" t="s">
        <v>370</v>
      </c>
      <c r="D4" s="21" t="s">
        <v>371</v>
      </c>
      <c r="E4" s="21" t="s">
        <v>372</v>
      </c>
      <c r="F4" s="278"/>
      <c r="G4" s="66"/>
      <c r="H4" s="66"/>
      <c r="I4" s="66"/>
      <c r="J4" s="66"/>
      <c r="K4" s="66"/>
      <c r="L4" s="66"/>
      <c r="M4" s="66"/>
      <c r="N4" s="66"/>
      <c r="O4" s="66"/>
      <c r="P4" s="66"/>
      <c r="Q4" s="66"/>
      <c r="R4" s="66"/>
      <c r="S4" s="66"/>
      <c r="T4" s="66"/>
      <c r="U4" s="66"/>
    </row>
    <row r="5" spans="1:21" ht="67.5" customHeight="1" x14ac:dyDescent="0.25">
      <c r="A5" s="86" t="s">
        <v>373</v>
      </c>
      <c r="B5" s="22" t="s">
        <v>344</v>
      </c>
      <c r="C5" s="27" t="s">
        <v>374</v>
      </c>
      <c r="D5" s="104" t="s">
        <v>375</v>
      </c>
      <c r="E5" s="205">
        <f>908526*130</f>
        <v>118108380</v>
      </c>
      <c r="F5" s="279"/>
      <c r="G5" s="66"/>
      <c r="H5" s="66"/>
      <c r="I5" s="66"/>
      <c r="J5" s="66"/>
      <c r="K5" s="66"/>
      <c r="L5" s="66"/>
      <c r="M5" s="66"/>
      <c r="N5" s="66"/>
      <c r="O5" s="66"/>
      <c r="P5" s="66"/>
      <c r="Q5" s="66"/>
      <c r="R5" s="66"/>
      <c r="S5" s="66"/>
      <c r="T5" s="66"/>
      <c r="U5" s="66"/>
    </row>
    <row r="6" spans="1:21" ht="129" customHeight="1" x14ac:dyDescent="0.25">
      <c r="A6" s="86" t="s">
        <v>376</v>
      </c>
      <c r="B6" s="23" t="s">
        <v>349</v>
      </c>
      <c r="C6" s="28" t="s">
        <v>377</v>
      </c>
      <c r="D6" s="105" t="s">
        <v>378</v>
      </c>
      <c r="E6" s="205">
        <f>908526*650</f>
        <v>590541900</v>
      </c>
      <c r="F6" s="279"/>
      <c r="G6" s="66"/>
      <c r="H6" s="66"/>
      <c r="I6" s="66"/>
      <c r="J6" s="66"/>
      <c r="K6" s="66"/>
      <c r="L6" s="66"/>
      <c r="M6" s="66"/>
      <c r="N6" s="66"/>
      <c r="O6" s="66"/>
      <c r="P6" s="66"/>
      <c r="Q6" s="66"/>
      <c r="R6" s="66"/>
      <c r="S6" s="66"/>
      <c r="T6" s="66"/>
      <c r="U6" s="66"/>
    </row>
    <row r="7" spans="1:21" ht="101.25" x14ac:dyDescent="0.25">
      <c r="A7" s="86" t="s">
        <v>287</v>
      </c>
      <c r="B7" s="24" t="s">
        <v>354</v>
      </c>
      <c r="C7" s="28" t="s">
        <v>379</v>
      </c>
      <c r="D7" s="105" t="s">
        <v>380</v>
      </c>
      <c r="E7" s="205">
        <f>908526*1300</f>
        <v>1181083800</v>
      </c>
      <c r="F7" s="279"/>
      <c r="G7" s="66"/>
      <c r="H7" s="66"/>
      <c r="I7" s="66"/>
      <c r="J7" s="66"/>
      <c r="K7" s="66"/>
      <c r="L7" s="66"/>
      <c r="M7" s="66"/>
      <c r="N7" s="66"/>
      <c r="O7" s="66"/>
      <c r="P7" s="66"/>
      <c r="Q7" s="66"/>
      <c r="R7" s="66"/>
      <c r="S7" s="66"/>
      <c r="T7" s="66"/>
      <c r="U7" s="66"/>
    </row>
    <row r="8" spans="1:21" ht="135" x14ac:dyDescent="0.25">
      <c r="A8" s="86" t="s">
        <v>381</v>
      </c>
      <c r="B8" s="25" t="s">
        <v>359</v>
      </c>
      <c r="C8" s="28" t="s">
        <v>382</v>
      </c>
      <c r="D8" s="105" t="s">
        <v>383</v>
      </c>
      <c r="E8" s="205">
        <f>908526*6500</f>
        <v>5905419000</v>
      </c>
      <c r="F8" s="279"/>
      <c r="G8" s="66"/>
      <c r="H8" s="66"/>
      <c r="I8" s="66"/>
      <c r="J8" s="66"/>
      <c r="K8" s="66"/>
      <c r="L8" s="66"/>
      <c r="M8" s="66"/>
      <c r="N8" s="66"/>
      <c r="O8" s="66"/>
      <c r="P8" s="66"/>
      <c r="Q8" s="66"/>
      <c r="R8" s="66"/>
      <c r="S8" s="66"/>
      <c r="T8" s="66"/>
      <c r="U8" s="66"/>
    </row>
    <row r="9" spans="1:21" ht="101.25" x14ac:dyDescent="0.25">
      <c r="A9" s="86" t="s">
        <v>384</v>
      </c>
      <c r="B9" s="26" t="s">
        <v>364</v>
      </c>
      <c r="C9" s="28" t="s">
        <v>385</v>
      </c>
      <c r="D9" s="105" t="s">
        <v>386</v>
      </c>
      <c r="E9" s="205"/>
      <c r="F9" s="280"/>
      <c r="G9" s="107"/>
      <c r="H9" s="66"/>
      <c r="I9" s="66"/>
      <c r="J9" s="66"/>
      <c r="K9" s="66"/>
      <c r="L9" s="66"/>
      <c r="M9" s="66"/>
      <c r="N9" s="66"/>
      <c r="O9" s="66"/>
      <c r="P9" s="66"/>
      <c r="Q9" s="66"/>
      <c r="R9" s="66"/>
      <c r="S9" s="66"/>
      <c r="T9" s="66"/>
      <c r="U9" s="66"/>
    </row>
    <row r="10" spans="1:21" s="110" customFormat="1" ht="20.25" x14ac:dyDescent="0.25">
      <c r="A10" s="108"/>
      <c r="B10" s="108"/>
      <c r="C10" s="109"/>
      <c r="D10" s="109"/>
      <c r="E10" s="108"/>
      <c r="F10" s="274"/>
      <c r="G10" s="108"/>
      <c r="H10" s="108"/>
      <c r="I10" s="108"/>
      <c r="J10" s="108"/>
      <c r="K10" s="108"/>
      <c r="L10" s="108"/>
      <c r="M10" s="108"/>
      <c r="N10" s="108"/>
      <c r="O10" s="108"/>
      <c r="P10" s="108"/>
      <c r="Q10" s="108"/>
      <c r="R10" s="108"/>
      <c r="S10" s="108"/>
      <c r="T10" s="108"/>
      <c r="U10" s="108"/>
    </row>
    <row r="11" spans="1:21" s="110" customFormat="1" ht="16.5" x14ac:dyDescent="0.25">
      <c r="A11" s="108"/>
      <c r="B11" s="111"/>
      <c r="C11" s="111"/>
      <c r="D11" s="111"/>
      <c r="E11" s="108"/>
      <c r="F11" s="274"/>
      <c r="G11" s="108"/>
      <c r="H11" s="108"/>
      <c r="I11" s="108"/>
      <c r="J11" s="108"/>
      <c r="K11" s="108"/>
      <c r="L11" s="108"/>
      <c r="M11" s="108"/>
      <c r="N11" s="108"/>
      <c r="O11" s="108"/>
      <c r="P11" s="108"/>
      <c r="Q11" s="108"/>
      <c r="R11" s="108"/>
      <c r="S11" s="108"/>
      <c r="T11" s="108"/>
      <c r="U11" s="108"/>
    </row>
    <row r="12" spans="1:21" s="110" customFormat="1" x14ac:dyDescent="0.25">
      <c r="A12" s="108"/>
      <c r="B12" s="108" t="s">
        <v>387</v>
      </c>
      <c r="C12" s="108" t="s">
        <v>388</v>
      </c>
      <c r="D12" s="108" t="s">
        <v>389</v>
      </c>
      <c r="E12" s="108"/>
      <c r="F12" s="274"/>
      <c r="G12" s="108"/>
      <c r="H12" s="108"/>
      <c r="I12" s="108"/>
      <c r="J12" s="108"/>
      <c r="K12" s="108"/>
      <c r="L12" s="108"/>
      <c r="M12" s="108"/>
      <c r="N12" s="108"/>
      <c r="O12" s="108"/>
      <c r="P12" s="108"/>
      <c r="Q12" s="108"/>
      <c r="R12" s="108"/>
      <c r="S12" s="108"/>
      <c r="T12" s="108"/>
      <c r="U12" s="108"/>
    </row>
    <row r="13" spans="1:21" s="110" customFormat="1" x14ac:dyDescent="0.25">
      <c r="A13" s="108"/>
      <c r="B13" s="108" t="s">
        <v>390</v>
      </c>
      <c r="C13" s="108" t="s">
        <v>391</v>
      </c>
      <c r="D13" s="108" t="s">
        <v>273</v>
      </c>
      <c r="E13" s="108"/>
      <c r="F13" s="274"/>
      <c r="G13" s="108"/>
      <c r="H13" s="108"/>
      <c r="I13" s="108"/>
      <c r="J13" s="108"/>
      <c r="K13" s="108"/>
      <c r="L13" s="108"/>
      <c r="M13" s="108"/>
      <c r="N13" s="108"/>
      <c r="O13" s="108"/>
      <c r="P13" s="108"/>
      <c r="Q13" s="108"/>
      <c r="R13" s="108"/>
      <c r="S13" s="108"/>
      <c r="T13" s="108"/>
      <c r="U13" s="108"/>
    </row>
    <row r="14" spans="1:21" s="110" customFormat="1" x14ac:dyDescent="0.25">
      <c r="A14" s="108"/>
      <c r="B14" s="108"/>
      <c r="C14" s="108" t="s">
        <v>392</v>
      </c>
      <c r="D14" s="108" t="s">
        <v>327</v>
      </c>
      <c r="E14" s="108"/>
      <c r="F14" s="274"/>
      <c r="G14" s="108"/>
      <c r="H14" s="108"/>
      <c r="I14" s="108"/>
      <c r="J14" s="108"/>
      <c r="K14" s="108"/>
      <c r="L14" s="108"/>
      <c r="M14" s="108"/>
      <c r="N14" s="108"/>
      <c r="O14" s="108"/>
      <c r="P14" s="108"/>
      <c r="Q14" s="108"/>
      <c r="R14" s="108"/>
      <c r="S14" s="108"/>
      <c r="T14" s="108"/>
      <c r="U14" s="108"/>
    </row>
    <row r="15" spans="1:21" s="110" customFormat="1" x14ac:dyDescent="0.25">
      <c r="A15" s="108"/>
      <c r="B15" s="108"/>
      <c r="C15" s="108" t="s">
        <v>393</v>
      </c>
      <c r="D15" s="108" t="s">
        <v>329</v>
      </c>
      <c r="E15" s="108"/>
      <c r="F15" s="274"/>
      <c r="G15" s="108"/>
      <c r="H15" s="108"/>
      <c r="I15" s="108"/>
      <c r="J15" s="108"/>
      <c r="K15" s="108"/>
      <c r="L15" s="108"/>
      <c r="M15" s="108"/>
      <c r="N15" s="108"/>
      <c r="O15" s="108"/>
      <c r="P15" s="108"/>
      <c r="Q15" s="108"/>
      <c r="R15" s="108"/>
      <c r="S15" s="108"/>
      <c r="T15" s="108"/>
      <c r="U15" s="108"/>
    </row>
    <row r="16" spans="1:21" s="110" customFormat="1" x14ac:dyDescent="0.25">
      <c r="A16" s="108"/>
      <c r="B16" s="108"/>
      <c r="C16" s="108" t="s">
        <v>394</v>
      </c>
      <c r="D16" s="108" t="s">
        <v>331</v>
      </c>
      <c r="E16" s="108"/>
      <c r="F16" s="274"/>
      <c r="G16" s="108"/>
      <c r="H16" s="108"/>
      <c r="I16" s="108"/>
      <c r="J16" s="108"/>
      <c r="K16" s="108"/>
      <c r="L16" s="108"/>
      <c r="M16" s="108"/>
      <c r="N16" s="108"/>
      <c r="O16" s="108"/>
      <c r="P16" s="108"/>
      <c r="Q16" s="108"/>
      <c r="R16" s="108"/>
      <c r="S16" s="108"/>
      <c r="T16" s="108"/>
      <c r="U16" s="108"/>
    </row>
    <row r="17" spans="1:15" s="110" customFormat="1" x14ac:dyDescent="0.25">
      <c r="A17" s="108"/>
      <c r="B17" s="108"/>
      <c r="C17" s="108"/>
      <c r="D17" s="108"/>
      <c r="E17" s="108"/>
      <c r="F17" s="274"/>
      <c r="G17" s="108"/>
      <c r="H17" s="108"/>
      <c r="I17" s="108"/>
      <c r="J17" s="108"/>
      <c r="K17" s="108"/>
      <c r="L17" s="108"/>
      <c r="M17" s="108"/>
      <c r="N17" s="108"/>
      <c r="O17" s="108"/>
    </row>
    <row r="18" spans="1:15" s="110" customFormat="1" x14ac:dyDescent="0.25">
      <c r="A18" s="108"/>
      <c r="B18" s="108"/>
      <c r="C18" s="108"/>
      <c r="D18" s="108"/>
      <c r="E18" s="108"/>
      <c r="F18" s="274"/>
      <c r="G18" s="108"/>
      <c r="H18" s="108"/>
      <c r="I18" s="108"/>
      <c r="J18" s="108"/>
      <c r="K18" s="108"/>
      <c r="L18" s="108"/>
      <c r="M18" s="108"/>
      <c r="N18" s="108"/>
      <c r="O18" s="108"/>
    </row>
    <row r="19" spans="1:15" s="110" customFormat="1" x14ac:dyDescent="0.25">
      <c r="A19" s="108"/>
      <c r="B19" s="108"/>
      <c r="C19" s="108"/>
      <c r="D19" s="108"/>
      <c r="E19" s="108"/>
      <c r="F19" s="274"/>
      <c r="G19" s="108"/>
      <c r="H19" s="108"/>
      <c r="I19" s="108"/>
      <c r="J19" s="108"/>
      <c r="K19" s="108"/>
      <c r="L19" s="108"/>
      <c r="M19" s="108"/>
      <c r="N19" s="108"/>
      <c r="O19" s="108"/>
    </row>
    <row r="20" spans="1:15" s="110" customFormat="1" x14ac:dyDescent="0.25">
      <c r="A20" s="108"/>
      <c r="B20" s="108"/>
      <c r="C20" s="108"/>
      <c r="D20" s="108"/>
      <c r="E20" s="108"/>
      <c r="F20" s="274"/>
      <c r="G20" s="108"/>
      <c r="H20" s="108"/>
      <c r="I20" s="108"/>
      <c r="J20" s="108"/>
      <c r="K20" s="108"/>
      <c r="L20" s="108"/>
      <c r="M20" s="108"/>
      <c r="N20" s="108"/>
      <c r="O20" s="108"/>
    </row>
    <row r="21" spans="1:15" s="110" customFormat="1" x14ac:dyDescent="0.25">
      <c r="A21" s="108"/>
      <c r="B21" s="108"/>
      <c r="C21" s="108"/>
      <c r="D21" s="108"/>
      <c r="E21" s="108"/>
      <c r="F21" s="275"/>
      <c r="G21" s="108"/>
      <c r="H21" s="108"/>
      <c r="I21" s="108"/>
      <c r="J21" s="108"/>
      <c r="K21" s="108"/>
      <c r="L21" s="108"/>
      <c r="M21" s="108"/>
      <c r="N21" s="108"/>
      <c r="O21" s="108"/>
    </row>
    <row r="22" spans="1:15" s="110" customFormat="1" x14ac:dyDescent="0.25">
      <c r="A22" s="108"/>
      <c r="B22" s="108"/>
      <c r="C22" s="108"/>
      <c r="D22" s="108"/>
      <c r="E22" s="108"/>
      <c r="F22" s="275"/>
      <c r="G22" s="108"/>
      <c r="H22" s="108"/>
      <c r="I22" s="108"/>
      <c r="J22" s="108"/>
      <c r="K22" s="108"/>
      <c r="L22" s="108"/>
      <c r="M22" s="108"/>
      <c r="N22" s="108"/>
      <c r="O22" s="108"/>
    </row>
    <row r="23" spans="1:15" s="110" customFormat="1" ht="20.25" x14ac:dyDescent="0.25">
      <c r="A23" s="108"/>
      <c r="B23" s="108"/>
      <c r="C23" s="109"/>
      <c r="D23" s="109"/>
      <c r="E23" s="108"/>
      <c r="F23" s="275"/>
      <c r="G23" s="108"/>
      <c r="H23" s="108"/>
      <c r="I23" s="108"/>
      <c r="J23" s="108"/>
      <c r="K23" s="108"/>
      <c r="L23" s="108"/>
      <c r="M23" s="108"/>
      <c r="N23" s="108"/>
      <c r="O23" s="108"/>
    </row>
    <row r="24" spans="1:15" s="110" customFormat="1" ht="20.25" x14ac:dyDescent="0.25">
      <c r="A24" s="108"/>
      <c r="B24" s="108"/>
      <c r="C24" s="109"/>
      <c r="D24" s="109"/>
      <c r="E24" s="108"/>
      <c r="F24" s="275"/>
      <c r="G24" s="108"/>
      <c r="H24" s="108"/>
      <c r="I24" s="108"/>
      <c r="J24" s="108"/>
      <c r="K24" s="108"/>
      <c r="L24" s="108"/>
      <c r="M24" s="108"/>
      <c r="N24" s="108"/>
      <c r="O24" s="108"/>
    </row>
    <row r="25" spans="1:15" s="110" customFormat="1" ht="20.25" x14ac:dyDescent="0.25">
      <c r="A25" s="108"/>
      <c r="B25" s="108"/>
      <c r="C25" s="109"/>
      <c r="D25" s="109"/>
      <c r="E25" s="108"/>
      <c r="F25" s="275"/>
      <c r="G25" s="108"/>
      <c r="H25" s="108"/>
      <c r="I25" s="108"/>
      <c r="J25" s="108"/>
      <c r="K25" s="108"/>
      <c r="L25" s="108"/>
      <c r="M25" s="108"/>
      <c r="N25" s="108"/>
      <c r="O25" s="108"/>
    </row>
    <row r="26" spans="1:15" s="110" customFormat="1" ht="20.25" x14ac:dyDescent="0.25">
      <c r="A26" s="108"/>
      <c r="B26" s="108"/>
      <c r="C26" s="109"/>
      <c r="D26" s="109"/>
      <c r="E26" s="108"/>
      <c r="F26" s="275"/>
      <c r="G26" s="108"/>
      <c r="H26" s="108"/>
      <c r="I26" s="108"/>
      <c r="J26" s="108"/>
      <c r="K26" s="108"/>
      <c r="L26" s="108"/>
      <c r="M26" s="108"/>
      <c r="N26" s="108"/>
      <c r="O26" s="108"/>
    </row>
    <row r="27" spans="1:15" s="110" customFormat="1" ht="20.25" x14ac:dyDescent="0.25">
      <c r="A27" s="108"/>
      <c r="B27" s="108"/>
      <c r="C27" s="109"/>
      <c r="D27" s="109"/>
      <c r="E27" s="108"/>
      <c r="F27" s="275"/>
      <c r="G27" s="108"/>
      <c r="H27" s="108"/>
      <c r="I27" s="108"/>
      <c r="J27" s="108"/>
      <c r="K27" s="108"/>
      <c r="L27" s="108"/>
      <c r="M27" s="108"/>
      <c r="N27" s="108"/>
      <c r="O27" s="108"/>
    </row>
    <row r="28" spans="1:15" s="110" customFormat="1" ht="20.25" x14ac:dyDescent="0.25">
      <c r="A28" s="108"/>
      <c r="B28" s="108"/>
      <c r="C28" s="109"/>
      <c r="D28" s="109"/>
      <c r="E28" s="108"/>
      <c r="F28" s="275"/>
      <c r="G28" s="108"/>
      <c r="H28" s="108"/>
      <c r="I28" s="108"/>
      <c r="J28" s="108"/>
      <c r="K28" s="108"/>
      <c r="L28" s="108"/>
      <c r="M28" s="108"/>
      <c r="N28" s="108"/>
      <c r="O28" s="108"/>
    </row>
    <row r="29" spans="1:15" s="110" customFormat="1" ht="20.25" x14ac:dyDescent="0.25">
      <c r="A29" s="108"/>
      <c r="B29" s="108"/>
      <c r="C29" s="109"/>
      <c r="D29" s="109"/>
      <c r="E29" s="108"/>
      <c r="F29" s="275"/>
      <c r="G29" s="108"/>
      <c r="H29" s="108"/>
      <c r="I29" s="108"/>
      <c r="J29" s="108"/>
      <c r="K29" s="108"/>
      <c r="L29" s="108"/>
      <c r="M29" s="108"/>
      <c r="N29" s="108"/>
      <c r="O29" s="108"/>
    </row>
    <row r="30" spans="1:15" s="110" customFormat="1" ht="20.25" x14ac:dyDescent="0.25">
      <c r="A30" s="108"/>
      <c r="B30" s="108"/>
      <c r="C30" s="109"/>
      <c r="D30" s="109"/>
      <c r="E30" s="108"/>
      <c r="F30" s="275"/>
      <c r="G30" s="108"/>
      <c r="H30" s="108"/>
      <c r="I30" s="108"/>
      <c r="J30" s="108"/>
      <c r="K30" s="108"/>
      <c r="L30" s="108"/>
      <c r="M30" s="108"/>
      <c r="N30" s="108"/>
      <c r="O30" s="108"/>
    </row>
    <row r="31" spans="1:15" s="110" customFormat="1" ht="20.25" x14ac:dyDescent="0.25">
      <c r="A31" s="108"/>
      <c r="B31" s="108"/>
      <c r="C31" s="109"/>
      <c r="D31" s="109"/>
      <c r="E31" s="108"/>
      <c r="F31" s="275"/>
      <c r="G31" s="108"/>
      <c r="H31" s="108"/>
      <c r="I31" s="108"/>
      <c r="J31" s="108"/>
      <c r="K31" s="108"/>
      <c r="L31" s="108"/>
      <c r="M31" s="108"/>
      <c r="N31" s="108"/>
      <c r="O31" s="108"/>
    </row>
    <row r="32" spans="1:15" s="110" customFormat="1" ht="20.25" x14ac:dyDescent="0.25">
      <c r="A32" s="108"/>
      <c r="B32" s="108"/>
      <c r="C32" s="109"/>
      <c r="D32" s="109"/>
      <c r="E32" s="108"/>
      <c r="F32" s="275"/>
      <c r="G32" s="108"/>
      <c r="H32" s="108"/>
      <c r="I32" s="108"/>
      <c r="J32" s="108"/>
      <c r="K32" s="108"/>
      <c r="L32" s="108"/>
      <c r="M32" s="108"/>
      <c r="N32" s="108"/>
      <c r="O32" s="108"/>
    </row>
    <row r="33" spans="1:15" s="110" customFormat="1" ht="20.25" x14ac:dyDescent="0.25">
      <c r="A33" s="108"/>
      <c r="B33" s="108"/>
      <c r="C33" s="109"/>
      <c r="D33" s="109"/>
      <c r="E33" s="108"/>
      <c r="F33" s="275"/>
      <c r="G33" s="108"/>
      <c r="H33" s="108"/>
      <c r="I33" s="108"/>
      <c r="J33" s="108"/>
      <c r="K33" s="108"/>
      <c r="L33" s="108"/>
      <c r="M33" s="108"/>
      <c r="N33" s="108"/>
      <c r="O33" s="108"/>
    </row>
    <row r="34" spans="1:15" s="110" customFormat="1" ht="20.25" x14ac:dyDescent="0.25">
      <c r="A34" s="108"/>
      <c r="B34" s="108"/>
      <c r="C34" s="109"/>
      <c r="D34" s="109"/>
      <c r="E34" s="108"/>
      <c r="F34" s="275"/>
      <c r="G34" s="108"/>
      <c r="H34" s="108"/>
      <c r="I34" s="108"/>
      <c r="J34" s="108"/>
      <c r="K34" s="108"/>
      <c r="L34" s="108"/>
      <c r="M34" s="108"/>
      <c r="N34" s="108"/>
      <c r="O34" s="108"/>
    </row>
    <row r="35" spans="1:15" s="110" customFormat="1" ht="20.25" x14ac:dyDescent="0.25">
      <c r="A35" s="108"/>
      <c r="B35" s="108"/>
      <c r="C35" s="109"/>
      <c r="D35" s="109"/>
      <c r="E35" s="108"/>
      <c r="F35" s="275"/>
      <c r="G35" s="108"/>
      <c r="H35" s="108"/>
      <c r="I35" s="108"/>
      <c r="J35" s="108"/>
      <c r="K35" s="108"/>
      <c r="L35" s="108"/>
      <c r="M35" s="108"/>
      <c r="N35" s="108"/>
      <c r="O35" s="108"/>
    </row>
    <row r="36" spans="1:15" s="110" customFormat="1" ht="20.25" x14ac:dyDescent="0.25">
      <c r="A36" s="108"/>
      <c r="B36" s="108"/>
      <c r="C36" s="109"/>
      <c r="D36" s="109"/>
      <c r="E36" s="108"/>
      <c r="F36" s="275"/>
      <c r="G36" s="108"/>
      <c r="H36" s="108"/>
      <c r="I36" s="108"/>
      <c r="J36" s="108"/>
      <c r="K36" s="108"/>
      <c r="L36" s="108"/>
      <c r="M36" s="108"/>
      <c r="N36" s="108"/>
      <c r="O36" s="108"/>
    </row>
    <row r="37" spans="1:15" s="110" customFormat="1" ht="20.25" x14ac:dyDescent="0.25">
      <c r="A37" s="108"/>
      <c r="B37" s="108"/>
      <c r="C37" s="109"/>
      <c r="D37" s="109"/>
      <c r="E37" s="108"/>
      <c r="F37" s="275"/>
      <c r="G37" s="108"/>
      <c r="H37" s="108"/>
      <c r="I37" s="108"/>
      <c r="J37" s="108"/>
      <c r="K37" s="108"/>
      <c r="L37" s="108"/>
      <c r="M37" s="108"/>
      <c r="N37" s="108"/>
      <c r="O37" s="108"/>
    </row>
    <row r="38" spans="1:15" s="110" customFormat="1" ht="20.25" x14ac:dyDescent="0.25">
      <c r="A38" s="108"/>
      <c r="B38" s="108"/>
      <c r="C38" s="109"/>
      <c r="D38" s="109"/>
      <c r="E38" s="108"/>
      <c r="F38" s="275"/>
      <c r="G38" s="108"/>
      <c r="H38" s="108"/>
      <c r="I38" s="108"/>
      <c r="J38" s="108"/>
      <c r="K38" s="108"/>
      <c r="L38" s="108"/>
      <c r="M38" s="108"/>
      <c r="N38" s="108"/>
      <c r="O38" s="108"/>
    </row>
    <row r="39" spans="1:15" s="110" customFormat="1" ht="20.25" x14ac:dyDescent="0.25">
      <c r="A39" s="108"/>
      <c r="B39" s="108"/>
      <c r="C39" s="109"/>
      <c r="D39" s="109"/>
      <c r="E39" s="108"/>
      <c r="F39" s="275"/>
      <c r="G39" s="108"/>
      <c r="H39" s="108"/>
      <c r="I39" s="108"/>
      <c r="J39" s="108"/>
      <c r="K39" s="108"/>
      <c r="L39" s="108"/>
      <c r="M39" s="108"/>
      <c r="N39" s="108"/>
      <c r="O39" s="108"/>
    </row>
    <row r="40" spans="1:15" s="110" customFormat="1" ht="20.25" x14ac:dyDescent="0.25">
      <c r="A40" s="108"/>
      <c r="B40" s="108"/>
      <c r="C40" s="109"/>
      <c r="D40" s="109"/>
      <c r="E40" s="108"/>
      <c r="F40" s="275"/>
      <c r="G40" s="108"/>
      <c r="H40" s="108"/>
      <c r="I40" s="108"/>
      <c r="J40" s="108"/>
      <c r="K40" s="108"/>
      <c r="L40" s="108"/>
      <c r="M40" s="108"/>
      <c r="N40" s="108"/>
      <c r="O40" s="108"/>
    </row>
    <row r="41" spans="1:15" s="110" customFormat="1" ht="20.25" x14ac:dyDescent="0.25">
      <c r="A41" s="108"/>
      <c r="B41" s="108"/>
      <c r="C41" s="109"/>
      <c r="D41" s="109"/>
      <c r="E41" s="108"/>
      <c r="F41" s="275"/>
      <c r="G41" s="108"/>
      <c r="H41" s="108"/>
      <c r="I41" s="108"/>
      <c r="J41" s="108"/>
      <c r="K41" s="108"/>
      <c r="L41" s="108"/>
      <c r="M41" s="108"/>
      <c r="N41" s="108"/>
      <c r="O41" s="108"/>
    </row>
    <row r="42" spans="1:15" s="110" customFormat="1" ht="20.25" x14ac:dyDescent="0.25">
      <c r="A42" s="108"/>
      <c r="B42" s="108"/>
      <c r="C42" s="109"/>
      <c r="D42" s="109"/>
      <c r="E42" s="108"/>
      <c r="F42" s="275"/>
      <c r="G42" s="108"/>
      <c r="H42" s="108"/>
      <c r="I42" s="108"/>
      <c r="J42" s="108"/>
      <c r="K42" s="108"/>
      <c r="L42" s="108"/>
      <c r="M42" s="108"/>
      <c r="N42" s="108"/>
      <c r="O42" s="108"/>
    </row>
    <row r="43" spans="1:15" s="110" customFormat="1" ht="20.25" x14ac:dyDescent="0.25">
      <c r="A43" s="108"/>
      <c r="B43" s="108"/>
      <c r="C43" s="109"/>
      <c r="D43" s="109"/>
      <c r="E43" s="108"/>
      <c r="F43" s="275"/>
      <c r="G43" s="108"/>
      <c r="H43" s="108"/>
      <c r="I43" s="108"/>
      <c r="J43" s="108"/>
      <c r="K43" s="108"/>
      <c r="L43" s="108"/>
      <c r="M43" s="108"/>
      <c r="N43" s="108"/>
      <c r="O43" s="108"/>
    </row>
    <row r="44" spans="1:15" s="110" customFormat="1" ht="20.25" x14ac:dyDescent="0.25">
      <c r="A44" s="108"/>
      <c r="B44" s="108"/>
      <c r="C44" s="109"/>
      <c r="D44" s="109"/>
      <c r="E44" s="108"/>
      <c r="F44" s="275"/>
      <c r="G44" s="108"/>
      <c r="H44" s="108"/>
      <c r="I44" s="108"/>
      <c r="J44" s="108"/>
      <c r="K44" s="108"/>
      <c r="L44" s="108"/>
      <c r="M44" s="108"/>
      <c r="N44" s="108"/>
      <c r="O44" s="108"/>
    </row>
    <row r="45" spans="1:15" s="110" customFormat="1" ht="20.25" x14ac:dyDescent="0.25">
      <c r="A45" s="108"/>
      <c r="B45" s="108"/>
      <c r="C45" s="109"/>
      <c r="D45" s="109"/>
      <c r="E45" s="108"/>
      <c r="F45" s="275"/>
      <c r="G45" s="108"/>
      <c r="H45" s="108"/>
      <c r="I45" s="108"/>
      <c r="J45" s="108"/>
      <c r="K45" s="108"/>
      <c r="L45" s="108"/>
      <c r="M45" s="108"/>
      <c r="N45" s="108"/>
      <c r="O45" s="108"/>
    </row>
    <row r="46" spans="1:15" s="110" customFormat="1" ht="20.25" x14ac:dyDescent="0.25">
      <c r="A46" s="108"/>
      <c r="B46" s="108"/>
      <c r="C46" s="109"/>
      <c r="D46" s="109"/>
      <c r="E46" s="108"/>
      <c r="F46" s="275"/>
      <c r="G46" s="108"/>
      <c r="H46" s="108"/>
      <c r="I46" s="108"/>
      <c r="J46" s="108"/>
      <c r="K46" s="108"/>
      <c r="L46" s="108"/>
      <c r="M46" s="108"/>
      <c r="N46" s="108"/>
      <c r="O46" s="108"/>
    </row>
    <row r="47" spans="1:15" ht="20.25" x14ac:dyDescent="0.25">
      <c r="A47" s="86"/>
      <c r="B47" s="86"/>
      <c r="C47" s="87"/>
      <c r="D47" s="87"/>
      <c r="E47" s="66"/>
      <c r="F47" s="278"/>
      <c r="G47" s="66"/>
      <c r="H47" s="66"/>
      <c r="I47" s="66"/>
      <c r="J47" s="66"/>
      <c r="K47" s="66"/>
      <c r="L47" s="66"/>
      <c r="M47" s="66"/>
      <c r="N47" s="66"/>
      <c r="O47" s="66"/>
    </row>
    <row r="48" spans="1:15" ht="20.25" x14ac:dyDescent="0.25">
      <c r="A48" s="86"/>
      <c r="B48" s="86"/>
      <c r="C48" s="87"/>
      <c r="D48" s="87"/>
      <c r="E48" s="66"/>
      <c r="F48" s="278"/>
      <c r="G48" s="66"/>
      <c r="H48" s="66"/>
      <c r="I48" s="66"/>
      <c r="J48" s="66"/>
      <c r="K48" s="66"/>
      <c r="L48" s="66"/>
      <c r="M48" s="66"/>
      <c r="N48" s="66"/>
      <c r="O48" s="66"/>
    </row>
    <row r="49" spans="1:15" ht="20.25" x14ac:dyDescent="0.25">
      <c r="A49" s="86"/>
      <c r="B49" s="86"/>
      <c r="C49" s="87"/>
      <c r="D49" s="87"/>
      <c r="E49" s="66"/>
      <c r="F49" s="278"/>
      <c r="G49" s="66"/>
      <c r="H49" s="66"/>
      <c r="I49" s="66"/>
      <c r="J49" s="66"/>
      <c r="K49" s="66"/>
      <c r="L49" s="66"/>
      <c r="M49" s="66"/>
      <c r="N49" s="66"/>
      <c r="O49" s="66"/>
    </row>
    <row r="50" spans="1:15" ht="20.25" x14ac:dyDescent="0.25">
      <c r="A50" s="86"/>
      <c r="B50" s="86"/>
      <c r="C50" s="87"/>
      <c r="D50" s="87"/>
      <c r="E50" s="66"/>
      <c r="F50" s="278"/>
      <c r="G50" s="66"/>
      <c r="H50" s="66"/>
      <c r="I50" s="66"/>
      <c r="J50" s="66"/>
      <c r="K50" s="66"/>
      <c r="L50" s="66"/>
      <c r="M50" s="66"/>
      <c r="N50" s="66"/>
      <c r="O50" s="66"/>
    </row>
    <row r="51" spans="1:15" ht="20.25" x14ac:dyDescent="0.25">
      <c r="A51" s="86"/>
      <c r="B51" s="86"/>
      <c r="C51" s="87"/>
      <c r="D51" s="87"/>
      <c r="E51" s="66"/>
      <c r="F51" s="278"/>
      <c r="G51" s="66"/>
      <c r="H51" s="66"/>
      <c r="I51" s="66"/>
      <c r="J51" s="66"/>
      <c r="K51" s="66"/>
      <c r="L51" s="66"/>
      <c r="M51" s="66"/>
      <c r="N51" s="66"/>
      <c r="O51" s="66"/>
    </row>
    <row r="52" spans="1:15" ht="20.25" x14ac:dyDescent="0.25">
      <c r="A52" s="86"/>
      <c r="B52" s="86"/>
      <c r="C52" s="87"/>
      <c r="D52" s="87"/>
      <c r="E52" s="66"/>
      <c r="F52" s="278"/>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281" t="s">
        <v>287</v>
      </c>
    </row>
    <row r="209" spans="1:8" x14ac:dyDescent="0.25">
      <c r="A209" s="66"/>
      <c r="B209" s="15"/>
      <c r="C209" s="15"/>
      <c r="D209" s="15"/>
      <c r="F209" s="281" t="s">
        <v>381</v>
      </c>
    </row>
    <row r="210" spans="1:8" ht="20.25" x14ac:dyDescent="0.25">
      <c r="A210" s="66"/>
      <c r="B210" s="16" t="s">
        <v>395</v>
      </c>
      <c r="C210" s="16" t="s">
        <v>396</v>
      </c>
      <c r="D210" s="19" t="s">
        <v>395</v>
      </c>
      <c r="E210" s="19" t="s">
        <v>396</v>
      </c>
      <c r="F210" s="281" t="s">
        <v>397</v>
      </c>
    </row>
    <row r="211" spans="1:8" ht="21" x14ac:dyDescent="0.35">
      <c r="A211" s="66"/>
      <c r="B211" s="17" t="s">
        <v>398</v>
      </c>
      <c r="C211" s="114" t="s">
        <v>399</v>
      </c>
      <c r="D211" s="113" t="s">
        <v>398</v>
      </c>
      <c r="F211" s="281" t="str">
        <f>IF(NOT(ISBLANK(D211)),D211,IF(NOT(ISBLANK(E211)),"     "&amp;E211,FALSE))</f>
        <v>Afectación Económica o presupuestal</v>
      </c>
      <c r="G211" t="s">
        <v>398</v>
      </c>
      <c r="H211" t="str">
        <f>IF(NOT(ISERROR(MATCH(G211,_xlfn.ANCHORARRAY(B245),0))),F224&amp;"Por favor no seleccionar los criterios de impacto",G211)</f>
        <v>Afectación Económica o presupuestal</v>
      </c>
    </row>
    <row r="212" spans="1:8" ht="21" x14ac:dyDescent="0.35">
      <c r="A212" s="66"/>
      <c r="B212" s="17" t="s">
        <v>398</v>
      </c>
      <c r="C212" s="114" t="s">
        <v>377</v>
      </c>
      <c r="E212" t="s">
        <v>399</v>
      </c>
      <c r="F212" s="281" t="str">
        <f t="shared" ref="F212:F222" si="0">IF(NOT(ISBLANK(D212)),D212,IF(NOT(ISBLANK(E212)),"     "&amp;E212,FALSE))</f>
        <v xml:space="preserve">     Afectación menor a 130 SMLMV .</v>
      </c>
    </row>
    <row r="213" spans="1:8" ht="21" x14ac:dyDescent="0.35">
      <c r="A213" s="66"/>
      <c r="B213" s="17" t="s">
        <v>398</v>
      </c>
      <c r="C213" s="114" t="s">
        <v>379</v>
      </c>
      <c r="E213" t="s">
        <v>377</v>
      </c>
      <c r="F213" s="281" t="str">
        <f t="shared" si="0"/>
        <v xml:space="preserve">     Entre 130 y 650 SMLMV </v>
      </c>
    </row>
    <row r="214" spans="1:8" ht="21" x14ac:dyDescent="0.35">
      <c r="A214" s="66"/>
      <c r="B214" s="17" t="s">
        <v>398</v>
      </c>
      <c r="C214" s="114" t="s">
        <v>382</v>
      </c>
      <c r="E214" t="s">
        <v>379</v>
      </c>
      <c r="F214" s="281" t="str">
        <f t="shared" si="0"/>
        <v xml:space="preserve">     Entre 650 y 1300 SMLMV </v>
      </c>
    </row>
    <row r="215" spans="1:8" ht="21" x14ac:dyDescent="0.35">
      <c r="A215" s="66"/>
      <c r="B215" s="17" t="s">
        <v>398</v>
      </c>
      <c r="C215" s="114" t="s">
        <v>385</v>
      </c>
      <c r="E215" t="s">
        <v>382</v>
      </c>
      <c r="F215" s="281" t="str">
        <f t="shared" si="0"/>
        <v xml:space="preserve">     Entre 1300 y 6500 SMLMV </v>
      </c>
    </row>
    <row r="216" spans="1:8" ht="21" x14ac:dyDescent="0.35">
      <c r="A216" s="66"/>
      <c r="B216" s="17" t="s">
        <v>371</v>
      </c>
      <c r="C216" s="114" t="s">
        <v>375</v>
      </c>
      <c r="E216" t="s">
        <v>385</v>
      </c>
      <c r="F216" s="281" t="str">
        <f t="shared" si="0"/>
        <v xml:space="preserve">     Mayor a 6500 SMLMV </v>
      </c>
    </row>
    <row r="217" spans="1:8" ht="63" x14ac:dyDescent="0.35">
      <c r="A217" s="66"/>
      <c r="B217" s="17" t="s">
        <v>371</v>
      </c>
      <c r="C217" s="114" t="s">
        <v>378</v>
      </c>
      <c r="D217" s="113" t="s">
        <v>371</v>
      </c>
      <c r="F217" s="281" t="str">
        <f t="shared" si="0"/>
        <v>Pérdida Reputacional</v>
      </c>
    </row>
    <row r="218" spans="1:8" ht="42" x14ac:dyDescent="0.35">
      <c r="A218" s="66"/>
      <c r="B218" s="17" t="s">
        <v>371</v>
      </c>
      <c r="C218" s="114" t="s">
        <v>380</v>
      </c>
      <c r="D218" s="113"/>
      <c r="E218" s="115" t="s">
        <v>375</v>
      </c>
      <c r="F218" s="281" t="str">
        <f t="shared" si="0"/>
        <v xml:space="preserve">     El riesgo afecta la imagen de alguna área de la organización</v>
      </c>
    </row>
    <row r="219" spans="1:8" ht="63" x14ac:dyDescent="0.35">
      <c r="A219" s="66"/>
      <c r="B219" s="17" t="s">
        <v>371</v>
      </c>
      <c r="C219" s="114" t="s">
        <v>400</v>
      </c>
      <c r="D219" s="113"/>
      <c r="E219" s="115" t="s">
        <v>378</v>
      </c>
      <c r="F219" s="281" t="str">
        <f t="shared" si="0"/>
        <v xml:space="preserve">     El riesgo afecta la imagen de la entidad internamente, de conocimiento general, nivel interno, de junta dircetiva y accionistas y/o de provedores</v>
      </c>
    </row>
    <row r="220" spans="1:8" ht="45" x14ac:dyDescent="0.35">
      <c r="A220" s="66"/>
      <c r="B220" s="17" t="s">
        <v>371</v>
      </c>
      <c r="C220" s="114" t="s">
        <v>386</v>
      </c>
      <c r="D220" s="113"/>
      <c r="E220" s="115" t="s">
        <v>380</v>
      </c>
      <c r="F220" s="281" t="str">
        <f t="shared" si="0"/>
        <v xml:space="preserve">     El riesgo afecta la imagen de la entidad con algunos usuarios de relevancia frente al logro de los objetivos</v>
      </c>
    </row>
    <row r="221" spans="1:8" ht="45" x14ac:dyDescent="0.25">
      <c r="A221" s="66"/>
      <c r="B221" s="18"/>
      <c r="C221" s="18"/>
      <c r="D221" s="113"/>
      <c r="E221" s="115" t="s">
        <v>400</v>
      </c>
      <c r="F221" s="281" t="str">
        <f t="shared" si="0"/>
        <v xml:space="preserve">     El riesgo afecta la imagen de de la entidad con efecto publicitario sostenido a nivel de sector administrativo, nivel departamental o municipal</v>
      </c>
    </row>
    <row r="222" spans="1:8" ht="58.5" customHeight="1" x14ac:dyDescent="0.25">
      <c r="A222" s="66"/>
      <c r="C222" s="18"/>
      <c r="D222" s="113"/>
      <c r="E222" s="115" t="s">
        <v>386</v>
      </c>
      <c r="F222" s="281" t="str">
        <f t="shared" si="0"/>
        <v xml:space="preserve">     El riesgo afecta la imagen de la entidad a nivel nacional, con efecto publicitarios sostenible a nivel país</v>
      </c>
    </row>
    <row r="223" spans="1:8" x14ac:dyDescent="0.25">
      <c r="A223" s="66"/>
      <c r="C223" s="18"/>
    </row>
    <row r="224" spans="1:8" x14ac:dyDescent="0.25">
      <c r="C224" s="18"/>
      <c r="F224" s="282" t="s">
        <v>401</v>
      </c>
    </row>
    <row r="225" spans="2:6" x14ac:dyDescent="0.25">
      <c r="B225" s="14"/>
      <c r="C225" s="14"/>
      <c r="F225" s="282" t="s">
        <v>402</v>
      </c>
    </row>
    <row r="226" spans="2:6" x14ac:dyDescent="0.25">
      <c r="B226" s="14"/>
      <c r="C226" s="14"/>
    </row>
    <row r="227" spans="2:6" x14ac:dyDescent="0.25">
      <c r="B227" s="14"/>
      <c r="C227" s="14"/>
    </row>
    <row r="228" spans="2:6" x14ac:dyDescent="0.25">
      <c r="B228" s="14"/>
      <c r="C228" s="14"/>
      <c r="D228" s="14"/>
      <c r="F228" s="276" t="s">
        <v>398</v>
      </c>
    </row>
    <row r="229" spans="2:6" ht="18" x14ac:dyDescent="0.25">
      <c r="B229" s="14"/>
      <c r="C229" s="14"/>
      <c r="D229" s="14"/>
      <c r="E229" s="269" t="s">
        <v>344</v>
      </c>
      <c r="F229" s="281" t="s">
        <v>388</v>
      </c>
    </row>
    <row r="230" spans="2:6" ht="18" x14ac:dyDescent="0.25">
      <c r="B230" s="14"/>
      <c r="C230" s="14"/>
      <c r="D230" s="14"/>
      <c r="E230" s="270" t="s">
        <v>349</v>
      </c>
      <c r="F230" s="281" t="s">
        <v>391</v>
      </c>
    </row>
    <row r="231" spans="2:6" ht="18" x14ac:dyDescent="0.25">
      <c r="B231" s="14"/>
      <c r="C231" s="14"/>
      <c r="D231" s="14"/>
      <c r="E231" s="271" t="s">
        <v>354</v>
      </c>
      <c r="F231" s="281" t="s">
        <v>392</v>
      </c>
    </row>
    <row r="232" spans="2:6" ht="18" x14ac:dyDescent="0.25">
      <c r="B232" s="14"/>
      <c r="C232" s="14"/>
      <c r="D232" s="14"/>
      <c r="E232" s="272" t="s">
        <v>359</v>
      </c>
      <c r="F232" s="281" t="s">
        <v>393</v>
      </c>
    </row>
    <row r="233" spans="2:6" ht="18" x14ac:dyDescent="0.25">
      <c r="B233" s="14"/>
      <c r="C233" s="14"/>
      <c r="D233" s="14"/>
      <c r="E233" s="273" t="s">
        <v>364</v>
      </c>
      <c r="F233" s="281" t="s">
        <v>394</v>
      </c>
    </row>
    <row r="234" spans="2:6" x14ac:dyDescent="0.25">
      <c r="F234" s="276" t="s">
        <v>371</v>
      </c>
    </row>
    <row r="235" spans="2:6" ht="30" x14ac:dyDescent="0.25">
      <c r="F235" s="283" t="s">
        <v>327</v>
      </c>
    </row>
    <row r="236" spans="2:6" ht="30" x14ac:dyDescent="0.25">
      <c r="F236" s="283" t="s">
        <v>329</v>
      </c>
    </row>
    <row r="237" spans="2:6" x14ac:dyDescent="0.25">
      <c r="F237" s="283" t="s">
        <v>331</v>
      </c>
    </row>
    <row r="240" spans="2:6" x14ac:dyDescent="0.25">
      <c r="F240" s="284" t="s">
        <v>340</v>
      </c>
    </row>
    <row r="241" spans="2:11" ht="18" x14ac:dyDescent="0.25">
      <c r="F241" s="285" t="s">
        <v>345</v>
      </c>
      <c r="G241" s="269" t="s">
        <v>403</v>
      </c>
      <c r="K241" s="269" t="s">
        <v>344</v>
      </c>
    </row>
    <row r="242" spans="2:11" ht="25.5" x14ac:dyDescent="0.25">
      <c r="F242" s="285" t="s">
        <v>350</v>
      </c>
      <c r="G242" s="270" t="s">
        <v>376</v>
      </c>
      <c r="K242" s="270" t="s">
        <v>349</v>
      </c>
    </row>
    <row r="243" spans="2:11" ht="18" x14ac:dyDescent="0.25">
      <c r="F243" s="285" t="s">
        <v>355</v>
      </c>
      <c r="G243" s="271" t="s">
        <v>287</v>
      </c>
      <c r="K243" s="271" t="s">
        <v>354</v>
      </c>
    </row>
    <row r="244" spans="2:11" ht="18" x14ac:dyDescent="0.25">
      <c r="F244" s="285" t="s">
        <v>360</v>
      </c>
      <c r="G244" s="272" t="s">
        <v>381</v>
      </c>
      <c r="K244" s="272" t="s">
        <v>359</v>
      </c>
    </row>
    <row r="245" spans="2:11" ht="18" x14ac:dyDescent="0.25">
      <c r="F245" s="285" t="s">
        <v>365</v>
      </c>
      <c r="G245" s="273" t="s">
        <v>384</v>
      </c>
      <c r="K245" s="273" t="s">
        <v>364</v>
      </c>
    </row>
    <row r="246" spans="2:11" x14ac:dyDescent="0.25">
      <c r="B246" t="s">
        <v>340</v>
      </c>
      <c r="F246" s="286" t="s">
        <v>341</v>
      </c>
    </row>
    <row r="247" spans="2:11" ht="18" x14ac:dyDescent="0.25">
      <c r="B247" t="s">
        <v>341</v>
      </c>
      <c r="F247" s="287" t="s">
        <v>346</v>
      </c>
      <c r="G247" s="269" t="s">
        <v>403</v>
      </c>
      <c r="K247" s="269" t="s">
        <v>344</v>
      </c>
    </row>
    <row r="248" spans="2:11" ht="18" x14ac:dyDescent="0.25">
      <c r="B248" t="s">
        <v>342</v>
      </c>
      <c r="F248" s="287" t="s">
        <v>351</v>
      </c>
      <c r="G248" s="270" t="s">
        <v>376</v>
      </c>
      <c r="K248" s="270" t="s">
        <v>349</v>
      </c>
    </row>
    <row r="249" spans="2:11" ht="18" x14ac:dyDescent="0.25">
      <c r="B249" t="s">
        <v>343</v>
      </c>
      <c r="F249" s="287" t="s">
        <v>356</v>
      </c>
      <c r="G249" s="271" t="s">
        <v>287</v>
      </c>
      <c r="K249" s="271" t="s">
        <v>354</v>
      </c>
    </row>
    <row r="250" spans="2:11" ht="18" x14ac:dyDescent="0.25">
      <c r="F250" s="287" t="s">
        <v>361</v>
      </c>
      <c r="G250" s="272" t="s">
        <v>381</v>
      </c>
      <c r="K250" s="272" t="s">
        <v>359</v>
      </c>
    </row>
    <row r="251" spans="2:11" ht="18" x14ac:dyDescent="0.25">
      <c r="F251" s="287" t="s">
        <v>366</v>
      </c>
      <c r="G251" s="273" t="s">
        <v>384</v>
      </c>
      <c r="K251" s="273" t="s">
        <v>364</v>
      </c>
    </row>
    <row r="252" spans="2:11" x14ac:dyDescent="0.25">
      <c r="F252" s="288" t="s">
        <v>342</v>
      </c>
    </row>
    <row r="253" spans="2:11" ht="18" x14ac:dyDescent="0.25">
      <c r="F253" s="289" t="s">
        <v>347</v>
      </c>
      <c r="G253" s="269" t="s">
        <v>403</v>
      </c>
      <c r="K253" s="269" t="s">
        <v>344</v>
      </c>
    </row>
    <row r="254" spans="2:11" ht="18" x14ac:dyDescent="0.25">
      <c r="F254" s="289" t="s">
        <v>352</v>
      </c>
      <c r="G254" s="270" t="s">
        <v>376</v>
      </c>
      <c r="K254" s="270" t="s">
        <v>349</v>
      </c>
    </row>
    <row r="255" spans="2:11" ht="18" x14ac:dyDescent="0.25">
      <c r="F255" s="289" t="s">
        <v>357</v>
      </c>
      <c r="G255" s="271" t="s">
        <v>287</v>
      </c>
      <c r="K255" s="271" t="s">
        <v>354</v>
      </c>
    </row>
    <row r="256" spans="2:11" ht="18" x14ac:dyDescent="0.25">
      <c r="F256" s="289" t="s">
        <v>362</v>
      </c>
      <c r="G256" s="272" t="s">
        <v>381</v>
      </c>
      <c r="K256" s="272" t="s">
        <v>359</v>
      </c>
    </row>
    <row r="257" spans="6:11" ht="18" x14ac:dyDescent="0.25">
      <c r="F257" s="289" t="s">
        <v>367</v>
      </c>
      <c r="G257" s="273" t="s">
        <v>384</v>
      </c>
      <c r="K257" s="273" t="s">
        <v>364</v>
      </c>
    </row>
    <row r="258" spans="6:11" x14ac:dyDescent="0.25">
      <c r="F258" s="288" t="s">
        <v>343</v>
      </c>
    </row>
    <row r="259" spans="6:11" ht="18" x14ac:dyDescent="0.25">
      <c r="F259" s="290" t="s">
        <v>348</v>
      </c>
      <c r="G259" s="269" t="s">
        <v>403</v>
      </c>
      <c r="K259" s="269" t="s">
        <v>344</v>
      </c>
    </row>
    <row r="260" spans="6:11" ht="18" x14ac:dyDescent="0.25">
      <c r="F260" s="290" t="s">
        <v>353</v>
      </c>
      <c r="G260" s="270" t="s">
        <v>376</v>
      </c>
      <c r="K260" s="270" t="s">
        <v>349</v>
      </c>
    </row>
    <row r="261" spans="6:11" ht="18" x14ac:dyDescent="0.25">
      <c r="F261" s="290" t="s">
        <v>358</v>
      </c>
      <c r="G261" s="271" t="s">
        <v>287</v>
      </c>
      <c r="K261" s="271" t="s">
        <v>354</v>
      </c>
    </row>
    <row r="262" spans="6:11" ht="18" x14ac:dyDescent="0.25">
      <c r="F262" s="290" t="s">
        <v>363</v>
      </c>
      <c r="G262" s="272" t="s">
        <v>381</v>
      </c>
      <c r="K262" s="272" t="s">
        <v>359</v>
      </c>
    </row>
    <row r="263" spans="6:11" ht="18" x14ac:dyDescent="0.25">
      <c r="F263" s="290" t="s">
        <v>368</v>
      </c>
      <c r="G263" s="273" t="s">
        <v>384</v>
      </c>
      <c r="K263" s="273" t="s">
        <v>364</v>
      </c>
    </row>
  </sheetData>
  <mergeCells count="1">
    <mergeCell ref="B2:E2"/>
  </mergeCells>
  <dataValidations disablePrompts="1" count="1">
    <dataValidation type="list" allowBlank="1" showInputMessage="1" showErrorMessage="1" sqref="G211" xr:uid="{00000000-0002-0000-0B00-000000000000}">
      <formula1>$F$211:$F$222</formula1>
    </dataValidation>
  </dataValidations>
  <pageMargins left="0.7" right="0.7" top="0.75" bottom="0.75" header="0.3" footer="0.3"/>
  <pageSetup orientation="portrait"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55"/>
  <sheetViews>
    <sheetView zoomScale="90" zoomScaleNormal="90" workbookViewId="0">
      <selection activeCell="B1" sqref="B1:D1"/>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11" t="s">
        <v>404</v>
      </c>
      <c r="C1" s="611"/>
      <c r="D1" s="61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405</v>
      </c>
      <c r="D3" s="4" t="s">
        <v>281</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406</v>
      </c>
      <c r="C4" s="6" t="s">
        <v>407</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408</v>
      </c>
      <c r="C5" s="9" t="s">
        <v>409</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410</v>
      </c>
      <c r="C6" s="9" t="s">
        <v>411</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412</v>
      </c>
      <c r="C7" s="9" t="s">
        <v>413</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414</v>
      </c>
      <c r="C8" s="9" t="s">
        <v>415</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AX19"/>
  <sheetViews>
    <sheetView zoomScaleNormal="100" workbookViewId="0">
      <pane xSplit="4" ySplit="2" topLeftCell="E3" activePane="bottomRight" state="frozen"/>
      <selection pane="topRight" activeCell="E1" sqref="E1"/>
      <selection pane="bottomLeft" activeCell="A3" sqref="A3"/>
      <selection pane="bottomRight" activeCell="B3" sqref="B3"/>
    </sheetView>
  </sheetViews>
  <sheetFormatPr baseColWidth="10" defaultColWidth="11.42578125" defaultRowHeight="14.25" x14ac:dyDescent="0.2"/>
  <cols>
    <col min="1" max="1" width="11.42578125" style="258"/>
    <col min="2" max="2" width="18" style="259" customWidth="1"/>
    <col min="3" max="3" width="17.85546875" style="259" customWidth="1"/>
    <col min="4" max="4" width="46.85546875" style="259" customWidth="1"/>
    <col min="5" max="49" width="11.42578125" style="258"/>
    <col min="50" max="50" width="15.42578125" style="258" customWidth="1"/>
    <col min="51" max="16384" width="11.42578125" style="258"/>
  </cols>
  <sheetData>
    <row r="3" spans="2:50" ht="17.25" customHeight="1" x14ac:dyDescent="0.2">
      <c r="B3" s="262" t="s">
        <v>416</v>
      </c>
      <c r="C3" s="262" t="s">
        <v>417</v>
      </c>
      <c r="D3" s="262" t="s">
        <v>418</v>
      </c>
      <c r="AX3" s="258" t="s">
        <v>419</v>
      </c>
    </row>
    <row r="4" spans="2:50" ht="36" x14ac:dyDescent="0.2">
      <c r="B4" s="263" t="s">
        <v>420</v>
      </c>
      <c r="C4" s="263" t="s">
        <v>421</v>
      </c>
      <c r="D4" s="261" t="s">
        <v>422</v>
      </c>
      <c r="AX4" s="258" t="s">
        <v>152</v>
      </c>
    </row>
    <row r="5" spans="2:50" ht="30" customHeight="1" x14ac:dyDescent="0.2">
      <c r="B5" s="263" t="s">
        <v>420</v>
      </c>
      <c r="C5" s="263" t="s">
        <v>423</v>
      </c>
      <c r="D5" s="261" t="s">
        <v>424</v>
      </c>
      <c r="AX5" s="258" t="s">
        <v>425</v>
      </c>
    </row>
    <row r="6" spans="2:50" ht="36" x14ac:dyDescent="0.2">
      <c r="B6" s="263" t="s">
        <v>420</v>
      </c>
      <c r="C6" s="263" t="s">
        <v>426</v>
      </c>
      <c r="D6" s="261" t="s">
        <v>427</v>
      </c>
    </row>
    <row r="7" spans="2:50" ht="36" x14ac:dyDescent="0.2">
      <c r="B7" s="263" t="s">
        <v>420</v>
      </c>
      <c r="C7" s="263" t="s">
        <v>428</v>
      </c>
      <c r="D7" s="261" t="s">
        <v>429</v>
      </c>
    </row>
    <row r="8" spans="2:50" ht="36" x14ac:dyDescent="0.2">
      <c r="B8" s="263" t="s">
        <v>420</v>
      </c>
      <c r="C8" s="263" t="s">
        <v>430</v>
      </c>
      <c r="D8" s="261" t="s">
        <v>431</v>
      </c>
    </row>
    <row r="9" spans="2:50" ht="36" x14ac:dyDescent="0.2">
      <c r="B9" s="263" t="s">
        <v>420</v>
      </c>
      <c r="C9" s="263" t="s">
        <v>432</v>
      </c>
      <c r="D9" s="261" t="s">
        <v>433</v>
      </c>
    </row>
    <row r="10" spans="2:50" ht="36" x14ac:dyDescent="0.2">
      <c r="B10" s="260" t="s">
        <v>152</v>
      </c>
      <c r="C10" s="260" t="s">
        <v>434</v>
      </c>
      <c r="D10" s="261" t="s">
        <v>435</v>
      </c>
    </row>
    <row r="11" spans="2:50" ht="96" x14ac:dyDescent="0.2">
      <c r="B11" s="260" t="s">
        <v>152</v>
      </c>
      <c r="C11" s="260" t="s">
        <v>436</v>
      </c>
      <c r="D11" s="261" t="s">
        <v>437</v>
      </c>
    </row>
    <row r="12" spans="2:50" ht="48" x14ac:dyDescent="0.2">
      <c r="B12" s="260" t="s">
        <v>152</v>
      </c>
      <c r="C12" s="260" t="s">
        <v>155</v>
      </c>
      <c r="D12" s="261" t="s">
        <v>438</v>
      </c>
    </row>
    <row r="13" spans="2:50" ht="60" x14ac:dyDescent="0.2">
      <c r="B13" s="260" t="s">
        <v>160</v>
      </c>
      <c r="C13" s="260" t="s">
        <v>161</v>
      </c>
      <c r="D13" s="261" t="s">
        <v>439</v>
      </c>
    </row>
    <row r="14" spans="2:50" ht="72" x14ac:dyDescent="0.2">
      <c r="B14" s="260" t="s">
        <v>160</v>
      </c>
      <c r="C14" s="260" t="s">
        <v>440</v>
      </c>
      <c r="D14" s="261" t="s">
        <v>441</v>
      </c>
    </row>
    <row r="15" spans="2:50" ht="48" x14ac:dyDescent="0.2">
      <c r="B15" s="260" t="s">
        <v>160</v>
      </c>
      <c r="C15" s="260" t="s">
        <v>442</v>
      </c>
      <c r="D15" s="261" t="s">
        <v>443</v>
      </c>
    </row>
    <row r="16" spans="2:50" ht="60" x14ac:dyDescent="0.2">
      <c r="B16" s="260" t="s">
        <v>160</v>
      </c>
      <c r="C16" s="260" t="s">
        <v>444</v>
      </c>
      <c r="D16" s="261" t="s">
        <v>445</v>
      </c>
    </row>
    <row r="17" spans="2:4" ht="36" x14ac:dyDescent="0.2">
      <c r="B17" s="260" t="s">
        <v>425</v>
      </c>
      <c r="C17" s="260" t="s">
        <v>446</v>
      </c>
      <c r="D17" s="261" t="s">
        <v>447</v>
      </c>
    </row>
    <row r="18" spans="2:4" ht="36" x14ac:dyDescent="0.2">
      <c r="B18" s="260" t="s">
        <v>425</v>
      </c>
      <c r="C18" s="260" t="s">
        <v>448</v>
      </c>
      <c r="D18" s="261" t="s">
        <v>449</v>
      </c>
    </row>
    <row r="19" spans="2:4" ht="60" x14ac:dyDescent="0.2">
      <c r="B19" s="260" t="s">
        <v>425</v>
      </c>
      <c r="C19" s="260" t="s">
        <v>450</v>
      </c>
      <c r="D19" s="261" t="s">
        <v>451</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C1:F48"/>
  <sheetViews>
    <sheetView zoomScale="110" zoomScaleNormal="110" workbookViewId="0">
      <selection activeCell="C1" sqref="C1"/>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65" t="s">
        <v>452</v>
      </c>
    </row>
    <row r="2" spans="3:6" ht="15.75" thickBot="1" x14ac:dyDescent="0.3">
      <c r="C2" s="163" t="s">
        <v>453</v>
      </c>
      <c r="E2" s="166" t="s">
        <v>169</v>
      </c>
      <c r="F2" s="167" t="s">
        <v>170</v>
      </c>
    </row>
    <row r="3" spans="3:6" ht="15.75" thickBot="1" x14ac:dyDescent="0.3">
      <c r="C3" s="163" t="s">
        <v>454</v>
      </c>
      <c r="E3" s="352" t="s">
        <v>168</v>
      </c>
      <c r="F3" s="154" t="s">
        <v>172</v>
      </c>
    </row>
    <row r="4" spans="3:6" ht="15.75" thickBot="1" x14ac:dyDescent="0.3">
      <c r="C4" s="163" t="s">
        <v>455</v>
      </c>
      <c r="E4" s="350"/>
      <c r="F4" s="154" t="s">
        <v>174</v>
      </c>
    </row>
    <row r="5" spans="3:6" ht="15.75" thickBot="1" x14ac:dyDescent="0.3">
      <c r="C5" s="163" t="s">
        <v>456</v>
      </c>
      <c r="E5" s="350"/>
      <c r="F5" s="154" t="s">
        <v>176</v>
      </c>
    </row>
    <row r="6" spans="3:6" ht="15.75" thickBot="1" x14ac:dyDescent="0.3">
      <c r="C6" s="163" t="s">
        <v>457</v>
      </c>
      <c r="E6" s="350"/>
      <c r="F6" s="154" t="s">
        <v>178</v>
      </c>
    </row>
    <row r="7" spans="3:6" ht="15.75" thickBot="1" x14ac:dyDescent="0.3">
      <c r="C7" s="164" t="s">
        <v>458</v>
      </c>
      <c r="E7" s="350"/>
      <c r="F7" s="154" t="s">
        <v>179</v>
      </c>
    </row>
    <row r="8" spans="3:6" ht="15.75" thickBot="1" x14ac:dyDescent="0.3">
      <c r="C8" s="163" t="s">
        <v>459</v>
      </c>
      <c r="E8" s="351"/>
      <c r="F8" s="154" t="s">
        <v>180</v>
      </c>
    </row>
    <row r="9" spans="3:6" ht="15.75" thickBot="1" x14ac:dyDescent="0.3">
      <c r="C9" s="163" t="s">
        <v>460</v>
      </c>
      <c r="E9" s="349" t="s">
        <v>177</v>
      </c>
      <c r="F9" s="154" t="s">
        <v>181</v>
      </c>
    </row>
    <row r="10" spans="3:6" ht="15.75" thickBot="1" x14ac:dyDescent="0.3">
      <c r="C10" s="162" t="s">
        <v>461</v>
      </c>
      <c r="E10" s="350"/>
      <c r="F10" s="154" t="s">
        <v>182</v>
      </c>
    </row>
    <row r="11" spans="3:6" ht="15.75" thickBot="1" x14ac:dyDescent="0.3">
      <c r="C11" s="232" t="s">
        <v>462</v>
      </c>
      <c r="E11" s="350"/>
      <c r="F11" s="154" t="s">
        <v>183</v>
      </c>
    </row>
    <row r="12" spans="3:6" ht="15.75" thickBot="1" x14ac:dyDescent="0.3">
      <c r="E12" s="350"/>
      <c r="F12" s="154" t="s">
        <v>184</v>
      </c>
    </row>
    <row r="13" spans="3:6" ht="15.75" thickBot="1" x14ac:dyDescent="0.3">
      <c r="E13" s="351"/>
      <c r="F13" s="154" t="s">
        <v>185</v>
      </c>
    </row>
    <row r="14" spans="3:6" ht="24.75" thickBot="1" x14ac:dyDescent="0.3">
      <c r="E14" s="349" t="s">
        <v>173</v>
      </c>
      <c r="F14" s="154" t="s">
        <v>186</v>
      </c>
    </row>
    <row r="15" spans="3:6" ht="15.75" thickBot="1" x14ac:dyDescent="0.3">
      <c r="E15" s="350"/>
      <c r="F15" s="154" t="s">
        <v>187</v>
      </c>
    </row>
    <row r="16" spans="3:6" ht="15.75" thickBot="1" x14ac:dyDescent="0.3">
      <c r="E16" s="351"/>
      <c r="F16" s="154" t="s">
        <v>188</v>
      </c>
    </row>
    <row r="17" spans="5:6" ht="15.75" thickBot="1" x14ac:dyDescent="0.3">
      <c r="E17" s="349" t="s">
        <v>175</v>
      </c>
      <c r="F17" s="154" t="s">
        <v>189</v>
      </c>
    </row>
    <row r="18" spans="5:6" ht="15.75" thickBot="1" x14ac:dyDescent="0.3">
      <c r="E18" s="350"/>
      <c r="F18" s="154" t="s">
        <v>190</v>
      </c>
    </row>
    <row r="19" spans="5:6" ht="15.75" thickBot="1" x14ac:dyDescent="0.3">
      <c r="E19" s="351"/>
      <c r="F19" s="154" t="s">
        <v>191</v>
      </c>
    </row>
    <row r="20" spans="5:6" ht="24.75" thickBot="1" x14ac:dyDescent="0.3">
      <c r="E20" s="349" t="s">
        <v>166</v>
      </c>
      <c r="F20" s="154" t="s">
        <v>192</v>
      </c>
    </row>
    <row r="21" spans="5:6" ht="15.75" thickBot="1" x14ac:dyDescent="0.3">
      <c r="E21" s="350"/>
      <c r="F21" s="154" t="s">
        <v>193</v>
      </c>
    </row>
    <row r="22" spans="5:6" ht="15.75" thickBot="1" x14ac:dyDescent="0.3">
      <c r="E22" s="350"/>
      <c r="F22" s="154" t="s">
        <v>194</v>
      </c>
    </row>
    <row r="23" spans="5:6" ht="15.75" thickBot="1" x14ac:dyDescent="0.3">
      <c r="E23" s="350"/>
      <c r="F23" s="154" t="s">
        <v>195</v>
      </c>
    </row>
    <row r="24" spans="5:6" ht="15.75" thickBot="1" x14ac:dyDescent="0.3">
      <c r="E24" s="350"/>
      <c r="F24" s="154" t="s">
        <v>196</v>
      </c>
    </row>
    <row r="25" spans="5:6" ht="24.75" thickBot="1" x14ac:dyDescent="0.3">
      <c r="E25" s="350"/>
      <c r="F25" s="154" t="s">
        <v>197</v>
      </c>
    </row>
    <row r="26" spans="5:6" ht="15.75" thickBot="1" x14ac:dyDescent="0.3">
      <c r="E26" s="350"/>
      <c r="F26" s="154" t="s">
        <v>198</v>
      </c>
    </row>
    <row r="27" spans="5:6" ht="24.75" thickBot="1" x14ac:dyDescent="0.3">
      <c r="E27" s="350"/>
      <c r="F27" s="154" t="s">
        <v>199</v>
      </c>
    </row>
    <row r="28" spans="5:6" ht="15.75" thickBot="1" x14ac:dyDescent="0.3">
      <c r="E28" s="350"/>
      <c r="F28" s="154" t="s">
        <v>200</v>
      </c>
    </row>
    <row r="29" spans="5:6" ht="15.75" thickBot="1" x14ac:dyDescent="0.3">
      <c r="E29" s="350"/>
      <c r="F29" s="154" t="s">
        <v>201</v>
      </c>
    </row>
    <row r="30" spans="5:6" ht="15.75" thickBot="1" x14ac:dyDescent="0.3">
      <c r="E30" s="351"/>
      <c r="F30" s="154" t="s">
        <v>202</v>
      </c>
    </row>
    <row r="31" spans="5:6" ht="15.75" thickBot="1" x14ac:dyDescent="0.3">
      <c r="E31" s="349" t="s">
        <v>171</v>
      </c>
      <c r="F31" s="154" t="s">
        <v>203</v>
      </c>
    </row>
    <row r="32" spans="5:6" ht="15.75" thickBot="1" x14ac:dyDescent="0.3">
      <c r="E32" s="350"/>
      <c r="F32" s="154" t="s">
        <v>204</v>
      </c>
    </row>
    <row r="33" spans="5:6" ht="15.75" thickBot="1" x14ac:dyDescent="0.3">
      <c r="E33" s="350"/>
      <c r="F33" s="154" t="s">
        <v>205</v>
      </c>
    </row>
    <row r="34" spans="5:6" ht="15.75" thickBot="1" x14ac:dyDescent="0.3">
      <c r="E34" s="350"/>
      <c r="F34" s="154" t="s">
        <v>206</v>
      </c>
    </row>
    <row r="35" spans="5:6" ht="24.75" thickBot="1" x14ac:dyDescent="0.3">
      <c r="E35" s="351"/>
      <c r="F35" s="154" t="s">
        <v>207</v>
      </c>
    </row>
    <row r="36" spans="5:6" ht="15.75" thickBot="1" x14ac:dyDescent="0.3">
      <c r="E36" s="349" t="s">
        <v>165</v>
      </c>
      <c r="F36" s="154" t="s">
        <v>208</v>
      </c>
    </row>
    <row r="37" spans="5:6" ht="15.75" thickBot="1" x14ac:dyDescent="0.3">
      <c r="E37" s="350"/>
      <c r="F37" s="154" t="s">
        <v>209</v>
      </c>
    </row>
    <row r="38" spans="5:6" ht="15.75" thickBot="1" x14ac:dyDescent="0.3">
      <c r="E38" s="350"/>
      <c r="F38" s="154" t="s">
        <v>210</v>
      </c>
    </row>
    <row r="39" spans="5:6" ht="15.75" thickBot="1" x14ac:dyDescent="0.3">
      <c r="E39" s="350"/>
      <c r="F39" s="154" t="s">
        <v>211</v>
      </c>
    </row>
    <row r="40" spans="5:6" ht="15.75" thickBot="1" x14ac:dyDescent="0.3">
      <c r="E40" s="351"/>
      <c r="F40" s="154" t="s">
        <v>212</v>
      </c>
    </row>
    <row r="41" spans="5:6" ht="15.75" thickBot="1" x14ac:dyDescent="0.3">
      <c r="E41" s="349" t="s">
        <v>167</v>
      </c>
      <c r="F41" s="154" t="s">
        <v>213</v>
      </c>
    </row>
    <row r="42" spans="5:6" ht="15.75" thickBot="1" x14ac:dyDescent="0.3">
      <c r="E42" s="350"/>
      <c r="F42" s="154" t="s">
        <v>214</v>
      </c>
    </row>
    <row r="43" spans="5:6" ht="15.75" thickBot="1" x14ac:dyDescent="0.3">
      <c r="E43" s="350"/>
      <c r="F43" s="154" t="s">
        <v>215</v>
      </c>
    </row>
    <row r="44" spans="5:6" ht="15.75" thickBot="1" x14ac:dyDescent="0.3">
      <c r="E44" s="350"/>
      <c r="F44" s="154" t="s">
        <v>216</v>
      </c>
    </row>
    <row r="45" spans="5:6" ht="24.75" thickBot="1" x14ac:dyDescent="0.3">
      <c r="E45" s="351"/>
      <c r="F45" s="154" t="s">
        <v>217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12" t="s">
        <v>463</v>
      </c>
      <c r="C1" s="613"/>
      <c r="D1" s="613"/>
      <c r="E1" s="613"/>
      <c r="F1" s="614"/>
    </row>
    <row r="2" spans="2:6" ht="16.5" thickBot="1" x14ac:dyDescent="0.3">
      <c r="B2" s="72"/>
      <c r="C2" s="72"/>
      <c r="D2" s="72"/>
      <c r="E2" s="72"/>
      <c r="F2" s="72"/>
    </row>
    <row r="3" spans="2:6" ht="16.5" thickBot="1" x14ac:dyDescent="0.25">
      <c r="B3" s="616" t="s">
        <v>464</v>
      </c>
      <c r="C3" s="617"/>
      <c r="D3" s="617"/>
      <c r="E3" s="84" t="s">
        <v>465</v>
      </c>
      <c r="F3" s="85" t="s">
        <v>466</v>
      </c>
    </row>
    <row r="4" spans="2:6" ht="31.5" x14ac:dyDescent="0.2">
      <c r="B4" s="618" t="s">
        <v>467</v>
      </c>
      <c r="C4" s="620" t="s">
        <v>264</v>
      </c>
      <c r="D4" s="73" t="s">
        <v>275</v>
      </c>
      <c r="E4" s="74" t="s">
        <v>468</v>
      </c>
      <c r="F4" s="75">
        <v>0.25</v>
      </c>
    </row>
    <row r="5" spans="2:6" ht="47.25" x14ac:dyDescent="0.2">
      <c r="B5" s="619"/>
      <c r="C5" s="621"/>
      <c r="D5" s="76" t="s">
        <v>469</v>
      </c>
      <c r="E5" s="77" t="s">
        <v>470</v>
      </c>
      <c r="F5" s="78">
        <v>0.15</v>
      </c>
    </row>
    <row r="6" spans="2:6" ht="47.25" x14ac:dyDescent="0.2">
      <c r="B6" s="619"/>
      <c r="C6" s="621"/>
      <c r="D6" s="76" t="s">
        <v>471</v>
      </c>
      <c r="E6" s="77" t="s">
        <v>472</v>
      </c>
      <c r="F6" s="78">
        <v>0.1</v>
      </c>
    </row>
    <row r="7" spans="2:6" ht="63" x14ac:dyDescent="0.2">
      <c r="B7" s="619"/>
      <c r="C7" s="621" t="s">
        <v>265</v>
      </c>
      <c r="D7" s="76" t="s">
        <v>473</v>
      </c>
      <c r="E7" s="77" t="s">
        <v>474</v>
      </c>
      <c r="F7" s="78">
        <v>0.25</v>
      </c>
    </row>
    <row r="8" spans="2:6" ht="31.5" x14ac:dyDescent="0.2">
      <c r="B8" s="619"/>
      <c r="C8" s="621"/>
      <c r="D8" s="76" t="s">
        <v>276</v>
      </c>
      <c r="E8" s="77" t="s">
        <v>475</v>
      </c>
      <c r="F8" s="78">
        <v>0.15</v>
      </c>
    </row>
    <row r="9" spans="2:6" ht="47.25" x14ac:dyDescent="0.2">
      <c r="B9" s="619" t="s">
        <v>476</v>
      </c>
      <c r="C9" s="621" t="s">
        <v>267</v>
      </c>
      <c r="D9" s="76" t="s">
        <v>277</v>
      </c>
      <c r="E9" s="77" t="s">
        <v>477</v>
      </c>
      <c r="F9" s="79" t="s">
        <v>478</v>
      </c>
    </row>
    <row r="10" spans="2:6" ht="63" x14ac:dyDescent="0.2">
      <c r="B10" s="619"/>
      <c r="C10" s="621"/>
      <c r="D10" s="76" t="s">
        <v>479</v>
      </c>
      <c r="E10" s="77" t="s">
        <v>480</v>
      </c>
      <c r="F10" s="79" t="s">
        <v>478</v>
      </c>
    </row>
    <row r="11" spans="2:6" ht="47.25" x14ac:dyDescent="0.2">
      <c r="B11" s="619"/>
      <c r="C11" s="621" t="s">
        <v>268</v>
      </c>
      <c r="D11" s="76" t="s">
        <v>278</v>
      </c>
      <c r="E11" s="77" t="s">
        <v>481</v>
      </c>
      <c r="F11" s="79" t="s">
        <v>478</v>
      </c>
    </row>
    <row r="12" spans="2:6" ht="47.25" x14ac:dyDescent="0.2">
      <c r="B12" s="619"/>
      <c r="C12" s="621"/>
      <c r="D12" s="76" t="s">
        <v>482</v>
      </c>
      <c r="E12" s="77" t="s">
        <v>483</v>
      </c>
      <c r="F12" s="79" t="s">
        <v>478</v>
      </c>
    </row>
    <row r="13" spans="2:6" ht="31.5" x14ac:dyDescent="0.2">
      <c r="B13" s="619"/>
      <c r="C13" s="621" t="s">
        <v>269</v>
      </c>
      <c r="D13" s="76" t="s">
        <v>279</v>
      </c>
      <c r="E13" s="77" t="s">
        <v>484</v>
      </c>
      <c r="F13" s="79" t="s">
        <v>478</v>
      </c>
    </row>
    <row r="14" spans="2:6" ht="32.25" thickBot="1" x14ac:dyDescent="0.25">
      <c r="B14" s="622"/>
      <c r="C14" s="623"/>
      <c r="D14" s="80" t="s">
        <v>485</v>
      </c>
      <c r="E14" s="81" t="s">
        <v>486</v>
      </c>
      <c r="F14" s="82" t="s">
        <v>478</v>
      </c>
    </row>
    <row r="15" spans="2:6" ht="49.5" customHeight="1" x14ac:dyDescent="0.2">
      <c r="B15" s="615" t="s">
        <v>487</v>
      </c>
      <c r="C15" s="615"/>
      <c r="D15" s="615"/>
      <c r="E15" s="615"/>
      <c r="F15" s="615"/>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275</v>
      </c>
    </row>
    <row r="4" spans="1:1" x14ac:dyDescent="0.2">
      <c r="A4" s="2" t="s">
        <v>469</v>
      </c>
    </row>
    <row r="5" spans="1:1" x14ac:dyDescent="0.2">
      <c r="A5" s="2" t="s">
        <v>471</v>
      </c>
    </row>
    <row r="6" spans="1:1" x14ac:dyDescent="0.2">
      <c r="A6" s="2" t="s">
        <v>473</v>
      </c>
    </row>
    <row r="7" spans="1:1" x14ac:dyDescent="0.2">
      <c r="A7" s="2" t="s">
        <v>276</v>
      </c>
    </row>
    <row r="8" spans="1:1" x14ac:dyDescent="0.2">
      <c r="A8" s="2" t="s">
        <v>277</v>
      </c>
    </row>
    <row r="9" spans="1:1" x14ac:dyDescent="0.2">
      <c r="A9" s="2" t="s">
        <v>479</v>
      </c>
    </row>
    <row r="10" spans="1:1" x14ac:dyDescent="0.2">
      <c r="A10" s="2" t="s">
        <v>278</v>
      </c>
    </row>
    <row r="11" spans="1:1" x14ac:dyDescent="0.2">
      <c r="A11" s="2" t="s">
        <v>482</v>
      </c>
    </row>
    <row r="12" spans="1:1" x14ac:dyDescent="0.2">
      <c r="A12" s="2" t="s">
        <v>488</v>
      </c>
    </row>
    <row r="13" spans="1:1" x14ac:dyDescent="0.2">
      <c r="A13" s="2" t="s">
        <v>489</v>
      </c>
    </row>
    <row r="14" spans="1:1" x14ac:dyDescent="0.2">
      <c r="A14" s="2" t="s">
        <v>490</v>
      </c>
    </row>
    <row r="16" spans="1:1" x14ac:dyDescent="0.2">
      <c r="A16" s="2" t="s">
        <v>491</v>
      </c>
    </row>
    <row r="17" spans="1:1" x14ac:dyDescent="0.2">
      <c r="A17" s="2" t="s">
        <v>115</v>
      </c>
    </row>
    <row r="18" spans="1:1" x14ac:dyDescent="0.2">
      <c r="A18" s="2" t="s">
        <v>118</v>
      </c>
    </row>
    <row r="20" spans="1:1" x14ac:dyDescent="0.2">
      <c r="A20" s="2" t="s">
        <v>135</v>
      </c>
    </row>
    <row r="21" spans="1:1" x14ac:dyDescent="0.2">
      <c r="A21" s="2" t="s">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6" customWidth="1"/>
    <col min="2" max="2" width="7.42578125" style="117" customWidth="1"/>
    <col min="3" max="3" width="36.85546875" style="118" customWidth="1"/>
    <col min="4" max="4" width="150" style="144" customWidth="1"/>
    <col min="5" max="5" width="168" style="118" customWidth="1"/>
    <col min="6" max="6" width="51.7109375" style="116" customWidth="1"/>
    <col min="7" max="16384" width="11.42578125" style="116"/>
  </cols>
  <sheetData>
    <row r="1" spans="1:6" x14ac:dyDescent="0.35">
      <c r="D1" s="119"/>
      <c r="E1" s="120"/>
    </row>
    <row r="2" spans="1:6" ht="40.5" customHeight="1" thickBot="1" x14ac:dyDescent="0.3">
      <c r="A2" s="121"/>
      <c r="B2" s="342" t="s">
        <v>88</v>
      </c>
      <c r="C2" s="342"/>
      <c r="D2" s="342"/>
      <c r="E2" s="343"/>
      <c r="F2" s="347" t="s">
        <v>89</v>
      </c>
    </row>
    <row r="3" spans="1:6" s="126" customFormat="1" ht="40.5" customHeight="1" thickBot="1" x14ac:dyDescent="0.4">
      <c r="A3" s="122"/>
      <c r="B3" s="344" t="s">
        <v>90</v>
      </c>
      <c r="C3" s="123" t="s">
        <v>91</v>
      </c>
      <c r="D3" s="124" t="s">
        <v>92</v>
      </c>
      <c r="E3" s="125" t="s">
        <v>93</v>
      </c>
      <c r="F3" s="348"/>
    </row>
    <row r="4" spans="1:6" s="126" customFormat="1" ht="228.75" customHeight="1" thickBot="1" x14ac:dyDescent="0.4">
      <c r="A4" s="122"/>
      <c r="B4" s="345"/>
      <c r="C4" s="127" t="s">
        <v>94</v>
      </c>
      <c r="D4" s="128" t="s">
        <v>95</v>
      </c>
      <c r="E4" s="155" t="s">
        <v>96</v>
      </c>
      <c r="F4" s="160" t="s">
        <v>97</v>
      </c>
    </row>
    <row r="5" spans="1:6" s="126" customFormat="1" ht="289.5" thickBot="1" x14ac:dyDescent="0.4">
      <c r="A5" s="122"/>
      <c r="B5" s="345"/>
      <c r="C5" s="129" t="s">
        <v>98</v>
      </c>
      <c r="D5" s="130" t="s">
        <v>99</v>
      </c>
      <c r="E5" s="156" t="s">
        <v>100</v>
      </c>
      <c r="F5" s="159" t="s">
        <v>101</v>
      </c>
    </row>
    <row r="6" spans="1:6" s="126" customFormat="1" ht="237" thickBot="1" x14ac:dyDescent="0.4">
      <c r="A6" s="122"/>
      <c r="B6" s="345"/>
      <c r="C6" s="131" t="s">
        <v>102</v>
      </c>
      <c r="D6" s="132" t="s">
        <v>103</v>
      </c>
      <c r="E6" s="157" t="s">
        <v>104</v>
      </c>
      <c r="F6" s="159"/>
    </row>
    <row r="7" spans="1:6" s="126" customFormat="1" ht="154.5" customHeight="1" thickBot="1" x14ac:dyDescent="0.4">
      <c r="A7" s="122"/>
      <c r="B7" s="345"/>
      <c r="C7" s="133" t="s">
        <v>105</v>
      </c>
      <c r="D7" s="134"/>
      <c r="E7" s="156"/>
      <c r="F7" s="159"/>
    </row>
    <row r="8" spans="1:6" s="126" customFormat="1" ht="144" thickBot="1" x14ac:dyDescent="0.4">
      <c r="A8" s="122"/>
      <c r="B8" s="345"/>
      <c r="C8" s="135" t="s">
        <v>106</v>
      </c>
      <c r="D8" s="132" t="s">
        <v>107</v>
      </c>
      <c r="E8" s="158" t="s">
        <v>108</v>
      </c>
      <c r="F8" s="159"/>
    </row>
    <row r="9" spans="1:6" s="126" customFormat="1" ht="143.25" thickBot="1" x14ac:dyDescent="0.4">
      <c r="A9" s="122"/>
      <c r="B9" s="345"/>
      <c r="C9" s="133" t="s">
        <v>109</v>
      </c>
      <c r="D9" s="130" t="s">
        <v>110</v>
      </c>
      <c r="E9" s="158" t="s">
        <v>111</v>
      </c>
      <c r="F9" s="159"/>
    </row>
    <row r="10" spans="1:6" s="138" customFormat="1" ht="263.25" thickBot="1" x14ac:dyDescent="0.4">
      <c r="A10" s="136"/>
      <c r="B10" s="345"/>
      <c r="C10" s="137" t="s">
        <v>112</v>
      </c>
      <c r="D10" s="130" t="s">
        <v>113</v>
      </c>
      <c r="E10" s="157" t="s">
        <v>114</v>
      </c>
      <c r="F10" s="161"/>
    </row>
    <row r="11" spans="1:6" s="138" customFormat="1" ht="28.5" thickBot="1" x14ac:dyDescent="0.4">
      <c r="A11" s="136"/>
      <c r="B11" s="346"/>
      <c r="C11" s="139"/>
      <c r="D11" s="140"/>
      <c r="E11" s="141"/>
    </row>
    <row r="12" spans="1:6" ht="27" x14ac:dyDescent="0.35">
      <c r="D12" s="142"/>
      <c r="E12" s="143"/>
    </row>
    <row r="17" spans="4:4" x14ac:dyDescent="0.35">
      <c r="D17" s="119"/>
    </row>
    <row r="18" spans="4:4" x14ac:dyDescent="0.35">
      <c r="D18" s="119"/>
    </row>
    <row r="19" spans="4:4" x14ac:dyDescent="0.35">
      <c r="D19" s="119"/>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82"/>
  <sheetViews>
    <sheetView workbookViewId="0">
      <selection activeCell="E9" sqref="E9"/>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115</v>
      </c>
      <c r="E2" t="s">
        <v>116</v>
      </c>
      <c r="H2" t="s">
        <v>117</v>
      </c>
    </row>
    <row r="3" spans="1:8" x14ac:dyDescent="0.25">
      <c r="B3" t="s">
        <v>118</v>
      </c>
      <c r="E3" t="s">
        <v>119</v>
      </c>
      <c r="H3" t="s">
        <v>120</v>
      </c>
    </row>
    <row r="4" spans="1:8" x14ac:dyDescent="0.25">
      <c r="B4" t="s">
        <v>121</v>
      </c>
      <c r="E4" t="s">
        <v>122</v>
      </c>
      <c r="H4" t="s">
        <v>123</v>
      </c>
    </row>
    <row r="5" spans="1:8" x14ac:dyDescent="0.25">
      <c r="B5" t="s">
        <v>124</v>
      </c>
      <c r="E5" t="s">
        <v>125</v>
      </c>
      <c r="H5" t="s">
        <v>126</v>
      </c>
    </row>
    <row r="6" spans="1:8" x14ac:dyDescent="0.25">
      <c r="E6" t="s">
        <v>127</v>
      </c>
      <c r="H6" t="s">
        <v>128</v>
      </c>
    </row>
    <row r="7" spans="1:8" x14ac:dyDescent="0.25">
      <c r="E7" t="s">
        <v>129</v>
      </c>
    </row>
    <row r="8" spans="1:8" x14ac:dyDescent="0.25">
      <c r="F8" t="s">
        <v>130</v>
      </c>
      <c r="H8" t="s">
        <v>131</v>
      </c>
    </row>
    <row r="9" spans="1:8" x14ac:dyDescent="0.25">
      <c r="B9" t="s">
        <v>132</v>
      </c>
      <c r="F9" t="s">
        <v>133</v>
      </c>
      <c r="H9" t="s">
        <v>134</v>
      </c>
    </row>
    <row r="10" spans="1:8" x14ac:dyDescent="0.25">
      <c r="B10" t="s">
        <v>135</v>
      </c>
      <c r="F10" t="s">
        <v>136</v>
      </c>
      <c r="H10" t="s">
        <v>137</v>
      </c>
    </row>
    <row r="11" spans="1:8" ht="15.75" thickBot="1" x14ac:dyDescent="0.3">
      <c r="B11" t="s">
        <v>138</v>
      </c>
      <c r="H11" t="s">
        <v>139</v>
      </c>
    </row>
    <row r="12" spans="1:8" ht="15.75" thickBot="1" x14ac:dyDescent="0.3">
      <c r="A12" s="220" t="s">
        <v>23</v>
      </c>
      <c r="B12" s="221"/>
      <c r="C12" s="222"/>
      <c r="D12" s="223"/>
      <c r="E12" s="210" t="s">
        <v>140</v>
      </c>
      <c r="H12" t="s">
        <v>141</v>
      </c>
    </row>
    <row r="13" spans="1:8" ht="36.75" thickBot="1" x14ac:dyDescent="0.3">
      <c r="A13" s="209" t="s">
        <v>142</v>
      </c>
      <c r="B13" s="257" t="s">
        <v>143</v>
      </c>
      <c r="D13" s="211"/>
      <c r="E13" s="210" t="s">
        <v>144</v>
      </c>
      <c r="H13" t="s">
        <v>145</v>
      </c>
    </row>
    <row r="14" spans="1:8" ht="15.75" thickBot="1" x14ac:dyDescent="0.3">
      <c r="A14" s="209"/>
      <c r="B14" s="257" t="s">
        <v>146</v>
      </c>
      <c r="D14" s="211"/>
      <c r="H14" t="s">
        <v>147</v>
      </c>
    </row>
    <row r="15" spans="1:8" ht="15.75" thickBot="1" x14ac:dyDescent="0.3">
      <c r="A15" s="209"/>
      <c r="B15" s="257" t="s">
        <v>148</v>
      </c>
      <c r="D15" s="211"/>
      <c r="H15" t="s">
        <v>84</v>
      </c>
    </row>
    <row r="16" spans="1:8" ht="24.75" thickBot="1" x14ac:dyDescent="0.3">
      <c r="A16" s="209"/>
      <c r="B16" s="257" t="s">
        <v>149</v>
      </c>
      <c r="D16" s="211"/>
      <c r="H16" t="s">
        <v>85</v>
      </c>
    </row>
    <row r="17" spans="1:8" ht="24.75" thickBot="1" x14ac:dyDescent="0.3">
      <c r="A17" s="209"/>
      <c r="B17" s="257" t="s">
        <v>150</v>
      </c>
      <c r="D17" s="211"/>
      <c r="H17" t="s">
        <v>86</v>
      </c>
    </row>
    <row r="18" spans="1:8" ht="15.75" thickBot="1" x14ac:dyDescent="0.3">
      <c r="A18" s="210"/>
      <c r="B18" s="257" t="s">
        <v>151</v>
      </c>
      <c r="D18" s="211"/>
      <c r="H18" t="s">
        <v>87</v>
      </c>
    </row>
    <row r="19" spans="1:8" x14ac:dyDescent="0.25">
      <c r="A19" s="212" t="s">
        <v>152</v>
      </c>
      <c r="B19" s="213" t="s">
        <v>153</v>
      </c>
      <c r="D19" s="211"/>
      <c r="H19" t="s">
        <v>145</v>
      </c>
    </row>
    <row r="20" spans="1:8" x14ac:dyDescent="0.25">
      <c r="A20" s="212"/>
      <c r="B20" s="213" t="s">
        <v>154</v>
      </c>
      <c r="D20" s="211"/>
    </row>
    <row r="21" spans="1:8" x14ac:dyDescent="0.25">
      <c r="A21" s="212"/>
      <c r="B21" s="213" t="s">
        <v>155</v>
      </c>
      <c r="D21" s="211"/>
    </row>
    <row r="22" spans="1:8" x14ac:dyDescent="0.25">
      <c r="A22" s="267"/>
      <c r="D22" s="211"/>
    </row>
    <row r="23" spans="1:8" x14ac:dyDescent="0.25">
      <c r="A23" s="214" t="s">
        <v>156</v>
      </c>
      <c r="B23" s="215" t="s">
        <v>157</v>
      </c>
      <c r="D23" s="211"/>
    </row>
    <row r="24" spans="1:8" x14ac:dyDescent="0.25">
      <c r="A24" s="214"/>
      <c r="B24" s="215" t="s">
        <v>158</v>
      </c>
      <c r="D24" s="211"/>
    </row>
    <row r="25" spans="1:8" ht="15.75" thickBot="1" x14ac:dyDescent="0.3">
      <c r="A25" s="216"/>
      <c r="B25" s="217" t="s">
        <v>159</v>
      </c>
      <c r="C25" s="218"/>
      <c r="D25" s="219"/>
    </row>
    <row r="26" spans="1:8" x14ac:dyDescent="0.25">
      <c r="A26" s="266" t="s">
        <v>160</v>
      </c>
      <c r="B26" s="266" t="s">
        <v>161</v>
      </c>
    </row>
    <row r="27" spans="1:8" x14ac:dyDescent="0.25">
      <c r="A27" s="266"/>
      <c r="B27" s="266" t="s">
        <v>162</v>
      </c>
    </row>
    <row r="28" spans="1:8" x14ac:dyDescent="0.25">
      <c r="A28" s="266"/>
      <c r="B28" s="266" t="s">
        <v>163</v>
      </c>
    </row>
    <row r="29" spans="1:8" x14ac:dyDescent="0.25">
      <c r="A29" s="266"/>
      <c r="B29" s="266" t="s">
        <v>164</v>
      </c>
    </row>
    <row r="30" spans="1:8" x14ac:dyDescent="0.25">
      <c r="A30" s="266"/>
      <c r="B30" s="266"/>
    </row>
    <row r="31" spans="1:8" x14ac:dyDescent="0.25">
      <c r="A31" s="266"/>
      <c r="B31" s="266"/>
    </row>
    <row r="32" spans="1:8" x14ac:dyDescent="0.25">
      <c r="A32" s="266"/>
      <c r="B32" s="266"/>
    </row>
    <row r="33" spans="1:7" x14ac:dyDescent="0.25">
      <c r="A33" s="266"/>
      <c r="B33" s="266"/>
    </row>
    <row r="36" spans="1:7" x14ac:dyDescent="0.25">
      <c r="B36" t="s">
        <v>165</v>
      </c>
    </row>
    <row r="37" spans="1:7" x14ac:dyDescent="0.25">
      <c r="B37" t="s">
        <v>166</v>
      </c>
    </row>
    <row r="38" spans="1:7" ht="15.75" thickBot="1" x14ac:dyDescent="0.3">
      <c r="B38" t="s">
        <v>167</v>
      </c>
    </row>
    <row r="39" spans="1:7" ht="15.75" thickBot="1" x14ac:dyDescent="0.3">
      <c r="B39" t="s">
        <v>168</v>
      </c>
      <c r="F39" s="152" t="s">
        <v>169</v>
      </c>
      <c r="G39" s="153" t="s">
        <v>170</v>
      </c>
    </row>
    <row r="40" spans="1:7" ht="15.75" thickBot="1" x14ac:dyDescent="0.3">
      <c r="B40" t="s">
        <v>171</v>
      </c>
      <c r="F40" s="352" t="s">
        <v>168</v>
      </c>
      <c r="G40" s="154" t="s">
        <v>172</v>
      </c>
    </row>
    <row r="41" spans="1:7" ht="15.75" thickBot="1" x14ac:dyDescent="0.3">
      <c r="B41" t="s">
        <v>173</v>
      </c>
      <c r="F41" s="350"/>
      <c r="G41" s="154" t="s">
        <v>174</v>
      </c>
    </row>
    <row r="42" spans="1:7" ht="15.75" thickBot="1" x14ac:dyDescent="0.3">
      <c r="B42" t="s">
        <v>175</v>
      </c>
      <c r="F42" s="350"/>
      <c r="G42" s="154" t="s">
        <v>176</v>
      </c>
    </row>
    <row r="43" spans="1:7" ht="15.75" thickBot="1" x14ac:dyDescent="0.3">
      <c r="B43" t="s">
        <v>177</v>
      </c>
      <c r="F43" s="350"/>
      <c r="G43" s="154" t="s">
        <v>178</v>
      </c>
    </row>
    <row r="44" spans="1:7" ht="15.75" thickBot="1" x14ac:dyDescent="0.3">
      <c r="F44" s="350"/>
      <c r="G44" s="154" t="s">
        <v>179</v>
      </c>
    </row>
    <row r="45" spans="1:7" ht="15.75" thickBot="1" x14ac:dyDescent="0.3">
      <c r="F45" s="351"/>
      <c r="G45" s="154" t="s">
        <v>180</v>
      </c>
    </row>
    <row r="46" spans="1:7" ht="15.75" thickBot="1" x14ac:dyDescent="0.3">
      <c r="F46" s="349" t="s">
        <v>177</v>
      </c>
      <c r="G46" s="154" t="s">
        <v>181</v>
      </c>
    </row>
    <row r="47" spans="1:7" ht="15.75" thickBot="1" x14ac:dyDescent="0.3">
      <c r="F47" s="350"/>
      <c r="G47" s="154" t="s">
        <v>182</v>
      </c>
    </row>
    <row r="48" spans="1:7" ht="15.75" thickBot="1" x14ac:dyDescent="0.3">
      <c r="F48" s="350"/>
      <c r="G48" s="154" t="s">
        <v>183</v>
      </c>
    </row>
    <row r="49" spans="6:7" ht="21.75" customHeight="1" thickBot="1" x14ac:dyDescent="0.3">
      <c r="F49" s="350"/>
      <c r="G49" s="154" t="s">
        <v>184</v>
      </c>
    </row>
    <row r="50" spans="6:7" ht="15.75" thickBot="1" x14ac:dyDescent="0.3">
      <c r="F50" s="351"/>
      <c r="G50" s="154" t="s">
        <v>185</v>
      </c>
    </row>
    <row r="51" spans="6:7" ht="45.75" customHeight="1" thickBot="1" x14ac:dyDescent="0.3">
      <c r="F51" s="349" t="s">
        <v>173</v>
      </c>
      <c r="G51" s="154" t="s">
        <v>186</v>
      </c>
    </row>
    <row r="52" spans="6:7" ht="15.75" thickBot="1" x14ac:dyDescent="0.3">
      <c r="F52" s="350"/>
      <c r="G52" s="154" t="s">
        <v>187</v>
      </c>
    </row>
    <row r="53" spans="6:7" ht="30" customHeight="1" thickBot="1" x14ac:dyDescent="0.3">
      <c r="F53" s="351"/>
      <c r="G53" s="154" t="s">
        <v>188</v>
      </c>
    </row>
    <row r="54" spans="6:7" ht="15.75" thickBot="1" x14ac:dyDescent="0.3">
      <c r="F54" s="349" t="s">
        <v>175</v>
      </c>
      <c r="G54" s="154" t="s">
        <v>189</v>
      </c>
    </row>
    <row r="55" spans="6:7" ht="15.75" thickBot="1" x14ac:dyDescent="0.3">
      <c r="F55" s="350"/>
      <c r="G55" s="154" t="s">
        <v>190</v>
      </c>
    </row>
    <row r="56" spans="6:7" ht="15.75" thickBot="1" x14ac:dyDescent="0.3">
      <c r="F56" s="351"/>
      <c r="G56" s="154" t="s">
        <v>191</v>
      </c>
    </row>
    <row r="57" spans="6:7" ht="24.75" thickBot="1" x14ac:dyDescent="0.3">
      <c r="F57" s="349" t="s">
        <v>166</v>
      </c>
      <c r="G57" s="154" t="s">
        <v>192</v>
      </c>
    </row>
    <row r="58" spans="6:7" ht="15.75" thickBot="1" x14ac:dyDescent="0.3">
      <c r="F58" s="350"/>
      <c r="G58" s="154" t="s">
        <v>193</v>
      </c>
    </row>
    <row r="59" spans="6:7" ht="15.75" thickBot="1" x14ac:dyDescent="0.3">
      <c r="F59" s="350"/>
      <c r="G59" s="154" t="s">
        <v>194</v>
      </c>
    </row>
    <row r="60" spans="6:7" ht="15.75" thickBot="1" x14ac:dyDescent="0.3">
      <c r="F60" s="350"/>
      <c r="G60" s="154" t="s">
        <v>195</v>
      </c>
    </row>
    <row r="61" spans="6:7" ht="15.75" thickBot="1" x14ac:dyDescent="0.3">
      <c r="F61" s="350"/>
      <c r="G61" s="154" t="s">
        <v>196</v>
      </c>
    </row>
    <row r="62" spans="6:7" ht="24.75" thickBot="1" x14ac:dyDescent="0.3">
      <c r="F62" s="350"/>
      <c r="G62" s="154" t="s">
        <v>197</v>
      </c>
    </row>
    <row r="63" spans="6:7" ht="15.75" thickBot="1" x14ac:dyDescent="0.3">
      <c r="F63" s="350"/>
      <c r="G63" s="154" t="s">
        <v>198</v>
      </c>
    </row>
    <row r="64" spans="6:7" ht="24.75" thickBot="1" x14ac:dyDescent="0.3">
      <c r="F64" s="350"/>
      <c r="G64" s="154" t="s">
        <v>199</v>
      </c>
    </row>
    <row r="65" spans="6:7" ht="15.75" thickBot="1" x14ac:dyDescent="0.3">
      <c r="F65" s="350"/>
      <c r="G65" s="154" t="s">
        <v>200</v>
      </c>
    </row>
    <row r="66" spans="6:7" ht="15.75" thickBot="1" x14ac:dyDescent="0.3">
      <c r="F66" s="350"/>
      <c r="G66" s="154" t="s">
        <v>201</v>
      </c>
    </row>
    <row r="67" spans="6:7" ht="15.75" thickBot="1" x14ac:dyDescent="0.3">
      <c r="F67" s="351"/>
      <c r="G67" s="154" t="s">
        <v>202</v>
      </c>
    </row>
    <row r="68" spans="6:7" ht="15.75" thickBot="1" x14ac:dyDescent="0.3">
      <c r="F68" s="349" t="s">
        <v>171</v>
      </c>
      <c r="G68" s="154" t="s">
        <v>203</v>
      </c>
    </row>
    <row r="69" spans="6:7" ht="15.75" thickBot="1" x14ac:dyDescent="0.3">
      <c r="F69" s="350"/>
      <c r="G69" s="154" t="s">
        <v>204</v>
      </c>
    </row>
    <row r="70" spans="6:7" ht="24.75" thickBot="1" x14ac:dyDescent="0.3">
      <c r="F70" s="350"/>
      <c r="G70" s="154" t="s">
        <v>205</v>
      </c>
    </row>
    <row r="71" spans="6:7" ht="15.75" thickBot="1" x14ac:dyDescent="0.3">
      <c r="F71" s="350"/>
      <c r="G71" s="154" t="s">
        <v>206</v>
      </c>
    </row>
    <row r="72" spans="6:7" ht="36.75" thickBot="1" x14ac:dyDescent="0.3">
      <c r="F72" s="351"/>
      <c r="G72" s="154" t="s">
        <v>207</v>
      </c>
    </row>
    <row r="73" spans="6:7" ht="15.75" thickBot="1" x14ac:dyDescent="0.3">
      <c r="F73" s="349" t="s">
        <v>165</v>
      </c>
      <c r="G73" s="154" t="s">
        <v>208</v>
      </c>
    </row>
    <row r="74" spans="6:7" ht="15.75" thickBot="1" x14ac:dyDescent="0.3">
      <c r="F74" s="350"/>
      <c r="G74" s="154" t="s">
        <v>209</v>
      </c>
    </row>
    <row r="75" spans="6:7" ht="15.75" thickBot="1" x14ac:dyDescent="0.3">
      <c r="F75" s="350"/>
      <c r="G75" s="154" t="s">
        <v>210</v>
      </c>
    </row>
    <row r="76" spans="6:7" ht="15.75" thickBot="1" x14ac:dyDescent="0.3">
      <c r="F76" s="350"/>
      <c r="G76" s="154" t="s">
        <v>211</v>
      </c>
    </row>
    <row r="77" spans="6:7" ht="15.75" thickBot="1" x14ac:dyDescent="0.3">
      <c r="F77" s="351"/>
      <c r="G77" s="154" t="s">
        <v>212</v>
      </c>
    </row>
    <row r="78" spans="6:7" ht="15.75" thickBot="1" x14ac:dyDescent="0.3">
      <c r="F78" s="349" t="s">
        <v>167</v>
      </c>
      <c r="G78" s="154" t="s">
        <v>213</v>
      </c>
    </row>
    <row r="79" spans="6:7" ht="15.75" thickBot="1" x14ac:dyDescent="0.3">
      <c r="F79" s="350"/>
      <c r="G79" s="154" t="s">
        <v>214</v>
      </c>
    </row>
    <row r="80" spans="6:7" ht="15.75" thickBot="1" x14ac:dyDescent="0.3">
      <c r="F80" s="350"/>
      <c r="G80" s="154" t="s">
        <v>215</v>
      </c>
    </row>
    <row r="81" spans="6:7" ht="15.75" thickBot="1" x14ac:dyDescent="0.3">
      <c r="F81" s="350"/>
      <c r="G81" s="154" t="s">
        <v>216</v>
      </c>
    </row>
    <row r="82" spans="6:7" ht="24.75" thickBot="1" x14ac:dyDescent="0.3">
      <c r="F82" s="351"/>
      <c r="G82" s="154" t="s">
        <v>217</v>
      </c>
    </row>
  </sheetData>
  <sortState xmlns:xlrd2="http://schemas.microsoft.com/office/spreadsheetml/2017/richdata2" ref="B2:B5">
    <sortCondition ref="B2:B5"/>
  </sortState>
  <mergeCells count="8">
    <mergeCell ref="F73:F77"/>
    <mergeCell ref="F78:F82"/>
    <mergeCell ref="F40:F45"/>
    <mergeCell ref="F46:F50"/>
    <mergeCell ref="F51:F53"/>
    <mergeCell ref="F54:F56"/>
    <mergeCell ref="F57:F67"/>
    <mergeCell ref="F68:F7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O76"/>
  <sheetViews>
    <sheetView tabSelected="1" zoomScale="55" zoomScaleNormal="55" zoomScaleSheetLayoutView="50" zoomScalePageLayoutView="60" workbookViewId="0">
      <selection activeCell="H13" sqref="H13:H18"/>
    </sheetView>
  </sheetViews>
  <sheetFormatPr baseColWidth="10" defaultColWidth="11.42578125" defaultRowHeight="15" x14ac:dyDescent="0.2"/>
  <cols>
    <col min="1" max="1" width="6.42578125" style="203" customWidth="1"/>
    <col min="2" max="2" width="22.7109375" style="203" customWidth="1"/>
    <col min="3" max="3" width="32.5703125" style="203" customWidth="1"/>
    <col min="4" max="4" width="45.85546875" style="203" customWidth="1"/>
    <col min="5" max="5" width="25.28515625" style="203" customWidth="1"/>
    <col min="6" max="6" width="54" style="203" customWidth="1"/>
    <col min="7" max="7" width="26.28515625" style="185" customWidth="1"/>
    <col min="8" max="8" width="17.7109375" style="185" customWidth="1"/>
    <col min="9" max="9" width="22.7109375" style="185" customWidth="1"/>
    <col min="10" max="10" width="23.42578125" style="185" customWidth="1"/>
    <col min="11" max="11" width="24.28515625" style="185" customWidth="1"/>
    <col min="12" max="12" width="19.42578125" style="185" customWidth="1"/>
    <col min="13" max="13" width="20.42578125" style="185" customWidth="1"/>
    <col min="14" max="14" width="21.7109375" style="204" customWidth="1"/>
    <col min="15" max="15" width="19.85546875" style="185" customWidth="1"/>
    <col min="16" max="16" width="20.42578125" style="185" hidden="1" customWidth="1"/>
    <col min="17" max="17" width="23.28515625" style="185" customWidth="1"/>
    <col min="18" max="18" width="23.28515625" style="185" hidden="1" customWidth="1"/>
    <col min="19" max="19" width="23.28515625" style="185" customWidth="1"/>
    <col min="20" max="20" width="17.42578125" style="185" hidden="1" customWidth="1"/>
    <col min="21" max="21" width="15" style="185" customWidth="1"/>
    <col min="22" max="22" width="8.7109375" style="185" customWidth="1"/>
    <col min="23" max="23" width="36.42578125" style="185" customWidth="1"/>
    <col min="24" max="24" width="11.7109375" style="185" customWidth="1"/>
    <col min="25" max="25" width="58.140625" style="185" customWidth="1"/>
    <col min="26" max="26" width="79.42578125" style="185" customWidth="1"/>
    <col min="27" max="27" width="16.28515625" style="185" hidden="1" customWidth="1"/>
    <col min="28" max="28" width="5.85546875" style="185" customWidth="1"/>
    <col min="29" max="29" width="6.85546875" style="185" customWidth="1"/>
    <col min="30" max="30" width="5" style="185" hidden="1" customWidth="1"/>
    <col min="31" max="31" width="5.42578125" style="185" customWidth="1"/>
    <col min="32" max="32" width="7.140625" style="185" customWidth="1"/>
    <col min="33" max="33" width="6.7109375" style="185" customWidth="1"/>
    <col min="34" max="34" width="7.42578125" style="185" hidden="1" customWidth="1"/>
    <col min="35" max="35" width="8.42578125" style="185" customWidth="1"/>
    <col min="36" max="39" width="10.85546875" style="185" customWidth="1"/>
    <col min="40" max="40" width="8.42578125" style="185" customWidth="1"/>
    <col min="41" max="41" width="33.28515625" style="202" customWidth="1"/>
    <col min="42" max="42" width="23" style="185" customWidth="1"/>
    <col min="43" max="43" width="18.85546875" style="185" customWidth="1"/>
    <col min="44" max="44" width="23.7109375" style="185" customWidth="1"/>
    <col min="45" max="45" width="45.28515625" style="185" customWidth="1"/>
    <col min="46" max="46" width="16.42578125" style="185" customWidth="1"/>
    <col min="47" max="47" width="20.42578125" style="185" customWidth="1"/>
    <col min="48" max="16384" width="11.42578125" style="185"/>
  </cols>
  <sheetData>
    <row r="1" spans="1:275" s="187" customFormat="1" ht="20.25" x14ac:dyDescent="0.3">
      <c r="A1" s="373"/>
      <c r="B1" s="374"/>
      <c r="C1" s="375"/>
      <c r="D1" s="382" t="s">
        <v>218</v>
      </c>
      <c r="E1" s="383"/>
      <c r="F1" s="383"/>
      <c r="G1" s="383"/>
      <c r="H1" s="383"/>
      <c r="I1" s="383"/>
      <c r="J1" s="383"/>
      <c r="K1" s="383"/>
      <c r="L1" s="383"/>
      <c r="M1" s="383"/>
      <c r="N1" s="383"/>
      <c r="O1" s="383"/>
      <c r="P1" s="383"/>
      <c r="Q1" s="383"/>
      <c r="R1" s="383"/>
      <c r="S1" s="383"/>
      <c r="T1" s="384"/>
      <c r="U1" s="234"/>
      <c r="V1" s="234"/>
      <c r="W1" s="234"/>
      <c r="X1" s="234"/>
      <c r="Y1" s="234"/>
      <c r="Z1" s="234"/>
      <c r="AA1" s="358"/>
      <c r="AB1" s="358"/>
      <c r="AC1" s="358"/>
      <c r="AD1" s="358"/>
      <c r="AE1" s="358"/>
      <c r="AF1" s="358"/>
      <c r="AG1" s="358"/>
      <c r="AH1" s="358"/>
      <c r="AI1" s="358"/>
      <c r="AJ1" s="358"/>
      <c r="AK1" s="358"/>
      <c r="AL1" s="358"/>
      <c r="AM1" s="358"/>
      <c r="AN1" s="358"/>
      <c r="AO1" s="358"/>
      <c r="AP1" s="358"/>
      <c r="AQ1" s="358"/>
      <c r="AR1" s="358"/>
      <c r="AS1" s="358"/>
      <c r="AT1" s="358"/>
      <c r="AU1" s="358"/>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376"/>
      <c r="B2" s="377"/>
      <c r="C2" s="378"/>
      <c r="D2" s="385"/>
      <c r="E2" s="386"/>
      <c r="F2" s="386"/>
      <c r="G2" s="386"/>
      <c r="H2" s="386"/>
      <c r="I2" s="386"/>
      <c r="J2" s="386"/>
      <c r="K2" s="386"/>
      <c r="L2" s="386"/>
      <c r="M2" s="386"/>
      <c r="N2" s="386"/>
      <c r="O2" s="386"/>
      <c r="P2" s="386"/>
      <c r="Q2" s="386"/>
      <c r="R2" s="386"/>
      <c r="S2" s="386"/>
      <c r="T2" s="387"/>
      <c r="U2" s="234"/>
      <c r="V2" s="234"/>
      <c r="W2" s="234"/>
      <c r="X2" s="234"/>
      <c r="Y2" s="234"/>
      <c r="Z2" s="234"/>
      <c r="AA2" s="358"/>
      <c r="AB2" s="358"/>
      <c r="AC2" s="358"/>
      <c r="AD2" s="358"/>
      <c r="AE2" s="358"/>
      <c r="AF2" s="358"/>
      <c r="AG2" s="358"/>
      <c r="AH2" s="358"/>
      <c r="AI2" s="358"/>
      <c r="AJ2" s="358"/>
      <c r="AK2" s="358"/>
      <c r="AL2" s="358"/>
      <c r="AM2" s="358"/>
      <c r="AN2" s="358"/>
      <c r="AO2" s="358"/>
      <c r="AP2" s="358"/>
      <c r="AQ2" s="358"/>
      <c r="AR2" s="358"/>
      <c r="AS2" s="358"/>
      <c r="AT2" s="358"/>
      <c r="AU2" s="358"/>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376"/>
      <c r="B3" s="377"/>
      <c r="C3" s="378"/>
      <c r="D3" s="388" t="s">
        <v>219</v>
      </c>
      <c r="E3" s="389"/>
      <c r="F3" s="389"/>
      <c r="G3" s="389"/>
      <c r="H3" s="389"/>
      <c r="I3" s="390"/>
      <c r="J3" s="388" t="s">
        <v>220</v>
      </c>
      <c r="K3" s="389"/>
      <c r="L3" s="389"/>
      <c r="M3" s="389"/>
      <c r="N3" s="389"/>
      <c r="O3" s="389"/>
      <c r="P3" s="389"/>
      <c r="Q3" s="389"/>
      <c r="R3" s="389"/>
      <c r="S3" s="389"/>
      <c r="T3" s="390"/>
      <c r="U3" s="235"/>
      <c r="V3" s="235"/>
      <c r="W3" s="235"/>
      <c r="X3" s="235"/>
      <c r="Y3" s="235"/>
      <c r="Z3" s="234"/>
      <c r="AA3" s="359"/>
      <c r="AB3" s="359"/>
      <c r="AC3" s="359"/>
      <c r="AD3" s="359"/>
      <c r="AE3" s="359"/>
      <c r="AF3" s="359"/>
      <c r="AG3" s="359"/>
      <c r="AH3" s="359"/>
      <c r="AI3" s="359"/>
      <c r="AJ3" s="359"/>
      <c r="AK3" s="359"/>
      <c r="AL3" s="359"/>
      <c r="AM3" s="359"/>
      <c r="AN3" s="359"/>
      <c r="AO3" s="359"/>
      <c r="AP3" s="359"/>
      <c r="AQ3" s="359"/>
      <c r="AR3" s="359"/>
      <c r="AS3" s="359"/>
      <c r="AT3" s="359"/>
      <c r="AU3" s="359"/>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379"/>
      <c r="B4" s="380"/>
      <c r="C4" s="381"/>
      <c r="D4" s="388" t="s">
        <v>221</v>
      </c>
      <c r="E4" s="389"/>
      <c r="F4" s="389"/>
      <c r="G4" s="389"/>
      <c r="H4" s="389"/>
      <c r="I4" s="389"/>
      <c r="J4" s="389"/>
      <c r="K4" s="389"/>
      <c r="L4" s="389"/>
      <c r="M4" s="389"/>
      <c r="N4" s="389"/>
      <c r="O4" s="389"/>
      <c r="P4" s="389"/>
      <c r="Q4" s="389"/>
      <c r="R4" s="389"/>
      <c r="S4" s="389"/>
      <c r="T4" s="390"/>
      <c r="U4" s="234"/>
      <c r="V4" s="234"/>
      <c r="W4" s="234"/>
      <c r="X4" s="234"/>
      <c r="Y4" s="234"/>
      <c r="Z4" s="234"/>
      <c r="AA4" s="359"/>
      <c r="AB4" s="359"/>
      <c r="AC4" s="359"/>
      <c r="AD4" s="359"/>
      <c r="AE4" s="359"/>
      <c r="AF4" s="359"/>
      <c r="AG4" s="359"/>
      <c r="AH4" s="359"/>
      <c r="AI4" s="359"/>
      <c r="AJ4" s="359"/>
      <c r="AK4" s="359"/>
      <c r="AL4" s="359"/>
      <c r="AM4" s="359"/>
      <c r="AN4" s="359"/>
      <c r="AO4" s="359"/>
      <c r="AP4" s="359"/>
      <c r="AQ4" s="359"/>
      <c r="AR4" s="359"/>
      <c r="AS4" s="359"/>
      <c r="AT4" s="359"/>
      <c r="AU4" s="359"/>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D5" s="188"/>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360" t="s">
        <v>222</v>
      </c>
      <c r="B6" s="361"/>
      <c r="C6" s="367" t="s">
        <v>65</v>
      </c>
      <c r="D6" s="368"/>
      <c r="E6" s="368"/>
      <c r="F6" s="368"/>
      <c r="G6" s="368"/>
      <c r="H6" s="368"/>
      <c r="I6" s="368"/>
      <c r="J6" s="368"/>
      <c r="K6" s="368"/>
      <c r="L6" s="368"/>
      <c r="M6" s="368"/>
      <c r="N6" s="368"/>
      <c r="O6" s="368"/>
      <c r="P6" s="368"/>
      <c r="Q6" s="368"/>
      <c r="R6" s="368"/>
      <c r="S6" s="368"/>
      <c r="T6" s="369"/>
      <c r="U6" s="237"/>
      <c r="V6" s="237"/>
      <c r="W6" s="237"/>
      <c r="X6" s="237"/>
      <c r="Y6" s="237"/>
      <c r="Z6" s="366"/>
      <c r="AA6" s="366"/>
      <c r="AB6" s="366"/>
      <c r="AC6" s="357"/>
      <c r="AD6" s="357"/>
      <c r="AE6" s="357"/>
      <c r="AF6" s="357"/>
      <c r="AG6" s="357"/>
      <c r="AH6" s="357"/>
      <c r="AI6" s="357"/>
      <c r="AJ6" s="357"/>
      <c r="AK6" s="357"/>
      <c r="AL6" s="357"/>
      <c r="AM6" s="357"/>
      <c r="AN6" s="357"/>
      <c r="AO6" s="357"/>
      <c r="AP6" s="357"/>
      <c r="AQ6" s="357"/>
      <c r="AR6" s="357"/>
      <c r="AS6" s="357"/>
      <c r="AT6" s="357"/>
      <c r="AU6" s="357"/>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362" t="s">
        <v>223</v>
      </c>
      <c r="B7" s="363"/>
      <c r="C7" s="370" t="s">
        <v>497</v>
      </c>
      <c r="D7" s="371"/>
      <c r="E7" s="371"/>
      <c r="F7" s="371"/>
      <c r="G7" s="371"/>
      <c r="H7" s="371"/>
      <c r="I7" s="371"/>
      <c r="J7" s="371"/>
      <c r="K7" s="371"/>
      <c r="L7" s="371"/>
      <c r="M7" s="371"/>
      <c r="N7" s="371"/>
      <c r="O7" s="371"/>
      <c r="P7" s="371"/>
      <c r="Q7" s="371"/>
      <c r="R7" s="371"/>
      <c r="S7" s="371"/>
      <c r="T7" s="372"/>
      <c r="U7" s="238"/>
      <c r="V7" s="238"/>
      <c r="W7" s="238"/>
      <c r="X7" s="238"/>
      <c r="Y7" s="238"/>
      <c r="Z7" s="239"/>
      <c r="AA7" s="239"/>
      <c r="AB7" s="239"/>
      <c r="AC7" s="357"/>
      <c r="AD7" s="357"/>
      <c r="AE7" s="357"/>
      <c r="AF7" s="357"/>
      <c r="AG7" s="357"/>
      <c r="AH7" s="357"/>
      <c r="AI7" s="357"/>
      <c r="AJ7" s="357"/>
      <c r="AK7" s="357"/>
      <c r="AL7" s="357"/>
      <c r="AM7" s="357"/>
      <c r="AN7" s="357"/>
      <c r="AO7" s="357"/>
      <c r="AP7" s="357"/>
      <c r="AQ7" s="357"/>
      <c r="AR7" s="357"/>
      <c r="AS7" s="357"/>
      <c r="AT7" s="357"/>
      <c r="AU7" s="357"/>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39" customHeight="1" thickBot="1" x14ac:dyDescent="0.3">
      <c r="A8" s="364" t="s">
        <v>224</v>
      </c>
      <c r="B8" s="365"/>
      <c r="C8" s="370" t="s">
        <v>500</v>
      </c>
      <c r="D8" s="371"/>
      <c r="E8" s="371"/>
      <c r="F8" s="371"/>
      <c r="G8" s="371"/>
      <c r="H8" s="371"/>
      <c r="I8" s="371"/>
      <c r="J8" s="371"/>
      <c r="K8" s="371"/>
      <c r="L8" s="371"/>
      <c r="M8" s="371"/>
      <c r="N8" s="371"/>
      <c r="O8" s="371"/>
      <c r="P8" s="371"/>
      <c r="Q8" s="371"/>
      <c r="R8" s="371"/>
      <c r="S8" s="371"/>
      <c r="T8" s="372"/>
      <c r="U8" s="238"/>
      <c r="V8" s="238"/>
      <c r="W8" s="238"/>
      <c r="X8" s="238"/>
      <c r="Y8" s="238"/>
      <c r="Z8" s="239"/>
      <c r="AA8" s="239"/>
      <c r="AB8" s="239"/>
      <c r="AC8" s="357"/>
      <c r="AD8" s="357"/>
      <c r="AE8" s="357"/>
      <c r="AF8" s="357"/>
      <c r="AG8" s="357"/>
      <c r="AH8" s="357"/>
      <c r="AI8" s="357"/>
      <c r="AJ8" s="357"/>
      <c r="AK8" s="357"/>
      <c r="AL8" s="357"/>
      <c r="AM8" s="357"/>
      <c r="AN8" s="357"/>
      <c r="AO8" s="357"/>
      <c r="AP8" s="357"/>
      <c r="AQ8" s="357"/>
      <c r="AR8" s="357"/>
      <c r="AS8" s="357"/>
      <c r="AT8" s="357"/>
      <c r="AU8" s="357"/>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38.25" customHeight="1" x14ac:dyDescent="0.2">
      <c r="A10" s="423" t="s">
        <v>225</v>
      </c>
      <c r="B10" s="424"/>
      <c r="C10" s="424"/>
      <c r="D10" s="424"/>
      <c r="E10" s="424"/>
      <c r="F10" s="424"/>
      <c r="G10" s="425"/>
      <c r="H10" s="432" t="s">
        <v>226</v>
      </c>
      <c r="I10" s="433"/>
      <c r="J10" s="433"/>
      <c r="K10" s="434"/>
      <c r="L10" s="394" t="s">
        <v>227</v>
      </c>
      <c r="M10" s="395"/>
      <c r="N10" s="421" t="s">
        <v>228</v>
      </c>
      <c r="O10" s="422"/>
      <c r="P10" s="422"/>
      <c r="Q10" s="422"/>
      <c r="R10" s="422"/>
      <c r="S10" s="422"/>
      <c r="T10" s="422"/>
      <c r="U10" s="422"/>
      <c r="V10" s="424" t="s">
        <v>229</v>
      </c>
      <c r="W10" s="424"/>
      <c r="X10" s="424"/>
      <c r="Y10" s="424"/>
      <c r="Z10" s="424"/>
      <c r="AA10" s="424"/>
      <c r="AB10" s="424"/>
      <c r="AC10" s="424"/>
      <c r="AD10" s="424"/>
      <c r="AE10" s="424"/>
      <c r="AF10" s="424"/>
      <c r="AG10" s="424"/>
      <c r="AH10" s="425"/>
      <c r="AI10" s="435" t="s">
        <v>230</v>
      </c>
      <c r="AJ10" s="436"/>
      <c r="AK10" s="436"/>
      <c r="AL10" s="436"/>
      <c r="AM10" s="437"/>
      <c r="AN10" s="423" t="s">
        <v>231</v>
      </c>
      <c r="AO10" s="424"/>
      <c r="AP10" s="424"/>
      <c r="AQ10" s="424"/>
      <c r="AR10" s="425"/>
      <c r="AS10" s="432" t="s">
        <v>232</v>
      </c>
      <c r="AT10" s="433"/>
      <c r="AU10" s="434"/>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x14ac:dyDescent="0.2">
      <c r="A11" s="391" t="s">
        <v>233</v>
      </c>
      <c r="B11" s="396" t="s">
        <v>234</v>
      </c>
      <c r="C11" s="396" t="s">
        <v>235</v>
      </c>
      <c r="D11" s="396" t="s">
        <v>236</v>
      </c>
      <c r="E11" s="398" t="s">
        <v>237</v>
      </c>
      <c r="F11" s="396" t="s">
        <v>238</v>
      </c>
      <c r="G11" s="396" t="s">
        <v>23</v>
      </c>
      <c r="H11" s="409" t="s">
        <v>130</v>
      </c>
      <c r="I11" s="409" t="s">
        <v>239</v>
      </c>
      <c r="J11" s="409" t="s">
        <v>240</v>
      </c>
      <c r="K11" s="409" t="s">
        <v>241</v>
      </c>
      <c r="L11" s="394"/>
      <c r="M11" s="395"/>
      <c r="N11" s="392" t="s">
        <v>242</v>
      </c>
      <c r="O11" s="392" t="s">
        <v>243</v>
      </c>
      <c r="P11" s="393" t="s">
        <v>244</v>
      </c>
      <c r="Q11" s="392" t="s">
        <v>245</v>
      </c>
      <c r="R11" s="392" t="s">
        <v>246</v>
      </c>
      <c r="S11" s="392" t="s">
        <v>247</v>
      </c>
      <c r="T11" s="393" t="s">
        <v>244</v>
      </c>
      <c r="U11" s="392" t="s">
        <v>248</v>
      </c>
      <c r="V11" s="431" t="s">
        <v>249</v>
      </c>
      <c r="W11" s="252"/>
      <c r="X11" s="252"/>
      <c r="Y11" s="252"/>
      <c r="Z11" s="396" t="s">
        <v>31</v>
      </c>
      <c r="AA11" s="396" t="s">
        <v>33</v>
      </c>
      <c r="AB11" s="396" t="s">
        <v>250</v>
      </c>
      <c r="AC11" s="396"/>
      <c r="AD11" s="396"/>
      <c r="AE11" s="396"/>
      <c r="AF11" s="396"/>
      <c r="AG11" s="396"/>
      <c r="AH11" s="431" t="s">
        <v>251</v>
      </c>
      <c r="AI11" s="429" t="s">
        <v>252</v>
      </c>
      <c r="AJ11" s="429" t="s">
        <v>244</v>
      </c>
      <c r="AK11" s="429" t="s">
        <v>253</v>
      </c>
      <c r="AL11" s="429" t="s">
        <v>244</v>
      </c>
      <c r="AM11" s="429" t="s">
        <v>254</v>
      </c>
      <c r="AN11" s="431" t="s">
        <v>49</v>
      </c>
      <c r="AO11" s="396" t="s">
        <v>255</v>
      </c>
      <c r="AP11" s="396" t="s">
        <v>256</v>
      </c>
      <c r="AQ11" s="396" t="s">
        <v>257</v>
      </c>
      <c r="AR11" s="396" t="s">
        <v>258</v>
      </c>
      <c r="AS11" s="430" t="s">
        <v>259</v>
      </c>
      <c r="AT11" s="430" t="s">
        <v>257</v>
      </c>
      <c r="AU11" s="430" t="s">
        <v>260</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61.5" customHeight="1" x14ac:dyDescent="0.25">
      <c r="A12" s="391"/>
      <c r="B12" s="397"/>
      <c r="C12" s="396"/>
      <c r="D12" s="396"/>
      <c r="E12" s="399"/>
      <c r="F12" s="397"/>
      <c r="G12" s="396"/>
      <c r="H12" s="410"/>
      <c r="I12" s="410"/>
      <c r="J12" s="410"/>
      <c r="K12" s="410"/>
      <c r="L12" s="251" t="s">
        <v>261</v>
      </c>
      <c r="M12" s="251" t="s">
        <v>262</v>
      </c>
      <c r="N12" s="392"/>
      <c r="O12" s="392"/>
      <c r="P12" s="393"/>
      <c r="Q12" s="392"/>
      <c r="R12" s="392"/>
      <c r="S12" s="393"/>
      <c r="T12" s="393"/>
      <c r="U12" s="392"/>
      <c r="V12" s="431"/>
      <c r="W12" s="250" t="s">
        <v>260</v>
      </c>
      <c r="X12" s="250" t="s">
        <v>259</v>
      </c>
      <c r="Y12" s="250" t="s">
        <v>263</v>
      </c>
      <c r="Z12" s="396"/>
      <c r="AA12" s="396"/>
      <c r="AB12" s="249" t="s">
        <v>264</v>
      </c>
      <c r="AC12" s="249" t="s">
        <v>265</v>
      </c>
      <c r="AD12" s="249" t="s">
        <v>266</v>
      </c>
      <c r="AE12" s="249" t="s">
        <v>267</v>
      </c>
      <c r="AF12" s="249" t="s">
        <v>268</v>
      </c>
      <c r="AG12" s="249" t="s">
        <v>269</v>
      </c>
      <c r="AH12" s="431"/>
      <c r="AI12" s="429"/>
      <c r="AJ12" s="429"/>
      <c r="AK12" s="429"/>
      <c r="AL12" s="429"/>
      <c r="AM12" s="429"/>
      <c r="AN12" s="431"/>
      <c r="AO12" s="396"/>
      <c r="AP12" s="396"/>
      <c r="AQ12" s="396"/>
      <c r="AR12" s="396"/>
      <c r="AS12" s="430"/>
      <c r="AT12" s="430"/>
      <c r="AU12" s="430"/>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ht="229.5" customHeight="1" x14ac:dyDescent="0.25">
      <c r="A13" s="426">
        <v>1</v>
      </c>
      <c r="B13" s="354" t="s">
        <v>119</v>
      </c>
      <c r="C13" s="354" t="s">
        <v>492</v>
      </c>
      <c r="D13" s="354" t="s">
        <v>499</v>
      </c>
      <c r="E13" s="354" t="s">
        <v>495</v>
      </c>
      <c r="F13" s="354" t="str">
        <f t="shared" ref="F13" si="0">+CONCATENATE(B13," ",C13," ",D13)</f>
        <v xml:space="preserve">Posibilidad de afectación reputacional Por requerimientos de entes de control y de los procesos internos de la entidad  Debido a deficiencias en la publicación de información, ya sea desactualizada o incorrecta, lo que genera comunicación inexacta hacia los colaboradores y ciudadanía.
Baja capacidad de las dependencias para interrelacionar las necesidades de divulgación y comunicación.
Desconocimiento de los canales de comunicación interna y la forma de acceder a ellos, asi como el apoyo que  prestar el equipo de comunicaciones </v>
      </c>
      <c r="G13" s="354" t="s">
        <v>270</v>
      </c>
      <c r="H13" s="354" t="s">
        <v>133</v>
      </c>
      <c r="I13" s="354" t="s">
        <v>271</v>
      </c>
      <c r="J13" s="354" t="s">
        <v>496</v>
      </c>
      <c r="K13" s="354" t="s">
        <v>272</v>
      </c>
      <c r="L13" s="354" t="s">
        <v>137</v>
      </c>
      <c r="M13" s="354" t="s">
        <v>85</v>
      </c>
      <c r="N13" s="400">
        <v>24</v>
      </c>
      <c r="O13" s="403" t="str">
        <f>IF(N13&lt;=0,"",IF(N13&lt;=2,"Muy Baja",IF(N13&lt;=24,"Baja",IF(N13&lt;=500,"Media",IF(N13&lt;=5000,"Alta","Muy Alta")))))</f>
        <v>Baja</v>
      </c>
      <c r="P13" s="416">
        <f>IF(O13="","",IF(O13="Muy Baja",0.2,IF(O13="Baja",0.4,IF(O13="Media",0.6,IF(O13="Alta",0.8,IF(O13="Muy Alta",1,))))))</f>
        <v>0.4</v>
      </c>
      <c r="Q13" s="406" t="s">
        <v>273</v>
      </c>
      <c r="R13" s="416" t="str">
        <f>IF(NOT(ISERROR(MATCH(Q13,'Tabla Impacto'!$B$245:$B$247,0))),'Tabla Impacto'!$F$224&amp;"Por favor no seleccionar los criterios de impacto(Afectación Económica o presupuestal y Pérdida Reputacional)",Q13)</f>
        <v xml:space="preserve">     El riesgo afecta la imagen de la entidad internamente, de conocimiento general, nivel interno, de junta dircetiva y accionistas y/o de provedores</v>
      </c>
      <c r="S13" s="403" t="str">
        <f>IF(OR(R13='Tabla Impacto'!$C$12,R13='Tabla Impacto'!$D$12),"Leve",IF(OR(R13='Tabla Impacto'!$C$13,R13='Tabla Impacto'!$D$13),"Menor",IF(OR(R13='Tabla Impacto'!$C$14,R13='Tabla Impacto'!$D$14),"Moderado",IF(OR(R13='Tabla Impacto'!$C$15,R13='Tabla Impacto'!$D$15),"Mayor",IF(OR(R13='Tabla Impacto'!$C$16,R13='Tabla Impacto'!$D$16),"Catastrófico","")))))</f>
        <v>Menor</v>
      </c>
      <c r="T13" s="416">
        <f>IF(S13="","",IF(S13="Leve",0.2,IF(S13="Menor",0.4,IF(S13="Moderado",0.6,IF(S13="Mayor",0.8,IF(S13="Catastrófico",1,))))))</f>
        <v>0.4</v>
      </c>
      <c r="U13" s="438"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199">
        <v>1</v>
      </c>
      <c r="W13" s="244" t="s">
        <v>274</v>
      </c>
      <c r="X13" s="244" t="s">
        <v>120</v>
      </c>
      <c r="Y13" s="244" t="s">
        <v>501</v>
      </c>
      <c r="Z13" s="304" t="str">
        <f>+CONCATENATE(W13," ",X13," ",Y13)</f>
        <v xml:space="preserve">Profesional Equipo de Comunicaciones y la jefe de Comunicaciones Valida Bimestralmente dentro del consejo de redacción, que se estén  llevando a cabo las actividades asociadas a la divulgación del manejo del Aplicativo de Comunicaciones. Como evidencia quedarán las actas de reunión del consejo de redacción. 
En caso de evidenciar que las actividades presenten demoras en su ejecución, se generará la alerta de tal forma que se pueda reprogramar, sin superar 15 dias calendario siguiente a la reunión. </v>
      </c>
      <c r="AA13" s="176" t="str">
        <f t="shared" ref="AA13:AA14" si="1">IF(OR(AB13="Preventivo",AB13="Detectivo"),"Probabilidad",IF(AB13="Correctivo","Impacto",""))</f>
        <v>Probabilidad</v>
      </c>
      <c r="AB13" s="177" t="s">
        <v>275</v>
      </c>
      <c r="AC13" s="177" t="s">
        <v>276</v>
      </c>
      <c r="AD13" s="178" t="str">
        <f>IF(AND(AB13="Preventivo",AC13="Automático"),"50%",IF(AND(AB13="Preventivo",AC13="Manual"),"40%",IF(AND(AB13="Detectivo",AC13="Automático"),"40%",IF(AND(AB13="Detectivo",AC13="Manual"),"30%",IF(AND(AB13="Correctivo",AC13="Automático"),"35%",IF(AND(AB13="Correctivo",AC13="Manual"),"25%",""))))))</f>
        <v>40%</v>
      </c>
      <c r="AE13" s="177" t="s">
        <v>277</v>
      </c>
      <c r="AF13" s="177" t="s">
        <v>278</v>
      </c>
      <c r="AG13" s="177" t="s">
        <v>279</v>
      </c>
      <c r="AH13" s="179">
        <f>IFERROR(IF(AA13="Probabilidad",(P13-(+P13*AD13)),IF(AA13="Impacto",P13,"")),"")</f>
        <v>0.24</v>
      </c>
      <c r="AI13" s="180" t="str">
        <f>IFERROR(IF(AH13="","",IF(AH13&lt;=0.2,"Muy Baja",IF(AH13&lt;=0.4,"Baja",IF(AH13&lt;=0.6,"Media",IF(AH13&lt;=0.8,"Alta","Muy Alta"))))),"")</f>
        <v>Baja</v>
      </c>
      <c r="AJ13" s="178">
        <f>+AH13</f>
        <v>0.24</v>
      </c>
      <c r="AK13" s="180" t="str">
        <f>IFERROR(IF(AL13="","",IF(AL13&lt;=0.2,"Leve",IF(AL13&lt;=0.4,"Menor",IF(AL13&lt;=0.6,"Moderado",IF(AL13&lt;=0.8,"Mayor","Catastrófico"))))),"")</f>
        <v>Menor</v>
      </c>
      <c r="AL13" s="178">
        <f>IFERROR(IF(AA13="Impacto",(T13-(+T13*AD13)),IF(AA13="Probabilidad",T13,"")),"")</f>
        <v>0.4</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Moderado</v>
      </c>
      <c r="AN13" s="182" t="s">
        <v>124</v>
      </c>
      <c r="AO13" s="175"/>
      <c r="AP13" s="183"/>
      <c r="AQ13" s="183"/>
      <c r="AR13" s="184"/>
      <c r="AS13" s="354" t="s">
        <v>493</v>
      </c>
      <c r="AT13" s="354" t="s">
        <v>498</v>
      </c>
      <c r="AU13" s="354" t="s">
        <v>494</v>
      </c>
    </row>
    <row r="14" spans="1:275" ht="255.75" customHeight="1" x14ac:dyDescent="0.2">
      <c r="A14" s="427"/>
      <c r="B14" s="355"/>
      <c r="C14" s="355"/>
      <c r="D14" s="355"/>
      <c r="E14" s="355"/>
      <c r="F14" s="355"/>
      <c r="G14" s="355"/>
      <c r="H14" s="355"/>
      <c r="I14" s="355"/>
      <c r="J14" s="355"/>
      <c r="K14" s="355"/>
      <c r="L14" s="355"/>
      <c r="M14" s="355"/>
      <c r="N14" s="401"/>
      <c r="O14" s="404"/>
      <c r="P14" s="416"/>
      <c r="Q14" s="407"/>
      <c r="R14" s="416">
        <f>IF(NOT(ISERROR(MATCH(Q14,_xlfn.ANCHORARRAY(F25),0))),P27&amp;"Por favor no seleccionar los criterios de impacto",Q14)</f>
        <v>0</v>
      </c>
      <c r="S14" s="404"/>
      <c r="T14" s="416"/>
      <c r="U14" s="439"/>
      <c r="V14" s="199">
        <v>2</v>
      </c>
      <c r="W14" s="244" t="s">
        <v>274</v>
      </c>
      <c r="X14" s="199" t="s">
        <v>117</v>
      </c>
      <c r="Y14" s="244" t="s">
        <v>502</v>
      </c>
      <c r="Z14" s="304" t="str">
        <f>+CONCATENATE(W14," ",X14," ",Y14)</f>
        <v xml:space="preserve">Profesional Equipo de Comunicaciones y la jefe de Comunicaciones Verifica Trimestralmente dentro del consejo de redacción, la Publicación de piezas de invitación para la utilización de los canales de comunicación existentes en la entidad. Como evidencia quedarán las actas de reunión del consejo de redacción. 
En caso de evidenciar que las actividades presenten demoras en su ejecución, se realizará la publicación de las piezas, sin superar los 8 dias calendario siguientes a la finalización del trimestre. Como soporte quedarán capturas de pantalla, piezas gráficas o fotografías. </v>
      </c>
      <c r="AA14" s="176" t="str">
        <f t="shared" si="1"/>
        <v>Probabilidad</v>
      </c>
      <c r="AB14" s="177" t="s">
        <v>275</v>
      </c>
      <c r="AC14" s="177" t="s">
        <v>276</v>
      </c>
      <c r="AD14" s="178" t="str">
        <f t="shared" ref="AD14" si="2">IF(AND(AB14="Preventivo",AC14="Automático"),"50%",IF(AND(AB14="Preventivo",AC14="Manual"),"40%",IF(AND(AB14="Detectivo",AC14="Automático"),"40%",IF(AND(AB14="Detectivo",AC14="Manual"),"30%",IF(AND(AB14="Correctivo",AC14="Automático"),"35%",IF(AND(AB14="Correctivo",AC14="Manual"),"25%",""))))))</f>
        <v>40%</v>
      </c>
      <c r="AE14" s="177" t="s">
        <v>277</v>
      </c>
      <c r="AF14" s="177" t="s">
        <v>278</v>
      </c>
      <c r="AG14" s="177" t="s">
        <v>279</v>
      </c>
      <c r="AH14" s="179">
        <f>IFERROR(IF(AND(AA13="Probabilidad",AA14="Probabilidad"),(AJ13-(+AJ13*AD14)),IF(AA14="Probabilidad",(P13-(+P13*AD14)),IF(AA14="Impacto",AJ13,""))),"")</f>
        <v>0.14399999999999999</v>
      </c>
      <c r="AI14" s="180" t="str">
        <f t="shared" ref="AI14:AI72" si="3">IFERROR(IF(AH14="","",IF(AH14&lt;=0.2,"Muy Baja",IF(AH14&lt;=0.4,"Baja",IF(AH14&lt;=0.6,"Media",IF(AH14&lt;=0.8,"Alta","Muy Alta"))))),"")</f>
        <v>Muy Baja</v>
      </c>
      <c r="AJ14" s="178">
        <f t="shared" ref="AJ14" si="4">+AH14</f>
        <v>0.14399999999999999</v>
      </c>
      <c r="AK14" s="180" t="str">
        <f t="shared" ref="AK14:AK72" si="5">IFERROR(IF(AL14="","",IF(AL14&lt;=0.2,"Leve",IF(AL14&lt;=0.4,"Menor",IF(AL14&lt;=0.6,"Moderado",IF(AL14&lt;=0.8,"Mayor","Catastrófico"))))),"")</f>
        <v>Menor</v>
      </c>
      <c r="AL14" s="178">
        <f>IFERROR(IF(AND(AA13="Impacto",AA14="Impacto"),(AL13-(+AL13*AD14)),IF(AA14="Impacto",($T$13-(+$T$13*AD14)),IF(AA14="Probabilidad",AL13,""))),"")</f>
        <v>0.4</v>
      </c>
      <c r="AM14" s="181" t="str">
        <f t="shared" ref="AM14"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Bajo</v>
      </c>
      <c r="AN14" s="182" t="s">
        <v>115</v>
      </c>
      <c r="AO14" s="175"/>
      <c r="AP14" s="183"/>
      <c r="AQ14" s="175"/>
      <c r="AR14" s="184"/>
      <c r="AS14" s="355"/>
      <c r="AT14" s="355"/>
      <c r="AU14" s="355"/>
    </row>
    <row r="15" spans="1:275" ht="15.75" customHeight="1" x14ac:dyDescent="0.2">
      <c r="A15" s="427"/>
      <c r="B15" s="355"/>
      <c r="C15" s="355"/>
      <c r="D15" s="355"/>
      <c r="E15" s="355"/>
      <c r="F15" s="355"/>
      <c r="G15" s="355"/>
      <c r="H15" s="355"/>
      <c r="I15" s="355"/>
      <c r="J15" s="355"/>
      <c r="K15" s="355"/>
      <c r="L15" s="355"/>
      <c r="M15" s="355"/>
      <c r="N15" s="401"/>
      <c r="O15" s="404"/>
      <c r="P15" s="305"/>
      <c r="Q15" s="407"/>
      <c r="R15" s="305"/>
      <c r="S15" s="404"/>
      <c r="T15" s="305"/>
      <c r="U15" s="439"/>
      <c r="V15" s="199">
        <v>3</v>
      </c>
      <c r="W15" s="244"/>
      <c r="X15" s="199"/>
      <c r="Y15" s="244"/>
      <c r="Z15" s="304"/>
      <c r="AA15" s="176"/>
      <c r="AB15" s="177"/>
      <c r="AC15" s="177"/>
      <c r="AD15" s="178"/>
      <c r="AE15" s="177"/>
      <c r="AF15" s="177"/>
      <c r="AG15" s="177"/>
      <c r="AH15" s="179"/>
      <c r="AI15" s="180"/>
      <c r="AJ15" s="178"/>
      <c r="AK15" s="180"/>
      <c r="AL15" s="178"/>
      <c r="AM15" s="181"/>
      <c r="AN15" s="182"/>
      <c r="AO15" s="175"/>
      <c r="AP15" s="183"/>
      <c r="AQ15" s="175"/>
      <c r="AR15" s="184"/>
      <c r="AS15" s="355"/>
      <c r="AT15" s="355"/>
      <c r="AU15" s="355"/>
    </row>
    <row r="16" spans="1:275" ht="15.75" customHeight="1" x14ac:dyDescent="0.2">
      <c r="A16" s="427"/>
      <c r="B16" s="355"/>
      <c r="C16" s="355"/>
      <c r="D16" s="355"/>
      <c r="E16" s="355"/>
      <c r="F16" s="355"/>
      <c r="G16" s="355"/>
      <c r="H16" s="355"/>
      <c r="I16" s="355"/>
      <c r="J16" s="355"/>
      <c r="K16" s="355"/>
      <c r="L16" s="355"/>
      <c r="M16" s="355"/>
      <c r="N16" s="401"/>
      <c r="O16" s="404"/>
      <c r="P16" s="305"/>
      <c r="Q16" s="407"/>
      <c r="R16" s="305"/>
      <c r="S16" s="404"/>
      <c r="T16" s="305"/>
      <c r="U16" s="439"/>
      <c r="V16" s="199">
        <v>4</v>
      </c>
      <c r="W16" s="244"/>
      <c r="X16" s="199"/>
      <c r="Y16" s="244"/>
      <c r="Z16" s="304"/>
      <c r="AA16" s="176"/>
      <c r="AB16" s="177"/>
      <c r="AC16" s="177"/>
      <c r="AD16" s="178"/>
      <c r="AE16" s="177"/>
      <c r="AF16" s="177"/>
      <c r="AG16" s="177"/>
      <c r="AH16" s="179"/>
      <c r="AI16" s="180"/>
      <c r="AJ16" s="178"/>
      <c r="AK16" s="180"/>
      <c r="AL16" s="178"/>
      <c r="AM16" s="181"/>
      <c r="AN16" s="182"/>
      <c r="AO16" s="175"/>
      <c r="AP16" s="183"/>
      <c r="AQ16" s="175"/>
      <c r="AR16" s="184"/>
      <c r="AS16" s="355"/>
      <c r="AT16" s="355"/>
      <c r="AU16" s="355"/>
    </row>
    <row r="17" spans="1:47" ht="15.75" customHeight="1" x14ac:dyDescent="0.2">
      <c r="A17" s="427"/>
      <c r="B17" s="355"/>
      <c r="C17" s="355"/>
      <c r="D17" s="355"/>
      <c r="E17" s="355"/>
      <c r="F17" s="355"/>
      <c r="G17" s="355"/>
      <c r="H17" s="355"/>
      <c r="I17" s="355"/>
      <c r="J17" s="355"/>
      <c r="K17" s="355"/>
      <c r="L17" s="355"/>
      <c r="M17" s="355"/>
      <c r="N17" s="401"/>
      <c r="O17" s="404"/>
      <c r="P17" s="305"/>
      <c r="Q17" s="407"/>
      <c r="R17" s="305"/>
      <c r="S17" s="404"/>
      <c r="T17" s="305"/>
      <c r="U17" s="439"/>
      <c r="V17" s="199">
        <v>5</v>
      </c>
      <c r="W17" s="244"/>
      <c r="X17" s="199"/>
      <c r="Y17" s="244"/>
      <c r="Z17" s="304"/>
      <c r="AA17" s="176"/>
      <c r="AB17" s="177"/>
      <c r="AC17" s="177"/>
      <c r="AD17" s="178"/>
      <c r="AE17" s="177"/>
      <c r="AF17" s="177"/>
      <c r="AG17" s="177"/>
      <c r="AH17" s="179"/>
      <c r="AI17" s="180"/>
      <c r="AJ17" s="178"/>
      <c r="AK17" s="180"/>
      <c r="AL17" s="178"/>
      <c r="AM17" s="181"/>
      <c r="AN17" s="182"/>
      <c r="AO17" s="175"/>
      <c r="AP17" s="183"/>
      <c r="AQ17" s="175"/>
      <c r="AR17" s="184"/>
      <c r="AS17" s="355"/>
      <c r="AT17" s="355"/>
      <c r="AU17" s="355"/>
    </row>
    <row r="18" spans="1:47" ht="15.75" customHeight="1" x14ac:dyDescent="0.2">
      <c r="A18" s="428"/>
      <c r="B18" s="356"/>
      <c r="C18" s="356"/>
      <c r="D18" s="356"/>
      <c r="E18" s="356"/>
      <c r="F18" s="356"/>
      <c r="G18" s="356"/>
      <c r="H18" s="356"/>
      <c r="I18" s="356"/>
      <c r="J18" s="356"/>
      <c r="K18" s="356"/>
      <c r="L18" s="356"/>
      <c r="M18" s="356"/>
      <c r="N18" s="402"/>
      <c r="O18" s="405"/>
      <c r="P18" s="305"/>
      <c r="Q18" s="408"/>
      <c r="R18" s="305"/>
      <c r="S18" s="405"/>
      <c r="T18" s="305"/>
      <c r="U18" s="440"/>
      <c r="V18" s="199">
        <v>6</v>
      </c>
      <c r="W18" s="244"/>
      <c r="X18" s="199"/>
      <c r="Y18" s="244"/>
      <c r="Z18" s="304"/>
      <c r="AA18" s="176"/>
      <c r="AB18" s="177"/>
      <c r="AC18" s="177"/>
      <c r="AD18" s="178"/>
      <c r="AE18" s="177"/>
      <c r="AF18" s="177"/>
      <c r="AG18" s="177"/>
      <c r="AH18" s="179"/>
      <c r="AI18" s="180"/>
      <c r="AJ18" s="178"/>
      <c r="AK18" s="180"/>
      <c r="AL18" s="178"/>
      <c r="AM18" s="181"/>
      <c r="AN18" s="182"/>
      <c r="AO18" s="175"/>
      <c r="AP18" s="183"/>
      <c r="AQ18" s="175"/>
      <c r="AR18" s="184"/>
      <c r="AS18" s="356"/>
      <c r="AT18" s="356"/>
      <c r="AU18" s="356"/>
    </row>
    <row r="19" spans="1:47" ht="15" customHeight="1" x14ac:dyDescent="0.2">
      <c r="A19" s="411">
        <v>2</v>
      </c>
      <c r="B19" s="353"/>
      <c r="C19" s="354"/>
      <c r="D19" s="354"/>
      <c r="E19" s="354"/>
      <c r="F19" s="354"/>
      <c r="G19" s="354"/>
      <c r="H19" s="354"/>
      <c r="I19" s="354"/>
      <c r="J19" s="354"/>
      <c r="K19" s="354"/>
      <c r="L19" s="354"/>
      <c r="M19" s="354"/>
      <c r="N19" s="414"/>
      <c r="O19" s="415" t="str">
        <f>IF(N19&lt;=0,"",IF(N19&lt;=2,"Muy Baja",IF(N19&lt;=24,"Baja",IF(N19&lt;=500,"Media",IF(N19&lt;=5000,"Alta","Muy Alta")))))</f>
        <v/>
      </c>
      <c r="P19" s="416" t="str">
        <f>IF(O19="","",IF(O19="Muy Baja",0.2,IF(O19="Baja",0.4,IF(O19="Media",0.6,IF(O19="Alta",0.8,IF(O19="Muy Alta",1,))))))</f>
        <v/>
      </c>
      <c r="Q19" s="417"/>
      <c r="R19" s="416">
        <f>IF(NOT(ISERROR(MATCH(Q19,'Tabla Impacto'!$B$245:$B$247,0))),'Tabla Impacto'!$F$224&amp;"Por favor no seleccionar los criterios de impacto(Afectación Económica o presupuestal y Pérdida Reputacional)",Q19)</f>
        <v>0</v>
      </c>
      <c r="S19" s="415" t="str">
        <f>IF(OR(R19='Tabla Impacto'!$C$12,R19='Tabla Impacto'!$D$12),"Leve",IF(OR(R19='Tabla Impacto'!$C$13,R19='Tabla Impacto'!$D$13),"Menor",IF(OR(R19='Tabla Impacto'!$C$14,R19='Tabla Impacto'!$D$14),"Moderado",IF(OR(R19='Tabla Impacto'!$C$15,R19='Tabla Impacto'!$D$15),"Mayor",IF(OR(R19='Tabla Impacto'!$C$16,R19='Tabla Impacto'!$D$16),"Catastrófico","")))))</f>
        <v/>
      </c>
      <c r="T19" s="416" t="str">
        <f>IF(S19="","",IF(S19="Leve",0.2,IF(S19="Menor",0.4,IF(S19="Moderado",0.6,IF(S19="Mayor",0.8,IF(S19="Catastrófico",1,))))))</f>
        <v/>
      </c>
      <c r="U19" s="420"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199">
        <v>1</v>
      </c>
      <c r="W19" s="244"/>
      <c r="X19" s="199"/>
      <c r="Y19" s="199"/>
      <c r="Z19" s="224" t="str">
        <f t="shared" ref="Z19:Z72" si="7">+CONCATENATE(W19," ",X19," ",Y19)</f>
        <v xml:space="preserve">  </v>
      </c>
      <c r="AA19" s="176" t="str">
        <f>IF(OR(AB19="Preventivo",AB19="Detectivo"),"Probabilidad",IF(AB19="Correctivo","Impacto",""))</f>
        <v/>
      </c>
      <c r="AB19" s="177"/>
      <c r="AC19" s="177"/>
      <c r="AD19" s="178" t="str">
        <f>IF(AND(AB19="Preventivo",AC19="Automático"),"50%",IF(AND(AB19="Preventivo",AC19="Manual"),"40%",IF(AND(AB19="Detectivo",AC19="Automático"),"40%",IF(AND(AB19="Detectivo",AC19="Manual"),"30%",IF(AND(AB19="Correctivo",AC19="Automático"),"35%",IF(AND(AB19="Correctivo",AC19="Manual"),"25%",""))))))</f>
        <v/>
      </c>
      <c r="AE19" s="177"/>
      <c r="AF19" s="177"/>
      <c r="AG19" s="177"/>
      <c r="AH19" s="179" t="str">
        <f>IFERROR(IF(AA19="Probabilidad",(P19-(+P19*AD19)),IF(AA19="Impacto",P19,"")),"")</f>
        <v/>
      </c>
      <c r="AI19" s="180" t="str">
        <f>IFERROR(IF(AH19="","",IF(AH19&lt;=0.2,"Muy Baja",IF(AH19&lt;=0.4,"Baja",IF(AH19&lt;=0.6,"Media",IF(AH19&lt;=0.8,"Alta","Muy Alta"))))),"")</f>
        <v/>
      </c>
      <c r="AJ19" s="178" t="str">
        <f>+AH19</f>
        <v/>
      </c>
      <c r="AK19" s="180" t="str">
        <f>IFERROR(IF(AL19="","",IF(AL19&lt;=0.2,"Leve",IF(AL19&lt;=0.4,"Menor",IF(AL19&lt;=0.6,"Moderado",IF(AL19&lt;=0.8,"Mayor","Catastrófico"))))),"")</f>
        <v/>
      </c>
      <c r="AL19" s="178" t="str">
        <f t="shared" ref="AL19" si="8">IFERROR(IF(AA19="Impacto",(T19-(+T19*AD19)),IF(AA19="Probabilidad",T19,"")),"")</f>
        <v/>
      </c>
      <c r="AM19" s="181"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82"/>
      <c r="AO19" s="175"/>
      <c r="AP19" s="183"/>
      <c r="AQ19" s="183"/>
      <c r="AR19" s="184"/>
      <c r="AS19" s="414"/>
      <c r="AT19" s="414"/>
      <c r="AU19" s="414"/>
    </row>
    <row r="20" spans="1:47" x14ac:dyDescent="0.2">
      <c r="A20" s="411"/>
      <c r="B20" s="353"/>
      <c r="C20" s="355"/>
      <c r="D20" s="355"/>
      <c r="E20" s="355"/>
      <c r="F20" s="355"/>
      <c r="G20" s="355"/>
      <c r="H20" s="355"/>
      <c r="I20" s="355"/>
      <c r="J20" s="355"/>
      <c r="K20" s="355"/>
      <c r="L20" s="355"/>
      <c r="M20" s="355"/>
      <c r="N20" s="414"/>
      <c r="O20" s="415"/>
      <c r="P20" s="416"/>
      <c r="Q20" s="417"/>
      <c r="R20" s="416">
        <f>IF(NOT(ISERROR(MATCH(Q20,_xlfn.ANCHORARRAY(F31),0))),P33&amp;"Por favor no seleccionar los criterios de impacto",Q20)</f>
        <v>0</v>
      </c>
      <c r="S20" s="415"/>
      <c r="T20" s="416"/>
      <c r="U20" s="420"/>
      <c r="V20" s="199">
        <v>2</v>
      </c>
      <c r="W20" s="244"/>
      <c r="X20" s="199"/>
      <c r="Y20" s="199"/>
      <c r="Z20" s="224" t="str">
        <f t="shared" si="7"/>
        <v xml:space="preserve">  </v>
      </c>
      <c r="AA20" s="176" t="str">
        <f>IF(OR(AB20="Preventivo",AB20="Detectivo"),"Probabilidad",IF(AB20="Correctivo","Impacto",""))</f>
        <v/>
      </c>
      <c r="AB20" s="177"/>
      <c r="AC20" s="177"/>
      <c r="AD20" s="178" t="str">
        <f t="shared" ref="AD20:AD24" si="9">IF(AND(AB20="Preventivo",AC20="Automático"),"50%",IF(AND(AB20="Preventivo",AC20="Manual"),"40%",IF(AND(AB20="Detectivo",AC20="Automático"),"40%",IF(AND(AB20="Detectivo",AC20="Manual"),"30%",IF(AND(AB20="Correctivo",AC20="Automático"),"35%",IF(AND(AB20="Correctivo",AC20="Manual"),"25%",""))))))</f>
        <v/>
      </c>
      <c r="AE20" s="177"/>
      <c r="AF20" s="177"/>
      <c r="AG20" s="177"/>
      <c r="AH20" s="179" t="str">
        <f>IFERROR(IF(AND(AA19="Probabilidad",AA20="Probabilidad"),(AJ19-(+AJ19*AD20)),IF(AA20="Probabilidad",(P19-(+P19*AD20)),IF(AA20="Impacto",AJ19,""))),"")</f>
        <v/>
      </c>
      <c r="AI20" s="180" t="str">
        <f t="shared" si="3"/>
        <v/>
      </c>
      <c r="AJ20" s="178" t="str">
        <f t="shared" ref="AJ20:AJ24" si="10">+AH20</f>
        <v/>
      </c>
      <c r="AK20" s="180" t="str">
        <f t="shared" si="5"/>
        <v/>
      </c>
      <c r="AL20" s="178" t="str">
        <f t="shared" ref="AL20" si="11">IFERROR(IF(AND(AA19="Impacto",AA20="Impacto"),(AL19-(+AL19*AD20)),IF(AA20="Impacto",($T$13-(+$T$13*AD20)),IF(AA20="Probabilidad",AL19,""))),"")</f>
        <v/>
      </c>
      <c r="AM20" s="181" t="str">
        <f t="shared" ref="AM20:AM21" si="12">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82"/>
      <c r="AO20" s="175"/>
      <c r="AP20" s="183"/>
      <c r="AQ20" s="175"/>
      <c r="AR20" s="184"/>
      <c r="AS20" s="414"/>
      <c r="AT20" s="414"/>
      <c r="AU20" s="414"/>
    </row>
    <row r="21" spans="1:47" x14ac:dyDescent="0.2">
      <c r="A21" s="411"/>
      <c r="B21" s="353"/>
      <c r="C21" s="355"/>
      <c r="D21" s="355"/>
      <c r="E21" s="355"/>
      <c r="F21" s="355"/>
      <c r="G21" s="355"/>
      <c r="H21" s="355"/>
      <c r="I21" s="355"/>
      <c r="J21" s="355"/>
      <c r="K21" s="355"/>
      <c r="L21" s="355"/>
      <c r="M21" s="355"/>
      <c r="N21" s="414"/>
      <c r="O21" s="415"/>
      <c r="P21" s="416"/>
      <c r="Q21" s="417"/>
      <c r="R21" s="416">
        <f>IF(NOT(ISERROR(MATCH(Q21,_xlfn.ANCHORARRAY(F32),0))),P34&amp;"Por favor no seleccionar los criterios de impacto",Q21)</f>
        <v>0</v>
      </c>
      <c r="S21" s="415"/>
      <c r="T21" s="416"/>
      <c r="U21" s="420"/>
      <c r="V21" s="199">
        <v>3</v>
      </c>
      <c r="W21" s="244"/>
      <c r="X21" s="199"/>
      <c r="Y21" s="199"/>
      <c r="Z21" s="224" t="str">
        <f t="shared" si="7"/>
        <v xml:space="preserve">  </v>
      </c>
      <c r="AA21" s="176" t="str">
        <f>IF(OR(AB21="Preventivo",AB21="Detectivo"),"Probabilidad",IF(AB21="Correctivo","Impacto",""))</f>
        <v/>
      </c>
      <c r="AB21" s="177"/>
      <c r="AC21" s="177"/>
      <c r="AD21" s="178" t="str">
        <f t="shared" si="9"/>
        <v/>
      </c>
      <c r="AE21" s="177"/>
      <c r="AF21" s="177"/>
      <c r="AG21" s="177"/>
      <c r="AH21" s="179" t="str">
        <f>IFERROR(IF(AND(AA20="Probabilidad",AA21="Probabilidad"),(AJ20-(+AJ20*AD21)),IF(AND(AA20="Impacto",AA21="Probabilidad"),(AJ19-(+AJ19*AD21)),IF(AA21="Impacto",AJ20,""))),"")</f>
        <v/>
      </c>
      <c r="AI21" s="180" t="str">
        <f t="shared" si="3"/>
        <v/>
      </c>
      <c r="AJ21" s="178" t="str">
        <f t="shared" si="10"/>
        <v/>
      </c>
      <c r="AK21" s="180" t="str">
        <f t="shared" si="5"/>
        <v/>
      </c>
      <c r="AL21" s="178" t="str">
        <f t="shared" ref="AL21:AL72" si="13">IFERROR(IF(AND(AA20="Impacto",AA21="Impacto"),(AL20-(+AL20*AD21)),IF(AND(AA20="Probabilidad",AA21="Impacto"),(AL19-(+AL19*AD21)),IF(AA21="Probabilidad",AL20,""))),"")</f>
        <v/>
      </c>
      <c r="AM21" s="181" t="str">
        <f t="shared" si="12"/>
        <v/>
      </c>
      <c r="AN21" s="182"/>
      <c r="AO21" s="175"/>
      <c r="AP21" s="183"/>
      <c r="AQ21" s="183"/>
      <c r="AR21" s="184"/>
      <c r="AS21" s="414"/>
      <c r="AT21" s="414"/>
      <c r="AU21" s="414"/>
    </row>
    <row r="22" spans="1:47" x14ac:dyDescent="0.2">
      <c r="A22" s="411"/>
      <c r="B22" s="353"/>
      <c r="C22" s="355"/>
      <c r="D22" s="355"/>
      <c r="E22" s="355"/>
      <c r="F22" s="355"/>
      <c r="G22" s="355"/>
      <c r="H22" s="355"/>
      <c r="I22" s="355"/>
      <c r="J22" s="355"/>
      <c r="K22" s="355"/>
      <c r="L22" s="355"/>
      <c r="M22" s="355"/>
      <c r="N22" s="414"/>
      <c r="O22" s="415"/>
      <c r="P22" s="416"/>
      <c r="Q22" s="417"/>
      <c r="R22" s="416">
        <f>IF(NOT(ISERROR(MATCH(Q22,_xlfn.ANCHORARRAY(F33),0))),P35&amp;"Por favor no seleccionar los criterios de impacto",Q22)</f>
        <v>0</v>
      </c>
      <c r="S22" s="415"/>
      <c r="T22" s="416"/>
      <c r="U22" s="420"/>
      <c r="V22" s="199">
        <v>4</v>
      </c>
      <c r="W22" s="244"/>
      <c r="X22" s="199"/>
      <c r="Y22" s="199"/>
      <c r="Z22" s="224" t="str">
        <f t="shared" si="7"/>
        <v xml:space="preserve">  </v>
      </c>
      <c r="AA22" s="176" t="str">
        <f t="shared" ref="AA22:AA24" si="14">IF(OR(AB22="Preventivo",AB22="Detectivo"),"Probabilidad",IF(AB22="Correctivo","Impacto",""))</f>
        <v/>
      </c>
      <c r="AB22" s="177"/>
      <c r="AC22" s="177"/>
      <c r="AD22" s="178" t="str">
        <f t="shared" si="9"/>
        <v/>
      </c>
      <c r="AE22" s="177"/>
      <c r="AF22" s="177"/>
      <c r="AG22" s="177"/>
      <c r="AH22" s="179" t="str">
        <f t="shared" ref="AH22:AH24" si="15">IFERROR(IF(AND(AA21="Probabilidad",AA22="Probabilidad"),(AJ21-(+AJ21*AD22)),IF(AND(AA21="Impacto",AA22="Probabilidad"),(AJ20-(+AJ20*AD22)),IF(AA22="Impacto",AJ21,""))),"")</f>
        <v/>
      </c>
      <c r="AI22" s="180" t="str">
        <f t="shared" si="3"/>
        <v/>
      </c>
      <c r="AJ22" s="178" t="str">
        <f t="shared" si="10"/>
        <v/>
      </c>
      <c r="AK22" s="180" t="str">
        <f t="shared" si="5"/>
        <v/>
      </c>
      <c r="AL22" s="178" t="str">
        <f t="shared" si="13"/>
        <v/>
      </c>
      <c r="AM22" s="181"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82"/>
      <c r="AO22" s="175"/>
      <c r="AP22" s="183"/>
      <c r="AQ22" s="183"/>
      <c r="AR22" s="184"/>
      <c r="AS22" s="414"/>
      <c r="AT22" s="414"/>
      <c r="AU22" s="414"/>
    </row>
    <row r="23" spans="1:47" x14ac:dyDescent="0.2">
      <c r="A23" s="411"/>
      <c r="B23" s="353"/>
      <c r="C23" s="355"/>
      <c r="D23" s="355"/>
      <c r="E23" s="355"/>
      <c r="F23" s="355"/>
      <c r="G23" s="355"/>
      <c r="H23" s="355"/>
      <c r="I23" s="355"/>
      <c r="J23" s="355"/>
      <c r="K23" s="355"/>
      <c r="L23" s="355"/>
      <c r="M23" s="355"/>
      <c r="N23" s="414"/>
      <c r="O23" s="415"/>
      <c r="P23" s="416"/>
      <c r="Q23" s="417"/>
      <c r="R23" s="416">
        <f>IF(NOT(ISERROR(MATCH(Q23,_xlfn.ANCHORARRAY(F34),0))),P36&amp;"Por favor no seleccionar los criterios de impacto",Q23)</f>
        <v>0</v>
      </c>
      <c r="S23" s="415"/>
      <c r="T23" s="416"/>
      <c r="U23" s="420"/>
      <c r="V23" s="199">
        <v>5</v>
      </c>
      <c r="W23" s="244"/>
      <c r="X23" s="199"/>
      <c r="Y23" s="199"/>
      <c r="Z23" s="224" t="str">
        <f t="shared" si="7"/>
        <v xml:space="preserve">  </v>
      </c>
      <c r="AA23" s="176" t="str">
        <f t="shared" si="14"/>
        <v/>
      </c>
      <c r="AB23" s="177"/>
      <c r="AC23" s="177"/>
      <c r="AD23" s="178" t="str">
        <f t="shared" si="9"/>
        <v/>
      </c>
      <c r="AE23" s="177"/>
      <c r="AF23" s="177"/>
      <c r="AG23" s="177"/>
      <c r="AH23" s="179" t="str">
        <f t="shared" si="15"/>
        <v/>
      </c>
      <c r="AI23" s="180" t="str">
        <f t="shared" si="3"/>
        <v/>
      </c>
      <c r="AJ23" s="178" t="str">
        <f t="shared" si="10"/>
        <v/>
      </c>
      <c r="AK23" s="180" t="str">
        <f t="shared" si="5"/>
        <v/>
      </c>
      <c r="AL23" s="178" t="str">
        <f t="shared" si="13"/>
        <v/>
      </c>
      <c r="AM23" s="181" t="str">
        <f t="shared" ref="AM23:AM24" si="16">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82"/>
      <c r="AO23" s="175"/>
      <c r="AP23" s="183"/>
      <c r="AQ23" s="183"/>
      <c r="AR23" s="184"/>
      <c r="AS23" s="414"/>
      <c r="AT23" s="414"/>
      <c r="AU23" s="414"/>
    </row>
    <row r="24" spans="1:47" x14ac:dyDescent="0.2">
      <c r="A24" s="411"/>
      <c r="B24" s="353"/>
      <c r="C24" s="356"/>
      <c r="D24" s="356"/>
      <c r="E24" s="356"/>
      <c r="F24" s="356"/>
      <c r="G24" s="356"/>
      <c r="H24" s="356"/>
      <c r="I24" s="356"/>
      <c r="J24" s="356"/>
      <c r="K24" s="356"/>
      <c r="L24" s="356"/>
      <c r="M24" s="356"/>
      <c r="N24" s="414"/>
      <c r="O24" s="415"/>
      <c r="P24" s="416"/>
      <c r="Q24" s="417"/>
      <c r="R24" s="416">
        <f>IF(NOT(ISERROR(MATCH(Q24,_xlfn.ANCHORARRAY(F35),0))),P37&amp;"Por favor no seleccionar los criterios de impacto",Q24)</f>
        <v>0</v>
      </c>
      <c r="S24" s="415"/>
      <c r="T24" s="416"/>
      <c r="U24" s="420"/>
      <c r="V24" s="199">
        <v>6</v>
      </c>
      <c r="W24" s="199"/>
      <c r="X24" s="199"/>
      <c r="Y24" s="199"/>
      <c r="Z24" s="224" t="str">
        <f t="shared" si="7"/>
        <v xml:space="preserve">  </v>
      </c>
      <c r="AA24" s="176" t="str">
        <f t="shared" si="14"/>
        <v/>
      </c>
      <c r="AB24" s="177"/>
      <c r="AC24" s="177"/>
      <c r="AD24" s="178" t="str">
        <f t="shared" si="9"/>
        <v/>
      </c>
      <c r="AE24" s="177"/>
      <c r="AF24" s="177"/>
      <c r="AG24" s="177"/>
      <c r="AH24" s="179" t="str">
        <f t="shared" si="15"/>
        <v/>
      </c>
      <c r="AI24" s="180" t="str">
        <f t="shared" si="3"/>
        <v/>
      </c>
      <c r="AJ24" s="178" t="str">
        <f t="shared" si="10"/>
        <v/>
      </c>
      <c r="AK24" s="180" t="str">
        <f t="shared" si="5"/>
        <v/>
      </c>
      <c r="AL24" s="178" t="str">
        <f t="shared" si="13"/>
        <v/>
      </c>
      <c r="AM24" s="181" t="str">
        <f t="shared" si="16"/>
        <v/>
      </c>
      <c r="AN24" s="182"/>
      <c r="AO24" s="175"/>
      <c r="AP24" s="183"/>
      <c r="AQ24" s="183"/>
      <c r="AR24" s="184"/>
      <c r="AS24" s="414"/>
      <c r="AT24" s="414"/>
      <c r="AU24" s="414"/>
    </row>
    <row r="25" spans="1:47" x14ac:dyDescent="0.2">
      <c r="A25" s="411">
        <v>3</v>
      </c>
      <c r="B25" s="353"/>
      <c r="C25" s="353"/>
      <c r="D25" s="353"/>
      <c r="E25" s="353"/>
      <c r="F25" s="413" t="str">
        <f t="shared" ref="F25" si="17">+CONCATENATE(B25," ",C25," ",D25)</f>
        <v xml:space="preserve">  </v>
      </c>
      <c r="G25" s="353"/>
      <c r="H25" s="354"/>
      <c r="I25" s="354"/>
      <c r="J25" s="354"/>
      <c r="K25" s="354"/>
      <c r="L25" s="354"/>
      <c r="M25" s="354"/>
      <c r="N25" s="414"/>
      <c r="O25" s="415" t="str">
        <f>IF(N25&lt;=0,"",IF(N25&lt;=2,"Muy Baja",IF(N25&lt;=24,"Baja",IF(N25&lt;=500,"Media",IF(N25&lt;=5000,"Alta","Muy Alta")))))</f>
        <v/>
      </c>
      <c r="P25" s="416" t="str">
        <f>IF(O25="","",IF(O25="Muy Baja",0.2,IF(O25="Baja",0.4,IF(O25="Media",0.6,IF(O25="Alta",0.8,IF(O25="Muy Alta",1,))))))</f>
        <v/>
      </c>
      <c r="Q25" s="417"/>
      <c r="R25" s="416">
        <f>IF(NOT(ISERROR(MATCH(Q25,'Tabla Impacto'!$B$245:$B$247,0))),'Tabla Impacto'!$F$224&amp;"Por favor no seleccionar los criterios de impacto(Afectación Económica o presupuestal y Pérdida Reputacional)",Q25)</f>
        <v>0</v>
      </c>
      <c r="S25" s="415" t="str">
        <f>IF(OR(R25='Tabla Impacto'!$C$12,R25='Tabla Impacto'!$D$12),"Leve",IF(OR(R25='Tabla Impacto'!$C$13,R25='Tabla Impacto'!$D$13),"Menor",IF(OR(R25='Tabla Impacto'!$C$14,R25='Tabla Impacto'!$D$14),"Moderado",IF(OR(R25='Tabla Impacto'!$C$15,R25='Tabla Impacto'!$D$15),"Mayor",IF(OR(R25='Tabla Impacto'!$C$16,R25='Tabla Impacto'!$D$16),"Catastrófico","")))))</f>
        <v/>
      </c>
      <c r="T25" s="416" t="str">
        <f>IF(S25="","",IF(S25="Leve",0.2,IF(S25="Menor",0.4,IF(S25="Moderado",0.6,IF(S25="Mayor",0.8,IF(S25="Catastrófico",1,))))))</f>
        <v/>
      </c>
      <c r="U25" s="420"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9">
        <v>1</v>
      </c>
      <c r="W25" s="199"/>
      <c r="X25" s="199"/>
      <c r="Y25" s="199"/>
      <c r="Z25" s="224" t="str">
        <f t="shared" si="7"/>
        <v xml:space="preserve">  </v>
      </c>
      <c r="AA25" s="176" t="str">
        <f>IF(OR(AB25="Preventivo",AB25="Detectivo"),"Probabilidad",IF(AB25="Correctivo","Impacto",""))</f>
        <v/>
      </c>
      <c r="AB25" s="177"/>
      <c r="AC25" s="177"/>
      <c r="AD25" s="178" t="str">
        <f>IF(AND(AB25="Preventivo",AC25="Automático"),"50%",IF(AND(AB25="Preventivo",AC25="Manual"),"40%",IF(AND(AB25="Detectivo",AC25="Automático"),"40%",IF(AND(AB25="Detectivo",AC25="Manual"),"30%",IF(AND(AB25="Correctivo",AC25="Automático"),"35%",IF(AND(AB25="Correctivo",AC25="Manual"),"25%",""))))))</f>
        <v/>
      </c>
      <c r="AE25" s="177"/>
      <c r="AF25" s="177"/>
      <c r="AG25" s="177"/>
      <c r="AH25" s="179" t="str">
        <f>IFERROR(IF(AA25="Probabilidad",(P25-(+P25*AD25)),IF(AA25="Impacto",P25,"")),"")</f>
        <v/>
      </c>
      <c r="AI25" s="180" t="str">
        <f>IFERROR(IF(AH25="","",IF(AH25&lt;=0.2,"Muy Baja",IF(AH25&lt;=0.4,"Baja",IF(AH25&lt;=0.6,"Media",IF(AH25&lt;=0.8,"Alta","Muy Alta"))))),"")</f>
        <v/>
      </c>
      <c r="AJ25" s="178" t="str">
        <f>+AH25</f>
        <v/>
      </c>
      <c r="AK25" s="180" t="str">
        <f>IFERROR(IF(AL25="","",IF(AL25&lt;=0.2,"Leve",IF(AL25&lt;=0.4,"Menor",IF(AL25&lt;=0.6,"Moderado",IF(AL25&lt;=0.8,"Mayor","Catastrófico"))))),"")</f>
        <v/>
      </c>
      <c r="AL25" s="178" t="str">
        <f t="shared" ref="AL25" si="18">IFERROR(IF(AA25="Impacto",(T25-(+T25*AD25)),IF(AA25="Probabilidad",T25,"")),"")</f>
        <v/>
      </c>
      <c r="AM25" s="181"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82"/>
      <c r="AO25" s="175"/>
      <c r="AP25" s="183"/>
      <c r="AQ25" s="183"/>
      <c r="AR25" s="184"/>
      <c r="AS25" s="414"/>
      <c r="AT25" s="414"/>
      <c r="AU25" s="414"/>
    </row>
    <row r="26" spans="1:47" x14ac:dyDescent="0.2">
      <c r="A26" s="411"/>
      <c r="B26" s="353"/>
      <c r="C26" s="353"/>
      <c r="D26" s="353"/>
      <c r="E26" s="353"/>
      <c r="F26" s="413"/>
      <c r="G26" s="353"/>
      <c r="H26" s="355"/>
      <c r="I26" s="355"/>
      <c r="J26" s="355"/>
      <c r="K26" s="355"/>
      <c r="L26" s="355"/>
      <c r="M26" s="355"/>
      <c r="N26" s="414"/>
      <c r="O26" s="415"/>
      <c r="P26" s="416"/>
      <c r="Q26" s="417"/>
      <c r="R26" s="416">
        <f>IF(NOT(ISERROR(MATCH(Q26,_xlfn.ANCHORARRAY(F37),0))),P39&amp;"Por favor no seleccionar los criterios de impacto",Q26)</f>
        <v>0</v>
      </c>
      <c r="S26" s="415"/>
      <c r="T26" s="416"/>
      <c r="U26" s="420"/>
      <c r="V26" s="199">
        <v>2</v>
      </c>
      <c r="W26" s="199"/>
      <c r="X26" s="199"/>
      <c r="Y26" s="199"/>
      <c r="Z26" s="224" t="str">
        <f t="shared" si="7"/>
        <v xml:space="preserve">  </v>
      </c>
      <c r="AA26" s="176" t="str">
        <f>IF(OR(AB26="Preventivo",AB26="Detectivo"),"Probabilidad",IF(AB26="Correctivo","Impacto",""))</f>
        <v/>
      </c>
      <c r="AB26" s="177"/>
      <c r="AC26" s="177"/>
      <c r="AD26" s="178" t="str">
        <f t="shared" ref="AD26:AD30" si="19">IF(AND(AB26="Preventivo",AC26="Automático"),"50%",IF(AND(AB26="Preventivo",AC26="Manual"),"40%",IF(AND(AB26="Detectivo",AC26="Automático"),"40%",IF(AND(AB26="Detectivo",AC26="Manual"),"30%",IF(AND(AB26="Correctivo",AC26="Automático"),"35%",IF(AND(AB26="Correctivo",AC26="Manual"),"25%",""))))))</f>
        <v/>
      </c>
      <c r="AE26" s="177"/>
      <c r="AF26" s="177"/>
      <c r="AG26" s="177"/>
      <c r="AH26" s="179" t="str">
        <f>IFERROR(IF(AND(AA25="Probabilidad",AA26="Probabilidad"),(AJ25-(+AJ25*AD26)),IF(AA26="Probabilidad",(P25-(+P25*AD26)),IF(AA26="Impacto",AJ25,""))),"")</f>
        <v/>
      </c>
      <c r="AI26" s="180" t="str">
        <f t="shared" si="3"/>
        <v/>
      </c>
      <c r="AJ26" s="178" t="str">
        <f t="shared" ref="AJ26:AJ30" si="20">+AH26</f>
        <v/>
      </c>
      <c r="AK26" s="180" t="str">
        <f t="shared" si="5"/>
        <v/>
      </c>
      <c r="AL26" s="178" t="str">
        <f t="shared" ref="AL26" si="21">IFERROR(IF(AND(AA25="Impacto",AA26="Impacto"),(AL25-(+AL25*AD26)),IF(AA26="Impacto",($T$13-(+$T$13*AD26)),IF(AA26="Probabilidad",AL25,""))),"")</f>
        <v/>
      </c>
      <c r="AM26" s="181" t="str">
        <f t="shared" ref="AM26:AM27" si="22">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82"/>
      <c r="AO26" s="175"/>
      <c r="AP26" s="183"/>
      <c r="AQ26" s="183"/>
      <c r="AR26" s="184"/>
      <c r="AS26" s="414"/>
      <c r="AT26" s="414"/>
      <c r="AU26" s="414"/>
    </row>
    <row r="27" spans="1:47" x14ac:dyDescent="0.2">
      <c r="A27" s="411"/>
      <c r="B27" s="353"/>
      <c r="C27" s="353"/>
      <c r="D27" s="353"/>
      <c r="E27" s="353"/>
      <c r="F27" s="413"/>
      <c r="G27" s="353"/>
      <c r="H27" s="355"/>
      <c r="I27" s="355"/>
      <c r="J27" s="355"/>
      <c r="K27" s="355"/>
      <c r="L27" s="355"/>
      <c r="M27" s="355"/>
      <c r="N27" s="414"/>
      <c r="O27" s="415"/>
      <c r="P27" s="416"/>
      <c r="Q27" s="417"/>
      <c r="R27" s="416">
        <f>IF(NOT(ISERROR(MATCH(Q27,_xlfn.ANCHORARRAY(F38),0))),P40&amp;"Por favor no seleccionar los criterios de impacto",Q27)</f>
        <v>0</v>
      </c>
      <c r="S27" s="415"/>
      <c r="T27" s="416"/>
      <c r="U27" s="420"/>
      <c r="V27" s="199">
        <v>3</v>
      </c>
      <c r="W27" s="199"/>
      <c r="X27" s="199"/>
      <c r="Y27" s="199"/>
      <c r="Z27" s="224" t="str">
        <f t="shared" si="7"/>
        <v xml:space="preserve">  </v>
      </c>
      <c r="AA27" s="176" t="str">
        <f>IF(OR(AB27="Preventivo",AB27="Detectivo"),"Probabilidad",IF(AB27="Correctivo","Impacto",""))</f>
        <v/>
      </c>
      <c r="AB27" s="177"/>
      <c r="AC27" s="177"/>
      <c r="AD27" s="178" t="str">
        <f t="shared" si="19"/>
        <v/>
      </c>
      <c r="AE27" s="177"/>
      <c r="AF27" s="177"/>
      <c r="AG27" s="177"/>
      <c r="AH27" s="179" t="str">
        <f>IFERROR(IF(AND(AA26="Probabilidad",AA27="Probabilidad"),(AJ26-(+AJ26*AD27)),IF(AND(AA26="Impacto",AA27="Probabilidad"),(AJ25-(+AJ25*AD27)),IF(AA27="Impacto",AJ26,""))),"")</f>
        <v/>
      </c>
      <c r="AI27" s="180" t="str">
        <f t="shared" si="3"/>
        <v/>
      </c>
      <c r="AJ27" s="178" t="str">
        <f t="shared" si="20"/>
        <v/>
      </c>
      <c r="AK27" s="180" t="str">
        <f t="shared" si="5"/>
        <v/>
      </c>
      <c r="AL27" s="178" t="str">
        <f t="shared" ref="AL27" si="23">IFERROR(IF(AND(AA26="Impacto",AA27="Impacto"),(AL26-(+AL26*AD27)),IF(AND(AA26="Probabilidad",AA27="Impacto"),(AL25-(+AL25*AD27)),IF(AA27="Probabilidad",AL26,""))),"")</f>
        <v/>
      </c>
      <c r="AM27" s="181" t="str">
        <f t="shared" si="22"/>
        <v/>
      </c>
      <c r="AN27" s="182"/>
      <c r="AO27" s="175"/>
      <c r="AP27" s="183"/>
      <c r="AQ27" s="183"/>
      <c r="AR27" s="184"/>
      <c r="AS27" s="414"/>
      <c r="AT27" s="414"/>
      <c r="AU27" s="414"/>
    </row>
    <row r="28" spans="1:47" x14ac:dyDescent="0.2">
      <c r="A28" s="411"/>
      <c r="B28" s="353"/>
      <c r="C28" s="353"/>
      <c r="D28" s="353"/>
      <c r="E28" s="353"/>
      <c r="F28" s="413"/>
      <c r="G28" s="353"/>
      <c r="H28" s="355"/>
      <c r="I28" s="355"/>
      <c r="J28" s="355"/>
      <c r="K28" s="355"/>
      <c r="L28" s="355"/>
      <c r="M28" s="355"/>
      <c r="N28" s="414"/>
      <c r="O28" s="415"/>
      <c r="P28" s="416"/>
      <c r="Q28" s="417"/>
      <c r="R28" s="416">
        <f>IF(NOT(ISERROR(MATCH(Q28,_xlfn.ANCHORARRAY(F39),0))),P41&amp;"Por favor no seleccionar los criterios de impacto",Q28)</f>
        <v>0</v>
      </c>
      <c r="S28" s="415"/>
      <c r="T28" s="416"/>
      <c r="U28" s="420"/>
      <c r="V28" s="199">
        <v>4</v>
      </c>
      <c r="W28" s="199"/>
      <c r="X28" s="199"/>
      <c r="Y28" s="199"/>
      <c r="Z28" s="224" t="str">
        <f t="shared" si="7"/>
        <v xml:space="preserve">  </v>
      </c>
      <c r="AA28" s="176" t="str">
        <f t="shared" ref="AA28:AA30" si="24">IF(OR(AB28="Preventivo",AB28="Detectivo"),"Probabilidad",IF(AB28="Correctivo","Impacto",""))</f>
        <v/>
      </c>
      <c r="AB28" s="177"/>
      <c r="AC28" s="177"/>
      <c r="AD28" s="178" t="str">
        <f t="shared" si="19"/>
        <v/>
      </c>
      <c r="AE28" s="177"/>
      <c r="AF28" s="177"/>
      <c r="AG28" s="177"/>
      <c r="AH28" s="179" t="str">
        <f t="shared" ref="AH28:AH30" si="25">IFERROR(IF(AND(AA27="Probabilidad",AA28="Probabilidad"),(AJ27-(+AJ27*AD28)),IF(AND(AA27="Impacto",AA28="Probabilidad"),(AJ26-(+AJ26*AD28)),IF(AA28="Impacto",AJ27,""))),"")</f>
        <v/>
      </c>
      <c r="AI28" s="180" t="str">
        <f t="shared" si="3"/>
        <v/>
      </c>
      <c r="AJ28" s="178" t="str">
        <f t="shared" si="20"/>
        <v/>
      </c>
      <c r="AK28" s="180" t="str">
        <f t="shared" si="5"/>
        <v/>
      </c>
      <c r="AL28" s="178" t="str">
        <f t="shared" si="13"/>
        <v/>
      </c>
      <c r="AM28" s="181"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82"/>
      <c r="AO28" s="175"/>
      <c r="AP28" s="183"/>
      <c r="AQ28" s="183"/>
      <c r="AR28" s="184"/>
      <c r="AS28" s="414"/>
      <c r="AT28" s="414"/>
      <c r="AU28" s="414"/>
    </row>
    <row r="29" spans="1:47" x14ac:dyDescent="0.2">
      <c r="A29" s="411"/>
      <c r="B29" s="353"/>
      <c r="C29" s="353"/>
      <c r="D29" s="353"/>
      <c r="E29" s="353"/>
      <c r="F29" s="413"/>
      <c r="G29" s="353"/>
      <c r="H29" s="355"/>
      <c r="I29" s="355"/>
      <c r="J29" s="355"/>
      <c r="K29" s="355"/>
      <c r="L29" s="355"/>
      <c r="M29" s="355"/>
      <c r="N29" s="414"/>
      <c r="O29" s="415"/>
      <c r="P29" s="416"/>
      <c r="Q29" s="417"/>
      <c r="R29" s="416">
        <f>IF(NOT(ISERROR(MATCH(Q29,_xlfn.ANCHORARRAY(F40),0))),P42&amp;"Por favor no seleccionar los criterios de impacto",Q29)</f>
        <v>0</v>
      </c>
      <c r="S29" s="415"/>
      <c r="T29" s="416"/>
      <c r="U29" s="420"/>
      <c r="V29" s="199">
        <v>5</v>
      </c>
      <c r="W29" s="199"/>
      <c r="X29" s="199"/>
      <c r="Y29" s="199"/>
      <c r="Z29" s="224" t="str">
        <f t="shared" si="7"/>
        <v xml:space="preserve">  </v>
      </c>
      <c r="AA29" s="176" t="str">
        <f t="shared" si="24"/>
        <v/>
      </c>
      <c r="AB29" s="177"/>
      <c r="AC29" s="177"/>
      <c r="AD29" s="178" t="str">
        <f t="shared" si="19"/>
        <v/>
      </c>
      <c r="AE29" s="177"/>
      <c r="AF29" s="177"/>
      <c r="AG29" s="177"/>
      <c r="AH29" s="179" t="str">
        <f t="shared" si="25"/>
        <v/>
      </c>
      <c r="AI29" s="180" t="str">
        <f t="shared" si="3"/>
        <v/>
      </c>
      <c r="AJ29" s="178" t="str">
        <f t="shared" si="20"/>
        <v/>
      </c>
      <c r="AK29" s="180" t="str">
        <f t="shared" si="5"/>
        <v/>
      </c>
      <c r="AL29" s="178" t="str">
        <f t="shared" si="13"/>
        <v/>
      </c>
      <c r="AM29" s="181" t="str">
        <f t="shared" ref="AM29:AM30" si="26">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82"/>
      <c r="AO29" s="175"/>
      <c r="AP29" s="183"/>
      <c r="AQ29" s="183"/>
      <c r="AR29" s="184"/>
      <c r="AS29" s="414"/>
      <c r="AT29" s="414"/>
      <c r="AU29" s="414"/>
    </row>
    <row r="30" spans="1:47" x14ac:dyDescent="0.2">
      <c r="A30" s="411"/>
      <c r="B30" s="353"/>
      <c r="C30" s="353"/>
      <c r="D30" s="353"/>
      <c r="E30" s="353"/>
      <c r="F30" s="413"/>
      <c r="G30" s="353"/>
      <c r="H30" s="356"/>
      <c r="I30" s="356"/>
      <c r="J30" s="356"/>
      <c r="K30" s="356"/>
      <c r="L30" s="356"/>
      <c r="M30" s="356"/>
      <c r="N30" s="414"/>
      <c r="O30" s="415"/>
      <c r="P30" s="416"/>
      <c r="Q30" s="417"/>
      <c r="R30" s="416">
        <f>IF(NOT(ISERROR(MATCH(Q30,_xlfn.ANCHORARRAY(F41),0))),P43&amp;"Por favor no seleccionar los criterios de impacto",Q30)</f>
        <v>0</v>
      </c>
      <c r="S30" s="415"/>
      <c r="T30" s="416"/>
      <c r="U30" s="420"/>
      <c r="V30" s="199">
        <v>6</v>
      </c>
      <c r="W30" s="199"/>
      <c r="X30" s="199"/>
      <c r="Y30" s="199"/>
      <c r="Z30" s="224" t="str">
        <f t="shared" si="7"/>
        <v xml:space="preserve">  </v>
      </c>
      <c r="AA30" s="176" t="str">
        <f t="shared" si="24"/>
        <v/>
      </c>
      <c r="AB30" s="177"/>
      <c r="AC30" s="177"/>
      <c r="AD30" s="178" t="str">
        <f t="shared" si="19"/>
        <v/>
      </c>
      <c r="AE30" s="177"/>
      <c r="AF30" s="177"/>
      <c r="AG30" s="177"/>
      <c r="AH30" s="179" t="str">
        <f t="shared" si="25"/>
        <v/>
      </c>
      <c r="AI30" s="180" t="str">
        <f t="shared" si="3"/>
        <v/>
      </c>
      <c r="AJ30" s="178" t="str">
        <f t="shared" si="20"/>
        <v/>
      </c>
      <c r="AK30" s="180" t="str">
        <f t="shared" si="5"/>
        <v/>
      </c>
      <c r="AL30" s="178" t="str">
        <f t="shared" si="13"/>
        <v/>
      </c>
      <c r="AM30" s="181" t="str">
        <f t="shared" si="26"/>
        <v/>
      </c>
      <c r="AN30" s="182"/>
      <c r="AO30" s="175"/>
      <c r="AP30" s="183"/>
      <c r="AQ30" s="183"/>
      <c r="AR30" s="184"/>
      <c r="AS30" s="414"/>
      <c r="AT30" s="414"/>
      <c r="AU30" s="414"/>
    </row>
    <row r="31" spans="1:47" x14ac:dyDescent="0.2">
      <c r="A31" s="411">
        <v>4</v>
      </c>
      <c r="B31" s="353"/>
      <c r="C31" s="353"/>
      <c r="D31" s="353"/>
      <c r="E31" s="353"/>
      <c r="F31" s="413" t="str">
        <f t="shared" ref="F31" si="27">+CONCATENATE(B31," ",C31," ",D31)</f>
        <v xml:space="preserve">  </v>
      </c>
      <c r="G31" s="353"/>
      <c r="H31" s="354"/>
      <c r="I31" s="354"/>
      <c r="J31" s="354"/>
      <c r="K31" s="354"/>
      <c r="L31" s="354"/>
      <c r="M31" s="354"/>
      <c r="N31" s="414"/>
      <c r="O31" s="415" t="str">
        <f>IF(N31&lt;=0,"",IF(N31&lt;=2,"Muy Baja",IF(N31&lt;=24,"Baja",IF(N31&lt;=500,"Media",IF(N31&lt;=5000,"Alta","Muy Alta")))))</f>
        <v/>
      </c>
      <c r="P31" s="416" t="str">
        <f>IF(O31="","",IF(O31="Muy Baja",0.2,IF(O31="Baja",0.4,IF(O31="Media",0.6,IF(O31="Alta",0.8,IF(O31="Muy Alta",1,))))))</f>
        <v/>
      </c>
      <c r="Q31" s="417"/>
      <c r="R31" s="416">
        <f>IF(NOT(ISERROR(MATCH(Q31,'Tabla Impacto'!$B$245:$B$247,0))),'Tabla Impacto'!$F$224&amp;"Por favor no seleccionar los criterios de impacto(Afectación Económica o presupuestal y Pérdida Reputacional)",Q31)</f>
        <v>0</v>
      </c>
      <c r="S31" s="415" t="str">
        <f>IF(OR(R31='Tabla Impacto'!$C$12,R31='Tabla Impacto'!$D$12),"Leve",IF(OR(R31='Tabla Impacto'!$C$13,R31='Tabla Impacto'!$D$13),"Menor",IF(OR(R31='Tabla Impacto'!$C$14,R31='Tabla Impacto'!$D$14),"Moderado",IF(OR(R31='Tabla Impacto'!$C$15,R31='Tabla Impacto'!$D$15),"Mayor",IF(OR(R31='Tabla Impacto'!$C$16,R31='Tabla Impacto'!$D$16),"Catastrófico","")))))</f>
        <v/>
      </c>
      <c r="T31" s="416" t="str">
        <f>IF(S31="","",IF(S31="Leve",0.2,IF(S31="Menor",0.4,IF(S31="Moderado",0.6,IF(S31="Mayor",0.8,IF(S31="Catastrófico",1,))))))</f>
        <v/>
      </c>
      <c r="U31" s="420"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7"/>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28">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414"/>
      <c r="AT31" s="414"/>
      <c r="AU31" s="414"/>
    </row>
    <row r="32" spans="1:47" x14ac:dyDescent="0.2">
      <c r="A32" s="411"/>
      <c r="B32" s="353"/>
      <c r="C32" s="353"/>
      <c r="D32" s="353"/>
      <c r="E32" s="353"/>
      <c r="F32" s="413"/>
      <c r="G32" s="353"/>
      <c r="H32" s="355"/>
      <c r="I32" s="355"/>
      <c r="J32" s="355"/>
      <c r="K32" s="355"/>
      <c r="L32" s="355"/>
      <c r="M32" s="355"/>
      <c r="N32" s="414"/>
      <c r="O32" s="415"/>
      <c r="P32" s="416"/>
      <c r="Q32" s="417"/>
      <c r="R32" s="416">
        <f>IF(NOT(ISERROR(MATCH(Q32,_xlfn.ANCHORARRAY(F43),0))),P45&amp;"Por favor no seleccionar los criterios de impacto",Q32)</f>
        <v>0</v>
      </c>
      <c r="S32" s="415"/>
      <c r="T32" s="416"/>
      <c r="U32" s="420"/>
      <c r="V32" s="199">
        <v>2</v>
      </c>
      <c r="W32" s="199"/>
      <c r="X32" s="199"/>
      <c r="Y32" s="199"/>
      <c r="Z32" s="224" t="str">
        <f t="shared" si="7"/>
        <v xml:space="preserve">  </v>
      </c>
      <c r="AA32" s="176" t="str">
        <f>IF(OR(AB32="Preventivo",AB32="Detectivo"),"Probabilidad",IF(AB32="Correctivo","Impacto",""))</f>
        <v/>
      </c>
      <c r="AB32" s="177"/>
      <c r="AC32" s="177"/>
      <c r="AD32" s="178" t="str">
        <f t="shared" ref="AD32:AD36" si="29">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3"/>
        <v/>
      </c>
      <c r="AJ32" s="178" t="str">
        <f t="shared" ref="AJ32:AJ36" si="30">+AH32</f>
        <v/>
      </c>
      <c r="AK32" s="180" t="str">
        <f t="shared" si="5"/>
        <v/>
      </c>
      <c r="AL32" s="178" t="str">
        <f t="shared" ref="AL32" si="31">IFERROR(IF(AND(AA31="Impacto",AA32="Impacto"),(AL31-(+AL31*AD32)),IF(AA32="Impacto",($T$13-(+$T$13*AD32)),IF(AA32="Probabilidad",AL31,""))),"")</f>
        <v/>
      </c>
      <c r="AM32" s="181" t="str">
        <f t="shared" ref="AM32:AM33" si="32">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414"/>
      <c r="AT32" s="414"/>
      <c r="AU32" s="414"/>
    </row>
    <row r="33" spans="1:47" x14ac:dyDescent="0.2">
      <c r="A33" s="411"/>
      <c r="B33" s="353"/>
      <c r="C33" s="353"/>
      <c r="D33" s="353"/>
      <c r="E33" s="353"/>
      <c r="F33" s="413"/>
      <c r="G33" s="353"/>
      <c r="H33" s="355"/>
      <c r="I33" s="355"/>
      <c r="J33" s="355"/>
      <c r="K33" s="355"/>
      <c r="L33" s="355"/>
      <c r="M33" s="355"/>
      <c r="N33" s="414"/>
      <c r="O33" s="415"/>
      <c r="P33" s="416"/>
      <c r="Q33" s="417"/>
      <c r="R33" s="416">
        <f>IF(NOT(ISERROR(MATCH(Q33,_xlfn.ANCHORARRAY(F44),0))),P46&amp;"Por favor no seleccionar los criterios de impacto",Q33)</f>
        <v>0</v>
      </c>
      <c r="S33" s="415"/>
      <c r="T33" s="416"/>
      <c r="U33" s="420"/>
      <c r="V33" s="199">
        <v>3</v>
      </c>
      <c r="W33" s="199"/>
      <c r="X33" s="199"/>
      <c r="Y33" s="199"/>
      <c r="Z33" s="224" t="str">
        <f t="shared" si="7"/>
        <v xml:space="preserve">  </v>
      </c>
      <c r="AA33" s="176" t="str">
        <f>IF(OR(AB33="Preventivo",AB33="Detectivo"),"Probabilidad",IF(AB33="Correctivo","Impacto",""))</f>
        <v/>
      </c>
      <c r="AB33" s="177"/>
      <c r="AC33" s="177"/>
      <c r="AD33" s="178" t="str">
        <f t="shared" si="29"/>
        <v/>
      </c>
      <c r="AE33" s="177"/>
      <c r="AF33" s="177"/>
      <c r="AG33" s="177"/>
      <c r="AH33" s="179" t="str">
        <f>IFERROR(IF(AND(AA32="Probabilidad",AA33="Probabilidad"),(AJ32-(+AJ32*AD33)),IF(AND(AA32="Impacto",AA33="Probabilidad"),(AJ31-(+AJ31*AD33)),IF(AA33="Impacto",AJ32,""))),"")</f>
        <v/>
      </c>
      <c r="AI33" s="180" t="str">
        <f t="shared" si="3"/>
        <v/>
      </c>
      <c r="AJ33" s="178" t="str">
        <f t="shared" si="30"/>
        <v/>
      </c>
      <c r="AK33" s="180" t="str">
        <f t="shared" si="5"/>
        <v/>
      </c>
      <c r="AL33" s="178" t="str">
        <f t="shared" ref="AL33" si="33">IFERROR(IF(AND(AA32="Impacto",AA33="Impacto"),(AL32-(+AL32*AD33)),IF(AND(AA32="Probabilidad",AA33="Impacto"),(AL31-(+AL31*AD33)),IF(AA33="Probabilidad",AL32,""))),"")</f>
        <v/>
      </c>
      <c r="AM33" s="181" t="str">
        <f t="shared" si="32"/>
        <v/>
      </c>
      <c r="AN33" s="182"/>
      <c r="AO33" s="175"/>
      <c r="AP33" s="183"/>
      <c r="AQ33" s="183"/>
      <c r="AR33" s="184"/>
      <c r="AS33" s="414"/>
      <c r="AT33" s="414"/>
      <c r="AU33" s="414"/>
    </row>
    <row r="34" spans="1:47" x14ac:dyDescent="0.2">
      <c r="A34" s="411"/>
      <c r="B34" s="353"/>
      <c r="C34" s="353"/>
      <c r="D34" s="353"/>
      <c r="E34" s="353"/>
      <c r="F34" s="413"/>
      <c r="G34" s="353"/>
      <c r="H34" s="355"/>
      <c r="I34" s="355"/>
      <c r="J34" s="355"/>
      <c r="K34" s="355"/>
      <c r="L34" s="355"/>
      <c r="M34" s="355"/>
      <c r="N34" s="414"/>
      <c r="O34" s="415"/>
      <c r="P34" s="416"/>
      <c r="Q34" s="417"/>
      <c r="R34" s="416">
        <f>IF(NOT(ISERROR(MATCH(Q34,_xlfn.ANCHORARRAY(F45),0))),P47&amp;"Por favor no seleccionar los criterios de impacto",Q34)</f>
        <v>0</v>
      </c>
      <c r="S34" s="415"/>
      <c r="T34" s="416"/>
      <c r="U34" s="420"/>
      <c r="V34" s="199">
        <v>4</v>
      </c>
      <c r="W34" s="199"/>
      <c r="X34" s="199"/>
      <c r="Y34" s="199"/>
      <c r="Z34" s="224" t="str">
        <f t="shared" si="7"/>
        <v xml:space="preserve">  </v>
      </c>
      <c r="AA34" s="176" t="str">
        <f t="shared" ref="AA34:AA36" si="34">IF(OR(AB34="Preventivo",AB34="Detectivo"),"Probabilidad",IF(AB34="Correctivo","Impacto",""))</f>
        <v/>
      </c>
      <c r="AB34" s="177"/>
      <c r="AC34" s="177"/>
      <c r="AD34" s="178" t="str">
        <f t="shared" si="29"/>
        <v/>
      </c>
      <c r="AE34" s="177"/>
      <c r="AF34" s="177"/>
      <c r="AG34" s="177"/>
      <c r="AH34" s="179" t="str">
        <f t="shared" ref="AH34:AH36" si="35">IFERROR(IF(AND(AA33="Probabilidad",AA34="Probabilidad"),(AJ33-(+AJ33*AD34)),IF(AND(AA33="Impacto",AA34="Probabilidad"),(AJ32-(+AJ32*AD34)),IF(AA34="Impacto",AJ33,""))),"")</f>
        <v/>
      </c>
      <c r="AI34" s="180" t="str">
        <f t="shared" si="3"/>
        <v/>
      </c>
      <c r="AJ34" s="178" t="str">
        <f t="shared" si="30"/>
        <v/>
      </c>
      <c r="AK34" s="180" t="str">
        <f t="shared" si="5"/>
        <v/>
      </c>
      <c r="AL34" s="178" t="str">
        <f t="shared" si="13"/>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414"/>
      <c r="AT34" s="414"/>
      <c r="AU34" s="414"/>
    </row>
    <row r="35" spans="1:47" x14ac:dyDescent="0.2">
      <c r="A35" s="411"/>
      <c r="B35" s="353"/>
      <c r="C35" s="353"/>
      <c r="D35" s="353"/>
      <c r="E35" s="353"/>
      <c r="F35" s="413"/>
      <c r="G35" s="353"/>
      <c r="H35" s="355"/>
      <c r="I35" s="355"/>
      <c r="J35" s="355"/>
      <c r="K35" s="355"/>
      <c r="L35" s="355"/>
      <c r="M35" s="355"/>
      <c r="N35" s="414"/>
      <c r="O35" s="415"/>
      <c r="P35" s="416"/>
      <c r="Q35" s="417"/>
      <c r="R35" s="416">
        <f>IF(NOT(ISERROR(MATCH(Q35,_xlfn.ANCHORARRAY(F46),0))),P48&amp;"Por favor no seleccionar los criterios de impacto",Q35)</f>
        <v>0</v>
      </c>
      <c r="S35" s="415"/>
      <c r="T35" s="416"/>
      <c r="U35" s="420"/>
      <c r="V35" s="199">
        <v>5</v>
      </c>
      <c r="W35" s="199"/>
      <c r="X35" s="199"/>
      <c r="Y35" s="199"/>
      <c r="Z35" s="224" t="str">
        <f t="shared" si="7"/>
        <v xml:space="preserve">  </v>
      </c>
      <c r="AA35" s="176" t="str">
        <f t="shared" si="34"/>
        <v/>
      </c>
      <c r="AB35" s="177"/>
      <c r="AC35" s="177"/>
      <c r="AD35" s="178" t="str">
        <f t="shared" si="29"/>
        <v/>
      </c>
      <c r="AE35" s="177"/>
      <c r="AF35" s="177"/>
      <c r="AG35" s="177"/>
      <c r="AH35" s="179" t="str">
        <f t="shared" si="35"/>
        <v/>
      </c>
      <c r="AI35" s="180" t="str">
        <f>IFERROR(IF(AH35="","",IF(AH35&lt;=0.2,"Muy Baja",IF(AH35&lt;=0.4,"Baja",IF(AH35&lt;=0.6,"Media",IF(AH35&lt;=0.8,"Alta","Muy Alta"))))),"")</f>
        <v/>
      </c>
      <c r="AJ35" s="178" t="str">
        <f t="shared" si="30"/>
        <v/>
      </c>
      <c r="AK35" s="180" t="str">
        <f t="shared" si="5"/>
        <v/>
      </c>
      <c r="AL35" s="178" t="str">
        <f t="shared" si="13"/>
        <v/>
      </c>
      <c r="AM35" s="181" t="str">
        <f t="shared" ref="AM35:AM36" si="36">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414"/>
      <c r="AT35" s="414"/>
      <c r="AU35" s="414"/>
    </row>
    <row r="36" spans="1:47" x14ac:dyDescent="0.2">
      <c r="A36" s="411"/>
      <c r="B36" s="353"/>
      <c r="C36" s="353"/>
      <c r="D36" s="353"/>
      <c r="E36" s="353"/>
      <c r="F36" s="413"/>
      <c r="G36" s="353"/>
      <c r="H36" s="356"/>
      <c r="I36" s="356"/>
      <c r="J36" s="356"/>
      <c r="K36" s="356"/>
      <c r="L36" s="356"/>
      <c r="M36" s="356"/>
      <c r="N36" s="414"/>
      <c r="O36" s="415"/>
      <c r="P36" s="416"/>
      <c r="Q36" s="417"/>
      <c r="R36" s="416">
        <f>IF(NOT(ISERROR(MATCH(Q36,_xlfn.ANCHORARRAY(F47),0))),P49&amp;"Por favor no seleccionar los criterios de impacto",Q36)</f>
        <v>0</v>
      </c>
      <c r="S36" s="415"/>
      <c r="T36" s="416"/>
      <c r="U36" s="420"/>
      <c r="V36" s="199">
        <v>6</v>
      </c>
      <c r="W36" s="199"/>
      <c r="X36" s="199"/>
      <c r="Y36" s="199"/>
      <c r="Z36" s="224" t="str">
        <f t="shared" si="7"/>
        <v xml:space="preserve">  </v>
      </c>
      <c r="AA36" s="176" t="str">
        <f t="shared" si="34"/>
        <v/>
      </c>
      <c r="AB36" s="177"/>
      <c r="AC36" s="177"/>
      <c r="AD36" s="178" t="str">
        <f t="shared" si="29"/>
        <v/>
      </c>
      <c r="AE36" s="177"/>
      <c r="AF36" s="177"/>
      <c r="AG36" s="177"/>
      <c r="AH36" s="179" t="str">
        <f t="shared" si="35"/>
        <v/>
      </c>
      <c r="AI36" s="180" t="str">
        <f t="shared" si="3"/>
        <v/>
      </c>
      <c r="AJ36" s="178" t="str">
        <f t="shared" si="30"/>
        <v/>
      </c>
      <c r="AK36" s="180" t="str">
        <f t="shared" si="5"/>
        <v/>
      </c>
      <c r="AL36" s="178" t="str">
        <f t="shared" si="13"/>
        <v/>
      </c>
      <c r="AM36" s="181" t="str">
        <f t="shared" si="36"/>
        <v/>
      </c>
      <c r="AN36" s="182"/>
      <c r="AO36" s="175"/>
      <c r="AP36" s="183"/>
      <c r="AQ36" s="183"/>
      <c r="AR36" s="184"/>
      <c r="AS36" s="414"/>
      <c r="AT36" s="414"/>
      <c r="AU36" s="414"/>
    </row>
    <row r="37" spans="1:47" x14ac:dyDescent="0.2">
      <c r="A37" s="411">
        <v>5</v>
      </c>
      <c r="B37" s="353"/>
      <c r="C37" s="353"/>
      <c r="D37" s="353"/>
      <c r="E37" s="353"/>
      <c r="F37" s="413" t="str">
        <f t="shared" ref="F37" si="37">+CONCATENATE(B37," ",C37," ",D37)</f>
        <v xml:space="preserve">  </v>
      </c>
      <c r="G37" s="353"/>
      <c r="H37" s="354"/>
      <c r="I37" s="354"/>
      <c r="J37" s="354"/>
      <c r="K37" s="354"/>
      <c r="L37" s="354"/>
      <c r="M37" s="354"/>
      <c r="N37" s="414"/>
      <c r="O37" s="415" t="str">
        <f>IF(N37&lt;=0,"",IF(N37&lt;=2,"Muy Baja",IF(N37&lt;=24,"Baja",IF(N37&lt;=500,"Media",IF(N37&lt;=5000,"Alta","Muy Alta")))))</f>
        <v/>
      </c>
      <c r="P37" s="416" t="str">
        <f>IF(O37="","",IF(O37="Muy Baja",0.2,IF(O37="Baja",0.4,IF(O37="Media",0.6,IF(O37="Alta",0.8,IF(O37="Muy Alta",1,))))))</f>
        <v/>
      </c>
      <c r="Q37" s="417"/>
      <c r="R37" s="416">
        <f>IF(NOT(ISERROR(MATCH(Q37,'Tabla Impacto'!$B$245:$B$247,0))),'Tabla Impacto'!$F$224&amp;"Por favor no seleccionar los criterios de impacto(Afectación Económica o presupuestal y Pérdida Reputacional)",Q37)</f>
        <v>0</v>
      </c>
      <c r="S37" s="415" t="str">
        <f>IF(OR(R37='Tabla Impacto'!$C$12,R37='Tabla Impacto'!$D$12),"Leve",IF(OR(R37='Tabla Impacto'!$C$13,R37='Tabla Impacto'!$D$13),"Menor",IF(OR(R37='Tabla Impacto'!$C$14,R37='Tabla Impacto'!$D$14),"Moderado",IF(OR(R37='Tabla Impacto'!$C$15,R37='Tabla Impacto'!$D$15),"Mayor",IF(OR(R37='Tabla Impacto'!$C$16,R37='Tabla Impacto'!$D$16),"Catastrófico","")))))</f>
        <v/>
      </c>
      <c r="T37" s="416" t="str">
        <f>IF(S37="","",IF(S37="Leve",0.2,IF(S37="Menor",0.4,IF(S37="Moderado",0.6,IF(S37="Mayor",0.8,IF(S37="Catastrófico",1,))))))</f>
        <v/>
      </c>
      <c r="U37" s="420"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9">
        <v>1</v>
      </c>
      <c r="W37" s="199"/>
      <c r="X37" s="199"/>
      <c r="Y37" s="199"/>
      <c r="Z37" s="224" t="str">
        <f t="shared" si="7"/>
        <v xml:space="preserve">  </v>
      </c>
      <c r="AA37" s="176" t="str">
        <f>IF(OR(AB37="Preventivo",AB37="Detectivo"),"Probabilidad",IF(AB37="Correctivo","Impacto",""))</f>
        <v/>
      </c>
      <c r="AB37" s="177"/>
      <c r="AC37" s="177"/>
      <c r="AD37" s="178" t="str">
        <f>IF(AND(AB37="Preventivo",AC37="Automático"),"50%",IF(AND(AB37="Preventivo",AC37="Manual"),"40%",IF(AND(AB37="Detectivo",AC37="Automático"),"40%",IF(AND(AB37="Detectivo",AC37="Manual"),"30%",IF(AND(AB37="Correctivo",AC37="Automático"),"35%",IF(AND(AB37="Correctivo",AC37="Manual"),"25%",""))))))</f>
        <v/>
      </c>
      <c r="AE37" s="177"/>
      <c r="AF37" s="177"/>
      <c r="AG37" s="177"/>
      <c r="AH37" s="179" t="str">
        <f>IFERROR(IF(AA37="Probabilidad",(P37-(+P37*AD37)),IF(AA37="Impacto",P37,"")),"")</f>
        <v/>
      </c>
      <c r="AI37" s="180" t="str">
        <f>IFERROR(IF(AH37="","",IF(AH37&lt;=0.2,"Muy Baja",IF(AH37&lt;=0.4,"Baja",IF(AH37&lt;=0.6,"Media",IF(AH37&lt;=0.8,"Alta","Muy Alta"))))),"")</f>
        <v/>
      </c>
      <c r="AJ37" s="178" t="str">
        <f>+AH37</f>
        <v/>
      </c>
      <c r="AK37" s="180" t="str">
        <f>IFERROR(IF(AL37="","",IF(AL37&lt;=0.2,"Leve",IF(AL37&lt;=0.4,"Menor",IF(AL37&lt;=0.6,"Moderado",IF(AL37&lt;=0.8,"Mayor","Catastrófico"))))),"")</f>
        <v/>
      </c>
      <c r="AL37" s="178" t="str">
        <f t="shared" ref="AL37" si="38">IFERROR(IF(AA37="Impacto",(T37-(+T37*AD37)),IF(AA37="Probabilidad",T37,"")),"")</f>
        <v/>
      </c>
      <c r="AM37" s="181"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82"/>
      <c r="AO37" s="175"/>
      <c r="AP37" s="183"/>
      <c r="AQ37" s="183"/>
      <c r="AR37" s="184"/>
      <c r="AS37" s="414"/>
      <c r="AT37" s="414"/>
      <c r="AU37" s="414"/>
    </row>
    <row r="38" spans="1:47" x14ac:dyDescent="0.2">
      <c r="A38" s="411"/>
      <c r="B38" s="353"/>
      <c r="C38" s="353"/>
      <c r="D38" s="353"/>
      <c r="E38" s="353"/>
      <c r="F38" s="413"/>
      <c r="G38" s="353"/>
      <c r="H38" s="355"/>
      <c r="I38" s="355"/>
      <c r="J38" s="355"/>
      <c r="K38" s="355"/>
      <c r="L38" s="355"/>
      <c r="M38" s="355"/>
      <c r="N38" s="414"/>
      <c r="O38" s="415"/>
      <c r="P38" s="416"/>
      <c r="Q38" s="417"/>
      <c r="R38" s="416">
        <f>IF(NOT(ISERROR(MATCH(Q38,_xlfn.ANCHORARRAY(F49),0))),P51&amp;"Por favor no seleccionar los criterios de impacto",Q38)</f>
        <v>0</v>
      </c>
      <c r="S38" s="415"/>
      <c r="T38" s="416"/>
      <c r="U38" s="420"/>
      <c r="V38" s="199">
        <v>2</v>
      </c>
      <c r="W38" s="199"/>
      <c r="X38" s="199"/>
      <c r="Y38" s="199"/>
      <c r="Z38" s="224" t="str">
        <f t="shared" si="7"/>
        <v xml:space="preserve">  </v>
      </c>
      <c r="AA38" s="176" t="str">
        <f>IF(OR(AB38="Preventivo",AB38="Detectivo"),"Probabilidad",IF(AB38="Correctivo","Impacto",""))</f>
        <v/>
      </c>
      <c r="AB38" s="177"/>
      <c r="AC38" s="177"/>
      <c r="AD38" s="178" t="str">
        <f t="shared" ref="AD38:AD42" si="39">IF(AND(AB38="Preventivo",AC38="Automático"),"50%",IF(AND(AB38="Preventivo",AC38="Manual"),"40%",IF(AND(AB38="Detectivo",AC38="Automático"),"40%",IF(AND(AB38="Detectivo",AC38="Manual"),"30%",IF(AND(AB38="Correctivo",AC38="Automático"),"35%",IF(AND(AB38="Correctivo",AC38="Manual"),"25%",""))))))</f>
        <v/>
      </c>
      <c r="AE38" s="177"/>
      <c r="AF38" s="177"/>
      <c r="AG38" s="177"/>
      <c r="AH38" s="179" t="str">
        <f>IFERROR(IF(AND(AA37="Probabilidad",AA38="Probabilidad"),(AJ37-(+AJ37*AD38)),IF(AA38="Probabilidad",(P37-(+P37*AD38)),IF(AA38="Impacto",AJ37,""))),"")</f>
        <v/>
      </c>
      <c r="AI38" s="180" t="str">
        <f t="shared" si="3"/>
        <v/>
      </c>
      <c r="AJ38" s="178" t="str">
        <f t="shared" ref="AJ38:AJ42" si="40">+AH38</f>
        <v/>
      </c>
      <c r="AK38" s="180" t="str">
        <f t="shared" si="5"/>
        <v/>
      </c>
      <c r="AL38" s="178" t="str">
        <f t="shared" ref="AL38" si="41">IFERROR(IF(AND(AA37="Impacto",AA38="Impacto"),(AL37-(+AL37*AD38)),IF(AA38="Impacto",($T$13-(+$T$13*AD38)),IF(AA38="Probabilidad",AL37,""))),"")</f>
        <v/>
      </c>
      <c r="AM38" s="181" t="str">
        <f t="shared" ref="AM38:AM39" si="42">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82"/>
      <c r="AO38" s="175"/>
      <c r="AP38" s="183"/>
      <c r="AQ38" s="183"/>
      <c r="AR38" s="184"/>
      <c r="AS38" s="414"/>
      <c r="AT38" s="414"/>
      <c r="AU38" s="414"/>
    </row>
    <row r="39" spans="1:47" x14ac:dyDescent="0.2">
      <c r="A39" s="411"/>
      <c r="B39" s="353"/>
      <c r="C39" s="353"/>
      <c r="D39" s="353"/>
      <c r="E39" s="353"/>
      <c r="F39" s="413"/>
      <c r="G39" s="353"/>
      <c r="H39" s="355"/>
      <c r="I39" s="355"/>
      <c r="J39" s="355"/>
      <c r="K39" s="355"/>
      <c r="L39" s="355"/>
      <c r="M39" s="355"/>
      <c r="N39" s="414"/>
      <c r="O39" s="415"/>
      <c r="P39" s="416"/>
      <c r="Q39" s="417"/>
      <c r="R39" s="416">
        <f>IF(NOT(ISERROR(MATCH(Q39,_xlfn.ANCHORARRAY(F50),0))),P52&amp;"Por favor no seleccionar los criterios de impacto",Q39)</f>
        <v>0</v>
      </c>
      <c r="S39" s="415"/>
      <c r="T39" s="416"/>
      <c r="U39" s="420"/>
      <c r="V39" s="199">
        <v>3</v>
      </c>
      <c r="W39" s="199"/>
      <c r="X39" s="199"/>
      <c r="Y39" s="199"/>
      <c r="Z39" s="224" t="str">
        <f t="shared" si="7"/>
        <v xml:space="preserve">  </v>
      </c>
      <c r="AA39" s="176" t="str">
        <f>IF(OR(AB39="Preventivo",AB39="Detectivo"),"Probabilidad",IF(AB39="Correctivo","Impacto",""))</f>
        <v/>
      </c>
      <c r="AB39" s="177"/>
      <c r="AC39" s="177"/>
      <c r="AD39" s="178" t="str">
        <f t="shared" si="39"/>
        <v/>
      </c>
      <c r="AE39" s="177"/>
      <c r="AF39" s="177"/>
      <c r="AG39" s="177"/>
      <c r="AH39" s="179" t="str">
        <f>IFERROR(IF(AND(AA38="Probabilidad",AA39="Probabilidad"),(AJ38-(+AJ38*AD39)),IF(AND(AA38="Impacto",AA39="Probabilidad"),(AJ37-(+AJ37*AD39)),IF(AA39="Impacto",AJ38,""))),"")</f>
        <v/>
      </c>
      <c r="AI39" s="180" t="str">
        <f t="shared" si="3"/>
        <v/>
      </c>
      <c r="AJ39" s="178" t="str">
        <f t="shared" si="40"/>
        <v/>
      </c>
      <c r="AK39" s="180" t="str">
        <f t="shared" si="5"/>
        <v/>
      </c>
      <c r="AL39" s="178" t="str">
        <f t="shared" ref="AL39" si="43">IFERROR(IF(AND(AA38="Impacto",AA39="Impacto"),(AL38-(+AL38*AD39)),IF(AND(AA38="Probabilidad",AA39="Impacto"),(AL37-(+AL37*AD39)),IF(AA39="Probabilidad",AL38,""))),"")</f>
        <v/>
      </c>
      <c r="AM39" s="181" t="str">
        <f t="shared" si="42"/>
        <v/>
      </c>
      <c r="AN39" s="182"/>
      <c r="AO39" s="175"/>
      <c r="AP39" s="183"/>
      <c r="AQ39" s="183"/>
      <c r="AR39" s="184"/>
      <c r="AS39" s="414"/>
      <c r="AT39" s="414"/>
      <c r="AU39" s="414"/>
    </row>
    <row r="40" spans="1:47" x14ac:dyDescent="0.2">
      <c r="A40" s="411"/>
      <c r="B40" s="353"/>
      <c r="C40" s="353"/>
      <c r="D40" s="353"/>
      <c r="E40" s="353"/>
      <c r="F40" s="413"/>
      <c r="G40" s="353"/>
      <c r="H40" s="355"/>
      <c r="I40" s="355"/>
      <c r="J40" s="355"/>
      <c r="K40" s="355"/>
      <c r="L40" s="355"/>
      <c r="M40" s="355"/>
      <c r="N40" s="414"/>
      <c r="O40" s="415"/>
      <c r="P40" s="416"/>
      <c r="Q40" s="417"/>
      <c r="R40" s="416">
        <f>IF(NOT(ISERROR(MATCH(Q40,_xlfn.ANCHORARRAY(F51),0))),P53&amp;"Por favor no seleccionar los criterios de impacto",Q40)</f>
        <v>0</v>
      </c>
      <c r="S40" s="415"/>
      <c r="T40" s="416"/>
      <c r="U40" s="420"/>
      <c r="V40" s="199">
        <v>4</v>
      </c>
      <c r="W40" s="199"/>
      <c r="X40" s="199"/>
      <c r="Y40" s="199"/>
      <c r="Z40" s="224" t="str">
        <f t="shared" si="7"/>
        <v xml:space="preserve">  </v>
      </c>
      <c r="AA40" s="176" t="str">
        <f t="shared" ref="AA40:AA42" si="44">IF(OR(AB40="Preventivo",AB40="Detectivo"),"Probabilidad",IF(AB40="Correctivo","Impacto",""))</f>
        <v/>
      </c>
      <c r="AB40" s="177"/>
      <c r="AC40" s="177"/>
      <c r="AD40" s="178" t="str">
        <f t="shared" si="39"/>
        <v/>
      </c>
      <c r="AE40" s="177"/>
      <c r="AF40" s="177"/>
      <c r="AG40" s="177"/>
      <c r="AH40" s="179" t="str">
        <f t="shared" ref="AH40:AH42" si="45">IFERROR(IF(AND(AA39="Probabilidad",AA40="Probabilidad"),(AJ39-(+AJ39*AD40)),IF(AND(AA39="Impacto",AA40="Probabilidad"),(AJ38-(+AJ38*AD40)),IF(AA40="Impacto",AJ39,""))),"")</f>
        <v/>
      </c>
      <c r="AI40" s="180" t="str">
        <f t="shared" si="3"/>
        <v/>
      </c>
      <c r="AJ40" s="178" t="str">
        <f t="shared" si="40"/>
        <v/>
      </c>
      <c r="AK40" s="180" t="str">
        <f t="shared" si="5"/>
        <v/>
      </c>
      <c r="AL40" s="178" t="str">
        <f t="shared" si="13"/>
        <v/>
      </c>
      <c r="AM40" s="181"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82"/>
      <c r="AO40" s="175"/>
      <c r="AP40" s="183"/>
      <c r="AQ40" s="183"/>
      <c r="AR40" s="184"/>
      <c r="AS40" s="414"/>
      <c r="AT40" s="414"/>
      <c r="AU40" s="414"/>
    </row>
    <row r="41" spans="1:47" x14ac:dyDescent="0.2">
      <c r="A41" s="411"/>
      <c r="B41" s="353"/>
      <c r="C41" s="353"/>
      <c r="D41" s="353"/>
      <c r="E41" s="353"/>
      <c r="F41" s="413"/>
      <c r="G41" s="353"/>
      <c r="H41" s="355"/>
      <c r="I41" s="355"/>
      <c r="J41" s="355"/>
      <c r="K41" s="355"/>
      <c r="L41" s="355"/>
      <c r="M41" s="355"/>
      <c r="N41" s="414"/>
      <c r="O41" s="415"/>
      <c r="P41" s="416"/>
      <c r="Q41" s="417"/>
      <c r="R41" s="416">
        <f>IF(NOT(ISERROR(MATCH(Q41,_xlfn.ANCHORARRAY(F52),0))),P54&amp;"Por favor no seleccionar los criterios de impacto",Q41)</f>
        <v>0</v>
      </c>
      <c r="S41" s="415"/>
      <c r="T41" s="416"/>
      <c r="U41" s="420"/>
      <c r="V41" s="199">
        <v>5</v>
      </c>
      <c r="W41" s="199"/>
      <c r="X41" s="199"/>
      <c r="Y41" s="199"/>
      <c r="Z41" s="224" t="str">
        <f t="shared" si="7"/>
        <v xml:space="preserve">  </v>
      </c>
      <c r="AA41" s="176" t="str">
        <f t="shared" si="44"/>
        <v/>
      </c>
      <c r="AB41" s="177"/>
      <c r="AC41" s="177"/>
      <c r="AD41" s="178" t="str">
        <f t="shared" si="39"/>
        <v/>
      </c>
      <c r="AE41" s="177"/>
      <c r="AF41" s="177"/>
      <c r="AG41" s="177"/>
      <c r="AH41" s="179" t="str">
        <f t="shared" si="45"/>
        <v/>
      </c>
      <c r="AI41" s="180" t="str">
        <f t="shared" si="3"/>
        <v/>
      </c>
      <c r="AJ41" s="178" t="str">
        <f t="shared" si="40"/>
        <v/>
      </c>
      <c r="AK41" s="180" t="str">
        <f t="shared" si="5"/>
        <v/>
      </c>
      <c r="AL41" s="178" t="str">
        <f t="shared" si="13"/>
        <v/>
      </c>
      <c r="AM41" s="181" t="str">
        <f t="shared" ref="AM41:AM42" si="46">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82"/>
      <c r="AO41" s="175"/>
      <c r="AP41" s="183"/>
      <c r="AQ41" s="183"/>
      <c r="AR41" s="184"/>
      <c r="AS41" s="414"/>
      <c r="AT41" s="414"/>
      <c r="AU41" s="414"/>
    </row>
    <row r="42" spans="1:47" x14ac:dyDescent="0.2">
      <c r="A42" s="411"/>
      <c r="B42" s="353"/>
      <c r="C42" s="353"/>
      <c r="D42" s="353"/>
      <c r="E42" s="353"/>
      <c r="F42" s="413"/>
      <c r="G42" s="353"/>
      <c r="H42" s="356"/>
      <c r="I42" s="356"/>
      <c r="J42" s="356"/>
      <c r="K42" s="356"/>
      <c r="L42" s="356"/>
      <c r="M42" s="356"/>
      <c r="N42" s="414"/>
      <c r="O42" s="415"/>
      <c r="P42" s="416"/>
      <c r="Q42" s="417"/>
      <c r="R42" s="416">
        <f>IF(NOT(ISERROR(MATCH(Q42,_xlfn.ANCHORARRAY(F53),0))),P55&amp;"Por favor no seleccionar los criterios de impacto",Q42)</f>
        <v>0</v>
      </c>
      <c r="S42" s="415"/>
      <c r="T42" s="416"/>
      <c r="U42" s="420"/>
      <c r="V42" s="199">
        <v>6</v>
      </c>
      <c r="W42" s="199"/>
      <c r="X42" s="199"/>
      <c r="Y42" s="199"/>
      <c r="Z42" s="224" t="str">
        <f t="shared" si="7"/>
        <v xml:space="preserve">  </v>
      </c>
      <c r="AA42" s="176" t="str">
        <f t="shared" si="44"/>
        <v/>
      </c>
      <c r="AB42" s="177"/>
      <c r="AC42" s="177"/>
      <c r="AD42" s="178" t="str">
        <f t="shared" si="39"/>
        <v/>
      </c>
      <c r="AE42" s="177"/>
      <c r="AF42" s="177"/>
      <c r="AG42" s="177"/>
      <c r="AH42" s="179" t="str">
        <f t="shared" si="45"/>
        <v/>
      </c>
      <c r="AI42" s="180" t="str">
        <f t="shared" si="3"/>
        <v/>
      </c>
      <c r="AJ42" s="178" t="str">
        <f t="shared" si="40"/>
        <v/>
      </c>
      <c r="AK42" s="180" t="str">
        <f t="shared" si="5"/>
        <v/>
      </c>
      <c r="AL42" s="178" t="str">
        <f t="shared" si="13"/>
        <v/>
      </c>
      <c r="AM42" s="181" t="str">
        <f t="shared" si="46"/>
        <v/>
      </c>
      <c r="AN42" s="182"/>
      <c r="AO42" s="175"/>
      <c r="AP42" s="183"/>
      <c r="AQ42" s="183"/>
      <c r="AR42" s="184"/>
      <c r="AS42" s="414"/>
      <c r="AT42" s="414"/>
      <c r="AU42" s="414"/>
    </row>
    <row r="43" spans="1:47" x14ac:dyDescent="0.2">
      <c r="A43" s="411">
        <v>6</v>
      </c>
      <c r="B43" s="353"/>
      <c r="C43" s="353"/>
      <c r="D43" s="353"/>
      <c r="E43" s="353"/>
      <c r="F43" s="413" t="str">
        <f t="shared" ref="F43" si="47">+CONCATENATE(B43," ",C43," ",D43)</f>
        <v xml:space="preserve">  </v>
      </c>
      <c r="G43" s="353"/>
      <c r="H43" s="354"/>
      <c r="I43" s="354"/>
      <c r="J43" s="354"/>
      <c r="K43" s="354"/>
      <c r="L43" s="354"/>
      <c r="M43" s="354"/>
      <c r="N43" s="414"/>
      <c r="O43" s="415" t="str">
        <f>IF(N43&lt;=0,"",IF(N43&lt;=2,"Muy Baja",IF(N43&lt;=24,"Baja",IF(N43&lt;=500,"Media",IF(N43&lt;=5000,"Alta","Muy Alta")))))</f>
        <v/>
      </c>
      <c r="P43" s="416" t="str">
        <f>IF(O43="","",IF(O43="Muy Baja",0.2,IF(O43="Baja",0.4,IF(O43="Media",0.6,IF(O43="Alta",0.8,IF(O43="Muy Alta",1,))))))</f>
        <v/>
      </c>
      <c r="Q43" s="417"/>
      <c r="R43" s="416">
        <f>IF(NOT(ISERROR(MATCH(Q43,'Tabla Impacto'!$B$245:$B$247,0))),'Tabla Impacto'!$F$224&amp;"Por favor no seleccionar los criterios de impacto(Afectación Económica o presupuestal y Pérdida Reputacional)",Q43)</f>
        <v>0</v>
      </c>
      <c r="S43" s="415" t="str">
        <f>IF(OR(R43='Tabla Impacto'!$C$12,R43='Tabla Impacto'!$D$12),"Leve",IF(OR(R43='Tabla Impacto'!$C$13,R43='Tabla Impacto'!$D$13),"Menor",IF(OR(R43='Tabla Impacto'!$C$14,R43='Tabla Impacto'!$D$14),"Moderado",IF(OR(R43='Tabla Impacto'!$C$15,R43='Tabla Impacto'!$D$15),"Mayor",IF(OR(R43='Tabla Impacto'!$C$16,R43='Tabla Impacto'!$D$16),"Catastrófico","")))))</f>
        <v/>
      </c>
      <c r="T43" s="416" t="str">
        <f>IF(S43="","",IF(S43="Leve",0.2,IF(S43="Menor",0.4,IF(S43="Moderado",0.6,IF(S43="Mayor",0.8,IF(S43="Catastrófico",1,))))))</f>
        <v/>
      </c>
      <c r="U43" s="420"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9">
        <v>1</v>
      </c>
      <c r="W43" s="199"/>
      <c r="X43" s="199"/>
      <c r="Y43" s="199"/>
      <c r="Z43" s="224" t="str">
        <f t="shared" si="7"/>
        <v xml:space="preserve">  </v>
      </c>
      <c r="AA43" s="176" t="str">
        <f>IF(OR(AB43="Preventivo",AB43="Detectivo"),"Probabilidad",IF(AB43="Correctivo","Impacto",""))</f>
        <v/>
      </c>
      <c r="AB43" s="177"/>
      <c r="AC43" s="177"/>
      <c r="AD43" s="178" t="str">
        <f>IF(AND(AB43="Preventivo",AC43="Automático"),"50%",IF(AND(AB43="Preventivo",AC43="Manual"),"40%",IF(AND(AB43="Detectivo",AC43="Automático"),"40%",IF(AND(AB43="Detectivo",AC43="Manual"),"30%",IF(AND(AB43="Correctivo",AC43="Automático"),"35%",IF(AND(AB43="Correctivo",AC43="Manual"),"25%",""))))))</f>
        <v/>
      </c>
      <c r="AE43" s="177"/>
      <c r="AF43" s="177"/>
      <c r="AG43" s="177"/>
      <c r="AH43" s="179" t="str">
        <f>IFERROR(IF(AA43="Probabilidad",(P43-(+P43*AD43)),IF(AA43="Impacto",P43,"")),"")</f>
        <v/>
      </c>
      <c r="AI43" s="180" t="str">
        <f>IFERROR(IF(AH43="","",IF(AH43&lt;=0.2,"Muy Baja",IF(AH43&lt;=0.4,"Baja",IF(AH43&lt;=0.6,"Media",IF(AH43&lt;=0.8,"Alta","Muy Alta"))))),"")</f>
        <v/>
      </c>
      <c r="AJ43" s="178" t="str">
        <f>+AH43</f>
        <v/>
      </c>
      <c r="AK43" s="180" t="str">
        <f>IFERROR(IF(AL43="","",IF(AL43&lt;=0.2,"Leve",IF(AL43&lt;=0.4,"Menor",IF(AL43&lt;=0.6,"Moderado",IF(AL43&lt;=0.8,"Mayor","Catastrófico"))))),"")</f>
        <v/>
      </c>
      <c r="AL43" s="178" t="str">
        <f t="shared" ref="AL43" si="48">IFERROR(IF(AA43="Impacto",(T43-(+T43*AD43)),IF(AA43="Probabilidad",T43,"")),"")</f>
        <v/>
      </c>
      <c r="AM43" s="181"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7"/>
      <c r="AO43" s="175"/>
      <c r="AP43" s="183"/>
      <c r="AQ43" s="183"/>
      <c r="AR43" s="184"/>
      <c r="AS43" s="414"/>
      <c r="AT43" s="414"/>
      <c r="AU43" s="414"/>
    </row>
    <row r="44" spans="1:47" x14ac:dyDescent="0.2">
      <c r="A44" s="411"/>
      <c r="B44" s="353"/>
      <c r="C44" s="353"/>
      <c r="D44" s="353"/>
      <c r="E44" s="353"/>
      <c r="F44" s="413"/>
      <c r="G44" s="353"/>
      <c r="H44" s="355"/>
      <c r="I44" s="355"/>
      <c r="J44" s="355"/>
      <c r="K44" s="355"/>
      <c r="L44" s="355"/>
      <c r="M44" s="355"/>
      <c r="N44" s="414"/>
      <c r="O44" s="415"/>
      <c r="P44" s="416"/>
      <c r="Q44" s="417"/>
      <c r="R44" s="416">
        <f>IF(NOT(ISERROR(MATCH(Q44,_xlfn.ANCHORARRAY(F55),0))),P57&amp;"Por favor no seleccionar los criterios de impacto",Q44)</f>
        <v>0</v>
      </c>
      <c r="S44" s="415"/>
      <c r="T44" s="416"/>
      <c r="U44" s="420"/>
      <c r="V44" s="199">
        <v>2</v>
      </c>
      <c r="W44" s="199"/>
      <c r="X44" s="199"/>
      <c r="Y44" s="199"/>
      <c r="Z44" s="224" t="str">
        <f t="shared" si="7"/>
        <v xml:space="preserve">  </v>
      </c>
      <c r="AA44" s="176" t="str">
        <f>IF(OR(AB44="Preventivo",AB44="Detectivo"),"Probabilidad",IF(AB44="Correctivo","Impacto",""))</f>
        <v/>
      </c>
      <c r="AB44" s="177"/>
      <c r="AC44" s="177"/>
      <c r="AD44" s="178" t="str">
        <f t="shared" ref="AD44:AD48" si="49">IF(AND(AB44="Preventivo",AC44="Automático"),"50%",IF(AND(AB44="Preventivo",AC44="Manual"),"40%",IF(AND(AB44="Detectivo",AC44="Automático"),"40%",IF(AND(AB44="Detectivo",AC44="Manual"),"30%",IF(AND(AB44="Correctivo",AC44="Automático"),"35%",IF(AND(AB44="Correctivo",AC44="Manual"),"25%",""))))))</f>
        <v/>
      </c>
      <c r="AE44" s="177"/>
      <c r="AF44" s="177"/>
      <c r="AG44" s="177"/>
      <c r="AH44" s="179" t="str">
        <f>IFERROR(IF(AND(AA43="Probabilidad",AA44="Probabilidad"),(AJ43-(+AJ43*AD44)),IF(AA44="Probabilidad",(P43-(+P43*AD44)),IF(AA44="Impacto",AJ43,""))),"")</f>
        <v/>
      </c>
      <c r="AI44" s="180" t="str">
        <f t="shared" si="3"/>
        <v/>
      </c>
      <c r="AJ44" s="178" t="str">
        <f t="shared" ref="AJ44:AJ48" si="50">+AH44</f>
        <v/>
      </c>
      <c r="AK44" s="180" t="str">
        <f t="shared" si="5"/>
        <v/>
      </c>
      <c r="AL44" s="178" t="str">
        <f t="shared" ref="AL44" si="51">IFERROR(IF(AND(AA43="Impacto",AA44="Impacto"),(AL43-(+AL43*AD44)),IF(AA44="Impacto",($T$13-(+$T$13*AD44)),IF(AA44="Probabilidad",AL43,""))),"")</f>
        <v/>
      </c>
      <c r="AM44" s="181" t="str">
        <f t="shared" ref="AM44:AM45" si="52">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82"/>
      <c r="AO44" s="175"/>
      <c r="AP44" s="183"/>
      <c r="AQ44" s="183"/>
      <c r="AR44" s="184"/>
      <c r="AS44" s="414"/>
      <c r="AT44" s="414"/>
      <c r="AU44" s="414"/>
    </row>
    <row r="45" spans="1:47" x14ac:dyDescent="0.2">
      <c r="A45" s="411"/>
      <c r="B45" s="353"/>
      <c r="C45" s="353"/>
      <c r="D45" s="353"/>
      <c r="E45" s="353"/>
      <c r="F45" s="413"/>
      <c r="G45" s="353"/>
      <c r="H45" s="355"/>
      <c r="I45" s="355"/>
      <c r="J45" s="355"/>
      <c r="K45" s="355"/>
      <c r="L45" s="355"/>
      <c r="M45" s="355"/>
      <c r="N45" s="414"/>
      <c r="O45" s="415"/>
      <c r="P45" s="416"/>
      <c r="Q45" s="417"/>
      <c r="R45" s="416">
        <f>IF(NOT(ISERROR(MATCH(Q45,_xlfn.ANCHORARRAY(F56),0))),P58&amp;"Por favor no seleccionar los criterios de impacto",Q45)</f>
        <v>0</v>
      </c>
      <c r="S45" s="415"/>
      <c r="T45" s="416"/>
      <c r="U45" s="420"/>
      <c r="V45" s="199">
        <v>3</v>
      </c>
      <c r="W45" s="199"/>
      <c r="X45" s="199"/>
      <c r="Y45" s="199"/>
      <c r="Z45" s="224" t="str">
        <f t="shared" si="7"/>
        <v xml:space="preserve">  </v>
      </c>
      <c r="AA45" s="176" t="str">
        <f>IF(OR(AB45="Preventivo",AB45="Detectivo"),"Probabilidad",IF(AB45="Correctivo","Impacto",""))</f>
        <v/>
      </c>
      <c r="AB45" s="177"/>
      <c r="AC45" s="177"/>
      <c r="AD45" s="178" t="str">
        <f t="shared" si="49"/>
        <v/>
      </c>
      <c r="AE45" s="177"/>
      <c r="AF45" s="177"/>
      <c r="AG45" s="177"/>
      <c r="AH45" s="179" t="str">
        <f>IFERROR(IF(AND(AA44="Probabilidad",AA45="Probabilidad"),(AJ44-(+AJ44*AD45)),IF(AND(AA44="Impacto",AA45="Probabilidad"),(AJ43-(+AJ43*AD45)),IF(AA45="Impacto",AJ44,""))),"")</f>
        <v/>
      </c>
      <c r="AI45" s="180" t="str">
        <f t="shared" si="3"/>
        <v/>
      </c>
      <c r="AJ45" s="178" t="str">
        <f t="shared" si="50"/>
        <v/>
      </c>
      <c r="AK45" s="180" t="str">
        <f t="shared" si="5"/>
        <v/>
      </c>
      <c r="AL45" s="178" t="str">
        <f t="shared" ref="AL45" si="53">IFERROR(IF(AND(AA44="Impacto",AA45="Impacto"),(AL44-(+AL44*AD45)),IF(AND(AA44="Probabilidad",AA45="Impacto"),(AL43-(+AL43*AD45)),IF(AA45="Probabilidad",AL44,""))),"")</f>
        <v/>
      </c>
      <c r="AM45" s="181" t="str">
        <f t="shared" si="52"/>
        <v/>
      </c>
      <c r="AN45" s="182"/>
      <c r="AO45" s="175"/>
      <c r="AP45" s="183"/>
      <c r="AQ45" s="183"/>
      <c r="AR45" s="184"/>
      <c r="AS45" s="414"/>
      <c r="AT45" s="414"/>
      <c r="AU45" s="414"/>
    </row>
    <row r="46" spans="1:47" x14ac:dyDescent="0.2">
      <c r="A46" s="411"/>
      <c r="B46" s="353"/>
      <c r="C46" s="353"/>
      <c r="D46" s="353"/>
      <c r="E46" s="353"/>
      <c r="F46" s="413"/>
      <c r="G46" s="353"/>
      <c r="H46" s="355"/>
      <c r="I46" s="355"/>
      <c r="J46" s="355"/>
      <c r="K46" s="355"/>
      <c r="L46" s="355"/>
      <c r="M46" s="355"/>
      <c r="N46" s="414"/>
      <c r="O46" s="415"/>
      <c r="P46" s="416"/>
      <c r="Q46" s="417"/>
      <c r="R46" s="416">
        <f>IF(NOT(ISERROR(MATCH(Q46,_xlfn.ANCHORARRAY(F57),0))),P59&amp;"Por favor no seleccionar los criterios de impacto",Q46)</f>
        <v>0</v>
      </c>
      <c r="S46" s="415"/>
      <c r="T46" s="416"/>
      <c r="U46" s="420"/>
      <c r="V46" s="199">
        <v>4</v>
      </c>
      <c r="W46" s="199"/>
      <c r="X46" s="199"/>
      <c r="Y46" s="199"/>
      <c r="Z46" s="224" t="str">
        <f t="shared" si="7"/>
        <v xml:space="preserve">  </v>
      </c>
      <c r="AA46" s="176" t="str">
        <f t="shared" ref="AA46:AA48" si="54">IF(OR(AB46="Preventivo",AB46="Detectivo"),"Probabilidad",IF(AB46="Correctivo","Impacto",""))</f>
        <v/>
      </c>
      <c r="AB46" s="177"/>
      <c r="AC46" s="177"/>
      <c r="AD46" s="178" t="str">
        <f t="shared" si="49"/>
        <v/>
      </c>
      <c r="AE46" s="177"/>
      <c r="AF46" s="177"/>
      <c r="AG46" s="177"/>
      <c r="AH46" s="179" t="str">
        <f t="shared" ref="AH46:AH48" si="55">IFERROR(IF(AND(AA45="Probabilidad",AA46="Probabilidad"),(AJ45-(+AJ45*AD46)),IF(AND(AA45="Impacto",AA46="Probabilidad"),(AJ44-(+AJ44*AD46)),IF(AA46="Impacto",AJ45,""))),"")</f>
        <v/>
      </c>
      <c r="AI46" s="180" t="str">
        <f t="shared" si="3"/>
        <v/>
      </c>
      <c r="AJ46" s="178" t="str">
        <f t="shared" si="50"/>
        <v/>
      </c>
      <c r="AK46" s="180" t="str">
        <f t="shared" si="5"/>
        <v/>
      </c>
      <c r="AL46" s="178" t="str">
        <f t="shared" si="13"/>
        <v/>
      </c>
      <c r="AM46" s="181"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82"/>
      <c r="AO46" s="175"/>
      <c r="AP46" s="183"/>
      <c r="AQ46" s="183"/>
      <c r="AR46" s="184"/>
      <c r="AS46" s="414"/>
      <c r="AT46" s="414"/>
      <c r="AU46" s="414"/>
    </row>
    <row r="47" spans="1:47" x14ac:dyDescent="0.2">
      <c r="A47" s="411"/>
      <c r="B47" s="353"/>
      <c r="C47" s="353"/>
      <c r="D47" s="353"/>
      <c r="E47" s="353"/>
      <c r="F47" s="413"/>
      <c r="G47" s="353"/>
      <c r="H47" s="355"/>
      <c r="I47" s="355"/>
      <c r="J47" s="355"/>
      <c r="K47" s="355"/>
      <c r="L47" s="355"/>
      <c r="M47" s="355"/>
      <c r="N47" s="414"/>
      <c r="O47" s="415"/>
      <c r="P47" s="416"/>
      <c r="Q47" s="417"/>
      <c r="R47" s="416">
        <f>IF(NOT(ISERROR(MATCH(Q47,_xlfn.ANCHORARRAY(F58),0))),P60&amp;"Por favor no seleccionar los criterios de impacto",Q47)</f>
        <v>0</v>
      </c>
      <c r="S47" s="415"/>
      <c r="T47" s="416"/>
      <c r="U47" s="420"/>
      <c r="V47" s="199">
        <v>5</v>
      </c>
      <c r="W47" s="199"/>
      <c r="X47" s="199"/>
      <c r="Y47" s="199"/>
      <c r="Z47" s="224" t="str">
        <f t="shared" si="7"/>
        <v xml:space="preserve">  </v>
      </c>
      <c r="AA47" s="176" t="str">
        <f t="shared" si="54"/>
        <v/>
      </c>
      <c r="AB47" s="177"/>
      <c r="AC47" s="177"/>
      <c r="AD47" s="178" t="str">
        <f t="shared" si="49"/>
        <v/>
      </c>
      <c r="AE47" s="177"/>
      <c r="AF47" s="177"/>
      <c r="AG47" s="177"/>
      <c r="AH47" s="179" t="str">
        <f t="shared" si="55"/>
        <v/>
      </c>
      <c r="AI47" s="180" t="str">
        <f t="shared" si="3"/>
        <v/>
      </c>
      <c r="AJ47" s="178" t="str">
        <f t="shared" si="50"/>
        <v/>
      </c>
      <c r="AK47" s="180" t="str">
        <f t="shared" si="5"/>
        <v/>
      </c>
      <c r="AL47" s="178" t="str">
        <f t="shared" si="13"/>
        <v/>
      </c>
      <c r="AM47" s="181" t="str">
        <f t="shared" ref="AM47" si="56">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82"/>
      <c r="AO47" s="175"/>
      <c r="AP47" s="183"/>
      <c r="AQ47" s="183"/>
      <c r="AR47" s="184"/>
      <c r="AS47" s="414"/>
      <c r="AT47" s="414"/>
      <c r="AU47" s="414"/>
    </row>
    <row r="48" spans="1:47" x14ac:dyDescent="0.2">
      <c r="A48" s="411"/>
      <c r="B48" s="353"/>
      <c r="C48" s="353"/>
      <c r="D48" s="353"/>
      <c r="E48" s="353"/>
      <c r="F48" s="413"/>
      <c r="G48" s="353"/>
      <c r="H48" s="356"/>
      <c r="I48" s="356"/>
      <c r="J48" s="356"/>
      <c r="K48" s="356"/>
      <c r="L48" s="356"/>
      <c r="M48" s="356"/>
      <c r="N48" s="414"/>
      <c r="O48" s="415"/>
      <c r="P48" s="416"/>
      <c r="Q48" s="417"/>
      <c r="R48" s="416">
        <f>IF(NOT(ISERROR(MATCH(Q48,_xlfn.ANCHORARRAY(F59),0))),P61&amp;"Por favor no seleccionar los criterios de impacto",Q48)</f>
        <v>0</v>
      </c>
      <c r="S48" s="415"/>
      <c r="T48" s="416"/>
      <c r="U48" s="420"/>
      <c r="V48" s="199">
        <v>6</v>
      </c>
      <c r="W48" s="199"/>
      <c r="X48" s="199"/>
      <c r="Y48" s="199"/>
      <c r="Z48" s="224" t="str">
        <f t="shared" si="7"/>
        <v xml:space="preserve">  </v>
      </c>
      <c r="AA48" s="176" t="str">
        <f t="shared" si="54"/>
        <v/>
      </c>
      <c r="AB48" s="177"/>
      <c r="AC48" s="177"/>
      <c r="AD48" s="178" t="str">
        <f t="shared" si="49"/>
        <v/>
      </c>
      <c r="AE48" s="177"/>
      <c r="AF48" s="177"/>
      <c r="AG48" s="177"/>
      <c r="AH48" s="179" t="str">
        <f t="shared" si="55"/>
        <v/>
      </c>
      <c r="AI48" s="180" t="str">
        <f t="shared" si="3"/>
        <v/>
      </c>
      <c r="AJ48" s="178" t="str">
        <f t="shared" si="50"/>
        <v/>
      </c>
      <c r="AK48" s="180" t="str">
        <f>IFERROR(IF(AL48="","",IF(AL48&lt;=0.2,"Leve",IF(AL48&lt;=0.4,"Menor",IF(AL48&lt;=0.6,"Moderado",IF(AL48&lt;=0.8,"Mayor","Catastrófico"))))),"")</f>
        <v/>
      </c>
      <c r="AL48" s="178" t="str">
        <f t="shared" si="13"/>
        <v/>
      </c>
      <c r="AM48" s="181"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82"/>
      <c r="AO48" s="175"/>
      <c r="AP48" s="183"/>
      <c r="AQ48" s="183"/>
      <c r="AR48" s="184"/>
      <c r="AS48" s="414"/>
      <c r="AT48" s="414"/>
      <c r="AU48" s="414"/>
    </row>
    <row r="49" spans="1:47" x14ac:dyDescent="0.2">
      <c r="A49" s="411">
        <v>7</v>
      </c>
      <c r="B49" s="353"/>
      <c r="C49" s="353"/>
      <c r="D49" s="412"/>
      <c r="E49" s="412"/>
      <c r="F49" s="413" t="str">
        <f t="shared" ref="F49" si="57">+CONCATENATE(B49," ",C49," ",D49)</f>
        <v xml:space="preserve">  </v>
      </c>
      <c r="G49" s="353"/>
      <c r="H49" s="354"/>
      <c r="I49" s="354"/>
      <c r="J49" s="354"/>
      <c r="K49" s="354"/>
      <c r="L49" s="354"/>
      <c r="M49" s="354"/>
      <c r="N49" s="414"/>
      <c r="O49" s="415" t="str">
        <f>IF(N49&lt;=0,"",IF(N49&lt;=2,"Muy Baja",IF(N49&lt;=24,"Baja",IF(N49&lt;=500,"Media",IF(N49&lt;=5000,"Alta","Muy Alta")))))</f>
        <v/>
      </c>
      <c r="P49" s="416" t="str">
        <f>IF(O49="","",IF(O49="Muy Baja",0.2,IF(O49="Baja",0.4,IF(O49="Media",0.6,IF(O49="Alta",0.8,IF(O49="Muy Alta",1,))))))</f>
        <v/>
      </c>
      <c r="Q49" s="417"/>
      <c r="R49" s="416">
        <f>IF(NOT(ISERROR(MATCH(Q49,'Tabla Impacto'!$B$245:$B$247,0))),'Tabla Impacto'!$F$224&amp;"Por favor no seleccionar los criterios de impacto(Afectación Económica o presupuestal y Pérdida Reputacional)",Q49)</f>
        <v>0</v>
      </c>
      <c r="S49" s="415" t="str">
        <f>IF(OR(R49='Tabla Impacto'!$C$12,R49='Tabla Impacto'!$D$12),"Leve",IF(OR(R49='Tabla Impacto'!$C$13,R49='Tabla Impacto'!$D$13),"Menor",IF(OR(R49='Tabla Impacto'!$C$14,R49='Tabla Impacto'!$D$14),"Moderado",IF(OR(R49='Tabla Impacto'!$C$15,R49='Tabla Impacto'!$D$15),"Mayor",IF(OR(R49='Tabla Impacto'!$C$16,R49='Tabla Impacto'!$D$16),"Catastrófico","")))))</f>
        <v/>
      </c>
      <c r="T49" s="416" t="str">
        <f>IF(S49="","",IF(S49="Leve",0.2,IF(S49="Menor",0.4,IF(S49="Moderado",0.6,IF(S49="Mayor",0.8,IF(S49="Catastrófico",1,))))))</f>
        <v/>
      </c>
      <c r="U49" s="420"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9">
        <v>1</v>
      </c>
      <c r="W49" s="199"/>
      <c r="X49" s="199"/>
      <c r="Y49" s="199"/>
      <c r="Z49" s="224" t="str">
        <f t="shared" si="7"/>
        <v xml:space="preserve">  </v>
      </c>
      <c r="AA49" s="176" t="str">
        <f>IF(OR(AB49="Preventivo",AB49="Detectivo"),"Probabilidad",IF(AB49="Correctivo","Impacto",""))</f>
        <v/>
      </c>
      <c r="AB49" s="177"/>
      <c r="AC49" s="177"/>
      <c r="AD49" s="178" t="str">
        <f>IF(AND(AB49="Preventivo",AC49="Automático"),"50%",IF(AND(AB49="Preventivo",AC49="Manual"),"40%",IF(AND(AB49="Detectivo",AC49="Automático"),"40%",IF(AND(AB49="Detectivo",AC49="Manual"),"30%",IF(AND(AB49="Correctivo",AC49="Automático"),"35%",IF(AND(AB49="Correctivo",AC49="Manual"),"25%",""))))))</f>
        <v/>
      </c>
      <c r="AE49" s="177"/>
      <c r="AF49" s="177"/>
      <c r="AG49" s="177"/>
      <c r="AH49" s="179" t="str">
        <f>IFERROR(IF(AA49="Probabilidad",(P49-(+P49*AD49)),IF(AA49="Impacto",P49,"")),"")</f>
        <v/>
      </c>
      <c r="AI49" s="180" t="str">
        <f>IFERROR(IF(AH49="","",IF(AH49&lt;=0.2,"Muy Baja",IF(AH49&lt;=0.4,"Baja",IF(AH49&lt;=0.6,"Media",IF(AH49&lt;=0.8,"Alta","Muy Alta"))))),"")</f>
        <v/>
      </c>
      <c r="AJ49" s="178" t="str">
        <f>+AH49</f>
        <v/>
      </c>
      <c r="AK49" s="180" t="str">
        <f>IFERROR(IF(AL49="","",IF(AL49&lt;=0.2,"Leve",IF(AL49&lt;=0.4,"Menor",IF(AL49&lt;=0.6,"Moderado",IF(AL49&lt;=0.8,"Mayor","Catastrófico"))))),"")</f>
        <v/>
      </c>
      <c r="AL49" s="178" t="str">
        <f t="shared" ref="AL49" si="58">IFERROR(IF(AA49="Impacto",(T49-(+T49*AD49)),IF(AA49="Probabilidad",T49,"")),"")</f>
        <v/>
      </c>
      <c r="AM49" s="181"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82"/>
      <c r="AO49" s="175"/>
      <c r="AP49" s="183"/>
      <c r="AQ49" s="183"/>
      <c r="AR49" s="184"/>
      <c r="AS49" s="414"/>
      <c r="AT49" s="414"/>
      <c r="AU49" s="414"/>
    </row>
    <row r="50" spans="1:47" x14ac:dyDescent="0.2">
      <c r="A50" s="411"/>
      <c r="B50" s="353"/>
      <c r="C50" s="353"/>
      <c r="D50" s="412"/>
      <c r="E50" s="412"/>
      <c r="F50" s="413"/>
      <c r="G50" s="353"/>
      <c r="H50" s="355"/>
      <c r="I50" s="355"/>
      <c r="J50" s="355"/>
      <c r="K50" s="355"/>
      <c r="L50" s="355"/>
      <c r="M50" s="355"/>
      <c r="N50" s="414"/>
      <c r="O50" s="415"/>
      <c r="P50" s="416"/>
      <c r="Q50" s="417"/>
      <c r="R50" s="416">
        <f>IF(NOT(ISERROR(MATCH(Q50,_xlfn.ANCHORARRAY(F61),0))),P63&amp;"Por favor no seleccionar los criterios de impacto",Q50)</f>
        <v>0</v>
      </c>
      <c r="S50" s="415"/>
      <c r="T50" s="416"/>
      <c r="U50" s="420"/>
      <c r="V50" s="199">
        <v>2</v>
      </c>
      <c r="W50" s="199"/>
      <c r="X50" s="199"/>
      <c r="Y50" s="199"/>
      <c r="Z50" s="224" t="str">
        <f t="shared" si="7"/>
        <v xml:space="preserve">  </v>
      </c>
      <c r="AA50" s="176" t="str">
        <f>IF(OR(AB50="Preventivo",AB50="Detectivo"),"Probabilidad",IF(AB50="Correctivo","Impacto",""))</f>
        <v/>
      </c>
      <c r="AB50" s="177"/>
      <c r="AC50" s="177"/>
      <c r="AD50" s="178" t="str">
        <f t="shared" ref="AD50:AD54" si="59">IF(AND(AB50="Preventivo",AC50="Automático"),"50%",IF(AND(AB50="Preventivo",AC50="Manual"),"40%",IF(AND(AB50="Detectivo",AC50="Automático"),"40%",IF(AND(AB50="Detectivo",AC50="Manual"),"30%",IF(AND(AB50="Correctivo",AC50="Automático"),"35%",IF(AND(AB50="Correctivo",AC50="Manual"),"25%",""))))))</f>
        <v/>
      </c>
      <c r="AE50" s="177"/>
      <c r="AF50" s="177"/>
      <c r="AG50" s="177"/>
      <c r="AH50" s="179" t="str">
        <f>IFERROR(IF(AND(AA49="Probabilidad",AA50="Probabilidad"),(AJ49-(+AJ49*AD50)),IF(AA50="Probabilidad",(P49-(+P49*AD50)),IF(AA50="Impacto",AJ49,""))),"")</f>
        <v/>
      </c>
      <c r="AI50" s="180" t="str">
        <f t="shared" si="3"/>
        <v/>
      </c>
      <c r="AJ50" s="178" t="str">
        <f t="shared" ref="AJ50:AJ54" si="60">+AH50</f>
        <v/>
      </c>
      <c r="AK50" s="180" t="str">
        <f t="shared" si="5"/>
        <v/>
      </c>
      <c r="AL50" s="178" t="str">
        <f t="shared" ref="AL50" si="61">IFERROR(IF(AND(AA49="Impacto",AA50="Impacto"),(AL49-(+AL49*AD50)),IF(AA50="Impacto",($T$13-(+$T$13*AD50)),IF(AA50="Probabilidad",AL49,""))),"")</f>
        <v/>
      </c>
      <c r="AM50" s="181" t="str">
        <f t="shared" ref="AM50:AM51" si="62">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82"/>
      <c r="AO50" s="175"/>
      <c r="AP50" s="183"/>
      <c r="AQ50" s="183"/>
      <c r="AR50" s="184"/>
      <c r="AS50" s="414"/>
      <c r="AT50" s="414"/>
      <c r="AU50" s="414"/>
    </row>
    <row r="51" spans="1:47" x14ac:dyDescent="0.2">
      <c r="A51" s="411"/>
      <c r="B51" s="353"/>
      <c r="C51" s="353"/>
      <c r="D51" s="412"/>
      <c r="E51" s="412"/>
      <c r="F51" s="413"/>
      <c r="G51" s="353"/>
      <c r="H51" s="355"/>
      <c r="I51" s="355"/>
      <c r="J51" s="355"/>
      <c r="K51" s="355"/>
      <c r="L51" s="355"/>
      <c r="M51" s="355"/>
      <c r="N51" s="414"/>
      <c r="O51" s="415"/>
      <c r="P51" s="416"/>
      <c r="Q51" s="417"/>
      <c r="R51" s="416">
        <f>IF(NOT(ISERROR(MATCH(Q51,_xlfn.ANCHORARRAY(F62),0))),P64&amp;"Por favor no seleccionar los criterios de impacto",Q51)</f>
        <v>0</v>
      </c>
      <c r="S51" s="415"/>
      <c r="T51" s="416"/>
      <c r="U51" s="420"/>
      <c r="V51" s="199">
        <v>3</v>
      </c>
      <c r="W51" s="199"/>
      <c r="X51" s="199"/>
      <c r="Y51" s="199"/>
      <c r="Z51" s="224" t="str">
        <f t="shared" si="7"/>
        <v xml:space="preserve">  </v>
      </c>
      <c r="AA51" s="176" t="str">
        <f>IF(OR(AB51="Preventivo",AB51="Detectivo"),"Probabilidad",IF(AB51="Correctivo","Impacto",""))</f>
        <v/>
      </c>
      <c r="AB51" s="177"/>
      <c r="AC51" s="177"/>
      <c r="AD51" s="178" t="str">
        <f t="shared" si="59"/>
        <v/>
      </c>
      <c r="AE51" s="177"/>
      <c r="AF51" s="177"/>
      <c r="AG51" s="177"/>
      <c r="AH51" s="179" t="str">
        <f>IFERROR(IF(AND(AA50="Probabilidad",AA51="Probabilidad"),(AJ50-(+AJ50*AD51)),IF(AND(AA50="Impacto",AA51="Probabilidad"),(AJ49-(+AJ49*AD51)),IF(AA51="Impacto",AJ50,""))),"")</f>
        <v/>
      </c>
      <c r="AI51" s="180" t="str">
        <f t="shared" si="3"/>
        <v/>
      </c>
      <c r="AJ51" s="178" t="str">
        <f t="shared" si="60"/>
        <v/>
      </c>
      <c r="AK51" s="180" t="str">
        <f t="shared" si="5"/>
        <v/>
      </c>
      <c r="AL51" s="178" t="str">
        <f t="shared" ref="AL51" si="63">IFERROR(IF(AND(AA50="Impacto",AA51="Impacto"),(AL50-(+AL50*AD51)),IF(AND(AA50="Probabilidad",AA51="Impacto"),(AL49-(+AL49*AD51)),IF(AA51="Probabilidad",AL50,""))),"")</f>
        <v/>
      </c>
      <c r="AM51" s="181" t="str">
        <f t="shared" si="62"/>
        <v/>
      </c>
      <c r="AN51" s="182"/>
      <c r="AO51" s="175"/>
      <c r="AP51" s="183"/>
      <c r="AQ51" s="183"/>
      <c r="AR51" s="184"/>
      <c r="AS51" s="414"/>
      <c r="AT51" s="414"/>
      <c r="AU51" s="414"/>
    </row>
    <row r="52" spans="1:47" x14ac:dyDescent="0.2">
      <c r="A52" s="411"/>
      <c r="B52" s="353"/>
      <c r="C52" s="353"/>
      <c r="D52" s="412"/>
      <c r="E52" s="412"/>
      <c r="F52" s="413"/>
      <c r="G52" s="353"/>
      <c r="H52" s="355"/>
      <c r="I52" s="355"/>
      <c r="J52" s="355"/>
      <c r="K52" s="355"/>
      <c r="L52" s="355"/>
      <c r="M52" s="355"/>
      <c r="N52" s="414"/>
      <c r="O52" s="415"/>
      <c r="P52" s="416"/>
      <c r="Q52" s="417"/>
      <c r="R52" s="416">
        <f>IF(NOT(ISERROR(MATCH(Q52,_xlfn.ANCHORARRAY(F63),0))),P65&amp;"Por favor no seleccionar los criterios de impacto",Q52)</f>
        <v>0</v>
      </c>
      <c r="S52" s="415"/>
      <c r="T52" s="416"/>
      <c r="U52" s="420"/>
      <c r="V52" s="199">
        <v>4</v>
      </c>
      <c r="W52" s="199"/>
      <c r="X52" s="199"/>
      <c r="Y52" s="199"/>
      <c r="Z52" s="224" t="str">
        <f t="shared" si="7"/>
        <v xml:space="preserve">  </v>
      </c>
      <c r="AA52" s="176" t="str">
        <f t="shared" ref="AA52:AA54" si="64">IF(OR(AB52="Preventivo",AB52="Detectivo"),"Probabilidad",IF(AB52="Correctivo","Impacto",""))</f>
        <v/>
      </c>
      <c r="AB52" s="177"/>
      <c r="AC52" s="177"/>
      <c r="AD52" s="178" t="str">
        <f t="shared" si="59"/>
        <v/>
      </c>
      <c r="AE52" s="177"/>
      <c r="AF52" s="177"/>
      <c r="AG52" s="177"/>
      <c r="AH52" s="179" t="str">
        <f t="shared" ref="AH52:AH54" si="65">IFERROR(IF(AND(AA51="Probabilidad",AA52="Probabilidad"),(AJ51-(+AJ51*AD52)),IF(AND(AA51="Impacto",AA52="Probabilidad"),(AJ50-(+AJ50*AD52)),IF(AA52="Impacto",AJ51,""))),"")</f>
        <v/>
      </c>
      <c r="AI52" s="180" t="str">
        <f t="shared" si="3"/>
        <v/>
      </c>
      <c r="AJ52" s="178" t="str">
        <f t="shared" si="60"/>
        <v/>
      </c>
      <c r="AK52" s="180" t="str">
        <f t="shared" si="5"/>
        <v/>
      </c>
      <c r="AL52" s="178" t="str">
        <f t="shared" si="13"/>
        <v/>
      </c>
      <c r="AM52" s="181"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82"/>
      <c r="AO52" s="175"/>
      <c r="AP52" s="183"/>
      <c r="AQ52" s="183"/>
      <c r="AR52" s="184"/>
      <c r="AS52" s="414"/>
      <c r="AT52" s="414"/>
      <c r="AU52" s="414"/>
    </row>
    <row r="53" spans="1:47" x14ac:dyDescent="0.2">
      <c r="A53" s="411"/>
      <c r="B53" s="353"/>
      <c r="C53" s="353"/>
      <c r="D53" s="412"/>
      <c r="E53" s="412"/>
      <c r="F53" s="413"/>
      <c r="G53" s="353"/>
      <c r="H53" s="355"/>
      <c r="I53" s="355"/>
      <c r="J53" s="355"/>
      <c r="K53" s="355"/>
      <c r="L53" s="355"/>
      <c r="M53" s="355"/>
      <c r="N53" s="414"/>
      <c r="O53" s="415"/>
      <c r="P53" s="416"/>
      <c r="Q53" s="417"/>
      <c r="R53" s="416">
        <f>IF(NOT(ISERROR(MATCH(Q53,_xlfn.ANCHORARRAY(F64),0))),P66&amp;"Por favor no seleccionar los criterios de impacto",Q53)</f>
        <v>0</v>
      </c>
      <c r="S53" s="415"/>
      <c r="T53" s="416"/>
      <c r="U53" s="420"/>
      <c r="V53" s="199">
        <v>5</v>
      </c>
      <c r="W53" s="199"/>
      <c r="X53" s="199"/>
      <c r="Y53" s="199"/>
      <c r="Z53" s="224" t="str">
        <f t="shared" si="7"/>
        <v xml:space="preserve">  </v>
      </c>
      <c r="AA53" s="176" t="str">
        <f t="shared" si="64"/>
        <v/>
      </c>
      <c r="AB53" s="177"/>
      <c r="AC53" s="177"/>
      <c r="AD53" s="178" t="str">
        <f t="shared" si="59"/>
        <v/>
      </c>
      <c r="AE53" s="177"/>
      <c r="AF53" s="177"/>
      <c r="AG53" s="177"/>
      <c r="AH53" s="179" t="str">
        <f t="shared" si="65"/>
        <v/>
      </c>
      <c r="AI53" s="180" t="str">
        <f t="shared" si="3"/>
        <v/>
      </c>
      <c r="AJ53" s="178" t="str">
        <f t="shared" si="60"/>
        <v/>
      </c>
      <c r="AK53" s="180" t="str">
        <f t="shared" si="5"/>
        <v/>
      </c>
      <c r="AL53" s="178" t="str">
        <f t="shared" si="13"/>
        <v/>
      </c>
      <c r="AM53" s="181" t="str">
        <f t="shared" ref="AM53:AM54" si="66">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82"/>
      <c r="AO53" s="175"/>
      <c r="AP53" s="183"/>
      <c r="AQ53" s="183"/>
      <c r="AR53" s="184"/>
      <c r="AS53" s="414"/>
      <c r="AT53" s="414"/>
      <c r="AU53" s="414"/>
    </row>
    <row r="54" spans="1:47" x14ac:dyDescent="0.2">
      <c r="A54" s="411"/>
      <c r="B54" s="353"/>
      <c r="C54" s="353"/>
      <c r="D54" s="412"/>
      <c r="E54" s="412"/>
      <c r="F54" s="413"/>
      <c r="G54" s="353"/>
      <c r="H54" s="356"/>
      <c r="I54" s="356"/>
      <c r="J54" s="356"/>
      <c r="K54" s="356"/>
      <c r="L54" s="356"/>
      <c r="M54" s="356"/>
      <c r="N54" s="414"/>
      <c r="O54" s="415"/>
      <c r="P54" s="416"/>
      <c r="Q54" s="417"/>
      <c r="R54" s="416">
        <f>IF(NOT(ISERROR(MATCH(Q54,_xlfn.ANCHORARRAY(F65),0))),P67&amp;"Por favor no seleccionar los criterios de impacto",Q54)</f>
        <v>0</v>
      </c>
      <c r="S54" s="415"/>
      <c r="T54" s="416"/>
      <c r="U54" s="420"/>
      <c r="V54" s="199">
        <v>6</v>
      </c>
      <c r="W54" s="199"/>
      <c r="X54" s="199"/>
      <c r="Y54" s="199"/>
      <c r="Z54" s="224" t="str">
        <f t="shared" si="7"/>
        <v xml:space="preserve">  </v>
      </c>
      <c r="AA54" s="176" t="str">
        <f t="shared" si="64"/>
        <v/>
      </c>
      <c r="AB54" s="177"/>
      <c r="AC54" s="177"/>
      <c r="AD54" s="178" t="str">
        <f t="shared" si="59"/>
        <v/>
      </c>
      <c r="AE54" s="177"/>
      <c r="AF54" s="177"/>
      <c r="AG54" s="177"/>
      <c r="AH54" s="179" t="str">
        <f t="shared" si="65"/>
        <v/>
      </c>
      <c r="AI54" s="180" t="str">
        <f t="shared" si="3"/>
        <v/>
      </c>
      <c r="AJ54" s="178" t="str">
        <f t="shared" si="60"/>
        <v/>
      </c>
      <c r="AK54" s="180" t="str">
        <f t="shared" si="5"/>
        <v/>
      </c>
      <c r="AL54" s="178" t="str">
        <f t="shared" si="13"/>
        <v/>
      </c>
      <c r="AM54" s="181" t="str">
        <f t="shared" si="66"/>
        <v/>
      </c>
      <c r="AN54" s="182"/>
      <c r="AO54" s="175"/>
      <c r="AP54" s="183"/>
      <c r="AQ54" s="183"/>
      <c r="AR54" s="184"/>
      <c r="AS54" s="414"/>
      <c r="AT54" s="414"/>
      <c r="AU54" s="414"/>
    </row>
    <row r="55" spans="1:47" x14ac:dyDescent="0.2">
      <c r="A55" s="411">
        <v>8</v>
      </c>
      <c r="B55" s="353"/>
      <c r="C55" s="353"/>
      <c r="D55" s="353"/>
      <c r="E55" s="353"/>
      <c r="F55" s="413" t="str">
        <f t="shared" ref="F55" si="67">+CONCATENATE(B55," ",C55," ",D55)</f>
        <v xml:space="preserve">  </v>
      </c>
      <c r="G55" s="353"/>
      <c r="H55" s="354"/>
      <c r="I55" s="354"/>
      <c r="J55" s="354"/>
      <c r="K55" s="354"/>
      <c r="L55" s="354"/>
      <c r="M55" s="354"/>
      <c r="N55" s="414"/>
      <c r="O55" s="415" t="str">
        <f>IF(N55&lt;=0,"",IF(N55&lt;=2,"Muy Baja",IF(N55&lt;=24,"Baja",IF(N55&lt;=500,"Media",IF(N55&lt;=5000,"Alta","Muy Alta")))))</f>
        <v/>
      </c>
      <c r="P55" s="416" t="str">
        <f>IF(O55="","",IF(O55="Muy Baja",0.2,IF(O55="Baja",0.4,IF(O55="Media",0.6,IF(O55="Alta",0.8,IF(O55="Muy Alta",1,))))))</f>
        <v/>
      </c>
      <c r="Q55" s="417"/>
      <c r="R55" s="416">
        <f>IF(NOT(ISERROR(MATCH(Q55,'Tabla Impacto'!$B$245:$B$247,0))),'Tabla Impacto'!$F$224&amp;"Por favor no seleccionar los criterios de impacto(Afectación Económica o presupuestal y Pérdida Reputacional)",Q55)</f>
        <v>0</v>
      </c>
      <c r="S55" s="415" t="str">
        <f>IF(OR(R55='Tabla Impacto'!$C$12,R55='Tabla Impacto'!$D$12),"Leve",IF(OR(R55='Tabla Impacto'!$C$13,R55='Tabla Impacto'!$D$13),"Menor",IF(OR(R55='Tabla Impacto'!$C$14,R55='Tabla Impacto'!$D$14),"Moderado",IF(OR(R55='Tabla Impacto'!$C$15,R55='Tabla Impacto'!$D$15),"Mayor",IF(OR(R55='Tabla Impacto'!$C$16,R55='Tabla Impacto'!$D$16),"Catastrófico","")))))</f>
        <v/>
      </c>
      <c r="T55" s="416" t="str">
        <f>IF(S55="","",IF(S55="Leve",0.2,IF(S55="Menor",0.4,IF(S55="Moderado",0.6,IF(S55="Mayor",0.8,IF(S55="Catastrófico",1,))))))</f>
        <v/>
      </c>
      <c r="U55" s="420"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9">
        <v>1</v>
      </c>
      <c r="W55" s="199"/>
      <c r="X55" s="199"/>
      <c r="Y55" s="199"/>
      <c r="Z55" s="224" t="str">
        <f t="shared" si="7"/>
        <v xml:space="preserve">  </v>
      </c>
      <c r="AA55" s="176" t="str">
        <f>IF(OR(AB55="Preventivo",AB55="Detectivo"),"Probabilidad",IF(AB55="Correctivo","Impacto",""))</f>
        <v/>
      </c>
      <c r="AB55" s="177"/>
      <c r="AC55" s="177"/>
      <c r="AD55" s="178" t="str">
        <f>IF(AND(AB55="Preventivo",AC55="Automático"),"50%",IF(AND(AB55="Preventivo",AC55="Manual"),"40%",IF(AND(AB55="Detectivo",AC55="Automático"),"40%",IF(AND(AB55="Detectivo",AC55="Manual"),"30%",IF(AND(AB55="Correctivo",AC55="Automático"),"35%",IF(AND(AB55="Correctivo",AC55="Manual"),"25%",""))))))</f>
        <v/>
      </c>
      <c r="AE55" s="177"/>
      <c r="AF55" s="177"/>
      <c r="AG55" s="177"/>
      <c r="AH55" s="179" t="str">
        <f>IFERROR(IF(AA55="Probabilidad",(P55-(+P55*AD55)),IF(AA55="Impacto",P55,"")),"")</f>
        <v/>
      </c>
      <c r="AI55" s="180" t="str">
        <f>IFERROR(IF(AH55="","",IF(AH55&lt;=0.2,"Muy Baja",IF(AH55&lt;=0.4,"Baja",IF(AH55&lt;=0.6,"Media",IF(AH55&lt;=0.8,"Alta","Muy Alta"))))),"")</f>
        <v/>
      </c>
      <c r="AJ55" s="178" t="str">
        <f>+AH55</f>
        <v/>
      </c>
      <c r="AK55" s="180" t="str">
        <f>IFERROR(IF(AL55="","",IF(AL55&lt;=0.2,"Leve",IF(AL55&lt;=0.4,"Menor",IF(AL55&lt;=0.6,"Moderado",IF(AL55&lt;=0.8,"Mayor","Catastrófico"))))),"")</f>
        <v/>
      </c>
      <c r="AL55" s="178" t="str">
        <f t="shared" ref="AL55" si="68">IFERROR(IF(AA55="Impacto",(T55-(+T55*AD55)),IF(AA55="Probabilidad",T55,"")),"")</f>
        <v/>
      </c>
      <c r="AM55" s="181"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82"/>
      <c r="AO55" s="175"/>
      <c r="AP55" s="183"/>
      <c r="AQ55" s="183"/>
      <c r="AR55" s="184"/>
      <c r="AS55" s="414"/>
      <c r="AT55" s="414"/>
      <c r="AU55" s="414"/>
    </row>
    <row r="56" spans="1:47" x14ac:dyDescent="0.2">
      <c r="A56" s="411"/>
      <c r="B56" s="353"/>
      <c r="C56" s="353"/>
      <c r="D56" s="353"/>
      <c r="E56" s="353"/>
      <c r="F56" s="413"/>
      <c r="G56" s="353"/>
      <c r="H56" s="355"/>
      <c r="I56" s="355"/>
      <c r="J56" s="355"/>
      <c r="K56" s="355"/>
      <c r="L56" s="355"/>
      <c r="M56" s="355"/>
      <c r="N56" s="414"/>
      <c r="O56" s="415"/>
      <c r="P56" s="416"/>
      <c r="Q56" s="417"/>
      <c r="R56" s="416">
        <f>IF(NOT(ISERROR(MATCH(Q56,_xlfn.ANCHORARRAY(F67),0))),P69&amp;"Por favor no seleccionar los criterios de impacto",Q56)</f>
        <v>0</v>
      </c>
      <c r="S56" s="415"/>
      <c r="T56" s="416"/>
      <c r="U56" s="420"/>
      <c r="V56" s="199">
        <v>2</v>
      </c>
      <c r="W56" s="199"/>
      <c r="X56" s="199"/>
      <c r="Y56" s="199"/>
      <c r="Z56" s="224" t="str">
        <f t="shared" si="7"/>
        <v xml:space="preserve">  </v>
      </c>
      <c r="AA56" s="176" t="str">
        <f>IF(OR(AB56="Preventivo",AB56="Detectivo"),"Probabilidad",IF(AB56="Correctivo","Impacto",""))</f>
        <v/>
      </c>
      <c r="AB56" s="177"/>
      <c r="AC56" s="177"/>
      <c r="AD56" s="178" t="str">
        <f t="shared" ref="AD56:AD60" si="69">IF(AND(AB56="Preventivo",AC56="Automático"),"50%",IF(AND(AB56="Preventivo",AC56="Manual"),"40%",IF(AND(AB56="Detectivo",AC56="Automático"),"40%",IF(AND(AB56="Detectivo",AC56="Manual"),"30%",IF(AND(AB56="Correctivo",AC56="Automático"),"35%",IF(AND(AB56="Correctivo",AC56="Manual"),"25%",""))))))</f>
        <v/>
      </c>
      <c r="AE56" s="177"/>
      <c r="AF56" s="177"/>
      <c r="AG56" s="177"/>
      <c r="AH56" s="179" t="str">
        <f>IFERROR(IF(AND(AA55="Probabilidad",AA56="Probabilidad"),(AJ55-(+AJ55*AD56)),IF(AA56="Probabilidad",(P55-(+P55*AD56)),IF(AA56="Impacto",AJ55,""))),"")</f>
        <v/>
      </c>
      <c r="AI56" s="180" t="str">
        <f t="shared" si="3"/>
        <v/>
      </c>
      <c r="AJ56" s="178" t="str">
        <f t="shared" ref="AJ56:AJ60" si="70">+AH56</f>
        <v/>
      </c>
      <c r="AK56" s="180" t="str">
        <f t="shared" si="5"/>
        <v/>
      </c>
      <c r="AL56" s="178" t="str">
        <f t="shared" ref="AL56" si="71">IFERROR(IF(AND(AA55="Impacto",AA56="Impacto"),(AL55-(+AL55*AD56)),IF(AA56="Impacto",($T$13-(+$T$13*AD56)),IF(AA56="Probabilidad",AL55,""))),"")</f>
        <v/>
      </c>
      <c r="AM56" s="181" t="str">
        <f t="shared" ref="AM56:AM57" si="72">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82"/>
      <c r="AO56" s="175"/>
      <c r="AP56" s="183"/>
      <c r="AQ56" s="183"/>
      <c r="AR56" s="184"/>
      <c r="AS56" s="414"/>
      <c r="AT56" s="414"/>
      <c r="AU56" s="414"/>
    </row>
    <row r="57" spans="1:47" x14ac:dyDescent="0.2">
      <c r="A57" s="411"/>
      <c r="B57" s="353"/>
      <c r="C57" s="353"/>
      <c r="D57" s="353"/>
      <c r="E57" s="353"/>
      <c r="F57" s="413"/>
      <c r="G57" s="353"/>
      <c r="H57" s="355"/>
      <c r="I57" s="355"/>
      <c r="J57" s="355"/>
      <c r="K57" s="355"/>
      <c r="L57" s="355"/>
      <c r="M57" s="355"/>
      <c r="N57" s="414"/>
      <c r="O57" s="415"/>
      <c r="P57" s="416"/>
      <c r="Q57" s="417"/>
      <c r="R57" s="416">
        <f>IF(NOT(ISERROR(MATCH(Q57,_xlfn.ANCHORARRAY(F68),0))),P70&amp;"Por favor no seleccionar los criterios de impacto",Q57)</f>
        <v>0</v>
      </c>
      <c r="S57" s="415"/>
      <c r="T57" s="416"/>
      <c r="U57" s="420"/>
      <c r="V57" s="199">
        <v>3</v>
      </c>
      <c r="W57" s="199"/>
      <c r="X57" s="199"/>
      <c r="Y57" s="199"/>
      <c r="Z57" s="224" t="str">
        <f t="shared" si="7"/>
        <v xml:space="preserve">  </v>
      </c>
      <c r="AA57" s="176" t="str">
        <f>IF(OR(AB57="Preventivo",AB57="Detectivo"),"Probabilidad",IF(AB57="Correctivo","Impacto",""))</f>
        <v/>
      </c>
      <c r="AB57" s="177"/>
      <c r="AC57" s="177"/>
      <c r="AD57" s="178" t="str">
        <f t="shared" si="69"/>
        <v/>
      </c>
      <c r="AE57" s="177"/>
      <c r="AF57" s="177"/>
      <c r="AG57" s="177"/>
      <c r="AH57" s="179" t="str">
        <f>IFERROR(IF(AND(AA56="Probabilidad",AA57="Probabilidad"),(AJ56-(+AJ56*AD57)),IF(AND(AA56="Impacto",AA57="Probabilidad"),(AJ55-(+AJ55*AD57)),IF(AA57="Impacto",AJ56,""))),"")</f>
        <v/>
      </c>
      <c r="AI57" s="180" t="str">
        <f t="shared" si="3"/>
        <v/>
      </c>
      <c r="AJ57" s="178" t="str">
        <f t="shared" si="70"/>
        <v/>
      </c>
      <c r="AK57" s="180" t="str">
        <f t="shared" si="5"/>
        <v/>
      </c>
      <c r="AL57" s="178" t="str">
        <f t="shared" ref="AL57" si="73">IFERROR(IF(AND(AA56="Impacto",AA57="Impacto"),(AL56-(+AL56*AD57)),IF(AND(AA56="Probabilidad",AA57="Impacto"),(AL55-(+AL55*AD57)),IF(AA57="Probabilidad",AL56,""))),"")</f>
        <v/>
      </c>
      <c r="AM57" s="181" t="str">
        <f t="shared" si="72"/>
        <v/>
      </c>
      <c r="AN57" s="182"/>
      <c r="AO57" s="175"/>
      <c r="AP57" s="183"/>
      <c r="AQ57" s="183"/>
      <c r="AR57" s="184"/>
      <c r="AS57" s="414"/>
      <c r="AT57" s="414"/>
      <c r="AU57" s="414"/>
    </row>
    <row r="58" spans="1:47" x14ac:dyDescent="0.2">
      <c r="A58" s="411"/>
      <c r="B58" s="353"/>
      <c r="C58" s="353"/>
      <c r="D58" s="353"/>
      <c r="E58" s="353"/>
      <c r="F58" s="413"/>
      <c r="G58" s="353"/>
      <c r="H58" s="355"/>
      <c r="I58" s="355"/>
      <c r="J58" s="355"/>
      <c r="K58" s="355"/>
      <c r="L58" s="355"/>
      <c r="M58" s="355"/>
      <c r="N58" s="414"/>
      <c r="O58" s="415"/>
      <c r="P58" s="416"/>
      <c r="Q58" s="417"/>
      <c r="R58" s="416">
        <f>IF(NOT(ISERROR(MATCH(Q58,_xlfn.ANCHORARRAY(F69),0))),P71&amp;"Por favor no seleccionar los criterios de impacto",Q58)</f>
        <v>0</v>
      </c>
      <c r="S58" s="415"/>
      <c r="T58" s="416"/>
      <c r="U58" s="420"/>
      <c r="V58" s="199">
        <v>4</v>
      </c>
      <c r="W58" s="199"/>
      <c r="X58" s="199"/>
      <c r="Y58" s="199"/>
      <c r="Z58" s="224" t="str">
        <f t="shared" si="7"/>
        <v xml:space="preserve">  </v>
      </c>
      <c r="AA58" s="176" t="str">
        <f t="shared" ref="AA58:AA60" si="74">IF(OR(AB58="Preventivo",AB58="Detectivo"),"Probabilidad",IF(AB58="Correctivo","Impacto",""))</f>
        <v/>
      </c>
      <c r="AB58" s="177"/>
      <c r="AC58" s="177"/>
      <c r="AD58" s="178" t="str">
        <f t="shared" si="69"/>
        <v/>
      </c>
      <c r="AE58" s="177"/>
      <c r="AF58" s="177"/>
      <c r="AG58" s="177"/>
      <c r="AH58" s="179" t="str">
        <f t="shared" ref="AH58:AH60" si="75">IFERROR(IF(AND(AA57="Probabilidad",AA58="Probabilidad"),(AJ57-(+AJ57*AD58)),IF(AND(AA57="Impacto",AA58="Probabilidad"),(AJ56-(+AJ56*AD58)),IF(AA58="Impacto",AJ57,""))),"")</f>
        <v/>
      </c>
      <c r="AI58" s="180" t="str">
        <f t="shared" si="3"/>
        <v/>
      </c>
      <c r="AJ58" s="178" t="str">
        <f t="shared" si="70"/>
        <v/>
      </c>
      <c r="AK58" s="180" t="str">
        <f t="shared" si="5"/>
        <v/>
      </c>
      <c r="AL58" s="178" t="str">
        <f t="shared" si="13"/>
        <v/>
      </c>
      <c r="AM58" s="181"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82"/>
      <c r="AO58" s="175"/>
      <c r="AP58" s="183"/>
      <c r="AQ58" s="183"/>
      <c r="AR58" s="184"/>
      <c r="AS58" s="414"/>
      <c r="AT58" s="414"/>
      <c r="AU58" s="414"/>
    </row>
    <row r="59" spans="1:47" x14ac:dyDescent="0.2">
      <c r="A59" s="411"/>
      <c r="B59" s="353"/>
      <c r="C59" s="353"/>
      <c r="D59" s="353"/>
      <c r="E59" s="353"/>
      <c r="F59" s="413"/>
      <c r="G59" s="353"/>
      <c r="H59" s="355"/>
      <c r="I59" s="355"/>
      <c r="J59" s="355"/>
      <c r="K59" s="355"/>
      <c r="L59" s="355"/>
      <c r="M59" s="355"/>
      <c r="N59" s="414"/>
      <c r="O59" s="415"/>
      <c r="P59" s="416"/>
      <c r="Q59" s="417"/>
      <c r="R59" s="416">
        <f>IF(NOT(ISERROR(MATCH(Q59,_xlfn.ANCHORARRAY(F70),0))),P72&amp;"Por favor no seleccionar los criterios de impacto",Q59)</f>
        <v>0</v>
      </c>
      <c r="S59" s="415"/>
      <c r="T59" s="416"/>
      <c r="U59" s="420"/>
      <c r="V59" s="199">
        <v>5</v>
      </c>
      <c r="W59" s="199"/>
      <c r="X59" s="199"/>
      <c r="Y59" s="199"/>
      <c r="Z59" s="224" t="str">
        <f t="shared" si="7"/>
        <v xml:space="preserve">  </v>
      </c>
      <c r="AA59" s="176" t="str">
        <f t="shared" si="74"/>
        <v/>
      </c>
      <c r="AB59" s="177"/>
      <c r="AC59" s="177"/>
      <c r="AD59" s="178" t="str">
        <f t="shared" si="69"/>
        <v/>
      </c>
      <c r="AE59" s="177"/>
      <c r="AF59" s="177"/>
      <c r="AG59" s="177"/>
      <c r="AH59" s="179" t="str">
        <f t="shared" si="75"/>
        <v/>
      </c>
      <c r="AI59" s="180" t="str">
        <f t="shared" si="3"/>
        <v/>
      </c>
      <c r="AJ59" s="178" t="str">
        <f t="shared" si="70"/>
        <v/>
      </c>
      <c r="AK59" s="180" t="str">
        <f t="shared" si="5"/>
        <v/>
      </c>
      <c r="AL59" s="178" t="str">
        <f t="shared" si="13"/>
        <v/>
      </c>
      <c r="AM59" s="181" t="str">
        <f t="shared" ref="AM59:AM60" si="76">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82"/>
      <c r="AO59" s="175"/>
      <c r="AP59" s="183"/>
      <c r="AQ59" s="183"/>
      <c r="AR59" s="184"/>
      <c r="AS59" s="414"/>
      <c r="AT59" s="414"/>
      <c r="AU59" s="414"/>
    </row>
    <row r="60" spans="1:47" x14ac:dyDescent="0.2">
      <c r="A60" s="411"/>
      <c r="B60" s="353"/>
      <c r="C60" s="353"/>
      <c r="D60" s="353"/>
      <c r="E60" s="353"/>
      <c r="F60" s="413"/>
      <c r="G60" s="353"/>
      <c r="H60" s="356"/>
      <c r="I60" s="356"/>
      <c r="J60" s="356"/>
      <c r="K60" s="356"/>
      <c r="L60" s="356"/>
      <c r="M60" s="356"/>
      <c r="N60" s="414"/>
      <c r="O60" s="415"/>
      <c r="P60" s="416"/>
      <c r="Q60" s="417"/>
      <c r="R60" s="416">
        <f>IF(NOT(ISERROR(MATCH(Q60,_xlfn.ANCHORARRAY(F71),0))),Q73&amp;"Por favor no seleccionar los criterios de impacto",Q60)</f>
        <v>0</v>
      </c>
      <c r="S60" s="415"/>
      <c r="T60" s="416"/>
      <c r="U60" s="420"/>
      <c r="V60" s="199">
        <v>6</v>
      </c>
      <c r="W60" s="199"/>
      <c r="X60" s="199"/>
      <c r="Y60" s="199"/>
      <c r="Z60" s="224" t="str">
        <f t="shared" si="7"/>
        <v xml:space="preserve">  </v>
      </c>
      <c r="AA60" s="176" t="str">
        <f t="shared" si="74"/>
        <v/>
      </c>
      <c r="AB60" s="177"/>
      <c r="AC60" s="177"/>
      <c r="AD60" s="178" t="str">
        <f t="shared" si="69"/>
        <v/>
      </c>
      <c r="AE60" s="177"/>
      <c r="AF60" s="177"/>
      <c r="AG60" s="177"/>
      <c r="AH60" s="179" t="str">
        <f t="shared" si="75"/>
        <v/>
      </c>
      <c r="AI60" s="180" t="str">
        <f t="shared" si="3"/>
        <v/>
      </c>
      <c r="AJ60" s="178" t="str">
        <f t="shared" si="70"/>
        <v/>
      </c>
      <c r="AK60" s="180" t="str">
        <f t="shared" si="5"/>
        <v/>
      </c>
      <c r="AL60" s="178" t="str">
        <f t="shared" si="13"/>
        <v/>
      </c>
      <c r="AM60" s="181" t="str">
        <f t="shared" si="76"/>
        <v/>
      </c>
      <c r="AN60" s="182"/>
      <c r="AO60" s="175"/>
      <c r="AP60" s="183"/>
      <c r="AQ60" s="183"/>
      <c r="AR60" s="184"/>
      <c r="AS60" s="414"/>
      <c r="AT60" s="414"/>
      <c r="AU60" s="414"/>
    </row>
    <row r="61" spans="1:47" x14ac:dyDescent="0.2">
      <c r="A61" s="411">
        <v>9</v>
      </c>
      <c r="B61" s="353"/>
      <c r="C61" s="353"/>
      <c r="D61" s="353"/>
      <c r="E61" s="353"/>
      <c r="F61" s="413" t="str">
        <f t="shared" ref="F61" si="77">+CONCATENATE(B61," ",C61," ",D61)</f>
        <v xml:space="preserve">  </v>
      </c>
      <c r="G61" s="353"/>
      <c r="H61" s="354"/>
      <c r="I61" s="206"/>
      <c r="J61" s="206"/>
      <c r="K61" s="206"/>
      <c r="L61" s="354"/>
      <c r="M61" s="354"/>
      <c r="N61" s="414"/>
      <c r="O61" s="415" t="str">
        <f>IF(N61&lt;=0,"",IF(N61&lt;=2,"Muy Baja",IF(N61&lt;=24,"Baja",IF(N61&lt;=500,"Media",IF(N61&lt;=5000,"Alta","Muy Alta")))))</f>
        <v/>
      </c>
      <c r="P61" s="416" t="str">
        <f>IF(O61="","",IF(O61="Muy Baja",0.2,IF(O61="Baja",0.4,IF(O61="Media",0.6,IF(O61="Alta",0.8,IF(O61="Muy Alta",1,))))))</f>
        <v/>
      </c>
      <c r="Q61" s="417"/>
      <c r="R61" s="416">
        <f>IF(NOT(ISERROR(MATCH(Q61,'Tabla Impacto'!$B$245:$B$247,0))),'Tabla Impacto'!$F$224&amp;"Por favor no seleccionar los criterios de impacto(Afectación Económica o presupuestal y Pérdida Reputacional)",Q61)</f>
        <v>0</v>
      </c>
      <c r="S61" s="415" t="str">
        <f>IF(OR(R61='Tabla Impacto'!$C$12,R61='Tabla Impacto'!$D$12),"Leve",IF(OR(R61='Tabla Impacto'!$C$13,R61='Tabla Impacto'!$D$13),"Menor",IF(OR(R61='Tabla Impacto'!$C$14,R61='Tabla Impacto'!$D$14),"Moderado",IF(OR(R61='Tabla Impacto'!$C$15,R61='Tabla Impacto'!$D$15),"Mayor",IF(OR(R61='Tabla Impacto'!$C$16,R61='Tabla Impacto'!$D$16),"Catastrófico","")))))</f>
        <v/>
      </c>
      <c r="T61" s="416" t="str">
        <f>IF(S61="","",IF(S61="Leve",0.2,IF(S61="Menor",0.4,IF(S61="Moderado",0.6,IF(S61="Mayor",0.8,IF(S61="Catastrófico",1,))))))</f>
        <v/>
      </c>
      <c r="U61" s="420"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9">
        <v>1</v>
      </c>
      <c r="W61" s="199"/>
      <c r="X61" s="199"/>
      <c r="Y61" s="199"/>
      <c r="Z61" s="224" t="str">
        <f t="shared" si="7"/>
        <v xml:space="preserve">  </v>
      </c>
      <c r="AA61" s="176" t="str">
        <f>IF(OR(AB61="Preventivo",AB61="Detectivo"),"Probabilidad",IF(AB61="Correctivo","Impacto",""))</f>
        <v/>
      </c>
      <c r="AB61" s="177"/>
      <c r="AC61" s="177"/>
      <c r="AD61" s="178" t="str">
        <f>IF(AND(AB61="Preventivo",AC61="Automático"),"50%",IF(AND(AB61="Preventivo",AC61="Manual"),"40%",IF(AND(AB61="Detectivo",AC61="Automático"),"40%",IF(AND(AB61="Detectivo",AC61="Manual"),"30%",IF(AND(AB61="Correctivo",AC61="Automático"),"35%",IF(AND(AB61="Correctivo",AC61="Manual"),"25%",""))))))</f>
        <v/>
      </c>
      <c r="AE61" s="177"/>
      <c r="AF61" s="177"/>
      <c r="AG61" s="177"/>
      <c r="AH61" s="179" t="str">
        <f>IFERROR(IF(AA61="Probabilidad",(P61-(+P61*AD61)),IF(AA61="Impacto",P61,"")),"")</f>
        <v/>
      </c>
      <c r="AI61" s="180" t="str">
        <f>IFERROR(IF(AH61="","",IF(AH61&lt;=0.2,"Muy Baja",IF(AH61&lt;=0.4,"Baja",IF(AH61&lt;=0.6,"Media",IF(AH61&lt;=0.8,"Alta","Muy Alta"))))),"")</f>
        <v/>
      </c>
      <c r="AJ61" s="178" t="str">
        <f>+AH61</f>
        <v/>
      </c>
      <c r="AK61" s="180" t="str">
        <f>IFERROR(IF(AL61="","",IF(AL61&lt;=0.2,"Leve",IF(AL61&lt;=0.4,"Menor",IF(AL61&lt;=0.6,"Moderado",IF(AL61&lt;=0.8,"Mayor","Catastrófico"))))),"")</f>
        <v/>
      </c>
      <c r="AL61" s="178" t="str">
        <f t="shared" ref="AL61" si="78">IFERROR(IF(AA61="Impacto",(T61-(+T61*AD61)),IF(AA61="Probabilidad",T61,"")),"")</f>
        <v/>
      </c>
      <c r="AM61" s="181"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82"/>
      <c r="AO61" s="175"/>
      <c r="AP61" s="183"/>
      <c r="AQ61" s="183"/>
      <c r="AR61" s="184"/>
      <c r="AS61" s="414"/>
      <c r="AT61" s="414"/>
      <c r="AU61" s="414"/>
    </row>
    <row r="62" spans="1:47" x14ac:dyDescent="0.2">
      <c r="A62" s="411"/>
      <c r="B62" s="353"/>
      <c r="C62" s="353"/>
      <c r="D62" s="353"/>
      <c r="E62" s="353"/>
      <c r="F62" s="413"/>
      <c r="G62" s="353"/>
      <c r="H62" s="355"/>
      <c r="I62" s="207"/>
      <c r="J62" s="207"/>
      <c r="K62" s="207"/>
      <c r="L62" s="355"/>
      <c r="M62" s="355"/>
      <c r="N62" s="414"/>
      <c r="O62" s="415"/>
      <c r="P62" s="416"/>
      <c r="Q62" s="417"/>
      <c r="R62" s="416">
        <f>IF(NOT(ISERROR(MATCH(Q62,_xlfn.ANCHORARRAY(G73),0))),Q75&amp;"Por favor no seleccionar los criterios de impacto",Q62)</f>
        <v>0</v>
      </c>
      <c r="S62" s="415"/>
      <c r="T62" s="416"/>
      <c r="U62" s="420"/>
      <c r="V62" s="199">
        <v>2</v>
      </c>
      <c r="W62" s="199"/>
      <c r="X62" s="199"/>
      <c r="Y62" s="199"/>
      <c r="Z62" s="224" t="str">
        <f t="shared" si="7"/>
        <v xml:space="preserve">  </v>
      </c>
      <c r="AA62" s="176" t="str">
        <f>IF(OR(AB62="Preventivo",AB62="Detectivo"),"Probabilidad",IF(AB62="Correctivo","Impacto",""))</f>
        <v/>
      </c>
      <c r="AB62" s="177"/>
      <c r="AC62" s="177"/>
      <c r="AD62" s="178" t="str">
        <f t="shared" ref="AD62:AD66" si="79">IF(AND(AB62="Preventivo",AC62="Automático"),"50%",IF(AND(AB62="Preventivo",AC62="Manual"),"40%",IF(AND(AB62="Detectivo",AC62="Automático"),"40%",IF(AND(AB62="Detectivo",AC62="Manual"),"30%",IF(AND(AB62="Correctivo",AC62="Automático"),"35%",IF(AND(AB62="Correctivo",AC62="Manual"),"25%",""))))))</f>
        <v/>
      </c>
      <c r="AE62" s="177"/>
      <c r="AF62" s="177"/>
      <c r="AG62" s="177"/>
      <c r="AH62" s="179" t="str">
        <f>IFERROR(IF(AND(AA61="Probabilidad",AA62="Probabilidad"),(AJ61-(+AJ61*AD62)),IF(AA62="Probabilidad",(P61-(+P61*AD62)),IF(AA62="Impacto",AJ61,""))),"")</f>
        <v/>
      </c>
      <c r="AI62" s="180" t="str">
        <f t="shared" si="3"/>
        <v/>
      </c>
      <c r="AJ62" s="178" t="str">
        <f t="shared" ref="AJ62:AJ66" si="80">+AH62</f>
        <v/>
      </c>
      <c r="AK62" s="180" t="str">
        <f t="shared" si="5"/>
        <v/>
      </c>
      <c r="AL62" s="178" t="str">
        <f t="shared" ref="AL62" si="81">IFERROR(IF(AND(AA61="Impacto",AA62="Impacto"),(AL61-(+AL61*AD62)),IF(AA62="Impacto",($T$13-(+$T$13*AD62)),IF(AA62="Probabilidad",AL61,""))),"")</f>
        <v/>
      </c>
      <c r="AM62" s="181" t="str">
        <f t="shared" ref="AM62:AM63" si="82">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82"/>
      <c r="AO62" s="175"/>
      <c r="AP62" s="183"/>
      <c r="AQ62" s="183"/>
      <c r="AR62" s="184"/>
      <c r="AS62" s="414"/>
      <c r="AT62" s="414"/>
      <c r="AU62" s="414"/>
    </row>
    <row r="63" spans="1:47" x14ac:dyDescent="0.2">
      <c r="A63" s="411"/>
      <c r="B63" s="353"/>
      <c r="C63" s="353"/>
      <c r="D63" s="353"/>
      <c r="E63" s="353"/>
      <c r="F63" s="413"/>
      <c r="G63" s="353"/>
      <c r="H63" s="355"/>
      <c r="I63" s="207"/>
      <c r="J63" s="207"/>
      <c r="K63" s="207"/>
      <c r="L63" s="355"/>
      <c r="M63" s="355"/>
      <c r="N63" s="414"/>
      <c r="O63" s="415"/>
      <c r="P63" s="416"/>
      <c r="Q63" s="417"/>
      <c r="R63" s="416">
        <f>IF(NOT(ISERROR(MATCH(Q63,_xlfn.ANCHORARRAY(G74),0))),Q76&amp;"Por favor no seleccionar los criterios de impacto",Q63)</f>
        <v>0</v>
      </c>
      <c r="S63" s="415"/>
      <c r="T63" s="416"/>
      <c r="U63" s="420"/>
      <c r="V63" s="199">
        <v>3</v>
      </c>
      <c r="W63" s="199"/>
      <c r="X63" s="199"/>
      <c r="Y63" s="199"/>
      <c r="Z63" s="224" t="str">
        <f t="shared" si="7"/>
        <v xml:space="preserve">  </v>
      </c>
      <c r="AA63" s="176" t="str">
        <f>IF(OR(AB63="Preventivo",AB63="Detectivo"),"Probabilidad",IF(AB63="Correctivo","Impacto",""))</f>
        <v/>
      </c>
      <c r="AB63" s="177"/>
      <c r="AC63" s="177"/>
      <c r="AD63" s="178" t="str">
        <f t="shared" si="79"/>
        <v/>
      </c>
      <c r="AE63" s="177"/>
      <c r="AF63" s="177"/>
      <c r="AG63" s="177"/>
      <c r="AH63" s="179" t="str">
        <f>IFERROR(IF(AND(AA62="Probabilidad",AA63="Probabilidad"),(AJ62-(+AJ62*AD63)),IF(AND(AA62="Impacto",AA63="Probabilidad"),(AJ61-(+AJ61*AD63)),IF(AA63="Impacto",AJ62,""))),"")</f>
        <v/>
      </c>
      <c r="AI63" s="180" t="str">
        <f t="shared" si="3"/>
        <v/>
      </c>
      <c r="AJ63" s="178" t="str">
        <f t="shared" si="80"/>
        <v/>
      </c>
      <c r="AK63" s="180" t="str">
        <f t="shared" si="5"/>
        <v/>
      </c>
      <c r="AL63" s="178" t="str">
        <f t="shared" ref="AL63" si="83">IFERROR(IF(AND(AA62="Impacto",AA63="Impacto"),(AL62-(+AL62*AD63)),IF(AND(AA62="Probabilidad",AA63="Impacto"),(AL61-(+AL61*AD63)),IF(AA63="Probabilidad",AL62,""))),"")</f>
        <v/>
      </c>
      <c r="AM63" s="181" t="str">
        <f t="shared" si="82"/>
        <v/>
      </c>
      <c r="AN63" s="182"/>
      <c r="AO63" s="175"/>
      <c r="AP63" s="183"/>
      <c r="AQ63" s="183"/>
      <c r="AR63" s="184"/>
      <c r="AS63" s="414"/>
      <c r="AT63" s="414"/>
      <c r="AU63" s="414"/>
    </row>
    <row r="64" spans="1:47" x14ac:dyDescent="0.2">
      <c r="A64" s="411"/>
      <c r="B64" s="353"/>
      <c r="C64" s="353"/>
      <c r="D64" s="353"/>
      <c r="E64" s="353"/>
      <c r="F64" s="413"/>
      <c r="G64" s="353"/>
      <c r="H64" s="355"/>
      <c r="I64" s="207"/>
      <c r="J64" s="207"/>
      <c r="K64" s="207"/>
      <c r="L64" s="355"/>
      <c r="M64" s="355"/>
      <c r="N64" s="414"/>
      <c r="O64" s="415"/>
      <c r="P64" s="416"/>
      <c r="Q64" s="417"/>
      <c r="R64" s="416">
        <f>IF(NOT(ISERROR(MATCH(Q64,_xlfn.ANCHORARRAY(G75),0))),Q77&amp;"Por favor no seleccionar los criterios de impacto",Q64)</f>
        <v>0</v>
      </c>
      <c r="S64" s="415"/>
      <c r="T64" s="416"/>
      <c r="U64" s="420"/>
      <c r="V64" s="199">
        <v>4</v>
      </c>
      <c r="W64" s="199"/>
      <c r="X64" s="199"/>
      <c r="Y64" s="199"/>
      <c r="Z64" s="224" t="str">
        <f t="shared" si="7"/>
        <v xml:space="preserve">  </v>
      </c>
      <c r="AA64" s="176" t="str">
        <f t="shared" ref="AA64:AA66" si="84">IF(OR(AB64="Preventivo",AB64="Detectivo"),"Probabilidad",IF(AB64="Correctivo","Impacto",""))</f>
        <v/>
      </c>
      <c r="AB64" s="177"/>
      <c r="AC64" s="177"/>
      <c r="AD64" s="178" t="str">
        <f t="shared" si="79"/>
        <v/>
      </c>
      <c r="AE64" s="177"/>
      <c r="AF64" s="177"/>
      <c r="AG64" s="177"/>
      <c r="AH64" s="179" t="str">
        <f t="shared" ref="AH64:AH66" si="85">IFERROR(IF(AND(AA63="Probabilidad",AA64="Probabilidad"),(AJ63-(+AJ63*AD64)),IF(AND(AA63="Impacto",AA64="Probabilidad"),(AJ62-(+AJ62*AD64)),IF(AA64="Impacto",AJ63,""))),"")</f>
        <v/>
      </c>
      <c r="AI64" s="180" t="str">
        <f t="shared" si="3"/>
        <v/>
      </c>
      <c r="AJ64" s="178" t="str">
        <f t="shared" si="80"/>
        <v/>
      </c>
      <c r="AK64" s="180" t="str">
        <f t="shared" si="5"/>
        <v/>
      </c>
      <c r="AL64" s="178" t="str">
        <f t="shared" si="13"/>
        <v/>
      </c>
      <c r="AM64" s="181"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82"/>
      <c r="AO64" s="175"/>
      <c r="AP64" s="183"/>
      <c r="AQ64" s="183"/>
      <c r="AR64" s="184"/>
      <c r="AS64" s="414"/>
      <c r="AT64" s="414"/>
      <c r="AU64" s="414"/>
    </row>
    <row r="65" spans="1:47" x14ac:dyDescent="0.2">
      <c r="A65" s="411"/>
      <c r="B65" s="353"/>
      <c r="C65" s="353"/>
      <c r="D65" s="353"/>
      <c r="E65" s="353"/>
      <c r="F65" s="413"/>
      <c r="G65" s="353"/>
      <c r="H65" s="355"/>
      <c r="I65" s="207"/>
      <c r="J65" s="207"/>
      <c r="K65" s="207"/>
      <c r="L65" s="355"/>
      <c r="M65" s="355"/>
      <c r="N65" s="414"/>
      <c r="O65" s="415"/>
      <c r="P65" s="416"/>
      <c r="Q65" s="417"/>
      <c r="R65" s="416">
        <f>IF(NOT(ISERROR(MATCH(Q65,_xlfn.ANCHORARRAY(G76),0))),Q78&amp;"Por favor no seleccionar los criterios de impacto",Q65)</f>
        <v>0</v>
      </c>
      <c r="S65" s="415"/>
      <c r="T65" s="416"/>
      <c r="U65" s="420"/>
      <c r="V65" s="199">
        <v>5</v>
      </c>
      <c r="W65" s="199"/>
      <c r="X65" s="199"/>
      <c r="Y65" s="199"/>
      <c r="Z65" s="224" t="str">
        <f t="shared" si="7"/>
        <v xml:space="preserve">  </v>
      </c>
      <c r="AA65" s="176" t="str">
        <f t="shared" si="84"/>
        <v/>
      </c>
      <c r="AB65" s="177"/>
      <c r="AC65" s="177"/>
      <c r="AD65" s="178" t="str">
        <f t="shared" si="79"/>
        <v/>
      </c>
      <c r="AE65" s="177"/>
      <c r="AF65" s="177"/>
      <c r="AG65" s="177"/>
      <c r="AH65" s="179" t="str">
        <f t="shared" si="85"/>
        <v/>
      </c>
      <c r="AI65" s="180" t="str">
        <f t="shared" si="3"/>
        <v/>
      </c>
      <c r="AJ65" s="178" t="str">
        <f t="shared" si="80"/>
        <v/>
      </c>
      <c r="AK65" s="180" t="str">
        <f t="shared" si="5"/>
        <v/>
      </c>
      <c r="AL65" s="178" t="str">
        <f t="shared" si="13"/>
        <v/>
      </c>
      <c r="AM65" s="181" t="str">
        <f t="shared" ref="AM65:AM66" si="86">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82"/>
      <c r="AO65" s="175"/>
      <c r="AP65" s="183"/>
      <c r="AQ65" s="183"/>
      <c r="AR65" s="184"/>
      <c r="AS65" s="414"/>
      <c r="AT65" s="414"/>
      <c r="AU65" s="414"/>
    </row>
    <row r="66" spans="1:47" x14ac:dyDescent="0.2">
      <c r="A66" s="411"/>
      <c r="B66" s="353"/>
      <c r="C66" s="353"/>
      <c r="D66" s="353"/>
      <c r="E66" s="353"/>
      <c r="F66" s="413"/>
      <c r="G66" s="353"/>
      <c r="H66" s="356"/>
      <c r="I66" s="208"/>
      <c r="J66" s="208"/>
      <c r="K66" s="208"/>
      <c r="L66" s="356"/>
      <c r="M66" s="356"/>
      <c r="N66" s="414"/>
      <c r="O66" s="415"/>
      <c r="P66" s="416"/>
      <c r="Q66" s="417"/>
      <c r="R66" s="416">
        <f>IF(NOT(ISERROR(MATCH(Q66,_xlfn.ANCHORARRAY(G77),0))),Q79&amp;"Por favor no seleccionar los criterios de impacto",Q66)</f>
        <v>0</v>
      </c>
      <c r="S66" s="415"/>
      <c r="T66" s="416"/>
      <c r="U66" s="420"/>
      <c r="V66" s="199">
        <v>6</v>
      </c>
      <c r="W66" s="199"/>
      <c r="X66" s="199"/>
      <c r="Y66" s="199"/>
      <c r="Z66" s="224" t="str">
        <f t="shared" si="7"/>
        <v xml:space="preserve">  </v>
      </c>
      <c r="AA66" s="176" t="str">
        <f t="shared" si="84"/>
        <v/>
      </c>
      <c r="AB66" s="177"/>
      <c r="AC66" s="177"/>
      <c r="AD66" s="178" t="str">
        <f t="shared" si="79"/>
        <v/>
      </c>
      <c r="AE66" s="177"/>
      <c r="AF66" s="177"/>
      <c r="AG66" s="177"/>
      <c r="AH66" s="179" t="str">
        <f t="shared" si="85"/>
        <v/>
      </c>
      <c r="AI66" s="180" t="str">
        <f t="shared" si="3"/>
        <v/>
      </c>
      <c r="AJ66" s="178" t="str">
        <f t="shared" si="80"/>
        <v/>
      </c>
      <c r="AK66" s="180" t="str">
        <f t="shared" si="5"/>
        <v/>
      </c>
      <c r="AL66" s="178" t="str">
        <f t="shared" si="13"/>
        <v/>
      </c>
      <c r="AM66" s="181" t="str">
        <f t="shared" si="86"/>
        <v/>
      </c>
      <c r="AN66" s="182"/>
      <c r="AO66" s="175"/>
      <c r="AP66" s="183"/>
      <c r="AQ66" s="183"/>
      <c r="AR66" s="184"/>
      <c r="AS66" s="414"/>
      <c r="AT66" s="414"/>
      <c r="AU66" s="414"/>
    </row>
    <row r="67" spans="1:47" x14ac:dyDescent="0.2">
      <c r="A67" s="411">
        <v>10</v>
      </c>
      <c r="B67" s="353"/>
      <c r="C67" s="353"/>
      <c r="D67" s="353"/>
      <c r="E67" s="353"/>
      <c r="F67" s="413" t="str">
        <f t="shared" ref="F67" si="87">+CONCATENATE(B67," ",C67," ",D67)</f>
        <v xml:space="preserve">  </v>
      </c>
      <c r="G67" s="353"/>
      <c r="H67" s="354"/>
      <c r="I67" s="206"/>
      <c r="J67" s="206"/>
      <c r="K67" s="206"/>
      <c r="L67" s="354"/>
      <c r="M67" s="354"/>
      <c r="N67" s="414"/>
      <c r="O67" s="415" t="str">
        <f>IF(N67&lt;=0,"",IF(N67&lt;=2,"Muy Baja",IF(N67&lt;=24,"Baja",IF(N67&lt;=500,"Media",IF(N67&lt;=5000,"Alta","Muy Alta")))))</f>
        <v/>
      </c>
      <c r="P67" s="416" t="str">
        <f>IF(O67="","",IF(O67="Muy Baja",0.2,IF(O67="Baja",0.4,IF(O67="Media",0.6,IF(O67="Alta",0.8,IF(O67="Muy Alta",1,))))))</f>
        <v/>
      </c>
      <c r="Q67" s="417"/>
      <c r="R67" s="416">
        <f>IF(NOT(ISERROR(MATCH(Q67,'Tabla Impacto'!$B$245:$B$247,0))),'Tabla Impacto'!$F$224&amp;"Por favor no seleccionar los criterios de impacto(Afectación Económica o presupuestal y Pérdida Reputacional)",Q67)</f>
        <v>0</v>
      </c>
      <c r="S67" s="415" t="str">
        <f>IF(OR(R67='Tabla Impacto'!$C$12,R67='Tabla Impacto'!$D$12),"Leve",IF(OR(R67='Tabla Impacto'!$C$13,R67='Tabla Impacto'!$D$13),"Menor",IF(OR(R67='Tabla Impacto'!$C$14,R67='Tabla Impacto'!$D$14),"Moderado",IF(OR(R67='Tabla Impacto'!$C$15,R67='Tabla Impacto'!$D$15),"Mayor",IF(OR(R67='Tabla Impacto'!$C$16,R67='Tabla Impacto'!$D$16),"Catastrófico","")))))</f>
        <v/>
      </c>
      <c r="T67" s="416" t="str">
        <f>IF(S67="","",IF(S67="Leve",0.2,IF(S67="Menor",0.4,IF(S67="Moderado",0.6,IF(S67="Mayor",0.8,IF(S67="Catastrófico",1,))))))</f>
        <v/>
      </c>
      <c r="U67" s="420"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9">
        <v>1</v>
      </c>
      <c r="W67" s="199"/>
      <c r="X67" s="199"/>
      <c r="Y67" s="199"/>
      <c r="Z67" s="224" t="str">
        <f t="shared" si="7"/>
        <v xml:space="preserve">  </v>
      </c>
      <c r="AA67" s="176" t="str">
        <f>IF(OR(AB67="Preventivo",AB67="Detectivo"),"Probabilidad",IF(AB67="Correctivo","Impacto",""))</f>
        <v/>
      </c>
      <c r="AB67" s="177"/>
      <c r="AC67" s="177"/>
      <c r="AD67" s="178" t="str">
        <f>IF(AND(AB67="Preventivo",AC67="Automático"),"50%",IF(AND(AB67="Preventivo",AC67="Manual"),"40%",IF(AND(AB67="Detectivo",AC67="Automático"),"40%",IF(AND(AB67="Detectivo",AC67="Manual"),"30%",IF(AND(AB67="Correctivo",AC67="Automático"),"35%",IF(AND(AB67="Correctivo",AC67="Manual"),"25%",""))))))</f>
        <v/>
      </c>
      <c r="AE67" s="177"/>
      <c r="AF67" s="177"/>
      <c r="AG67" s="177"/>
      <c r="AH67" s="179" t="str">
        <f>IFERROR(IF(AA67="Probabilidad",(P67-(+P67*AD67)),IF(AA67="Impacto",P67,"")),"")</f>
        <v/>
      </c>
      <c r="AI67" s="180" t="str">
        <f>IFERROR(IF(AH67="","",IF(AH67&lt;=0.2,"Muy Baja",IF(AH67&lt;=0.4,"Baja",IF(AH67&lt;=0.6,"Media",IF(AH67&lt;=0.8,"Alta","Muy Alta"))))),"")</f>
        <v/>
      </c>
      <c r="AJ67" s="178" t="str">
        <f>+AH67</f>
        <v/>
      </c>
      <c r="AK67" s="180" t="str">
        <f>IFERROR(IF(AL67="","",IF(AL67&lt;=0.2,"Leve",IF(AL67&lt;=0.4,"Menor",IF(AL67&lt;=0.6,"Moderado",IF(AL67&lt;=0.8,"Mayor","Catastrófico"))))),"")</f>
        <v/>
      </c>
      <c r="AL67" s="178" t="str">
        <f t="shared" ref="AL67" si="88">IFERROR(IF(AA67="Impacto",(T67-(+T67*AD67)),IF(AA67="Probabilidad",T67,"")),"")</f>
        <v/>
      </c>
      <c r="AM67" s="181"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82"/>
      <c r="AO67" s="175"/>
      <c r="AP67" s="183"/>
      <c r="AQ67" s="183"/>
      <c r="AR67" s="184"/>
      <c r="AS67" s="414"/>
      <c r="AT67" s="414"/>
      <c r="AU67" s="414"/>
    </row>
    <row r="68" spans="1:47" x14ac:dyDescent="0.2">
      <c r="A68" s="411"/>
      <c r="B68" s="353"/>
      <c r="C68" s="353"/>
      <c r="D68" s="353"/>
      <c r="E68" s="353"/>
      <c r="F68" s="413"/>
      <c r="G68" s="353"/>
      <c r="H68" s="355"/>
      <c r="I68" s="207"/>
      <c r="J68" s="207"/>
      <c r="K68" s="207"/>
      <c r="L68" s="355"/>
      <c r="M68" s="355"/>
      <c r="N68" s="414"/>
      <c r="O68" s="415"/>
      <c r="P68" s="416"/>
      <c r="Q68" s="417"/>
      <c r="R68" s="416">
        <f>IF(NOT(ISERROR(MATCH(Q68,_xlfn.ANCHORARRAY(G79),0))),Q81&amp;"Por favor no seleccionar los criterios de impacto",Q68)</f>
        <v>0</v>
      </c>
      <c r="S68" s="415"/>
      <c r="T68" s="416"/>
      <c r="U68" s="420"/>
      <c r="V68" s="199">
        <v>2</v>
      </c>
      <c r="W68" s="199"/>
      <c r="X68" s="199"/>
      <c r="Y68" s="199"/>
      <c r="Z68" s="224" t="str">
        <f t="shared" si="7"/>
        <v xml:space="preserve">  </v>
      </c>
      <c r="AA68" s="176" t="str">
        <f>IF(OR(AB68="Preventivo",AB68="Detectivo"),"Probabilidad",IF(AB68="Correctivo","Impacto",""))</f>
        <v/>
      </c>
      <c r="AB68" s="177"/>
      <c r="AC68" s="177"/>
      <c r="AD68" s="178" t="str">
        <f t="shared" ref="AD68:AD72" si="89">IF(AND(AB68="Preventivo",AC68="Automático"),"50%",IF(AND(AB68="Preventivo",AC68="Manual"),"40%",IF(AND(AB68="Detectivo",AC68="Automático"),"40%",IF(AND(AB68="Detectivo",AC68="Manual"),"30%",IF(AND(AB68="Correctivo",AC68="Automático"),"35%",IF(AND(AB68="Correctivo",AC68="Manual"),"25%",""))))))</f>
        <v/>
      </c>
      <c r="AE68" s="177"/>
      <c r="AF68" s="177"/>
      <c r="AG68" s="177"/>
      <c r="AH68" s="179" t="str">
        <f>IFERROR(IF(AND(AA67="Probabilidad",AA68="Probabilidad"),(AJ67-(+AJ67*AD68)),IF(AA68="Probabilidad",(P67-(+P67*AD68)),IF(AA68="Impacto",AJ67,""))),"")</f>
        <v/>
      </c>
      <c r="AI68" s="180" t="str">
        <f t="shared" si="3"/>
        <v/>
      </c>
      <c r="AJ68" s="178" t="str">
        <f t="shared" ref="AJ68:AJ72" si="90">+AH68</f>
        <v/>
      </c>
      <c r="AK68" s="180" t="str">
        <f t="shared" si="5"/>
        <v/>
      </c>
      <c r="AL68" s="178" t="str">
        <f t="shared" ref="AL68" si="91">IFERROR(IF(AND(AA67="Impacto",AA68="Impacto"),(AL67-(+AL67*AD68)),IF(AA68="Impacto",($T$13-(+$T$13*AD68)),IF(AA68="Probabilidad",AL67,""))),"")</f>
        <v/>
      </c>
      <c r="AM68" s="181" t="str">
        <f t="shared" ref="AM68:AM69" si="92">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82"/>
      <c r="AO68" s="175"/>
      <c r="AP68" s="183"/>
      <c r="AQ68" s="183"/>
      <c r="AR68" s="184"/>
      <c r="AS68" s="414"/>
      <c r="AT68" s="414"/>
      <c r="AU68" s="414"/>
    </row>
    <row r="69" spans="1:47" x14ac:dyDescent="0.2">
      <c r="A69" s="411"/>
      <c r="B69" s="353"/>
      <c r="C69" s="353"/>
      <c r="D69" s="353"/>
      <c r="E69" s="353"/>
      <c r="F69" s="413"/>
      <c r="G69" s="353"/>
      <c r="H69" s="355"/>
      <c r="I69" s="207"/>
      <c r="J69" s="207"/>
      <c r="K69" s="207"/>
      <c r="L69" s="355"/>
      <c r="M69" s="355"/>
      <c r="N69" s="414"/>
      <c r="O69" s="415"/>
      <c r="P69" s="416"/>
      <c r="Q69" s="417"/>
      <c r="R69" s="416">
        <f>IF(NOT(ISERROR(MATCH(Q69,_xlfn.ANCHORARRAY(G80),0))),Q82&amp;"Por favor no seleccionar los criterios de impacto",Q69)</f>
        <v>0</v>
      </c>
      <c r="S69" s="415"/>
      <c r="T69" s="416"/>
      <c r="U69" s="420"/>
      <c r="V69" s="199">
        <v>3</v>
      </c>
      <c r="W69" s="199"/>
      <c r="X69" s="199"/>
      <c r="Y69" s="199"/>
      <c r="Z69" s="224" t="str">
        <f t="shared" si="7"/>
        <v xml:space="preserve">  </v>
      </c>
      <c r="AA69" s="176" t="str">
        <f>IF(OR(AB69="Preventivo",AB69="Detectivo"),"Probabilidad",IF(AB69="Correctivo","Impacto",""))</f>
        <v/>
      </c>
      <c r="AB69" s="177"/>
      <c r="AC69" s="177"/>
      <c r="AD69" s="178" t="str">
        <f t="shared" si="89"/>
        <v/>
      </c>
      <c r="AE69" s="177"/>
      <c r="AF69" s="177"/>
      <c r="AG69" s="177"/>
      <c r="AH69" s="179" t="str">
        <f>IFERROR(IF(AND(AA68="Probabilidad",AA69="Probabilidad"),(AJ68-(+AJ68*AD69)),IF(AND(AA68="Impacto",AA69="Probabilidad"),(AJ67-(+AJ67*AD69)),IF(AA69="Impacto",AJ68,""))),"")</f>
        <v/>
      </c>
      <c r="AI69" s="180" t="str">
        <f t="shared" si="3"/>
        <v/>
      </c>
      <c r="AJ69" s="178" t="str">
        <f t="shared" si="90"/>
        <v/>
      </c>
      <c r="AK69" s="180" t="str">
        <f t="shared" si="5"/>
        <v/>
      </c>
      <c r="AL69" s="178" t="str">
        <f t="shared" ref="AL69" si="93">IFERROR(IF(AND(AA68="Impacto",AA69="Impacto"),(AL68-(+AL68*AD69)),IF(AND(AA68="Probabilidad",AA69="Impacto"),(AL67-(+AL67*AD69)),IF(AA69="Probabilidad",AL68,""))),"")</f>
        <v/>
      </c>
      <c r="AM69" s="181" t="str">
        <f t="shared" si="92"/>
        <v/>
      </c>
      <c r="AN69" s="182"/>
      <c r="AO69" s="175"/>
      <c r="AP69" s="183"/>
      <c r="AQ69" s="183"/>
      <c r="AR69" s="184"/>
      <c r="AS69" s="414"/>
      <c r="AT69" s="414"/>
      <c r="AU69" s="414"/>
    </row>
    <row r="70" spans="1:47" x14ac:dyDescent="0.2">
      <c r="A70" s="411"/>
      <c r="B70" s="353"/>
      <c r="C70" s="353"/>
      <c r="D70" s="353"/>
      <c r="E70" s="353"/>
      <c r="F70" s="413"/>
      <c r="G70" s="353"/>
      <c r="H70" s="355"/>
      <c r="I70" s="207"/>
      <c r="J70" s="207"/>
      <c r="K70" s="207"/>
      <c r="L70" s="355"/>
      <c r="M70" s="355"/>
      <c r="N70" s="414"/>
      <c r="O70" s="415"/>
      <c r="P70" s="416"/>
      <c r="Q70" s="417"/>
      <c r="R70" s="416">
        <f>IF(NOT(ISERROR(MATCH(Q70,_xlfn.ANCHORARRAY(G81),0))),Q83&amp;"Por favor no seleccionar los criterios de impacto",Q70)</f>
        <v>0</v>
      </c>
      <c r="S70" s="415"/>
      <c r="T70" s="416"/>
      <c r="U70" s="420"/>
      <c r="V70" s="199">
        <v>4</v>
      </c>
      <c r="W70" s="199"/>
      <c r="X70" s="199"/>
      <c r="Y70" s="199"/>
      <c r="Z70" s="224" t="str">
        <f t="shared" si="7"/>
        <v xml:space="preserve">  </v>
      </c>
      <c r="AA70" s="176" t="str">
        <f t="shared" ref="AA70:AA72" si="94">IF(OR(AB70="Preventivo",AB70="Detectivo"),"Probabilidad",IF(AB70="Correctivo","Impacto",""))</f>
        <v/>
      </c>
      <c r="AB70" s="177"/>
      <c r="AC70" s="177"/>
      <c r="AD70" s="178" t="str">
        <f t="shared" si="89"/>
        <v/>
      </c>
      <c r="AE70" s="177"/>
      <c r="AF70" s="177"/>
      <c r="AG70" s="177"/>
      <c r="AH70" s="179" t="str">
        <f t="shared" ref="AH70:AH72" si="95">IFERROR(IF(AND(AA69="Probabilidad",AA70="Probabilidad"),(AJ69-(+AJ69*AD70)),IF(AND(AA69="Impacto",AA70="Probabilidad"),(AJ68-(+AJ68*AD70)),IF(AA70="Impacto",AJ69,""))),"")</f>
        <v/>
      </c>
      <c r="AI70" s="180" t="str">
        <f t="shared" si="3"/>
        <v/>
      </c>
      <c r="AJ70" s="178" t="str">
        <f t="shared" si="90"/>
        <v/>
      </c>
      <c r="AK70" s="180" t="str">
        <f t="shared" si="5"/>
        <v/>
      </c>
      <c r="AL70" s="178" t="str">
        <f t="shared" si="13"/>
        <v/>
      </c>
      <c r="AM70" s="181"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82"/>
      <c r="AO70" s="175"/>
      <c r="AP70" s="183"/>
      <c r="AQ70" s="183"/>
      <c r="AR70" s="184"/>
      <c r="AS70" s="414"/>
      <c r="AT70" s="414"/>
      <c r="AU70" s="414"/>
    </row>
    <row r="71" spans="1:47" x14ac:dyDescent="0.2">
      <c r="A71" s="411"/>
      <c r="B71" s="353"/>
      <c r="C71" s="353"/>
      <c r="D71" s="353"/>
      <c r="E71" s="353"/>
      <c r="F71" s="413"/>
      <c r="G71" s="353"/>
      <c r="H71" s="355"/>
      <c r="I71" s="207"/>
      <c r="J71" s="207"/>
      <c r="K71" s="207"/>
      <c r="L71" s="355"/>
      <c r="M71" s="355"/>
      <c r="N71" s="414"/>
      <c r="O71" s="415"/>
      <c r="P71" s="416"/>
      <c r="Q71" s="417"/>
      <c r="R71" s="416">
        <f>IF(NOT(ISERROR(MATCH(Q71,_xlfn.ANCHORARRAY(G82),0))),Q84&amp;"Por favor no seleccionar los criterios de impacto",Q71)</f>
        <v>0</v>
      </c>
      <c r="S71" s="415"/>
      <c r="T71" s="416"/>
      <c r="U71" s="420"/>
      <c r="V71" s="199">
        <v>5</v>
      </c>
      <c r="W71" s="199"/>
      <c r="X71" s="199"/>
      <c r="Y71" s="199"/>
      <c r="Z71" s="224" t="str">
        <f t="shared" si="7"/>
        <v xml:space="preserve">  </v>
      </c>
      <c r="AA71" s="176" t="str">
        <f t="shared" si="94"/>
        <v/>
      </c>
      <c r="AB71" s="177"/>
      <c r="AC71" s="177"/>
      <c r="AD71" s="178" t="str">
        <f t="shared" si="89"/>
        <v/>
      </c>
      <c r="AE71" s="177"/>
      <c r="AF71" s="177"/>
      <c r="AG71" s="177"/>
      <c r="AH71" s="179" t="str">
        <f t="shared" si="95"/>
        <v/>
      </c>
      <c r="AI71" s="180" t="str">
        <f t="shared" si="3"/>
        <v/>
      </c>
      <c r="AJ71" s="178" t="str">
        <f t="shared" si="90"/>
        <v/>
      </c>
      <c r="AK71" s="180" t="str">
        <f t="shared" si="5"/>
        <v/>
      </c>
      <c r="AL71" s="178" t="str">
        <f t="shared" si="13"/>
        <v/>
      </c>
      <c r="AM71" s="181" t="str">
        <f t="shared" ref="AM71:AM72" si="96">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82"/>
      <c r="AO71" s="175"/>
      <c r="AP71" s="183"/>
      <c r="AQ71" s="183"/>
      <c r="AR71" s="184"/>
      <c r="AS71" s="414"/>
      <c r="AT71" s="414"/>
      <c r="AU71" s="414"/>
    </row>
    <row r="72" spans="1:47" x14ac:dyDescent="0.2">
      <c r="A72" s="411"/>
      <c r="B72" s="353"/>
      <c r="C72" s="353"/>
      <c r="D72" s="353"/>
      <c r="E72" s="353"/>
      <c r="F72" s="413"/>
      <c r="G72" s="353"/>
      <c r="H72" s="356"/>
      <c r="I72" s="208"/>
      <c r="J72" s="208"/>
      <c r="K72" s="208"/>
      <c r="L72" s="356"/>
      <c r="M72" s="356"/>
      <c r="N72" s="414"/>
      <c r="O72" s="415"/>
      <c r="P72" s="416"/>
      <c r="Q72" s="417"/>
      <c r="R72" s="416">
        <f>IF(NOT(ISERROR(MATCH(Q72,_xlfn.ANCHORARRAY(G83),0))),Q85&amp;"Por favor no seleccionar los criterios de impacto",Q72)</f>
        <v>0</v>
      </c>
      <c r="S72" s="415"/>
      <c r="T72" s="416"/>
      <c r="U72" s="420"/>
      <c r="V72" s="199">
        <v>6</v>
      </c>
      <c r="W72" s="199"/>
      <c r="X72" s="199"/>
      <c r="Y72" s="199"/>
      <c r="Z72" s="224" t="str">
        <f t="shared" si="7"/>
        <v xml:space="preserve">  </v>
      </c>
      <c r="AA72" s="176" t="str">
        <f t="shared" si="94"/>
        <v/>
      </c>
      <c r="AB72" s="177"/>
      <c r="AC72" s="177"/>
      <c r="AD72" s="178" t="str">
        <f t="shared" si="89"/>
        <v/>
      </c>
      <c r="AE72" s="177"/>
      <c r="AF72" s="177"/>
      <c r="AG72" s="177"/>
      <c r="AH72" s="179" t="str">
        <f t="shared" si="95"/>
        <v/>
      </c>
      <c r="AI72" s="180" t="str">
        <f t="shared" si="3"/>
        <v/>
      </c>
      <c r="AJ72" s="178" t="str">
        <f t="shared" si="90"/>
        <v/>
      </c>
      <c r="AK72" s="180" t="str">
        <f t="shared" si="5"/>
        <v/>
      </c>
      <c r="AL72" s="178" t="str">
        <f t="shared" si="13"/>
        <v/>
      </c>
      <c r="AM72" s="181" t="str">
        <f t="shared" si="96"/>
        <v/>
      </c>
      <c r="AN72" s="182"/>
      <c r="AO72" s="175"/>
      <c r="AP72" s="183"/>
      <c r="AQ72" s="183"/>
      <c r="AR72" s="184"/>
      <c r="AS72" s="414"/>
      <c r="AT72" s="414"/>
      <c r="AU72" s="414"/>
    </row>
    <row r="73" spans="1:47" x14ac:dyDescent="0.2">
      <c r="A73" s="201"/>
      <c r="B73" s="418"/>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row>
    <row r="75" spans="1:47" ht="15.75" x14ac:dyDescent="0.2">
      <c r="A75" s="185"/>
      <c r="B75" s="192"/>
      <c r="C75" s="185"/>
      <c r="D75" s="185"/>
      <c r="E75" s="185"/>
      <c r="F75" s="185"/>
      <c r="N75" s="185"/>
    </row>
    <row r="76" spans="1:47" s="241" customFormat="1" x14ac:dyDescent="0.2">
      <c r="A76" s="240"/>
      <c r="B76" s="240"/>
      <c r="C76" s="203"/>
      <c r="D76" s="240"/>
      <c r="E76" s="240"/>
      <c r="F76" s="240"/>
      <c r="N76" s="242"/>
      <c r="AO76" s="243"/>
    </row>
  </sheetData>
  <dataConsolidate/>
  <mergeCells count="299">
    <mergeCell ref="G19:G24"/>
    <mergeCell ref="J25:J30"/>
    <mergeCell ref="K25:K30"/>
    <mergeCell ref="G31:G36"/>
    <mergeCell ref="H31:H36"/>
    <mergeCell ref="E13:E18"/>
    <mergeCell ref="F13:F18"/>
    <mergeCell ref="G13:G18"/>
    <mergeCell ref="H13:H18"/>
    <mergeCell ref="I13:I18"/>
    <mergeCell ref="J13:J18"/>
    <mergeCell ref="AS10:AU10"/>
    <mergeCell ref="AI10:AM10"/>
    <mergeCell ref="AN10:AR10"/>
    <mergeCell ref="M37:M42"/>
    <mergeCell ref="L43:L48"/>
    <mergeCell ref="M43:M48"/>
    <mergeCell ref="AR11:AR12"/>
    <mergeCell ref="V10:AH10"/>
    <mergeCell ref="AS13:AS18"/>
    <mergeCell ref="AT13:AT18"/>
    <mergeCell ref="AU13:AU18"/>
    <mergeCell ref="S13:S18"/>
    <mergeCell ref="U13:U18"/>
    <mergeCell ref="AQ11:AQ12"/>
    <mergeCell ref="V11:V12"/>
    <mergeCell ref="AM11:AM12"/>
    <mergeCell ref="AL11:AL12"/>
    <mergeCell ref="AH11:AH12"/>
    <mergeCell ref="Z11:Z12"/>
    <mergeCell ref="AK11:AK12"/>
    <mergeCell ref="AI11:AI12"/>
    <mergeCell ref="S31:S36"/>
    <mergeCell ref="AO11:AO12"/>
    <mergeCell ref="AU61:AU66"/>
    <mergeCell ref="T25:T30"/>
    <mergeCell ref="U25:U30"/>
    <mergeCell ref="T13:T14"/>
    <mergeCell ref="N11:N12"/>
    <mergeCell ref="O11:O12"/>
    <mergeCell ref="U11:U12"/>
    <mergeCell ref="Q11:Q12"/>
    <mergeCell ref="R11:R12"/>
    <mergeCell ref="AS11:AS12"/>
    <mergeCell ref="AT11:AT12"/>
    <mergeCell ref="AU11:AU12"/>
    <mergeCell ref="AN11:AN12"/>
    <mergeCell ref="AP11:AP12"/>
    <mergeCell ref="Q31:Q36"/>
    <mergeCell ref="U31:U36"/>
    <mergeCell ref="R19:R24"/>
    <mergeCell ref="S19:S24"/>
    <mergeCell ref="T19:T24"/>
    <mergeCell ref="U19:U24"/>
    <mergeCell ref="AJ11:AJ12"/>
    <mergeCell ref="AA11:AA12"/>
    <mergeCell ref="AB11:AG11"/>
    <mergeCell ref="Q19:Q24"/>
    <mergeCell ref="AT67:AT72"/>
    <mergeCell ref="AU67:AU72"/>
    <mergeCell ref="AS43:AS48"/>
    <mergeCell ref="AT43:AT48"/>
    <mergeCell ref="AS19:AS24"/>
    <mergeCell ref="AT19:AT24"/>
    <mergeCell ref="AU19:AU24"/>
    <mergeCell ref="AU43:AU48"/>
    <mergeCell ref="AS49:AS54"/>
    <mergeCell ref="AT49:AT54"/>
    <mergeCell ref="AU49:AU54"/>
    <mergeCell ref="AS55:AS60"/>
    <mergeCell ref="AT55:AT60"/>
    <mergeCell ref="AU55:AU60"/>
    <mergeCell ref="AS25:AS30"/>
    <mergeCell ref="AT25:AT30"/>
    <mergeCell ref="AU25:AU30"/>
    <mergeCell ref="AS31:AS36"/>
    <mergeCell ref="AT31:AT36"/>
    <mergeCell ref="AU31:AU36"/>
    <mergeCell ref="AT37:AT42"/>
    <mergeCell ref="AU37:AU42"/>
    <mergeCell ref="AS61:AS66"/>
    <mergeCell ref="AT61:AT66"/>
    <mergeCell ref="AS67:AS72"/>
    <mergeCell ref="L61:L66"/>
    <mergeCell ref="M61:M66"/>
    <mergeCell ref="R31:R36"/>
    <mergeCell ref="N31:N36"/>
    <mergeCell ref="O31:O36"/>
    <mergeCell ref="Q55:Q60"/>
    <mergeCell ref="N49:N54"/>
    <mergeCell ref="O49:O54"/>
    <mergeCell ref="P49:P54"/>
    <mergeCell ref="R55:R60"/>
    <mergeCell ref="S55:S60"/>
    <mergeCell ref="T55:T60"/>
    <mergeCell ref="U55:U60"/>
    <mergeCell ref="Q37:Q42"/>
    <mergeCell ref="N43:N48"/>
    <mergeCell ref="O43:O48"/>
    <mergeCell ref="P43:P48"/>
    <mergeCell ref="S43:S48"/>
    <mergeCell ref="L37:L42"/>
    <mergeCell ref="P31:P36"/>
    <mergeCell ref="L67:L72"/>
    <mergeCell ref="M67:M72"/>
    <mergeCell ref="AS37:AS42"/>
    <mergeCell ref="T31:T36"/>
    <mergeCell ref="R37:R42"/>
    <mergeCell ref="S37:S42"/>
    <mergeCell ref="T37:T42"/>
    <mergeCell ref="L55:L60"/>
    <mergeCell ref="M55:M60"/>
    <mergeCell ref="L31:L36"/>
    <mergeCell ref="M31:M36"/>
    <mergeCell ref="U37:U42"/>
    <mergeCell ref="T43:T48"/>
    <mergeCell ref="U43:U48"/>
    <mergeCell ref="R43:R48"/>
    <mergeCell ref="T49:T54"/>
    <mergeCell ref="U49:U54"/>
    <mergeCell ref="N55:N60"/>
    <mergeCell ref="O55:O60"/>
    <mergeCell ref="P55:P60"/>
    <mergeCell ref="Q25:Q30"/>
    <mergeCell ref="R25:R30"/>
    <mergeCell ref="S25:S30"/>
    <mergeCell ref="N10:U10"/>
    <mergeCell ref="O25:O30"/>
    <mergeCell ref="P25:P30"/>
    <mergeCell ref="G25:G30"/>
    <mergeCell ref="N19:N24"/>
    <mergeCell ref="O19:O24"/>
    <mergeCell ref="P19:P24"/>
    <mergeCell ref="H19:H24"/>
    <mergeCell ref="H25:H30"/>
    <mergeCell ref="N25:N30"/>
    <mergeCell ref="P13:P14"/>
    <mergeCell ref="R13:R14"/>
    <mergeCell ref="A10:G10"/>
    <mergeCell ref="T11:T12"/>
    <mergeCell ref="G11:G12"/>
    <mergeCell ref="A13:A18"/>
    <mergeCell ref="B13:B18"/>
    <mergeCell ref="C13:C18"/>
    <mergeCell ref="D13:D18"/>
    <mergeCell ref="L19:L24"/>
    <mergeCell ref="M19:M24"/>
    <mergeCell ref="A31:A36"/>
    <mergeCell ref="B31:B36"/>
    <mergeCell ref="C31:C36"/>
    <mergeCell ref="D31:D36"/>
    <mergeCell ref="F31:F36"/>
    <mergeCell ref="E19:E24"/>
    <mergeCell ref="E25:E30"/>
    <mergeCell ref="E31:E36"/>
    <mergeCell ref="E37:E42"/>
    <mergeCell ref="A25:A30"/>
    <mergeCell ref="B25:B30"/>
    <mergeCell ref="C25:C30"/>
    <mergeCell ref="D25:D30"/>
    <mergeCell ref="A19:A24"/>
    <mergeCell ref="A61:A66"/>
    <mergeCell ref="B61:B66"/>
    <mergeCell ref="C61:C66"/>
    <mergeCell ref="D61:D66"/>
    <mergeCell ref="G61:G66"/>
    <mergeCell ref="H61:H66"/>
    <mergeCell ref="H67:H72"/>
    <mergeCell ref="R49:R54"/>
    <mergeCell ref="S49:S54"/>
    <mergeCell ref="H49:H54"/>
    <mergeCell ref="I49:I54"/>
    <mergeCell ref="J49:J54"/>
    <mergeCell ref="K49:K54"/>
    <mergeCell ref="L49:L54"/>
    <mergeCell ref="M49:M54"/>
    <mergeCell ref="E61:E66"/>
    <mergeCell ref="E67:E72"/>
    <mergeCell ref="G67:G72"/>
    <mergeCell ref="E49:E54"/>
    <mergeCell ref="G49:G54"/>
    <mergeCell ref="A67:A72"/>
    <mergeCell ref="B67:B72"/>
    <mergeCell ref="C67:C72"/>
    <mergeCell ref="D67:D72"/>
    <mergeCell ref="F67:F72"/>
    <mergeCell ref="N67:N72"/>
    <mergeCell ref="O67:O72"/>
    <mergeCell ref="P67:P72"/>
    <mergeCell ref="Q67:Q72"/>
    <mergeCell ref="Q49:Q54"/>
    <mergeCell ref="G37:G42"/>
    <mergeCell ref="G43:G48"/>
    <mergeCell ref="H37:H42"/>
    <mergeCell ref="Q43:Q48"/>
    <mergeCell ref="N37:N42"/>
    <mergeCell ref="O37:O42"/>
    <mergeCell ref="B73:AS73"/>
    <mergeCell ref="T61:T66"/>
    <mergeCell ref="U61:U66"/>
    <mergeCell ref="R67:R72"/>
    <mergeCell ref="S67:S72"/>
    <mergeCell ref="T67:T72"/>
    <mergeCell ref="U67:U72"/>
    <mergeCell ref="Q61:Q66"/>
    <mergeCell ref="R61:R66"/>
    <mergeCell ref="S61:S66"/>
    <mergeCell ref="B43:B48"/>
    <mergeCell ref="C43:C48"/>
    <mergeCell ref="D43:D48"/>
    <mergeCell ref="F43:F48"/>
    <mergeCell ref="D37:D42"/>
    <mergeCell ref="F37:F42"/>
    <mergeCell ref="E43:E48"/>
    <mergeCell ref="F61:F66"/>
    <mergeCell ref="N61:N66"/>
    <mergeCell ref="O61:O66"/>
    <mergeCell ref="P61:P66"/>
    <mergeCell ref="P37:P42"/>
    <mergeCell ref="B55:B60"/>
    <mergeCell ref="C55:C60"/>
    <mergeCell ref="D55:D60"/>
    <mergeCell ref="F55:F60"/>
    <mergeCell ref="G55:G60"/>
    <mergeCell ref="H55:H60"/>
    <mergeCell ref="I55:I60"/>
    <mergeCell ref="J55:J60"/>
    <mergeCell ref="K55:K60"/>
    <mergeCell ref="J43:J48"/>
    <mergeCell ref="K43:K48"/>
    <mergeCell ref="A49:A54"/>
    <mergeCell ref="B49:B54"/>
    <mergeCell ref="C49:C54"/>
    <mergeCell ref="D49:D54"/>
    <mergeCell ref="F49:F54"/>
    <mergeCell ref="A55:A60"/>
    <mergeCell ref="E55:E60"/>
    <mergeCell ref="A37:A42"/>
    <mergeCell ref="B37:B42"/>
    <mergeCell ref="C37:C42"/>
    <mergeCell ref="A43:A48"/>
    <mergeCell ref="N13:N18"/>
    <mergeCell ref="O13:O18"/>
    <mergeCell ref="Q13:Q18"/>
    <mergeCell ref="B11:B12"/>
    <mergeCell ref="H11:H12"/>
    <mergeCell ref="I11:I12"/>
    <mergeCell ref="J11:J12"/>
    <mergeCell ref="K11:K12"/>
    <mergeCell ref="P11:P12"/>
    <mergeCell ref="K13:K18"/>
    <mergeCell ref="L10:M11"/>
    <mergeCell ref="F11:F12"/>
    <mergeCell ref="D11:D12"/>
    <mergeCell ref="C11:C12"/>
    <mergeCell ref="E11:E12"/>
    <mergeCell ref="H43:H48"/>
    <mergeCell ref="I37:I42"/>
    <mergeCell ref="J37:J42"/>
    <mergeCell ref="K37:K42"/>
    <mergeCell ref="I43:I48"/>
    <mergeCell ref="I31:I36"/>
    <mergeCell ref="J31:J36"/>
    <mergeCell ref="K31:K36"/>
    <mergeCell ref="L13:L18"/>
    <mergeCell ref="M13:M18"/>
    <mergeCell ref="F19:F24"/>
    <mergeCell ref="F25:F30"/>
    <mergeCell ref="L25:L30"/>
    <mergeCell ref="M25:M30"/>
    <mergeCell ref="H10:K10"/>
    <mergeCell ref="I19:I24"/>
    <mergeCell ref="J19:J24"/>
    <mergeCell ref="K19:K24"/>
    <mergeCell ref="I25:I30"/>
    <mergeCell ref="B19:B24"/>
    <mergeCell ref="C19:C24"/>
    <mergeCell ref="D19:D24"/>
    <mergeCell ref="AC6:AU6"/>
    <mergeCell ref="AC7:AU7"/>
    <mergeCell ref="AC8:AU8"/>
    <mergeCell ref="AA1:AU2"/>
    <mergeCell ref="AA3:AO3"/>
    <mergeCell ref="AA4:AU4"/>
    <mergeCell ref="AP3:AU3"/>
    <mergeCell ref="A6:B6"/>
    <mergeCell ref="A7:B7"/>
    <mergeCell ref="A8:B8"/>
    <mergeCell ref="Z6:AB6"/>
    <mergeCell ref="C6:T6"/>
    <mergeCell ref="C7:T7"/>
    <mergeCell ref="A1:C4"/>
    <mergeCell ref="C8:T8"/>
    <mergeCell ref="D1:T2"/>
    <mergeCell ref="D4:T4"/>
    <mergeCell ref="J3:T3"/>
    <mergeCell ref="D3:I3"/>
    <mergeCell ref="A11:A12"/>
    <mergeCell ref="S11:S12"/>
  </mergeCells>
  <conditionalFormatting sqref="O13 AI13:AI72 O19">
    <cfRule type="cellIs" dxfId="405" priority="328" operator="equal">
      <formula>"Muy Baja"</formula>
    </cfRule>
    <cfRule type="cellIs" dxfId="404" priority="327" operator="equal">
      <formula>"Baja"</formula>
    </cfRule>
    <cfRule type="cellIs" dxfId="403" priority="326" operator="equal">
      <formula>"Media"</formula>
    </cfRule>
    <cfRule type="cellIs" dxfId="402" priority="325" operator="equal">
      <formula>"Alta"</formula>
    </cfRule>
    <cfRule type="cellIs" dxfId="401" priority="324" operator="equal">
      <formula>"Muy Alta"</formula>
    </cfRule>
  </conditionalFormatting>
  <conditionalFormatting sqref="O25">
    <cfRule type="cellIs" dxfId="400" priority="226" operator="equal">
      <formula>"Muy Alta"</formula>
    </cfRule>
    <cfRule type="cellIs" dxfId="399" priority="230" operator="equal">
      <formula>"Muy Baja"</formula>
    </cfRule>
    <cfRule type="cellIs" dxfId="398" priority="229" operator="equal">
      <formula>"Baja"</formula>
    </cfRule>
    <cfRule type="cellIs" dxfId="397" priority="228" operator="equal">
      <formula>"Media"</formula>
    </cfRule>
    <cfRule type="cellIs" dxfId="396" priority="227" operator="equal">
      <formula>"Alta"</formula>
    </cfRule>
  </conditionalFormatting>
  <conditionalFormatting sqref="O31">
    <cfRule type="cellIs" dxfId="395" priority="202" operator="equal">
      <formula>"Muy Baja"</formula>
    </cfRule>
    <cfRule type="cellIs" dxfId="394" priority="201" operator="equal">
      <formula>"Baja"</formula>
    </cfRule>
    <cfRule type="cellIs" dxfId="393" priority="200" operator="equal">
      <formula>"Media"</formula>
    </cfRule>
    <cfRule type="cellIs" dxfId="392" priority="199" operator="equal">
      <formula>"Alta"</formula>
    </cfRule>
    <cfRule type="cellIs" dxfId="391" priority="198" operator="equal">
      <formula>"Muy Alta"</formula>
    </cfRule>
  </conditionalFormatting>
  <conditionalFormatting sqref="O37">
    <cfRule type="cellIs" dxfId="390" priority="174" operator="equal">
      <formula>"Muy Baja"</formula>
    </cfRule>
    <cfRule type="cellIs" dxfId="389" priority="173" operator="equal">
      <formula>"Baja"</formula>
    </cfRule>
    <cfRule type="cellIs" dxfId="388" priority="172" operator="equal">
      <formula>"Media"</formula>
    </cfRule>
    <cfRule type="cellIs" dxfId="387" priority="171" operator="equal">
      <formula>"Alta"</formula>
    </cfRule>
    <cfRule type="cellIs" dxfId="386" priority="170" operator="equal">
      <formula>"Muy Alta"</formula>
    </cfRule>
  </conditionalFormatting>
  <conditionalFormatting sqref="O43">
    <cfRule type="cellIs" dxfId="385" priority="142" operator="equal">
      <formula>"Muy Alta"</formula>
    </cfRule>
    <cfRule type="cellIs" dxfId="384" priority="143" operator="equal">
      <formula>"Alta"</formula>
    </cfRule>
    <cfRule type="cellIs" dxfId="383" priority="146" operator="equal">
      <formula>"Muy Baja"</formula>
    </cfRule>
    <cfRule type="cellIs" dxfId="382" priority="144" operator="equal">
      <formula>"Media"</formula>
    </cfRule>
    <cfRule type="cellIs" dxfId="381" priority="145" operator="equal">
      <formula>"Baja"</formula>
    </cfRule>
  </conditionalFormatting>
  <conditionalFormatting sqref="O49">
    <cfRule type="cellIs" dxfId="380" priority="116" operator="equal">
      <formula>"Media"</formula>
    </cfRule>
    <cfRule type="cellIs" dxfId="379" priority="114" operator="equal">
      <formula>"Muy Alta"</formula>
    </cfRule>
    <cfRule type="cellIs" dxfId="378" priority="115" operator="equal">
      <formula>"Alta"</formula>
    </cfRule>
    <cfRule type="cellIs" dxfId="377" priority="117" operator="equal">
      <formula>"Baja"</formula>
    </cfRule>
    <cfRule type="cellIs" dxfId="376" priority="118" operator="equal">
      <formula>"Muy Baja"</formula>
    </cfRule>
  </conditionalFormatting>
  <conditionalFormatting sqref="O55">
    <cfRule type="cellIs" dxfId="375" priority="1" operator="equal">
      <formula>"Muy Alta"</formula>
    </cfRule>
    <cfRule type="cellIs" dxfId="374" priority="2" operator="equal">
      <formula>"Alta"</formula>
    </cfRule>
    <cfRule type="cellIs" dxfId="373" priority="3" operator="equal">
      <formula>"Media"</formula>
    </cfRule>
    <cfRule type="cellIs" dxfId="372" priority="4" operator="equal">
      <formula>"Baja"</formula>
    </cfRule>
    <cfRule type="cellIs" dxfId="371" priority="5" operator="equal">
      <formula>"Muy Baja"</formula>
    </cfRule>
  </conditionalFormatting>
  <conditionalFormatting sqref="O61">
    <cfRule type="cellIs" dxfId="370" priority="60" operator="equal">
      <formula>"Media"</formula>
    </cfRule>
    <cfRule type="cellIs" dxfId="369" priority="62" operator="equal">
      <formula>"Muy Baja"</formula>
    </cfRule>
    <cfRule type="cellIs" dxfId="368" priority="61" operator="equal">
      <formula>"Baja"</formula>
    </cfRule>
    <cfRule type="cellIs" dxfId="367" priority="59" operator="equal">
      <formula>"Alta"</formula>
    </cfRule>
    <cfRule type="cellIs" dxfId="366" priority="58" operator="equal">
      <formula>"Muy Alta"</formula>
    </cfRule>
  </conditionalFormatting>
  <conditionalFormatting sqref="O67">
    <cfRule type="cellIs" dxfId="365" priority="31" operator="equal">
      <formula>"Alta"</formula>
    </cfRule>
    <cfRule type="cellIs" dxfId="364" priority="30" operator="equal">
      <formula>"Muy Alta"</formula>
    </cfRule>
    <cfRule type="cellIs" dxfId="363" priority="32" operator="equal">
      <formula>"Media"</formula>
    </cfRule>
    <cfRule type="cellIs" dxfId="362" priority="33" operator="equal">
      <formula>"Baja"</formula>
    </cfRule>
    <cfRule type="cellIs" dxfId="361" priority="34" operator="equal">
      <formula>"Muy Baja"</formula>
    </cfRule>
  </conditionalFormatting>
  <conditionalFormatting sqref="R13:R72">
    <cfRule type="containsText" dxfId="360" priority="6" operator="containsText" text="❌">
      <formula>NOT(ISERROR(SEARCH("❌",R13)))</formula>
    </cfRule>
  </conditionalFormatting>
  <conditionalFormatting sqref="S13 AK13:AK72 S19 S25 S31 S37 S43 S49 S55 S61 S67">
    <cfRule type="cellIs" dxfId="359" priority="321" operator="equal">
      <formula>"Moderado"</formula>
    </cfRule>
    <cfRule type="cellIs" dxfId="358" priority="319" operator="equal">
      <formula>"Catastrófico"</formula>
    </cfRule>
    <cfRule type="cellIs" dxfId="357" priority="320" operator="equal">
      <formula>"Mayor"</formula>
    </cfRule>
    <cfRule type="cellIs" dxfId="356" priority="322" operator="equal">
      <formula>"Menor"</formula>
    </cfRule>
    <cfRule type="cellIs" dxfId="355" priority="323" operator="equal">
      <formula>"Leve"</formula>
    </cfRule>
  </conditionalFormatting>
  <conditionalFormatting sqref="U13 AM13:AM72">
    <cfRule type="cellIs" dxfId="354" priority="317" operator="equal">
      <formula>"Moderado"</formula>
    </cfRule>
    <cfRule type="cellIs" dxfId="353" priority="318" operator="equal">
      <formula>"Bajo"</formula>
    </cfRule>
    <cfRule type="cellIs" dxfId="352" priority="316" operator="equal">
      <formula>"Alto"</formula>
    </cfRule>
    <cfRule type="cellIs" dxfId="351" priority="315" operator="equal">
      <formula>"Extremo"</formula>
    </cfRule>
  </conditionalFormatting>
  <conditionalFormatting sqref="U19">
    <cfRule type="cellIs" dxfId="350" priority="246" operator="equal">
      <formula>"Alto"</formula>
    </cfRule>
    <cfRule type="cellIs" dxfId="349" priority="247" operator="equal">
      <formula>"Moderado"</formula>
    </cfRule>
    <cfRule type="cellIs" dxfId="348" priority="245" operator="equal">
      <formula>"Extremo"</formula>
    </cfRule>
    <cfRule type="cellIs" dxfId="347" priority="248" operator="equal">
      <formula>"Bajo"</formula>
    </cfRule>
  </conditionalFormatting>
  <conditionalFormatting sqref="U25">
    <cfRule type="cellIs" dxfId="346" priority="219" operator="equal">
      <formula>"Moderado"</formula>
    </cfRule>
    <cfRule type="cellIs" dxfId="345" priority="220" operator="equal">
      <formula>"Bajo"</formula>
    </cfRule>
    <cfRule type="cellIs" dxfId="344" priority="218" operator="equal">
      <formula>"Alto"</formula>
    </cfRule>
    <cfRule type="cellIs" dxfId="343" priority="217" operator="equal">
      <formula>"Extremo"</formula>
    </cfRule>
  </conditionalFormatting>
  <conditionalFormatting sqref="U31">
    <cfRule type="cellIs" dxfId="342" priority="189" operator="equal">
      <formula>"Extremo"</formula>
    </cfRule>
    <cfRule type="cellIs" dxfId="341" priority="190" operator="equal">
      <formula>"Alto"</formula>
    </cfRule>
    <cfRule type="cellIs" dxfId="340" priority="192" operator="equal">
      <formula>"Bajo"</formula>
    </cfRule>
    <cfRule type="cellIs" dxfId="339" priority="191" operator="equal">
      <formula>"Moderado"</formula>
    </cfRule>
  </conditionalFormatting>
  <conditionalFormatting sqref="U37">
    <cfRule type="cellIs" dxfId="338" priority="164" operator="equal">
      <formula>"Bajo"</formula>
    </cfRule>
    <cfRule type="cellIs" dxfId="337" priority="163" operator="equal">
      <formula>"Moderado"</formula>
    </cfRule>
    <cfRule type="cellIs" dxfId="336" priority="162" operator="equal">
      <formula>"Alto"</formula>
    </cfRule>
    <cfRule type="cellIs" dxfId="335" priority="161" operator="equal">
      <formula>"Extremo"</formula>
    </cfRule>
  </conditionalFormatting>
  <conditionalFormatting sqref="U43">
    <cfRule type="cellIs" dxfId="334" priority="134" operator="equal">
      <formula>"Alto"</formula>
    </cfRule>
    <cfRule type="cellIs" dxfId="333" priority="133" operator="equal">
      <formula>"Extremo"</formula>
    </cfRule>
    <cfRule type="cellIs" dxfId="332" priority="136" operator="equal">
      <formula>"Bajo"</formula>
    </cfRule>
    <cfRule type="cellIs" dxfId="331" priority="135" operator="equal">
      <formula>"Moderado"</formula>
    </cfRule>
  </conditionalFormatting>
  <conditionalFormatting sqref="U49">
    <cfRule type="cellIs" dxfId="330" priority="107" operator="equal">
      <formula>"Moderado"</formula>
    </cfRule>
    <cfRule type="cellIs" dxfId="329" priority="108" operator="equal">
      <formula>"Bajo"</formula>
    </cfRule>
    <cfRule type="cellIs" dxfId="328" priority="106" operator="equal">
      <formula>"Alto"</formula>
    </cfRule>
    <cfRule type="cellIs" dxfId="327" priority="105" operator="equal">
      <formula>"Extremo"</formula>
    </cfRule>
  </conditionalFormatting>
  <conditionalFormatting sqref="U55">
    <cfRule type="cellIs" dxfId="326" priority="80" operator="equal">
      <formula>"Bajo"</formula>
    </cfRule>
    <cfRule type="cellIs" dxfId="325" priority="79" operator="equal">
      <formula>"Moderado"</formula>
    </cfRule>
    <cfRule type="cellIs" dxfId="324" priority="78" operator="equal">
      <formula>"Alto"</formula>
    </cfRule>
    <cfRule type="cellIs" dxfId="323" priority="77" operator="equal">
      <formula>"Extremo"</formula>
    </cfRule>
  </conditionalFormatting>
  <conditionalFormatting sqref="U61">
    <cfRule type="cellIs" dxfId="322" priority="50" operator="equal">
      <formula>"Alto"</formula>
    </cfRule>
    <cfRule type="cellIs" dxfId="321" priority="49" operator="equal">
      <formula>"Extremo"</formula>
    </cfRule>
    <cfRule type="cellIs" dxfId="320" priority="52" operator="equal">
      <formula>"Bajo"</formula>
    </cfRule>
    <cfRule type="cellIs" dxfId="319" priority="51" operator="equal">
      <formula>"Moderado"</formula>
    </cfRule>
  </conditionalFormatting>
  <conditionalFormatting sqref="U67">
    <cfRule type="cellIs" dxfId="318" priority="22" operator="equal">
      <formula>"Alto"</formula>
    </cfRule>
    <cfRule type="cellIs" dxfId="317" priority="24" operator="equal">
      <formula>"Bajo"</formula>
    </cfRule>
    <cfRule type="cellIs" dxfId="316" priority="23" operator="equal">
      <formula>"Moderado"</formula>
    </cfRule>
    <cfRule type="cellIs" dxfId="315" priority="21" operator="equal">
      <formula>"Extremo"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F13 Z13:Z14" unlockedFormula="1"/>
  </ignoredErrors>
  <drawing r:id="rId2"/>
  <extLst>
    <ext xmlns:x14="http://schemas.microsoft.com/office/spreadsheetml/2009/9/main" uri="{CCE6A557-97BC-4b89-ADB6-D9C93CAAB3DF}">
      <x14:dataValidations xmlns:xm="http://schemas.microsoft.com/office/excel/2006/main" count="16">
        <x14:dataValidation type="custom" allowBlank="1" showInputMessage="1" showErrorMessage="1" error="Recuerde que las acciones se generan bajo la medida de mitigar el riesgo" xr:uid="{00000000-0002-0000-0300-000000000000}">
          <x14:formula1>
            <xm:f>IF(OR(#REF!=Listas!$B$2,#REF!=Listas!$B$3,#REF!=Listas!$B$4),ISBLANK(#REF!),ISTEXT(#REF!))</xm:f>
          </x14:formula1>
          <xm:sqref>AS19:AU19 AS67:AU67 AS61:AU61 AS55:AU55 AS49:AU49 AS43:AU43 AS37:AU37 AS31:AU31 AS25:AU25</xm:sqref>
        </x14:dataValidation>
        <x14:dataValidation type="list" allowBlank="1" showInputMessage="1" showErrorMessage="1" xr:uid="{00000000-0002-0000-0300-000001000000}">
          <x14:formula1>
            <xm:f>'Intructivo control cambio'!$C$294:$C$308</xm:f>
          </x14:formula1>
          <xm:sqref>U6:Y6</xm:sqref>
        </x14:dataValidation>
        <x14:dataValidation type="list" allowBlank="1" showInputMessage="1" showErrorMessage="1" xr:uid="{00000000-0002-0000-0300-000002000000}">
          <x14:formula1>
            <xm:f>'Intructivo control cambio'!$C$294:$C$317</xm:f>
          </x14:formula1>
          <xm:sqref>C6:T6</xm:sqref>
        </x14:dataValidation>
        <x14:dataValidation type="list" allowBlank="1" showInputMessage="1" showErrorMessage="1" xr:uid="{00000000-0002-0000-0300-000003000000}">
          <x14:formula1>
            <xm:f>'Tabla Valoración controles'!$D$4:$D$6</xm:f>
          </x14:formula1>
          <xm:sqref>AB13:AB72</xm:sqref>
        </x14:dataValidation>
        <x14:dataValidation type="list" allowBlank="1" showInputMessage="1" showErrorMessage="1" xr:uid="{00000000-0002-0000-0300-000004000000}">
          <x14:formula1>
            <xm:f>'Tabla Valoración controles'!$D$7:$D$8</xm:f>
          </x14:formula1>
          <xm:sqref>AC13:AC72</xm:sqref>
        </x14:dataValidation>
        <x14:dataValidation type="list" allowBlank="1" showInputMessage="1" showErrorMessage="1" xr:uid="{00000000-0002-0000-0300-000005000000}">
          <x14:formula1>
            <xm:f>'Tabla Valoración controles'!$D$9:$D$10</xm:f>
          </x14:formula1>
          <xm:sqref>AE13:AE72</xm:sqref>
        </x14:dataValidation>
        <x14:dataValidation type="list" allowBlank="1" showInputMessage="1" showErrorMessage="1" xr:uid="{00000000-0002-0000-0300-000006000000}">
          <x14:formula1>
            <xm:f>'Tabla Valoración controles'!$D$11:$D$12</xm:f>
          </x14:formula1>
          <xm:sqref>AF13:AF72</xm:sqref>
        </x14:dataValidation>
        <x14:dataValidation type="list" allowBlank="1" showInputMessage="1" showErrorMessage="1" xr:uid="{00000000-0002-0000-0300-000007000000}">
          <x14:formula1>
            <xm:f>'Tabla Valoración controles'!$D$13:$D$14</xm:f>
          </x14:formula1>
          <xm:sqref>AG13:AG72</xm:sqref>
        </x14:dataValidation>
        <x14:dataValidation type="list" allowBlank="1" showInputMessage="1" showErrorMessage="1" xr:uid="{00000000-0002-0000-0300-000008000000}">
          <x14:formula1>
            <xm:f>Listas!$E$2:$E$7</xm:f>
          </x14:formula1>
          <xm:sqref>B13 B19:B72</xm:sqref>
        </x14:dataValidation>
        <x14:dataValidation type="list" allowBlank="1" showInputMessage="1" showErrorMessage="1" xr:uid="{00000000-0002-0000-0300-000009000000}">
          <x14:formula1>
            <xm:f>Listas!$B$2:$B$5</xm:f>
          </x14:formula1>
          <xm:sqref>AN13:AN72</xm:sqref>
        </x14:dataValidation>
        <x14:dataValidation type="list" allowBlank="1" showInputMessage="1" showErrorMessage="1" xr:uid="{00000000-0002-0000-0300-00000A000000}">
          <x14:formula1>
            <xm:f>'Tabla Impacto'!$F$211:$F$222</xm:f>
          </x14:formula1>
          <xm:sqref>Q13 Q19:Q72</xm:sqref>
        </x14:dataValidation>
        <x14:dataValidation type="list" allowBlank="1" showInputMessage="1" showErrorMessage="1" xr:uid="{00000000-0002-0000-0300-00000B000000}">
          <x14:formula1>
            <xm:f>Listas!$B$13:$B$18</xm:f>
          </x14:formula1>
          <xm:sqref>G13:G72</xm:sqref>
        </x14:dataValidation>
        <x14:dataValidation type="list" allowBlank="1" showInputMessage="1" showErrorMessage="1" xr:uid="{00000000-0002-0000-0300-00000C000000}">
          <x14:formula1>
            <xm:f>Listas!$F$9:$F$10</xm:f>
          </x14:formula1>
          <xm:sqref>H13:H72</xm:sqref>
        </x14:dataValidation>
        <x14:dataValidation type="list" allowBlank="1" showInputMessage="1" showErrorMessage="1" xr:uid="{00000000-0002-0000-0300-00000D000000}">
          <x14:formula1>
            <xm:f>Listas!$H$9:$H$13</xm:f>
          </x14:formula1>
          <xm:sqref>L13:L72</xm:sqref>
        </x14:dataValidation>
        <x14:dataValidation type="list" allowBlank="1" showInputMessage="1" showErrorMessage="1" xr:uid="{00000000-0002-0000-0300-00000E000000}">
          <x14:formula1>
            <xm:f>Listas!$H$2:$H$6</xm:f>
          </x14:formula1>
          <xm:sqref>X13:X72</xm:sqref>
        </x14:dataValidation>
        <x14:dataValidation type="list" allowBlank="1" showInputMessage="1" showErrorMessage="1" xr:uid="{00000000-0002-0000-0300-00000F000000}">
          <x14:formula1>
            <xm:f>Listas!$H$15:$H$19</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J2" sqref="J2:AM4"/>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26" t="s">
        <v>280</v>
      </c>
      <c r="C2" s="526"/>
      <c r="D2" s="526"/>
      <c r="E2" s="526"/>
      <c r="F2" s="526"/>
      <c r="G2" s="526"/>
      <c r="H2" s="526"/>
      <c r="I2" s="526"/>
      <c r="J2" s="494" t="s">
        <v>15</v>
      </c>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26"/>
      <c r="C3" s="526"/>
      <c r="D3" s="526"/>
      <c r="E3" s="526"/>
      <c r="F3" s="526"/>
      <c r="G3" s="526"/>
      <c r="H3" s="526"/>
      <c r="I3" s="526"/>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26"/>
      <c r="C4" s="526"/>
      <c r="D4" s="526"/>
      <c r="E4" s="526"/>
      <c r="F4" s="526"/>
      <c r="G4" s="526"/>
      <c r="H4" s="526"/>
      <c r="I4" s="526"/>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41" t="s">
        <v>281</v>
      </c>
      <c r="C6" s="441"/>
      <c r="D6" s="442"/>
      <c r="E6" s="479" t="s">
        <v>282</v>
      </c>
      <c r="F6" s="480"/>
      <c r="G6" s="480"/>
      <c r="H6" s="480"/>
      <c r="I6" s="481"/>
      <c r="J6" s="490" t="str">
        <f>IF(AND('Riesgos de Gestión'!$O$13="Muy Alta",'Riesgos de Gestión'!$S$13="Leve"),CONCATENATE("R",'Riesgos de Gestión'!$A$13),"")</f>
        <v/>
      </c>
      <c r="K6" s="491"/>
      <c r="L6" s="491" t="str">
        <f>IF(AND('Riesgos de Gestión'!$O$19="Muy Alta",'Riesgos de Gestión'!$S$19="Leve"),CONCATENATE("R",'Riesgos de Gestión'!$A$19),"")</f>
        <v/>
      </c>
      <c r="M6" s="491"/>
      <c r="N6" s="491" t="str">
        <f>IF(AND('Riesgos de Gestión'!$O$25="Muy Alta",'Riesgos de Gestión'!$S$25="Leve"),CONCATENATE("R",'Riesgos de Gestión'!$A$25),"")</f>
        <v/>
      </c>
      <c r="O6" s="493"/>
      <c r="P6" s="490" t="str">
        <f>IF(AND('Riesgos de Gestión'!$O$13="Muy Alta",'Riesgos de Gestión'!$S$13="Menor"),CONCATENATE("R",'Riesgos de Gestión'!$A$13),"")</f>
        <v/>
      </c>
      <c r="Q6" s="491"/>
      <c r="R6" s="491" t="str">
        <f>IF(AND('Riesgos de Gestión'!$O$19="Muy Alta",'Riesgos de Gestión'!$S$19="Menor"),CONCATENATE("R",'Riesgos de Gestión'!$A$19),"")</f>
        <v/>
      </c>
      <c r="S6" s="491"/>
      <c r="T6" s="491" t="str">
        <f>IF(AND('Riesgos de Gestión'!$O$25="Muy Alta",'Riesgos de Gestión'!$S$25="Menor"),CONCATENATE("R",'Riesgos de Gestión'!$A$25),"")</f>
        <v/>
      </c>
      <c r="U6" s="493"/>
      <c r="V6" s="490" t="str">
        <f>IF(AND('Riesgos de Gestión'!$O$13="Muy Alta",'Riesgos de Gestión'!$S$13="Moderado"),CONCATENATE("R",'Riesgos de Gestión'!$A$13),"")</f>
        <v/>
      </c>
      <c r="W6" s="491"/>
      <c r="X6" s="491" t="str">
        <f>IF(AND('Riesgos de Gestión'!$O$19="Muy Alta",'Riesgos de Gestión'!$S$19="Moderado"),CONCATENATE("R",'Riesgos de Gestión'!$A$19),"")</f>
        <v/>
      </c>
      <c r="Y6" s="491"/>
      <c r="Z6" s="491" t="str">
        <f>IF(AND('Riesgos de Gestión'!$O$25="Muy Alta",'Riesgos de Gestión'!$S$25="Moderado"),CONCATENATE("R",'Riesgos de Gestión'!$A$25),"")</f>
        <v/>
      </c>
      <c r="AA6" s="493"/>
      <c r="AB6" s="490" t="str">
        <f>IF(AND('Riesgos de Gestión'!$O$13="Muy Alta",'Riesgos de Gestión'!$S$13="Mayor"),CONCATENATE("R",'Riesgos de Gestión'!$A$13),"")</f>
        <v/>
      </c>
      <c r="AC6" s="491"/>
      <c r="AD6" s="491" t="str">
        <f>IF(AND('Riesgos de Gestión'!$O$19="Muy Alta",'Riesgos de Gestión'!$S$19="Mayor"),CONCATENATE("R",'Riesgos de Gestión'!$A$19),"")</f>
        <v/>
      </c>
      <c r="AE6" s="491"/>
      <c r="AF6" s="491" t="str">
        <f>IF(AND('Riesgos de Gestión'!$O$25="Muy Alta",'Riesgos de Gestión'!$S$25="Mayor"),CONCATENATE("R",'Riesgos de Gestión'!$A$25),"")</f>
        <v/>
      </c>
      <c r="AG6" s="493"/>
      <c r="AH6" s="505" t="str">
        <f>IF(AND('Riesgos de Gestión'!$O$13="Muy Alta",'Riesgos de Gestión'!$S$13="Catastrófico"),CONCATENATE("R",'Riesgos de Gestión'!$A$13),"")</f>
        <v/>
      </c>
      <c r="AI6" s="506"/>
      <c r="AJ6" s="506" t="str">
        <f>IF(AND('Riesgos de Gestión'!$O$19="Muy Alta",'Riesgos de Gestión'!$S$19="Catastrófico"),CONCATENATE("R",'Riesgos de Gestión'!$A$19),"")</f>
        <v/>
      </c>
      <c r="AK6" s="506"/>
      <c r="AL6" s="506" t="str">
        <f>IF(AND('Riesgos de Gestión'!$O$25="Muy Alta",'Riesgos de Gestión'!$S$25="Catastrófico"),CONCATENATE("R",'Riesgos de Gestión'!$A$25),"")</f>
        <v/>
      </c>
      <c r="AM6" s="507"/>
      <c r="AO6" s="443" t="s">
        <v>283</v>
      </c>
      <c r="AP6" s="444"/>
      <c r="AQ6" s="444"/>
      <c r="AR6" s="444"/>
      <c r="AS6" s="444"/>
      <c r="AT6" s="445"/>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41"/>
      <c r="C7" s="441"/>
      <c r="D7" s="442"/>
      <c r="E7" s="482"/>
      <c r="F7" s="483"/>
      <c r="G7" s="483"/>
      <c r="H7" s="483"/>
      <c r="I7" s="484"/>
      <c r="J7" s="492"/>
      <c r="K7" s="488"/>
      <c r="L7" s="488"/>
      <c r="M7" s="488"/>
      <c r="N7" s="488"/>
      <c r="O7" s="489"/>
      <c r="P7" s="492"/>
      <c r="Q7" s="488"/>
      <c r="R7" s="488"/>
      <c r="S7" s="488"/>
      <c r="T7" s="488"/>
      <c r="U7" s="489"/>
      <c r="V7" s="492"/>
      <c r="W7" s="488"/>
      <c r="X7" s="488"/>
      <c r="Y7" s="488"/>
      <c r="Z7" s="488"/>
      <c r="AA7" s="489"/>
      <c r="AB7" s="492"/>
      <c r="AC7" s="488"/>
      <c r="AD7" s="488"/>
      <c r="AE7" s="488"/>
      <c r="AF7" s="488"/>
      <c r="AG7" s="489"/>
      <c r="AH7" s="499"/>
      <c r="AI7" s="500"/>
      <c r="AJ7" s="500"/>
      <c r="AK7" s="500"/>
      <c r="AL7" s="500"/>
      <c r="AM7" s="501"/>
      <c r="AN7" s="66"/>
      <c r="AO7" s="446"/>
      <c r="AP7" s="447"/>
      <c r="AQ7" s="447"/>
      <c r="AR7" s="447"/>
      <c r="AS7" s="447"/>
      <c r="AT7" s="448"/>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41"/>
      <c r="C8" s="441"/>
      <c r="D8" s="442"/>
      <c r="E8" s="482"/>
      <c r="F8" s="483"/>
      <c r="G8" s="483"/>
      <c r="H8" s="483"/>
      <c r="I8" s="484"/>
      <c r="J8" s="492" t="str">
        <f>IF(AND('Riesgos de Gestión'!$O$31="Muy Alta",'Riesgos de Gestión'!$S$31="Leve"),CONCATENATE("R",'Riesgos de Gestión'!$A$31),"")</f>
        <v/>
      </c>
      <c r="K8" s="488"/>
      <c r="L8" s="488" t="str">
        <f>IF(AND('Riesgos de Gestión'!$O$37="Muy Alta",'Riesgos de Gestión'!$S$37="Leve"),CONCATENATE("R",'Riesgos de Gestión'!$A$37),"")</f>
        <v/>
      </c>
      <c r="M8" s="488"/>
      <c r="N8" s="488" t="str">
        <f>IF(AND('Riesgos de Gestión'!$O$43="Muy Alta",'Riesgos de Gestión'!$S$43="Leve"),CONCATENATE("R",'Riesgos de Gestión'!$A$43),"")</f>
        <v/>
      </c>
      <c r="O8" s="489"/>
      <c r="P8" s="492" t="str">
        <f>IF(AND('Riesgos de Gestión'!$O$31="Muy Alta",'Riesgos de Gestión'!$S$31="Menor"),CONCATENATE("R",'Riesgos de Gestión'!$A$31),"")</f>
        <v/>
      </c>
      <c r="Q8" s="488"/>
      <c r="R8" s="488" t="str">
        <f>IF(AND('Riesgos de Gestión'!$O$37="Muy Alta",'Riesgos de Gestión'!$S$37="Menor"),CONCATENATE("R",'Riesgos de Gestión'!$A$37),"")</f>
        <v/>
      </c>
      <c r="S8" s="488"/>
      <c r="T8" s="488" t="str">
        <f>IF(AND('Riesgos de Gestión'!$O$43="Muy Alta",'Riesgos de Gestión'!$S$43="Menor"),CONCATENATE("R",'Riesgos de Gestión'!$A$43),"")</f>
        <v/>
      </c>
      <c r="U8" s="489"/>
      <c r="V8" s="492" t="str">
        <f>IF(AND('Riesgos de Gestión'!$O$31="Muy Alta",'Riesgos de Gestión'!$S$31="Moderado"),CONCATENATE("R",'Riesgos de Gestión'!$A$31),"")</f>
        <v/>
      </c>
      <c r="W8" s="488"/>
      <c r="X8" s="488" t="str">
        <f>IF(AND('Riesgos de Gestión'!$O$37="Muy Alta",'Riesgos de Gestión'!$S$37="Moderado"),CONCATENATE("R",'Riesgos de Gestión'!$A$37),"")</f>
        <v/>
      </c>
      <c r="Y8" s="488"/>
      <c r="Z8" s="488" t="str">
        <f>IF(AND('Riesgos de Gestión'!$O$43="Muy Alta",'Riesgos de Gestión'!$S$43="Moderado"),CONCATENATE("R",'Riesgos de Gestión'!$A$43),"")</f>
        <v/>
      </c>
      <c r="AA8" s="489"/>
      <c r="AB8" s="492" t="str">
        <f>IF(AND('Riesgos de Gestión'!$O$31="Muy Alta",'Riesgos de Gestión'!$S$31="Mayor"),CONCATENATE("R",'Riesgos de Gestión'!$A$31),"")</f>
        <v/>
      </c>
      <c r="AC8" s="488"/>
      <c r="AD8" s="488" t="str">
        <f>IF(AND('Riesgos de Gestión'!$O$37="Muy Alta",'Riesgos de Gestión'!$S$37="Mayor"),CONCATENATE("R",'Riesgos de Gestión'!$A$37),"")</f>
        <v/>
      </c>
      <c r="AE8" s="488"/>
      <c r="AF8" s="488" t="str">
        <f>IF(AND('Riesgos de Gestión'!$O$43="Muy Alta",'Riesgos de Gestión'!$S$43="Mayor"),CONCATENATE("R",'Riesgos de Gestión'!$A$43),"")</f>
        <v/>
      </c>
      <c r="AG8" s="489"/>
      <c r="AH8" s="499" t="str">
        <f>IF(AND('Riesgos de Gestión'!$O$31="Muy Alta",'Riesgos de Gestión'!$S$31="Catastrófico"),CONCATENATE("R",'Riesgos de Gestión'!$A$31),"")</f>
        <v/>
      </c>
      <c r="AI8" s="500"/>
      <c r="AJ8" s="500" t="str">
        <f>IF(AND('Riesgos de Gestión'!$O$37="Muy Alta",'Riesgos de Gestión'!$S$37="Catastrófico"),CONCATENATE("R",'Riesgos de Gestión'!$A$37),"")</f>
        <v/>
      </c>
      <c r="AK8" s="500"/>
      <c r="AL8" s="500" t="str">
        <f>IF(AND('Riesgos de Gestión'!$O$43="Muy Alta",'Riesgos de Gestión'!$S$43="Catastrófico"),CONCATENATE("R",'Riesgos de Gestión'!$A$43),"")</f>
        <v/>
      </c>
      <c r="AM8" s="501"/>
      <c r="AN8" s="66"/>
      <c r="AO8" s="446"/>
      <c r="AP8" s="447"/>
      <c r="AQ8" s="447"/>
      <c r="AR8" s="447"/>
      <c r="AS8" s="447"/>
      <c r="AT8" s="448"/>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41"/>
      <c r="C9" s="441"/>
      <c r="D9" s="442"/>
      <c r="E9" s="482"/>
      <c r="F9" s="483"/>
      <c r="G9" s="483"/>
      <c r="H9" s="483"/>
      <c r="I9" s="484"/>
      <c r="J9" s="492"/>
      <c r="K9" s="488"/>
      <c r="L9" s="488"/>
      <c r="M9" s="488"/>
      <c r="N9" s="488"/>
      <c r="O9" s="489"/>
      <c r="P9" s="492"/>
      <c r="Q9" s="488"/>
      <c r="R9" s="488"/>
      <c r="S9" s="488"/>
      <c r="T9" s="488"/>
      <c r="U9" s="489"/>
      <c r="V9" s="492"/>
      <c r="W9" s="488"/>
      <c r="X9" s="488"/>
      <c r="Y9" s="488"/>
      <c r="Z9" s="488"/>
      <c r="AA9" s="489"/>
      <c r="AB9" s="492"/>
      <c r="AC9" s="488"/>
      <c r="AD9" s="488"/>
      <c r="AE9" s="488"/>
      <c r="AF9" s="488"/>
      <c r="AG9" s="489"/>
      <c r="AH9" s="499"/>
      <c r="AI9" s="500"/>
      <c r="AJ9" s="500"/>
      <c r="AK9" s="500"/>
      <c r="AL9" s="500"/>
      <c r="AM9" s="501"/>
      <c r="AN9" s="66"/>
      <c r="AO9" s="446"/>
      <c r="AP9" s="447"/>
      <c r="AQ9" s="447"/>
      <c r="AR9" s="447"/>
      <c r="AS9" s="447"/>
      <c r="AT9" s="448"/>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41"/>
      <c r="C10" s="441"/>
      <c r="D10" s="442"/>
      <c r="E10" s="482"/>
      <c r="F10" s="483"/>
      <c r="G10" s="483"/>
      <c r="H10" s="483"/>
      <c r="I10" s="484"/>
      <c r="J10" s="492" t="str">
        <f>IF(AND('Riesgos de Gestión'!$O$49="Muy Alta",'Riesgos de Gestión'!$S$49="Leve"),CONCATENATE("R",'Riesgos de Gestión'!$A$49),"")</f>
        <v/>
      </c>
      <c r="K10" s="488"/>
      <c r="L10" s="488" t="str">
        <f>IF(AND('Riesgos de Gestión'!$O$55="Muy Alta",'Riesgos de Gestión'!$S$55="Leve"),CONCATENATE("R",'Riesgos de Gestión'!$A$55),"")</f>
        <v/>
      </c>
      <c r="M10" s="488"/>
      <c r="N10" s="488" t="str">
        <f>IF(AND('Riesgos de Gestión'!$O$61="Muy Alta",'Riesgos de Gestión'!$S$61="Leve"),CONCATENATE("R",'Riesgos de Gestión'!$A$61),"")</f>
        <v/>
      </c>
      <c r="O10" s="489"/>
      <c r="P10" s="492" t="str">
        <f>IF(AND('Riesgos de Gestión'!$O$49="Muy Alta",'Riesgos de Gestión'!$S$49="Menor"),CONCATENATE("R",'Riesgos de Gestión'!$A$49),"")</f>
        <v/>
      </c>
      <c r="Q10" s="488"/>
      <c r="R10" s="488" t="str">
        <f>IF(AND('Riesgos de Gestión'!$O$55="Muy Alta",'Riesgos de Gestión'!$S$55="Menor"),CONCATENATE("R",'Riesgos de Gestión'!$A$55),"")</f>
        <v/>
      </c>
      <c r="S10" s="488"/>
      <c r="T10" s="488" t="str">
        <f>IF(AND('Riesgos de Gestión'!$O$61="Muy Alta",'Riesgos de Gestión'!$S$61="Menor"),CONCATENATE("R",'Riesgos de Gestión'!$A$61),"")</f>
        <v/>
      </c>
      <c r="U10" s="489"/>
      <c r="V10" s="492" t="str">
        <f>IF(AND('Riesgos de Gestión'!$O$49="Muy Alta",'Riesgos de Gestión'!$S$49="Moderado"),CONCATENATE("R",'Riesgos de Gestión'!$A$49),"")</f>
        <v/>
      </c>
      <c r="W10" s="488"/>
      <c r="X10" s="488" t="str">
        <f>IF(AND('Riesgos de Gestión'!$O$55="Muy Alta",'Riesgos de Gestión'!$S$55="Moderado"),CONCATENATE("R",'Riesgos de Gestión'!$A$55),"")</f>
        <v/>
      </c>
      <c r="Y10" s="488"/>
      <c r="Z10" s="488" t="str">
        <f>IF(AND('Riesgos de Gestión'!$O$61="Muy Alta",'Riesgos de Gestión'!$S$61="Moderado"),CONCATENATE("R",'Riesgos de Gestión'!$A$61),"")</f>
        <v/>
      </c>
      <c r="AA10" s="489"/>
      <c r="AB10" s="492" t="str">
        <f>IF(AND('Riesgos de Gestión'!$O$49="Muy Alta",'Riesgos de Gestión'!$S$49="Mayor"),CONCATENATE("R",'Riesgos de Gestión'!$A$49),"")</f>
        <v/>
      </c>
      <c r="AC10" s="488"/>
      <c r="AD10" s="488" t="str">
        <f>IF(AND('Riesgos de Gestión'!$O$55="Muy Alta",'Riesgos de Gestión'!$S$55="Mayor"),CONCATENATE("R",'Riesgos de Gestión'!$A$55),"")</f>
        <v/>
      </c>
      <c r="AE10" s="488"/>
      <c r="AF10" s="488" t="str">
        <f>IF(AND('Riesgos de Gestión'!$O$61="Muy Alta",'Riesgos de Gestión'!$S$61="Mayor"),CONCATENATE("R",'Riesgos de Gestión'!$A$61),"")</f>
        <v/>
      </c>
      <c r="AG10" s="489"/>
      <c r="AH10" s="499" t="str">
        <f>IF(AND('Riesgos de Gestión'!$O$49="Muy Alta",'Riesgos de Gestión'!$S$49="Catastrófico"),CONCATENATE("R",'Riesgos de Gestión'!$A$49),"")</f>
        <v/>
      </c>
      <c r="AI10" s="500"/>
      <c r="AJ10" s="500" t="str">
        <f>IF(AND('Riesgos de Gestión'!$O$55="Muy Alta",'Riesgos de Gestión'!$S$55="Catastrófico"),CONCATENATE("R",'Riesgos de Gestión'!$A$55),"")</f>
        <v/>
      </c>
      <c r="AK10" s="500"/>
      <c r="AL10" s="500" t="str">
        <f>IF(AND('Riesgos de Gestión'!$O$61="Muy Alta",'Riesgos de Gestión'!$S$61="Catastrófico"),CONCATENATE("R",'Riesgos de Gestión'!$A$61),"")</f>
        <v/>
      </c>
      <c r="AM10" s="501"/>
      <c r="AN10" s="66"/>
      <c r="AO10" s="446"/>
      <c r="AP10" s="447"/>
      <c r="AQ10" s="447"/>
      <c r="AR10" s="447"/>
      <c r="AS10" s="447"/>
      <c r="AT10" s="448"/>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41"/>
      <c r="C11" s="441"/>
      <c r="D11" s="442"/>
      <c r="E11" s="482"/>
      <c r="F11" s="483"/>
      <c r="G11" s="483"/>
      <c r="H11" s="483"/>
      <c r="I11" s="484"/>
      <c r="J11" s="492"/>
      <c r="K11" s="488"/>
      <c r="L11" s="488"/>
      <c r="M11" s="488"/>
      <c r="N11" s="488"/>
      <c r="O11" s="489"/>
      <c r="P11" s="492"/>
      <c r="Q11" s="488"/>
      <c r="R11" s="488"/>
      <c r="S11" s="488"/>
      <c r="T11" s="488"/>
      <c r="U11" s="489"/>
      <c r="V11" s="492"/>
      <c r="W11" s="488"/>
      <c r="X11" s="488"/>
      <c r="Y11" s="488"/>
      <c r="Z11" s="488"/>
      <c r="AA11" s="489"/>
      <c r="AB11" s="492"/>
      <c r="AC11" s="488"/>
      <c r="AD11" s="488"/>
      <c r="AE11" s="488"/>
      <c r="AF11" s="488"/>
      <c r="AG11" s="489"/>
      <c r="AH11" s="499"/>
      <c r="AI11" s="500"/>
      <c r="AJ11" s="500"/>
      <c r="AK11" s="500"/>
      <c r="AL11" s="500"/>
      <c r="AM11" s="501"/>
      <c r="AN11" s="66"/>
      <c r="AO11" s="446"/>
      <c r="AP11" s="447"/>
      <c r="AQ11" s="447"/>
      <c r="AR11" s="447"/>
      <c r="AS11" s="447"/>
      <c r="AT11" s="448"/>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41"/>
      <c r="C12" s="441"/>
      <c r="D12" s="442"/>
      <c r="E12" s="482"/>
      <c r="F12" s="483"/>
      <c r="G12" s="483"/>
      <c r="H12" s="483"/>
      <c r="I12" s="484"/>
      <c r="J12" s="492" t="str">
        <f>IF(AND('Riesgos de Gestión'!$O$67="Muy Alta",'Riesgos de Gestión'!$S$67="Leve"),CONCATENATE("R",'Riesgos de Gestión'!$A$67),"")</f>
        <v/>
      </c>
      <c r="K12" s="488"/>
      <c r="L12" s="488" t="str">
        <f>IF(AND('Riesgos de Gestión'!$P$73="Muy Alta",'Riesgos de Gestión'!$T$73="Leve"),CONCATENATE("R",'Riesgos de Gestión'!$A$73),"")</f>
        <v/>
      </c>
      <c r="M12" s="488"/>
      <c r="N12" s="488" t="str">
        <f>IF(AND('Riesgos de Gestión'!$P$79="Muy Alta",'Riesgos de Gestión'!$T$79="Leve"),CONCATENATE("R",'Riesgos de Gestión'!$A$79),"")</f>
        <v/>
      </c>
      <c r="O12" s="489"/>
      <c r="P12" s="492" t="str">
        <f>IF(AND('Riesgos de Gestión'!$O$67="Muy Alta",'Riesgos de Gestión'!$S$67="Menor"),CONCATENATE("R",'Riesgos de Gestión'!$A$67),"")</f>
        <v/>
      </c>
      <c r="Q12" s="488"/>
      <c r="R12" s="488" t="str">
        <f>IF(AND('Riesgos de Gestión'!$P$73="Muy Alta",'Riesgos de Gestión'!$T$73="Menor"),CONCATENATE("R",'Riesgos de Gestión'!$A$73),"")</f>
        <v/>
      </c>
      <c r="S12" s="488"/>
      <c r="T12" s="488" t="str">
        <f>IF(AND('Riesgos de Gestión'!$P$79="Muy Alta",'Riesgos de Gestión'!$T$79="Menor"),CONCATENATE("R",'Riesgos de Gestión'!$A$79),"")</f>
        <v/>
      </c>
      <c r="U12" s="489"/>
      <c r="V12" s="492" t="str">
        <f>IF(AND('Riesgos de Gestión'!$O$67="Muy Alta",'Riesgos de Gestión'!$S$67="Moderado"),CONCATENATE("R",'Riesgos de Gestión'!$A$67),"")</f>
        <v/>
      </c>
      <c r="W12" s="488"/>
      <c r="X12" s="488" t="str">
        <f>IF(AND('Riesgos de Gestión'!$P$73="Muy Alta",'Riesgos de Gestión'!$T$73="Moderado"),CONCATENATE("R",'Riesgos de Gestión'!$A$73),"")</f>
        <v/>
      </c>
      <c r="Y12" s="488"/>
      <c r="Z12" s="488" t="str">
        <f>IF(AND('Riesgos de Gestión'!$P$79="Muy Alta",'Riesgos de Gestión'!$T$79="Moderado"),CONCATENATE("R",'Riesgos de Gestión'!$A$79),"")</f>
        <v/>
      </c>
      <c r="AA12" s="489"/>
      <c r="AB12" s="492" t="str">
        <f>IF(AND('Riesgos de Gestión'!$O$67="Muy Alta",'Riesgos de Gestión'!$S$67="Mayor"),CONCATENATE("R",'Riesgos de Gestión'!$A$67),"")</f>
        <v/>
      </c>
      <c r="AC12" s="488"/>
      <c r="AD12" s="488" t="str">
        <f>IF(AND('Riesgos de Gestión'!$P$73="Muy Alta",'Riesgos de Gestión'!$T$73="Mayor"),CONCATENATE("R",'Riesgos de Gestión'!$A$73),"")</f>
        <v/>
      </c>
      <c r="AE12" s="488"/>
      <c r="AF12" s="488" t="str">
        <f>IF(AND('Riesgos de Gestión'!$P$79="Muy Alta",'Riesgos de Gestión'!$T$79="Mayor"),CONCATENATE("R",'Riesgos de Gestión'!$A$79),"")</f>
        <v/>
      </c>
      <c r="AG12" s="489"/>
      <c r="AH12" s="499" t="str">
        <f>IF(AND('Riesgos de Gestión'!$O$67="Muy Alta",'Riesgos de Gestión'!$S$67="Catastrófico"),CONCATENATE("R",'Riesgos de Gestión'!$A$67),"")</f>
        <v/>
      </c>
      <c r="AI12" s="500"/>
      <c r="AJ12" s="500" t="str">
        <f>IF(AND('Riesgos de Gestión'!$P$73="Muy Alta",'Riesgos de Gestión'!$T$73="Catastrófico"),CONCATENATE("R",'Riesgos de Gestión'!$A$73),"")</f>
        <v/>
      </c>
      <c r="AK12" s="500"/>
      <c r="AL12" s="500" t="str">
        <f>IF(AND('Riesgos de Gestión'!$P$79="Muy Alta",'Riesgos de Gestión'!$T$79="Catastrófico"),CONCATENATE("R",'Riesgos de Gestión'!$A$79),"")</f>
        <v/>
      </c>
      <c r="AM12" s="501"/>
      <c r="AN12" s="66"/>
      <c r="AO12" s="446"/>
      <c r="AP12" s="447"/>
      <c r="AQ12" s="447"/>
      <c r="AR12" s="447"/>
      <c r="AS12" s="447"/>
      <c r="AT12" s="448"/>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41"/>
      <c r="C13" s="441"/>
      <c r="D13" s="442"/>
      <c r="E13" s="485"/>
      <c r="F13" s="486"/>
      <c r="G13" s="486"/>
      <c r="H13" s="486"/>
      <c r="I13" s="487"/>
      <c r="J13" s="492"/>
      <c r="K13" s="488"/>
      <c r="L13" s="488"/>
      <c r="M13" s="488"/>
      <c r="N13" s="488"/>
      <c r="O13" s="489"/>
      <c r="P13" s="492"/>
      <c r="Q13" s="488"/>
      <c r="R13" s="488"/>
      <c r="S13" s="488"/>
      <c r="T13" s="488"/>
      <c r="U13" s="489"/>
      <c r="V13" s="492"/>
      <c r="W13" s="488"/>
      <c r="X13" s="488"/>
      <c r="Y13" s="488"/>
      <c r="Z13" s="488"/>
      <c r="AA13" s="489"/>
      <c r="AB13" s="492"/>
      <c r="AC13" s="488"/>
      <c r="AD13" s="488"/>
      <c r="AE13" s="488"/>
      <c r="AF13" s="488"/>
      <c r="AG13" s="489"/>
      <c r="AH13" s="502"/>
      <c r="AI13" s="503"/>
      <c r="AJ13" s="503"/>
      <c r="AK13" s="503"/>
      <c r="AL13" s="503"/>
      <c r="AM13" s="504"/>
      <c r="AN13" s="66"/>
      <c r="AO13" s="449"/>
      <c r="AP13" s="450"/>
      <c r="AQ13" s="450"/>
      <c r="AR13" s="450"/>
      <c r="AS13" s="450"/>
      <c r="AT13" s="451"/>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41"/>
      <c r="C14" s="441"/>
      <c r="D14" s="442"/>
      <c r="E14" s="479" t="s">
        <v>284</v>
      </c>
      <c r="F14" s="480"/>
      <c r="G14" s="480"/>
      <c r="H14" s="480"/>
      <c r="I14" s="480"/>
      <c r="J14" s="514" t="str">
        <f>IF(AND('Riesgos de Gestión'!$O$13="Alta",'Riesgos de Gestión'!$S$13="Leve"),CONCATENATE("R",'Riesgos de Gestión'!$A$13),"")</f>
        <v/>
      </c>
      <c r="K14" s="515"/>
      <c r="L14" s="515" t="str">
        <f>IF(AND('Riesgos de Gestión'!$O$19="Alta",'Riesgos de Gestión'!$S$19="Leve"),CONCATENATE("R",'Riesgos de Gestión'!$A$19),"")</f>
        <v/>
      </c>
      <c r="M14" s="515"/>
      <c r="N14" s="515" t="str">
        <f>IF(AND('Riesgos de Gestión'!$O$25="Alta",'Riesgos de Gestión'!$S$25="Leve"),CONCATENATE("R",'Riesgos de Gestión'!$A$25),"")</f>
        <v/>
      </c>
      <c r="O14" s="516"/>
      <c r="P14" s="514" t="str">
        <f>IF(AND('Riesgos de Gestión'!$O$13="Alta",'Riesgos de Gestión'!$S$13="Menor"),CONCATENATE("R",'Riesgos de Gestión'!$A$13),"")</f>
        <v/>
      </c>
      <c r="Q14" s="515"/>
      <c r="R14" s="515" t="str">
        <f>IF(AND('Riesgos de Gestión'!$O$19="Alta",'Riesgos de Gestión'!$S$19="Menor"),CONCATENATE("R",'Riesgos de Gestión'!$A$19),"")</f>
        <v/>
      </c>
      <c r="S14" s="515"/>
      <c r="T14" s="515" t="str">
        <f>IF(AND('Riesgos de Gestión'!$O$25="Alta",'Riesgos de Gestión'!$S$25="Menor"),CONCATENATE("R",'Riesgos de Gestión'!$A$25),"")</f>
        <v/>
      </c>
      <c r="U14" s="516"/>
      <c r="V14" s="490" t="str">
        <f>IF(AND('Riesgos de Gestión'!$O$13="Alta",'Riesgos de Gestión'!$S$13="Moderado"),CONCATENATE("R",'Riesgos de Gestión'!$A$13),"")</f>
        <v/>
      </c>
      <c r="W14" s="491"/>
      <c r="X14" s="491" t="str">
        <f>IF(AND('Riesgos de Gestión'!$O$19="Alta",'Riesgos de Gestión'!$S$19="Moderado"),CONCATENATE("R",'Riesgos de Gestión'!$A$19),"")</f>
        <v/>
      </c>
      <c r="Y14" s="491"/>
      <c r="Z14" s="491" t="str">
        <f>IF(AND('Riesgos de Gestión'!$O$25="Alta",'Riesgos de Gestión'!$S$25="Moderado"),CONCATENATE("R",'Riesgos de Gestión'!$A$25),"")</f>
        <v/>
      </c>
      <c r="AA14" s="493"/>
      <c r="AB14" s="490" t="str">
        <f>IF(AND('Riesgos de Gestión'!$O$13="Alta",'Riesgos de Gestión'!$S$13="Mayor"),CONCATENATE("R",'Riesgos de Gestión'!$A$13),"")</f>
        <v/>
      </c>
      <c r="AC14" s="491"/>
      <c r="AD14" s="491" t="str">
        <f>IF(AND('Riesgos de Gestión'!$O$19="Alta",'Riesgos de Gestión'!$S$19="Mayor"),CONCATENATE("R",'Riesgos de Gestión'!$A$19),"")</f>
        <v/>
      </c>
      <c r="AE14" s="491"/>
      <c r="AF14" s="491" t="str">
        <f>IF(AND('Riesgos de Gestión'!$O$25="Alta",'Riesgos de Gestión'!$S$25="Mayor"),CONCATENATE("R",'Riesgos de Gestión'!$A$25),"")</f>
        <v/>
      </c>
      <c r="AG14" s="493"/>
      <c r="AH14" s="505" t="str">
        <f>IF(AND('Riesgos de Gestión'!$O$13="Alta",'Riesgos de Gestión'!$S$13="Catastrófico"),CONCATENATE("R",'Riesgos de Gestión'!$A$13),"")</f>
        <v/>
      </c>
      <c r="AI14" s="506"/>
      <c r="AJ14" s="506" t="str">
        <f>IF(AND('Riesgos de Gestión'!$O$19="Alta",'Riesgos de Gestión'!$S$19="Catastrófico"),CONCATENATE("R",'Riesgos de Gestión'!$A$19),"")</f>
        <v/>
      </c>
      <c r="AK14" s="506"/>
      <c r="AL14" s="506" t="str">
        <f>IF(AND('Riesgos de Gestión'!$O$25="Alta",'Riesgos de Gestión'!$S$25="Catastrófico"),CONCATENATE("R",'Riesgos de Gestión'!$A$25),"")</f>
        <v/>
      </c>
      <c r="AM14" s="507"/>
      <c r="AN14" s="66"/>
      <c r="AO14" s="452" t="s">
        <v>285</v>
      </c>
      <c r="AP14" s="453"/>
      <c r="AQ14" s="453"/>
      <c r="AR14" s="453"/>
      <c r="AS14" s="453"/>
      <c r="AT14" s="454"/>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41"/>
      <c r="C15" s="441"/>
      <c r="D15" s="442"/>
      <c r="E15" s="482"/>
      <c r="F15" s="483"/>
      <c r="G15" s="483"/>
      <c r="H15" s="483"/>
      <c r="I15" s="483"/>
      <c r="J15" s="508"/>
      <c r="K15" s="509"/>
      <c r="L15" s="509"/>
      <c r="M15" s="509"/>
      <c r="N15" s="509"/>
      <c r="O15" s="510"/>
      <c r="P15" s="508"/>
      <c r="Q15" s="509"/>
      <c r="R15" s="509"/>
      <c r="S15" s="509"/>
      <c r="T15" s="509"/>
      <c r="U15" s="510"/>
      <c r="V15" s="492"/>
      <c r="W15" s="488"/>
      <c r="X15" s="488"/>
      <c r="Y15" s="488"/>
      <c r="Z15" s="488"/>
      <c r="AA15" s="489"/>
      <c r="AB15" s="492"/>
      <c r="AC15" s="488"/>
      <c r="AD15" s="488"/>
      <c r="AE15" s="488"/>
      <c r="AF15" s="488"/>
      <c r="AG15" s="489"/>
      <c r="AH15" s="499"/>
      <c r="AI15" s="500"/>
      <c r="AJ15" s="500"/>
      <c r="AK15" s="500"/>
      <c r="AL15" s="500"/>
      <c r="AM15" s="501"/>
      <c r="AN15" s="66"/>
      <c r="AO15" s="455"/>
      <c r="AP15" s="456"/>
      <c r="AQ15" s="456"/>
      <c r="AR15" s="456"/>
      <c r="AS15" s="456"/>
      <c r="AT15" s="457"/>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41"/>
      <c r="C16" s="441"/>
      <c r="D16" s="442"/>
      <c r="E16" s="482"/>
      <c r="F16" s="483"/>
      <c r="G16" s="483"/>
      <c r="H16" s="483"/>
      <c r="I16" s="483"/>
      <c r="J16" s="508" t="str">
        <f>IF(AND('Riesgos de Gestión'!$O$31="Alta",'Riesgos de Gestión'!$S$31="Leve"),CONCATENATE("R",'Riesgos de Gestión'!$A$31),"")</f>
        <v/>
      </c>
      <c r="K16" s="509"/>
      <c r="L16" s="509" t="str">
        <f>IF(AND('Riesgos de Gestión'!$O$37="Alta",'Riesgos de Gestión'!$S$37="Leve"),CONCATENATE("R",'Riesgos de Gestión'!$A$37),"")</f>
        <v/>
      </c>
      <c r="M16" s="509"/>
      <c r="N16" s="509" t="str">
        <f>IF(AND('Riesgos de Gestión'!$O$43="Alta",'Riesgos de Gestión'!$S$43="Leve"),CONCATENATE("R",'Riesgos de Gestión'!$A$43),"")</f>
        <v/>
      </c>
      <c r="O16" s="510"/>
      <c r="P16" s="508" t="str">
        <f>IF(AND('Riesgos de Gestión'!$O$31="Alta",'Riesgos de Gestión'!$S$31="Menor"),CONCATENATE("R",'Riesgos de Gestión'!$A$31),"")</f>
        <v/>
      </c>
      <c r="Q16" s="509"/>
      <c r="R16" s="509" t="str">
        <f>IF(AND('Riesgos de Gestión'!$O$37="Alta",'Riesgos de Gestión'!$S$37="Menor"),CONCATENATE("R",'Riesgos de Gestión'!$A$37),"")</f>
        <v/>
      </c>
      <c r="S16" s="509"/>
      <c r="T16" s="509" t="str">
        <f>IF(AND('Riesgos de Gestión'!$O$43="Alta",'Riesgos de Gestión'!$S$43="Menor"),CONCATENATE("R",'Riesgos de Gestión'!$A$43),"")</f>
        <v/>
      </c>
      <c r="U16" s="510"/>
      <c r="V16" s="492" t="str">
        <f>IF(AND('Riesgos de Gestión'!$O$31="Alta",'Riesgos de Gestión'!$S$31="Moderado"),CONCATENATE("R",'Riesgos de Gestión'!$A$31),"")</f>
        <v/>
      </c>
      <c r="W16" s="488"/>
      <c r="X16" s="488" t="str">
        <f>IF(AND('Riesgos de Gestión'!$O$37="Alta",'Riesgos de Gestión'!$S$37="Moderado"),CONCATENATE("R",'Riesgos de Gestión'!$A$37),"")</f>
        <v/>
      </c>
      <c r="Y16" s="488"/>
      <c r="Z16" s="488" t="str">
        <f>IF(AND('Riesgos de Gestión'!$O$43="Alta",'Riesgos de Gestión'!$S$43="Moderado"),CONCATENATE("R",'Riesgos de Gestión'!$A$43),"")</f>
        <v/>
      </c>
      <c r="AA16" s="489"/>
      <c r="AB16" s="492" t="str">
        <f>IF(AND('Riesgos de Gestión'!$O$31="Alta",'Riesgos de Gestión'!$S$31="Mayor"),CONCATENATE("R",'Riesgos de Gestión'!$A$31),"")</f>
        <v/>
      </c>
      <c r="AC16" s="488"/>
      <c r="AD16" s="488" t="str">
        <f>IF(AND('Riesgos de Gestión'!$O$37="Alta",'Riesgos de Gestión'!$S$37="Mayor"),CONCATENATE("R",'Riesgos de Gestión'!$A$37),"")</f>
        <v/>
      </c>
      <c r="AE16" s="488"/>
      <c r="AF16" s="488" t="str">
        <f>IF(AND('Riesgos de Gestión'!$O$43="Alta",'Riesgos de Gestión'!$S$43="Mayor"),CONCATENATE("R",'Riesgos de Gestión'!$A$43),"")</f>
        <v/>
      </c>
      <c r="AG16" s="489"/>
      <c r="AH16" s="499" t="str">
        <f>IF(AND('Riesgos de Gestión'!$O$31="Alta",'Riesgos de Gestión'!$S$31="Catastrófico"),CONCATENATE("R",'Riesgos de Gestión'!$A$31),"")</f>
        <v/>
      </c>
      <c r="AI16" s="500"/>
      <c r="AJ16" s="500" t="str">
        <f>IF(AND('Riesgos de Gestión'!$O$37="Alta",'Riesgos de Gestión'!$S$37="Catastrófico"),CONCATENATE("R",'Riesgos de Gestión'!$A$37),"")</f>
        <v/>
      </c>
      <c r="AK16" s="500"/>
      <c r="AL16" s="500" t="str">
        <f>IF(AND('Riesgos de Gestión'!$O$43="Alta",'Riesgos de Gestión'!$S$43="Catastrófico"),CONCATENATE("R",'Riesgos de Gestión'!$A$43),"")</f>
        <v/>
      </c>
      <c r="AM16" s="501"/>
      <c r="AN16" s="66"/>
      <c r="AO16" s="455"/>
      <c r="AP16" s="456"/>
      <c r="AQ16" s="456"/>
      <c r="AR16" s="456"/>
      <c r="AS16" s="456"/>
      <c r="AT16" s="45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41"/>
      <c r="C17" s="441"/>
      <c r="D17" s="442"/>
      <c r="E17" s="482"/>
      <c r="F17" s="483"/>
      <c r="G17" s="483"/>
      <c r="H17" s="483"/>
      <c r="I17" s="483"/>
      <c r="J17" s="508"/>
      <c r="K17" s="509"/>
      <c r="L17" s="509"/>
      <c r="M17" s="509"/>
      <c r="N17" s="509"/>
      <c r="O17" s="510"/>
      <c r="P17" s="508"/>
      <c r="Q17" s="509"/>
      <c r="R17" s="509"/>
      <c r="S17" s="509"/>
      <c r="T17" s="509"/>
      <c r="U17" s="510"/>
      <c r="V17" s="492"/>
      <c r="W17" s="488"/>
      <c r="X17" s="488"/>
      <c r="Y17" s="488"/>
      <c r="Z17" s="488"/>
      <c r="AA17" s="489"/>
      <c r="AB17" s="492"/>
      <c r="AC17" s="488"/>
      <c r="AD17" s="488"/>
      <c r="AE17" s="488"/>
      <c r="AF17" s="488"/>
      <c r="AG17" s="489"/>
      <c r="AH17" s="499"/>
      <c r="AI17" s="500"/>
      <c r="AJ17" s="500"/>
      <c r="AK17" s="500"/>
      <c r="AL17" s="500"/>
      <c r="AM17" s="501"/>
      <c r="AN17" s="66"/>
      <c r="AO17" s="455"/>
      <c r="AP17" s="456"/>
      <c r="AQ17" s="456"/>
      <c r="AR17" s="456"/>
      <c r="AS17" s="456"/>
      <c r="AT17" s="45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41"/>
      <c r="C18" s="441"/>
      <c r="D18" s="442"/>
      <c r="E18" s="482"/>
      <c r="F18" s="483"/>
      <c r="G18" s="483"/>
      <c r="H18" s="483"/>
      <c r="I18" s="483"/>
      <c r="J18" s="508" t="str">
        <f>IF(AND('Riesgos de Gestión'!$O$49="Alta",'Riesgos de Gestión'!$S$49="Leve"),CONCATENATE("R",'Riesgos de Gestión'!$A$49),"")</f>
        <v/>
      </c>
      <c r="K18" s="509"/>
      <c r="L18" s="509" t="str">
        <f>IF(AND('Riesgos de Gestión'!$O$55="Alta",'Riesgos de Gestión'!$S$55="Leve"),CONCATENATE("R",'Riesgos de Gestión'!$A$55),"")</f>
        <v/>
      </c>
      <c r="M18" s="509"/>
      <c r="N18" s="509" t="str">
        <f>IF(AND('Riesgos de Gestión'!$O$61="Alta",'Riesgos de Gestión'!$S$61="Leve"),CONCATENATE("R",'Riesgos de Gestión'!$A$61),"")</f>
        <v/>
      </c>
      <c r="O18" s="510"/>
      <c r="P18" s="508" t="str">
        <f>IF(AND('Riesgos de Gestión'!$O$49="Alta",'Riesgos de Gestión'!$S$49="Menor"),CONCATENATE("R",'Riesgos de Gestión'!$A$49),"")</f>
        <v/>
      </c>
      <c r="Q18" s="509"/>
      <c r="R18" s="509" t="str">
        <f>IF(AND('Riesgos de Gestión'!$O$55="Alta",'Riesgos de Gestión'!$S$55="Menor"),CONCATENATE("R",'Riesgos de Gestión'!$A$55),"")</f>
        <v/>
      </c>
      <c r="S18" s="509"/>
      <c r="T18" s="509" t="str">
        <f>IF(AND('Riesgos de Gestión'!$O$61="Alta",'Riesgos de Gestión'!$S$61="Menor"),CONCATENATE("R",'Riesgos de Gestión'!$A$61),"")</f>
        <v/>
      </c>
      <c r="U18" s="510"/>
      <c r="V18" s="492" t="str">
        <f>IF(AND('Riesgos de Gestión'!$O$49="Alta",'Riesgos de Gestión'!$S$49="Moderado"),CONCATENATE("R",'Riesgos de Gestión'!$A$49),"")</f>
        <v/>
      </c>
      <c r="W18" s="488"/>
      <c r="X18" s="488" t="str">
        <f>IF(AND('Riesgos de Gestión'!$O$55="Alta",'Riesgos de Gestión'!$S$55="Moderado"),CONCATENATE("R",'Riesgos de Gestión'!$A$55),"")</f>
        <v/>
      </c>
      <c r="Y18" s="488"/>
      <c r="Z18" s="488" t="str">
        <f>IF(AND('Riesgos de Gestión'!$O$61="Alta",'Riesgos de Gestión'!$S$61="Moderado"),CONCATENATE("R",'Riesgos de Gestión'!$A$61),"")</f>
        <v/>
      </c>
      <c r="AA18" s="489"/>
      <c r="AB18" s="492" t="str">
        <f>IF(AND('Riesgos de Gestión'!$O$49="Alta",'Riesgos de Gestión'!$S$49="Mayor"),CONCATENATE("R",'Riesgos de Gestión'!$A$49),"")</f>
        <v/>
      </c>
      <c r="AC18" s="488"/>
      <c r="AD18" s="488" t="str">
        <f>IF(AND('Riesgos de Gestión'!$O$55="Alta",'Riesgos de Gestión'!$S$55="Mayor"),CONCATENATE("R",'Riesgos de Gestión'!$A$55),"")</f>
        <v/>
      </c>
      <c r="AE18" s="488"/>
      <c r="AF18" s="488" t="str">
        <f>IF(AND('Riesgos de Gestión'!$O$61="Alta",'Riesgos de Gestión'!$S$61="Mayor"),CONCATENATE("R",'Riesgos de Gestión'!$A$61),"")</f>
        <v/>
      </c>
      <c r="AG18" s="489"/>
      <c r="AH18" s="499" t="str">
        <f>IF(AND('Riesgos de Gestión'!$O$49="Alta",'Riesgos de Gestión'!$S$49="Catastrófico"),CONCATENATE("R",'Riesgos de Gestión'!$A$49),"")</f>
        <v/>
      </c>
      <c r="AI18" s="500"/>
      <c r="AJ18" s="500" t="str">
        <f>IF(AND('Riesgos de Gestión'!$O$55="Alta",'Riesgos de Gestión'!$S$55="Catastrófico"),CONCATENATE("R",'Riesgos de Gestión'!$A$55),"")</f>
        <v/>
      </c>
      <c r="AK18" s="500"/>
      <c r="AL18" s="500" t="str">
        <f>IF(AND('Riesgos de Gestión'!$O$61="Alta",'Riesgos de Gestión'!$S$61="Catastrófico"),CONCATENATE("R",'Riesgos de Gestión'!$A$61),"")</f>
        <v/>
      </c>
      <c r="AM18" s="501"/>
      <c r="AN18" s="66"/>
      <c r="AO18" s="455"/>
      <c r="AP18" s="456"/>
      <c r="AQ18" s="456"/>
      <c r="AR18" s="456"/>
      <c r="AS18" s="456"/>
      <c r="AT18" s="45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41"/>
      <c r="C19" s="441"/>
      <c r="D19" s="442"/>
      <c r="E19" s="482"/>
      <c r="F19" s="483"/>
      <c r="G19" s="483"/>
      <c r="H19" s="483"/>
      <c r="I19" s="483"/>
      <c r="J19" s="508"/>
      <c r="K19" s="509"/>
      <c r="L19" s="509"/>
      <c r="M19" s="509"/>
      <c r="N19" s="509"/>
      <c r="O19" s="510"/>
      <c r="P19" s="508"/>
      <c r="Q19" s="509"/>
      <c r="R19" s="509"/>
      <c r="S19" s="509"/>
      <c r="T19" s="509"/>
      <c r="U19" s="510"/>
      <c r="V19" s="492"/>
      <c r="W19" s="488"/>
      <c r="X19" s="488"/>
      <c r="Y19" s="488"/>
      <c r="Z19" s="488"/>
      <c r="AA19" s="489"/>
      <c r="AB19" s="492"/>
      <c r="AC19" s="488"/>
      <c r="AD19" s="488"/>
      <c r="AE19" s="488"/>
      <c r="AF19" s="488"/>
      <c r="AG19" s="489"/>
      <c r="AH19" s="499"/>
      <c r="AI19" s="500"/>
      <c r="AJ19" s="500"/>
      <c r="AK19" s="500"/>
      <c r="AL19" s="500"/>
      <c r="AM19" s="501"/>
      <c r="AN19" s="66"/>
      <c r="AO19" s="455"/>
      <c r="AP19" s="456"/>
      <c r="AQ19" s="456"/>
      <c r="AR19" s="456"/>
      <c r="AS19" s="456"/>
      <c r="AT19" s="45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41"/>
      <c r="C20" s="441"/>
      <c r="D20" s="442"/>
      <c r="E20" s="482"/>
      <c r="F20" s="483"/>
      <c r="G20" s="483"/>
      <c r="H20" s="483"/>
      <c r="I20" s="483"/>
      <c r="J20" s="508" t="str">
        <f>IF(AND('Riesgos de Gestión'!$O$67="Alta",'Riesgos de Gestión'!$S$67="Leve"),CONCATENATE("R",'Riesgos de Gestión'!$A$67),"")</f>
        <v/>
      </c>
      <c r="K20" s="509"/>
      <c r="L20" s="509" t="str">
        <f>IF(AND('Riesgos de Gestión'!$P$73="Alta",'Riesgos de Gestión'!$T$73="Leve"),CONCATENATE("R",'Riesgos de Gestión'!$A$73),"")</f>
        <v/>
      </c>
      <c r="M20" s="509"/>
      <c r="N20" s="509" t="str">
        <f>IF(AND('Riesgos de Gestión'!$P$79="Alta",'Riesgos de Gestión'!$T$79="Leve"),CONCATENATE("R",'Riesgos de Gestión'!$A$79),"")</f>
        <v/>
      </c>
      <c r="O20" s="510"/>
      <c r="P20" s="508" t="str">
        <f>IF(AND('Riesgos de Gestión'!$O$67="Alta",'Riesgos de Gestión'!$S$67="Menor"),CONCATENATE("R",'Riesgos de Gestión'!$A$67),"")</f>
        <v/>
      </c>
      <c r="Q20" s="509"/>
      <c r="R20" s="509" t="str">
        <f>IF(AND('Riesgos de Gestión'!$P$73="Alta",'Riesgos de Gestión'!$T$73="Menor"),CONCATENATE("R",'Riesgos de Gestión'!$A$73),"")</f>
        <v/>
      </c>
      <c r="S20" s="509"/>
      <c r="T20" s="509" t="str">
        <f>IF(AND('Riesgos de Gestión'!$P$79="Alta",'Riesgos de Gestión'!$T$79="Menor"),CONCATENATE("R",'Riesgos de Gestión'!$A$79),"")</f>
        <v/>
      </c>
      <c r="U20" s="510"/>
      <c r="V20" s="492" t="str">
        <f>IF(AND('Riesgos de Gestión'!$O$67="Alta",'Riesgos de Gestión'!$S$67="Moderado"),CONCATENATE("R",'Riesgos de Gestión'!$A$67),"")</f>
        <v/>
      </c>
      <c r="W20" s="488"/>
      <c r="X20" s="488" t="str">
        <f>IF(AND('Riesgos de Gestión'!$P$73="Alta",'Riesgos de Gestión'!$T$73="Moderado"),CONCATENATE("R",'Riesgos de Gestión'!$A$73),"")</f>
        <v/>
      </c>
      <c r="Y20" s="488"/>
      <c r="Z20" s="488" t="str">
        <f>IF(AND('Riesgos de Gestión'!$P$79="Alta",'Riesgos de Gestión'!$T$79="Moderado"),CONCATENATE("R",'Riesgos de Gestión'!$A$79),"")</f>
        <v/>
      </c>
      <c r="AA20" s="489"/>
      <c r="AB20" s="492" t="str">
        <f>IF(AND('Riesgos de Gestión'!$O$67="Alta",'Riesgos de Gestión'!$S$67="Mayor"),CONCATENATE("R",'Riesgos de Gestión'!$A$67),"")</f>
        <v/>
      </c>
      <c r="AC20" s="488"/>
      <c r="AD20" s="488" t="str">
        <f>IF(AND('Riesgos de Gestión'!$P$73="Alta",'Riesgos de Gestión'!$T$73="Mayor"),CONCATENATE("R",'Riesgos de Gestión'!$A$73),"")</f>
        <v/>
      </c>
      <c r="AE20" s="488"/>
      <c r="AF20" s="488" t="str">
        <f>IF(AND('Riesgos de Gestión'!$P$79="Alta",'Riesgos de Gestión'!$T$79="Mayor"),CONCATENATE("R",'Riesgos de Gestión'!$A$79),"")</f>
        <v/>
      </c>
      <c r="AG20" s="489"/>
      <c r="AH20" s="499" t="str">
        <f>IF(AND('Riesgos de Gestión'!$O$67="Alta",'Riesgos de Gestión'!$S$67="Catastrófico"),CONCATENATE("R",'Riesgos de Gestión'!$A$67),"")</f>
        <v/>
      </c>
      <c r="AI20" s="500"/>
      <c r="AJ20" s="500" t="str">
        <f>IF(AND('Riesgos de Gestión'!$P$73="Alta",'Riesgos de Gestión'!$T$73="Catastrófico"),CONCATENATE("R",'Riesgos de Gestión'!$A$73),"")</f>
        <v/>
      </c>
      <c r="AK20" s="500"/>
      <c r="AL20" s="500" t="str">
        <f>IF(AND('Riesgos de Gestión'!$P$79="Alta",'Riesgos de Gestión'!$T$79="Catastrófico"),CONCATENATE("R",'Riesgos de Gestión'!$A$79),"")</f>
        <v/>
      </c>
      <c r="AM20" s="501"/>
      <c r="AN20" s="66"/>
      <c r="AO20" s="455"/>
      <c r="AP20" s="456"/>
      <c r="AQ20" s="456"/>
      <c r="AR20" s="456"/>
      <c r="AS20" s="456"/>
      <c r="AT20" s="45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41"/>
      <c r="C21" s="441"/>
      <c r="D21" s="442"/>
      <c r="E21" s="485"/>
      <c r="F21" s="486"/>
      <c r="G21" s="486"/>
      <c r="H21" s="486"/>
      <c r="I21" s="486"/>
      <c r="J21" s="511"/>
      <c r="K21" s="512"/>
      <c r="L21" s="512"/>
      <c r="M21" s="512"/>
      <c r="N21" s="512"/>
      <c r="O21" s="513"/>
      <c r="P21" s="511"/>
      <c r="Q21" s="512"/>
      <c r="R21" s="512"/>
      <c r="S21" s="512"/>
      <c r="T21" s="512"/>
      <c r="U21" s="513"/>
      <c r="V21" s="496"/>
      <c r="W21" s="497"/>
      <c r="X21" s="497"/>
      <c r="Y21" s="497"/>
      <c r="Z21" s="497"/>
      <c r="AA21" s="498"/>
      <c r="AB21" s="496"/>
      <c r="AC21" s="497"/>
      <c r="AD21" s="497"/>
      <c r="AE21" s="497"/>
      <c r="AF21" s="497"/>
      <c r="AG21" s="498"/>
      <c r="AH21" s="502"/>
      <c r="AI21" s="503"/>
      <c r="AJ21" s="503"/>
      <c r="AK21" s="503"/>
      <c r="AL21" s="503"/>
      <c r="AM21" s="504"/>
      <c r="AN21" s="66"/>
      <c r="AO21" s="458"/>
      <c r="AP21" s="459"/>
      <c r="AQ21" s="459"/>
      <c r="AR21" s="459"/>
      <c r="AS21" s="459"/>
      <c r="AT21" s="46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41"/>
      <c r="C22" s="441"/>
      <c r="D22" s="442"/>
      <c r="E22" s="479" t="s">
        <v>286</v>
      </c>
      <c r="F22" s="480"/>
      <c r="G22" s="480"/>
      <c r="H22" s="480"/>
      <c r="I22" s="481"/>
      <c r="J22" s="514" t="str">
        <f>IF(AND('Riesgos de Gestión'!$O$13="Media",'Riesgos de Gestión'!$S$13="Leve"),CONCATENATE("R",'Riesgos de Gestión'!$A$13),"")</f>
        <v/>
      </c>
      <c r="K22" s="515"/>
      <c r="L22" s="515" t="str">
        <f>IF(AND('Riesgos de Gestión'!$O$19="Media",'Riesgos de Gestión'!$S$19="Leve"),CONCATENATE("R",'Riesgos de Gestión'!$A$19),"")</f>
        <v/>
      </c>
      <c r="M22" s="515"/>
      <c r="N22" s="515" t="str">
        <f>IF(AND('Riesgos de Gestión'!$O$25="Media",'Riesgos de Gestión'!$S$25="Leve"),CONCATENATE("R",'Riesgos de Gestión'!$A$25),"")</f>
        <v/>
      </c>
      <c r="O22" s="516"/>
      <c r="P22" s="514" t="str">
        <f>IF(AND('Riesgos de Gestión'!$O$13="Media",'Riesgos de Gestión'!$S$13="Menor"),CONCATENATE("R",'Riesgos de Gestión'!$A$13),"")</f>
        <v/>
      </c>
      <c r="Q22" s="515"/>
      <c r="R22" s="515" t="str">
        <f>IF(AND('Riesgos de Gestión'!$O$19="Media",'Riesgos de Gestión'!$S$19="Menor"),CONCATENATE("R",'Riesgos de Gestión'!$A$19),"")</f>
        <v/>
      </c>
      <c r="S22" s="515"/>
      <c r="T22" s="515" t="str">
        <f>IF(AND('Riesgos de Gestión'!$O$25="Media",'Riesgos de Gestión'!$S$25="Menor"),CONCATENATE("R",'Riesgos de Gestión'!$A$25),"")</f>
        <v/>
      </c>
      <c r="U22" s="516"/>
      <c r="V22" s="514" t="str">
        <f>IF(AND('Riesgos de Gestión'!$O$13="Media",'Riesgos de Gestión'!$S$13="Moderado"),CONCATENATE("R",'Riesgos de Gestión'!$A$13),"")</f>
        <v/>
      </c>
      <c r="W22" s="515"/>
      <c r="X22" s="515" t="str">
        <f>IF(AND('Riesgos de Gestión'!$O$19="Media",'Riesgos de Gestión'!$S$19="Moderado"),CONCATENATE("R",'Riesgos de Gestión'!$A$19),"")</f>
        <v/>
      </c>
      <c r="Y22" s="515"/>
      <c r="Z22" s="515" t="str">
        <f>IF(AND('Riesgos de Gestión'!$O$25="Media",'Riesgos de Gestión'!$S$25="Moderado"),CONCATENATE("R",'Riesgos de Gestión'!$A$25),"")</f>
        <v/>
      </c>
      <c r="AA22" s="516"/>
      <c r="AB22" s="490" t="str">
        <f>IF(AND('Riesgos de Gestión'!$O$13="Media",'Riesgos de Gestión'!$S$13="Mayor"),CONCATENATE("R",'Riesgos de Gestión'!$A$13),"")</f>
        <v/>
      </c>
      <c r="AC22" s="491"/>
      <c r="AD22" s="491" t="str">
        <f>IF(AND('Riesgos de Gestión'!$O$19="Media",'Riesgos de Gestión'!$S$19="Mayor"),CONCATENATE("R",'Riesgos de Gestión'!$A$19),"")</f>
        <v/>
      </c>
      <c r="AE22" s="491"/>
      <c r="AF22" s="491" t="str">
        <f>IF(AND('Riesgos de Gestión'!$O$25="Media",'Riesgos de Gestión'!$S$25="Mayor"),CONCATENATE("R",'Riesgos de Gestión'!$A$25),"")</f>
        <v/>
      </c>
      <c r="AG22" s="493"/>
      <c r="AH22" s="505" t="str">
        <f>IF(AND('Riesgos de Gestión'!$O$13="Media",'Riesgos de Gestión'!$S$13="Catastrófico"),CONCATENATE("R",'Riesgos de Gestión'!$A$13),"")</f>
        <v/>
      </c>
      <c r="AI22" s="506"/>
      <c r="AJ22" s="506" t="str">
        <f>IF(AND('Riesgos de Gestión'!$O$19="Media",'Riesgos de Gestión'!$S$19="Catastrófico"),CONCATENATE("R",'Riesgos de Gestión'!$A$19),"")</f>
        <v/>
      </c>
      <c r="AK22" s="506"/>
      <c r="AL22" s="506" t="str">
        <f>IF(AND('Riesgos de Gestión'!$O$25="Media",'Riesgos de Gestión'!$S$25="Catastrófico"),CONCATENATE("R",'Riesgos de Gestión'!$A$25),"")</f>
        <v/>
      </c>
      <c r="AM22" s="507"/>
      <c r="AN22" s="66"/>
      <c r="AO22" s="461" t="s">
        <v>287</v>
      </c>
      <c r="AP22" s="462"/>
      <c r="AQ22" s="462"/>
      <c r="AR22" s="462"/>
      <c r="AS22" s="462"/>
      <c r="AT22" s="46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41"/>
      <c r="C23" s="441"/>
      <c r="D23" s="442"/>
      <c r="E23" s="482"/>
      <c r="F23" s="483"/>
      <c r="G23" s="483"/>
      <c r="H23" s="483"/>
      <c r="I23" s="484"/>
      <c r="J23" s="508"/>
      <c r="K23" s="509"/>
      <c r="L23" s="509"/>
      <c r="M23" s="509"/>
      <c r="N23" s="509"/>
      <c r="O23" s="510"/>
      <c r="P23" s="508"/>
      <c r="Q23" s="509"/>
      <c r="R23" s="509"/>
      <c r="S23" s="509"/>
      <c r="T23" s="509"/>
      <c r="U23" s="510"/>
      <c r="V23" s="508"/>
      <c r="W23" s="509"/>
      <c r="X23" s="509"/>
      <c r="Y23" s="509"/>
      <c r="Z23" s="509"/>
      <c r="AA23" s="510"/>
      <c r="AB23" s="492"/>
      <c r="AC23" s="488"/>
      <c r="AD23" s="488"/>
      <c r="AE23" s="488"/>
      <c r="AF23" s="488"/>
      <c r="AG23" s="489"/>
      <c r="AH23" s="499"/>
      <c r="AI23" s="500"/>
      <c r="AJ23" s="500"/>
      <c r="AK23" s="500"/>
      <c r="AL23" s="500"/>
      <c r="AM23" s="501"/>
      <c r="AN23" s="66"/>
      <c r="AO23" s="464"/>
      <c r="AP23" s="465"/>
      <c r="AQ23" s="465"/>
      <c r="AR23" s="465"/>
      <c r="AS23" s="465"/>
      <c r="AT23" s="4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41"/>
      <c r="C24" s="441"/>
      <c r="D24" s="442"/>
      <c r="E24" s="482"/>
      <c r="F24" s="483"/>
      <c r="G24" s="483"/>
      <c r="H24" s="483"/>
      <c r="I24" s="484"/>
      <c r="J24" s="508" t="str">
        <f>IF(AND('Riesgos de Gestión'!$O$31="Media",'Riesgos de Gestión'!$S$31="Leve"),CONCATENATE("R",'Riesgos de Gestión'!$A$31),"")</f>
        <v/>
      </c>
      <c r="K24" s="509"/>
      <c r="L24" s="509" t="str">
        <f>IF(AND('Riesgos de Gestión'!$O$37="Media",'Riesgos de Gestión'!$S$37="Leve"),CONCATENATE("R",'Riesgos de Gestión'!$A$37),"")</f>
        <v/>
      </c>
      <c r="M24" s="509"/>
      <c r="N24" s="509" t="str">
        <f>IF(AND('Riesgos de Gestión'!$O$43="Media",'Riesgos de Gestión'!$S$43="Leve"),CONCATENATE("R",'Riesgos de Gestión'!$A$43),"")</f>
        <v/>
      </c>
      <c r="O24" s="510"/>
      <c r="P24" s="508" t="str">
        <f>IF(AND('Riesgos de Gestión'!$O$31="Media",'Riesgos de Gestión'!$S$31="Menor"),CONCATENATE("R",'Riesgos de Gestión'!$A$31),"")</f>
        <v/>
      </c>
      <c r="Q24" s="509"/>
      <c r="R24" s="509" t="str">
        <f>IF(AND('Riesgos de Gestión'!$O$37="Media",'Riesgos de Gestión'!$S$37="Menor"),CONCATENATE("R",'Riesgos de Gestión'!$A$37),"")</f>
        <v/>
      </c>
      <c r="S24" s="509"/>
      <c r="T24" s="509" t="str">
        <f>IF(AND('Riesgos de Gestión'!$O$43="Media",'Riesgos de Gestión'!$S$43="Menor"),CONCATENATE("R",'Riesgos de Gestión'!$A$43),"")</f>
        <v/>
      </c>
      <c r="U24" s="510"/>
      <c r="V24" s="508" t="str">
        <f>IF(AND('Riesgos de Gestión'!$O$31="Media",'Riesgos de Gestión'!$S$31="Moderado"),CONCATENATE("R",'Riesgos de Gestión'!$A$31),"")</f>
        <v/>
      </c>
      <c r="W24" s="509"/>
      <c r="X24" s="509" t="str">
        <f>IF(AND('Riesgos de Gestión'!$O$37="Media",'Riesgos de Gestión'!$S$37="Moderado"),CONCATENATE("R",'Riesgos de Gestión'!$A$37),"")</f>
        <v/>
      </c>
      <c r="Y24" s="509"/>
      <c r="Z24" s="509" t="str">
        <f>IF(AND('Riesgos de Gestión'!$O$43="Media",'Riesgos de Gestión'!$S$43="Moderado"),CONCATENATE("R",'Riesgos de Gestión'!$A$43),"")</f>
        <v/>
      </c>
      <c r="AA24" s="510"/>
      <c r="AB24" s="492" t="str">
        <f>IF(AND('Riesgos de Gestión'!$O$31="Media",'Riesgos de Gestión'!$S$31="Mayor"),CONCATENATE("R",'Riesgos de Gestión'!$A$31),"")</f>
        <v/>
      </c>
      <c r="AC24" s="488"/>
      <c r="AD24" s="488" t="str">
        <f>IF(AND('Riesgos de Gestión'!$O$37="Media",'Riesgos de Gestión'!$S$37="Mayor"),CONCATENATE("R",'Riesgos de Gestión'!$A$37),"")</f>
        <v/>
      </c>
      <c r="AE24" s="488"/>
      <c r="AF24" s="488" t="str">
        <f>IF(AND('Riesgos de Gestión'!$O$43="Media",'Riesgos de Gestión'!$S$43="Mayor"),CONCATENATE("R",'Riesgos de Gestión'!$A$43),"")</f>
        <v/>
      </c>
      <c r="AG24" s="489"/>
      <c r="AH24" s="499" t="str">
        <f>IF(AND('Riesgos de Gestión'!$O$31="Media",'Riesgos de Gestión'!$S$31="Catastrófico"),CONCATENATE("R",'Riesgos de Gestión'!$A$31),"")</f>
        <v/>
      </c>
      <c r="AI24" s="500"/>
      <c r="AJ24" s="500" t="str">
        <f>IF(AND('Riesgos de Gestión'!$O$37="Media",'Riesgos de Gestión'!$S$37="Catastrófico"),CONCATENATE("R",'Riesgos de Gestión'!$A$37),"")</f>
        <v/>
      </c>
      <c r="AK24" s="500"/>
      <c r="AL24" s="500" t="str">
        <f>IF(AND('Riesgos de Gestión'!$O$43="Media",'Riesgos de Gestión'!$S$43="Catastrófico"),CONCATENATE("R",'Riesgos de Gestión'!$A$43),"")</f>
        <v/>
      </c>
      <c r="AM24" s="501"/>
      <c r="AN24" s="66"/>
      <c r="AO24" s="464"/>
      <c r="AP24" s="465"/>
      <c r="AQ24" s="465"/>
      <c r="AR24" s="465"/>
      <c r="AS24" s="465"/>
      <c r="AT24" s="4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41"/>
      <c r="C25" s="441"/>
      <c r="D25" s="442"/>
      <c r="E25" s="482"/>
      <c r="F25" s="483"/>
      <c r="G25" s="483"/>
      <c r="H25" s="483"/>
      <c r="I25" s="484"/>
      <c r="J25" s="508"/>
      <c r="K25" s="509"/>
      <c r="L25" s="509"/>
      <c r="M25" s="509"/>
      <c r="N25" s="509"/>
      <c r="O25" s="510"/>
      <c r="P25" s="508"/>
      <c r="Q25" s="509"/>
      <c r="R25" s="509"/>
      <c r="S25" s="509"/>
      <c r="T25" s="509"/>
      <c r="U25" s="510"/>
      <c r="V25" s="508"/>
      <c r="W25" s="509"/>
      <c r="X25" s="509"/>
      <c r="Y25" s="509"/>
      <c r="Z25" s="509"/>
      <c r="AA25" s="510"/>
      <c r="AB25" s="492"/>
      <c r="AC25" s="488"/>
      <c r="AD25" s="488"/>
      <c r="AE25" s="488"/>
      <c r="AF25" s="488"/>
      <c r="AG25" s="489"/>
      <c r="AH25" s="499"/>
      <c r="AI25" s="500"/>
      <c r="AJ25" s="500"/>
      <c r="AK25" s="500"/>
      <c r="AL25" s="500"/>
      <c r="AM25" s="501"/>
      <c r="AN25" s="66"/>
      <c r="AO25" s="464"/>
      <c r="AP25" s="465"/>
      <c r="AQ25" s="465"/>
      <c r="AR25" s="465"/>
      <c r="AS25" s="465"/>
      <c r="AT25" s="4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41"/>
      <c r="C26" s="441"/>
      <c r="D26" s="442"/>
      <c r="E26" s="482"/>
      <c r="F26" s="483"/>
      <c r="G26" s="483"/>
      <c r="H26" s="483"/>
      <c r="I26" s="484"/>
      <c r="J26" s="508" t="str">
        <f>IF(AND('Riesgos de Gestión'!$O$49="Media",'Riesgos de Gestión'!$S$49="Leve"),CONCATENATE("R",'Riesgos de Gestión'!$A$49),"")</f>
        <v/>
      </c>
      <c r="K26" s="509"/>
      <c r="L26" s="509" t="str">
        <f>IF(AND('Riesgos de Gestión'!$O$55="Media",'Riesgos de Gestión'!$S$55="Leve"),CONCATENATE("R",'Riesgos de Gestión'!$A$55),"")</f>
        <v/>
      </c>
      <c r="M26" s="509"/>
      <c r="N26" s="509" t="str">
        <f>IF(AND('Riesgos de Gestión'!$O$61="Media",'Riesgos de Gestión'!$S$61="Leve"),CONCATENATE("R",'Riesgos de Gestión'!$A$61),"")</f>
        <v/>
      </c>
      <c r="O26" s="510"/>
      <c r="P26" s="508" t="str">
        <f>IF(AND('Riesgos de Gestión'!$O$49="Media",'Riesgos de Gestión'!$S$49="Menor"),CONCATENATE("R",'Riesgos de Gestión'!$A$49),"")</f>
        <v/>
      </c>
      <c r="Q26" s="509"/>
      <c r="R26" s="509" t="str">
        <f>IF(AND('Riesgos de Gestión'!$O$55="Media",'Riesgos de Gestión'!$S$55="Menor"),CONCATENATE("R",'Riesgos de Gestión'!$A$55),"")</f>
        <v/>
      </c>
      <c r="S26" s="509"/>
      <c r="T26" s="509" t="str">
        <f>IF(AND('Riesgos de Gestión'!$O$61="Media",'Riesgos de Gestión'!$S$61="Menor"),CONCATENATE("R",'Riesgos de Gestión'!$A$61),"")</f>
        <v/>
      </c>
      <c r="U26" s="510"/>
      <c r="V26" s="508" t="str">
        <f>IF(AND('Riesgos de Gestión'!$O$49="Media",'Riesgos de Gestión'!$S$49="Moderado"),CONCATENATE("R",'Riesgos de Gestión'!$A$49),"")</f>
        <v/>
      </c>
      <c r="W26" s="509"/>
      <c r="X26" s="509" t="str">
        <f>IF(AND('Riesgos de Gestión'!$O$55="Media",'Riesgos de Gestión'!$S$55="Moderado"),CONCATENATE("R",'Riesgos de Gestión'!$A$55),"")</f>
        <v/>
      </c>
      <c r="Y26" s="509"/>
      <c r="Z26" s="509" t="str">
        <f>IF(AND('Riesgos de Gestión'!$O$61="Media",'Riesgos de Gestión'!$S$61="Moderado"),CONCATENATE("R",'Riesgos de Gestión'!$A$61),"")</f>
        <v/>
      </c>
      <c r="AA26" s="510"/>
      <c r="AB26" s="492" t="str">
        <f>IF(AND('Riesgos de Gestión'!$O$49="Media",'Riesgos de Gestión'!$S$49="Mayor"),CONCATENATE("R",'Riesgos de Gestión'!$A$49),"")</f>
        <v/>
      </c>
      <c r="AC26" s="488"/>
      <c r="AD26" s="488" t="str">
        <f>IF(AND('Riesgos de Gestión'!$O$55="Media",'Riesgos de Gestión'!$S$55="Mayor"),CONCATENATE("R",'Riesgos de Gestión'!$A$55),"")</f>
        <v/>
      </c>
      <c r="AE26" s="488"/>
      <c r="AF26" s="488" t="str">
        <f>IF(AND('Riesgos de Gestión'!$O$61="Media",'Riesgos de Gestión'!$S$61="Mayor"),CONCATENATE("R",'Riesgos de Gestión'!$A$61),"")</f>
        <v/>
      </c>
      <c r="AG26" s="489"/>
      <c r="AH26" s="499" t="str">
        <f>IF(AND('Riesgos de Gestión'!$O$49="Media",'Riesgos de Gestión'!$S$49="Catastrófico"),CONCATENATE("R",'Riesgos de Gestión'!$A$49),"")</f>
        <v/>
      </c>
      <c r="AI26" s="500"/>
      <c r="AJ26" s="500" t="str">
        <f>IF(AND('Riesgos de Gestión'!$O$55="Media",'Riesgos de Gestión'!$S$55="Catastrófico"),CONCATENATE("R",'Riesgos de Gestión'!$A$55),"")</f>
        <v/>
      </c>
      <c r="AK26" s="500"/>
      <c r="AL26" s="500" t="str">
        <f>IF(AND('Riesgos de Gestión'!$O$61="Media",'Riesgos de Gestión'!$S$61="Catastrófico"),CONCATENATE("R",'Riesgos de Gestión'!$A$61),"")</f>
        <v/>
      </c>
      <c r="AM26" s="501"/>
      <c r="AN26" s="66"/>
      <c r="AO26" s="464"/>
      <c r="AP26" s="465"/>
      <c r="AQ26" s="465"/>
      <c r="AR26" s="465"/>
      <c r="AS26" s="465"/>
      <c r="AT26" s="4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41"/>
      <c r="C27" s="441"/>
      <c r="D27" s="442"/>
      <c r="E27" s="482"/>
      <c r="F27" s="483"/>
      <c r="G27" s="483"/>
      <c r="H27" s="483"/>
      <c r="I27" s="484"/>
      <c r="J27" s="508"/>
      <c r="K27" s="509"/>
      <c r="L27" s="509"/>
      <c r="M27" s="509"/>
      <c r="N27" s="509"/>
      <c r="O27" s="510"/>
      <c r="P27" s="508"/>
      <c r="Q27" s="509"/>
      <c r="R27" s="509"/>
      <c r="S27" s="509"/>
      <c r="T27" s="509"/>
      <c r="U27" s="510"/>
      <c r="V27" s="508"/>
      <c r="W27" s="509"/>
      <c r="X27" s="509"/>
      <c r="Y27" s="509"/>
      <c r="Z27" s="509"/>
      <c r="AA27" s="510"/>
      <c r="AB27" s="492"/>
      <c r="AC27" s="488"/>
      <c r="AD27" s="488"/>
      <c r="AE27" s="488"/>
      <c r="AF27" s="488"/>
      <c r="AG27" s="489"/>
      <c r="AH27" s="499"/>
      <c r="AI27" s="500"/>
      <c r="AJ27" s="500"/>
      <c r="AK27" s="500"/>
      <c r="AL27" s="500"/>
      <c r="AM27" s="501"/>
      <c r="AN27" s="66"/>
      <c r="AO27" s="464"/>
      <c r="AP27" s="465"/>
      <c r="AQ27" s="465"/>
      <c r="AR27" s="465"/>
      <c r="AS27" s="465"/>
      <c r="AT27" s="4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41"/>
      <c r="C28" s="441"/>
      <c r="D28" s="442"/>
      <c r="E28" s="482"/>
      <c r="F28" s="483"/>
      <c r="G28" s="483"/>
      <c r="H28" s="483"/>
      <c r="I28" s="484"/>
      <c r="J28" s="508" t="str">
        <f>IF(AND('Riesgos de Gestión'!$O$67="Media",'Riesgos de Gestión'!$S$67="Leve"),CONCATENATE("R",'Riesgos de Gestión'!$A$67),"")</f>
        <v/>
      </c>
      <c r="K28" s="509"/>
      <c r="L28" s="509" t="str">
        <f>IF(AND('Riesgos de Gestión'!$P$73="Media",'Riesgos de Gestión'!$T$73="Leve"),CONCATENATE("R",'Riesgos de Gestión'!$A$73),"")</f>
        <v/>
      </c>
      <c r="M28" s="509"/>
      <c r="N28" s="509" t="str">
        <f>IF(AND('Riesgos de Gestión'!$P$79="Media",'Riesgos de Gestión'!$T$79="Leve"),CONCATENATE("R",'Riesgos de Gestión'!$A$79),"")</f>
        <v/>
      </c>
      <c r="O28" s="510"/>
      <c r="P28" s="508" t="str">
        <f>IF(AND('Riesgos de Gestión'!$O$67="Media",'Riesgos de Gestión'!$S$67="Menor"),CONCATENATE("R",'Riesgos de Gestión'!$A$67),"")</f>
        <v/>
      </c>
      <c r="Q28" s="509"/>
      <c r="R28" s="509" t="str">
        <f>IF(AND('Riesgos de Gestión'!$P$73="Media",'Riesgos de Gestión'!$T$73="Menor"),CONCATENATE("R",'Riesgos de Gestión'!$A$73),"")</f>
        <v/>
      </c>
      <c r="S28" s="509"/>
      <c r="T28" s="509" t="str">
        <f>IF(AND('Riesgos de Gestión'!$P$79="Media",'Riesgos de Gestión'!$T$79="Menor"),CONCATENATE("R",'Riesgos de Gestión'!$A$79),"")</f>
        <v/>
      </c>
      <c r="U28" s="510"/>
      <c r="V28" s="508" t="str">
        <f>IF(AND('Riesgos de Gestión'!$O$67="Media",'Riesgos de Gestión'!$S$67="Moderado"),CONCATENATE("R",'Riesgos de Gestión'!$A$67),"")</f>
        <v/>
      </c>
      <c r="W28" s="509"/>
      <c r="X28" s="509" t="str">
        <f>IF(AND('Riesgos de Gestión'!$P$73="Media",'Riesgos de Gestión'!$T$73="Moderado"),CONCATENATE("R",'Riesgos de Gestión'!$A$73),"")</f>
        <v/>
      </c>
      <c r="Y28" s="509"/>
      <c r="Z28" s="509" t="str">
        <f>IF(AND('Riesgos de Gestión'!$P$79="Media",'Riesgos de Gestión'!$T$79="Moderado"),CONCATENATE("R",'Riesgos de Gestión'!$A$79),"")</f>
        <v/>
      </c>
      <c r="AA28" s="510"/>
      <c r="AB28" s="492" t="str">
        <f>IF(AND('Riesgos de Gestión'!$O$67="Media",'Riesgos de Gestión'!$S$67="Mayor"),CONCATENATE("R",'Riesgos de Gestión'!$A$67),"")</f>
        <v/>
      </c>
      <c r="AC28" s="488"/>
      <c r="AD28" s="488" t="str">
        <f>IF(AND('Riesgos de Gestión'!$P$73="Media",'Riesgos de Gestión'!$T$73="Mayor"),CONCATENATE("R",'Riesgos de Gestión'!$A$73),"")</f>
        <v/>
      </c>
      <c r="AE28" s="488"/>
      <c r="AF28" s="488" t="str">
        <f>IF(AND('Riesgos de Gestión'!$P$79="Media",'Riesgos de Gestión'!$T$79="Mayor"),CONCATENATE("R",'Riesgos de Gestión'!$A$79),"")</f>
        <v/>
      </c>
      <c r="AG28" s="489"/>
      <c r="AH28" s="499" t="str">
        <f>IF(AND('Riesgos de Gestión'!$O$67="Media",'Riesgos de Gestión'!$S$67="Catastrófico"),CONCATENATE("R",'Riesgos de Gestión'!$A$67),"")</f>
        <v/>
      </c>
      <c r="AI28" s="500"/>
      <c r="AJ28" s="500" t="str">
        <f>IF(AND('Riesgos de Gestión'!$P$73="Media",'Riesgos de Gestión'!$T$73="Catastrófico"),CONCATENATE("R",'Riesgos de Gestión'!$A$73),"")</f>
        <v/>
      </c>
      <c r="AK28" s="500"/>
      <c r="AL28" s="500" t="str">
        <f>IF(AND('Riesgos de Gestión'!$P$79="Media",'Riesgos de Gestión'!$T$79="Catastrófico"),CONCATENATE("R",'Riesgos de Gestión'!$A$79),"")</f>
        <v/>
      </c>
      <c r="AM28" s="501"/>
      <c r="AN28" s="66"/>
      <c r="AO28" s="464"/>
      <c r="AP28" s="465"/>
      <c r="AQ28" s="465"/>
      <c r="AR28" s="465"/>
      <c r="AS28" s="465"/>
      <c r="AT28" s="4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41"/>
      <c r="C29" s="441"/>
      <c r="D29" s="442"/>
      <c r="E29" s="485"/>
      <c r="F29" s="486"/>
      <c r="G29" s="486"/>
      <c r="H29" s="486"/>
      <c r="I29" s="487"/>
      <c r="J29" s="508"/>
      <c r="K29" s="509"/>
      <c r="L29" s="509"/>
      <c r="M29" s="509"/>
      <c r="N29" s="509"/>
      <c r="O29" s="510"/>
      <c r="P29" s="511"/>
      <c r="Q29" s="512"/>
      <c r="R29" s="512"/>
      <c r="S29" s="512"/>
      <c r="T29" s="512"/>
      <c r="U29" s="513"/>
      <c r="V29" s="511"/>
      <c r="W29" s="512"/>
      <c r="X29" s="512"/>
      <c r="Y29" s="512"/>
      <c r="Z29" s="512"/>
      <c r="AA29" s="513"/>
      <c r="AB29" s="496"/>
      <c r="AC29" s="497"/>
      <c r="AD29" s="497"/>
      <c r="AE29" s="497"/>
      <c r="AF29" s="497"/>
      <c r="AG29" s="498"/>
      <c r="AH29" s="502"/>
      <c r="AI29" s="503"/>
      <c r="AJ29" s="503"/>
      <c r="AK29" s="503"/>
      <c r="AL29" s="503"/>
      <c r="AM29" s="504"/>
      <c r="AN29" s="66"/>
      <c r="AO29" s="467"/>
      <c r="AP29" s="468"/>
      <c r="AQ29" s="468"/>
      <c r="AR29" s="468"/>
      <c r="AS29" s="468"/>
      <c r="AT29" s="46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41"/>
      <c r="C30" s="441"/>
      <c r="D30" s="442"/>
      <c r="E30" s="479" t="s">
        <v>288</v>
      </c>
      <c r="F30" s="480"/>
      <c r="G30" s="480"/>
      <c r="H30" s="480"/>
      <c r="I30" s="480"/>
      <c r="J30" s="523" t="str">
        <f>IF(AND('Riesgos de Gestión'!$O$13="Baja",'Riesgos de Gestión'!$S$13="Leve"),CONCATENATE("R",'Riesgos de Gestión'!$A$13),"")</f>
        <v/>
      </c>
      <c r="K30" s="524"/>
      <c r="L30" s="524" t="str">
        <f>IF(AND('Riesgos de Gestión'!$O$19="Baja",'Riesgos de Gestión'!$S$19="Leve"),CONCATENATE("R",'Riesgos de Gestión'!$A$19),"")</f>
        <v/>
      </c>
      <c r="M30" s="524"/>
      <c r="N30" s="524" t="str">
        <f>IF(AND('Riesgos de Gestión'!$O$25="Baja",'Riesgos de Gestión'!$S$25="Leve"),CONCATENATE("R",'Riesgos de Gestión'!$A$25),"")</f>
        <v/>
      </c>
      <c r="O30" s="525"/>
      <c r="P30" s="515" t="str">
        <f>IF(AND('Riesgos de Gestión'!$O$13="Baja",'Riesgos de Gestión'!$S$13="Menor"),CONCATENATE("R",'Riesgos de Gestión'!$A$13),"")</f>
        <v>R1</v>
      </c>
      <c r="Q30" s="515"/>
      <c r="R30" s="515" t="str">
        <f>IF(AND('Riesgos de Gestión'!$O$19="Baja",'Riesgos de Gestión'!$S$19="Menor"),CONCATENATE("R",'Riesgos de Gestión'!$A$19),"")</f>
        <v/>
      </c>
      <c r="S30" s="515"/>
      <c r="T30" s="515" t="str">
        <f>IF(AND('Riesgos de Gestión'!$O$25="Baja",'Riesgos de Gestión'!$S$25="Menor"),CONCATENATE("R",'Riesgos de Gestión'!$A$25),"")</f>
        <v/>
      </c>
      <c r="U30" s="516"/>
      <c r="V30" s="514" t="str">
        <f>IF(AND('Riesgos de Gestión'!$O$13="Baja",'Riesgos de Gestión'!$S$13="Moderado"),CONCATENATE("R",'Riesgos de Gestión'!$A$13),"")</f>
        <v/>
      </c>
      <c r="W30" s="515"/>
      <c r="X30" s="515" t="str">
        <f>IF(AND('Riesgos de Gestión'!$O$19="Baja",'Riesgos de Gestión'!$S$19="Moderado"),CONCATENATE("R",'Riesgos de Gestión'!$A$19),"")</f>
        <v/>
      </c>
      <c r="Y30" s="515"/>
      <c r="Z30" s="515" t="str">
        <f>IF(AND('Riesgos de Gestión'!$O$25="Baja",'Riesgos de Gestión'!$S$25="Moderado"),CONCATENATE("R",'Riesgos de Gestión'!$A$25),"")</f>
        <v/>
      </c>
      <c r="AA30" s="516"/>
      <c r="AB30" s="490" t="str">
        <f>IF(AND('Riesgos de Gestión'!$O$13="Baja",'Riesgos de Gestión'!$S$13="Mayor"),CONCATENATE("R",'Riesgos de Gestión'!$A$13),"")</f>
        <v/>
      </c>
      <c r="AC30" s="491"/>
      <c r="AD30" s="491" t="str">
        <f>IF(AND('Riesgos de Gestión'!$O$19="Baja",'Riesgos de Gestión'!$S$19="Mayor"),CONCATENATE("R",'Riesgos de Gestión'!$A$19),"")</f>
        <v/>
      </c>
      <c r="AE30" s="491"/>
      <c r="AF30" s="491" t="str">
        <f>IF(AND('Riesgos de Gestión'!$O$25="Baja",'Riesgos de Gestión'!$S$25="Mayor"),CONCATENATE("R",'Riesgos de Gestión'!$A$25),"")</f>
        <v/>
      </c>
      <c r="AG30" s="493"/>
      <c r="AH30" s="505" t="str">
        <f>IF(AND('Riesgos de Gestión'!$O$13="Baja",'Riesgos de Gestión'!$S$13="Catastrófico"),CONCATENATE("R",'Riesgos de Gestión'!$A$13),"")</f>
        <v/>
      </c>
      <c r="AI30" s="506"/>
      <c r="AJ30" s="506" t="str">
        <f>IF(AND('Riesgos de Gestión'!$O$19="Baja",'Riesgos de Gestión'!$S$19="Catastrófico"),CONCATENATE("R",'Riesgos de Gestión'!$A$19),"")</f>
        <v/>
      </c>
      <c r="AK30" s="506"/>
      <c r="AL30" s="506" t="str">
        <f>IF(AND('Riesgos de Gestión'!$O$25="Baja",'Riesgos de Gestión'!$S$25="Catastrófico"),CONCATENATE("R",'Riesgos de Gestión'!$A$25),"")</f>
        <v/>
      </c>
      <c r="AM30" s="507"/>
      <c r="AN30" s="66"/>
      <c r="AO30" s="470" t="s">
        <v>289</v>
      </c>
      <c r="AP30" s="471"/>
      <c r="AQ30" s="471"/>
      <c r="AR30" s="471"/>
      <c r="AS30" s="471"/>
      <c r="AT30" s="472"/>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41"/>
      <c r="C31" s="441"/>
      <c r="D31" s="442"/>
      <c r="E31" s="482"/>
      <c r="F31" s="483"/>
      <c r="G31" s="483"/>
      <c r="H31" s="483"/>
      <c r="I31" s="483"/>
      <c r="J31" s="519"/>
      <c r="K31" s="517"/>
      <c r="L31" s="517"/>
      <c r="M31" s="517"/>
      <c r="N31" s="517"/>
      <c r="O31" s="518"/>
      <c r="P31" s="509"/>
      <c r="Q31" s="509"/>
      <c r="R31" s="509"/>
      <c r="S31" s="509"/>
      <c r="T31" s="509"/>
      <c r="U31" s="510"/>
      <c r="V31" s="508"/>
      <c r="W31" s="509"/>
      <c r="X31" s="509"/>
      <c r="Y31" s="509"/>
      <c r="Z31" s="509"/>
      <c r="AA31" s="510"/>
      <c r="AB31" s="492"/>
      <c r="AC31" s="488"/>
      <c r="AD31" s="488"/>
      <c r="AE31" s="488"/>
      <c r="AF31" s="488"/>
      <c r="AG31" s="489"/>
      <c r="AH31" s="499"/>
      <c r="AI31" s="500"/>
      <c r="AJ31" s="500"/>
      <c r="AK31" s="500"/>
      <c r="AL31" s="500"/>
      <c r="AM31" s="501"/>
      <c r="AN31" s="66"/>
      <c r="AO31" s="473"/>
      <c r="AP31" s="474"/>
      <c r="AQ31" s="474"/>
      <c r="AR31" s="474"/>
      <c r="AS31" s="474"/>
      <c r="AT31" s="475"/>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41"/>
      <c r="C32" s="441"/>
      <c r="D32" s="442"/>
      <c r="E32" s="482"/>
      <c r="F32" s="483"/>
      <c r="G32" s="483"/>
      <c r="H32" s="483"/>
      <c r="I32" s="483"/>
      <c r="J32" s="519" t="str">
        <f>IF(AND('Riesgos de Gestión'!$O$31="Baja",'Riesgos de Gestión'!$S$31="Leve"),CONCATENATE("R",'Riesgos de Gestión'!$A$31),"")</f>
        <v/>
      </c>
      <c r="K32" s="517"/>
      <c r="L32" s="517" t="str">
        <f>IF(AND('Riesgos de Gestión'!$O$37="Baja",'Riesgos de Gestión'!$S$37="Leve"),CONCATENATE("R",'Riesgos de Gestión'!$A$37),"")</f>
        <v/>
      </c>
      <c r="M32" s="517"/>
      <c r="N32" s="517" t="str">
        <f>IF(AND('Riesgos de Gestión'!$O$43="Baja",'Riesgos de Gestión'!$S$43="Leve"),CONCATENATE("R",'Riesgos de Gestión'!$A$43),"")</f>
        <v/>
      </c>
      <c r="O32" s="518"/>
      <c r="P32" s="509" t="str">
        <f>IF(AND('Riesgos de Gestión'!$O$31="Baja",'Riesgos de Gestión'!$S$31="Menor"),CONCATENATE("R",'Riesgos de Gestión'!$A$31),"")</f>
        <v/>
      </c>
      <c r="Q32" s="509"/>
      <c r="R32" s="509" t="str">
        <f>IF(AND('Riesgos de Gestión'!$O$37="Baja",'Riesgos de Gestión'!$S$37="Menor"),CONCATENATE("R",'Riesgos de Gestión'!$A$37),"")</f>
        <v/>
      </c>
      <c r="S32" s="509"/>
      <c r="T32" s="509" t="str">
        <f>IF(AND('Riesgos de Gestión'!$O$43="Baja",'Riesgos de Gestión'!$S$43="Menor"),CONCATENATE("R",'Riesgos de Gestión'!$A$43),"")</f>
        <v/>
      </c>
      <c r="U32" s="510"/>
      <c r="V32" s="508" t="str">
        <f>IF(AND('Riesgos de Gestión'!$O$31="Baja",'Riesgos de Gestión'!$S$31="Moderado"),CONCATENATE("R",'Riesgos de Gestión'!$A$31),"")</f>
        <v/>
      </c>
      <c r="W32" s="509"/>
      <c r="X32" s="509" t="str">
        <f>IF(AND('Riesgos de Gestión'!$O$37="Baja",'Riesgos de Gestión'!$S$37="Moderado"),CONCATENATE("R",'Riesgos de Gestión'!$A$37),"")</f>
        <v/>
      </c>
      <c r="Y32" s="509"/>
      <c r="Z32" s="509" t="str">
        <f>IF(AND('Riesgos de Gestión'!$O$43="Baja",'Riesgos de Gestión'!$S$43="Moderado"),CONCATENATE("R",'Riesgos de Gestión'!$A$43),"")</f>
        <v/>
      </c>
      <c r="AA32" s="510"/>
      <c r="AB32" s="492" t="str">
        <f>IF(AND('Riesgos de Gestión'!$O$31="Baja",'Riesgos de Gestión'!$S$31="Mayor"),CONCATENATE("R",'Riesgos de Gestión'!$A$31),"")</f>
        <v/>
      </c>
      <c r="AC32" s="488"/>
      <c r="AD32" s="488" t="str">
        <f>IF(AND('Riesgos de Gestión'!$O$37="Baja",'Riesgos de Gestión'!$S$37="Mayor"),CONCATENATE("R",'Riesgos de Gestión'!$A$37),"")</f>
        <v/>
      </c>
      <c r="AE32" s="488"/>
      <c r="AF32" s="488" t="str">
        <f>IF(AND('Riesgos de Gestión'!$O$43="Baja",'Riesgos de Gestión'!$S$43="Mayor"),CONCATENATE("R",'Riesgos de Gestión'!$A$43),"")</f>
        <v/>
      </c>
      <c r="AG32" s="489"/>
      <c r="AH32" s="499" t="str">
        <f>IF(AND('Riesgos de Gestión'!$O$31="Baja",'Riesgos de Gestión'!$S$31="Catastrófico"),CONCATENATE("R",'Riesgos de Gestión'!$A$31),"")</f>
        <v/>
      </c>
      <c r="AI32" s="500"/>
      <c r="AJ32" s="500" t="str">
        <f>IF(AND('Riesgos de Gestión'!$O$37="Baja",'Riesgos de Gestión'!$S$37="Catastrófico"),CONCATENATE("R",'Riesgos de Gestión'!$A$37),"")</f>
        <v/>
      </c>
      <c r="AK32" s="500"/>
      <c r="AL32" s="500" t="str">
        <f>IF(AND('Riesgos de Gestión'!$O$43="Baja",'Riesgos de Gestión'!$S$43="Catastrófico"),CONCATENATE("R",'Riesgos de Gestión'!$A$43),"")</f>
        <v/>
      </c>
      <c r="AM32" s="501"/>
      <c r="AN32" s="66"/>
      <c r="AO32" s="473"/>
      <c r="AP32" s="474"/>
      <c r="AQ32" s="474"/>
      <c r="AR32" s="474"/>
      <c r="AS32" s="474"/>
      <c r="AT32" s="475"/>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41"/>
      <c r="C33" s="441"/>
      <c r="D33" s="442"/>
      <c r="E33" s="482"/>
      <c r="F33" s="483"/>
      <c r="G33" s="483"/>
      <c r="H33" s="483"/>
      <c r="I33" s="483"/>
      <c r="J33" s="519"/>
      <c r="K33" s="517"/>
      <c r="L33" s="517"/>
      <c r="M33" s="517"/>
      <c r="N33" s="517"/>
      <c r="O33" s="518"/>
      <c r="P33" s="509"/>
      <c r="Q33" s="509"/>
      <c r="R33" s="509"/>
      <c r="S33" s="509"/>
      <c r="T33" s="509"/>
      <c r="U33" s="510"/>
      <c r="V33" s="508"/>
      <c r="W33" s="509"/>
      <c r="X33" s="509"/>
      <c r="Y33" s="509"/>
      <c r="Z33" s="509"/>
      <c r="AA33" s="510"/>
      <c r="AB33" s="492"/>
      <c r="AC33" s="488"/>
      <c r="AD33" s="488"/>
      <c r="AE33" s="488"/>
      <c r="AF33" s="488"/>
      <c r="AG33" s="489"/>
      <c r="AH33" s="499"/>
      <c r="AI33" s="500"/>
      <c r="AJ33" s="500"/>
      <c r="AK33" s="500"/>
      <c r="AL33" s="500"/>
      <c r="AM33" s="501"/>
      <c r="AN33" s="66"/>
      <c r="AO33" s="473"/>
      <c r="AP33" s="474"/>
      <c r="AQ33" s="474"/>
      <c r="AR33" s="474"/>
      <c r="AS33" s="474"/>
      <c r="AT33" s="475"/>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41"/>
      <c r="C34" s="441"/>
      <c r="D34" s="442"/>
      <c r="E34" s="482"/>
      <c r="F34" s="483"/>
      <c r="G34" s="483"/>
      <c r="H34" s="483"/>
      <c r="I34" s="483"/>
      <c r="J34" s="519" t="str">
        <f>IF(AND('Riesgos de Gestión'!$O$49="Baja",'Riesgos de Gestión'!$S$49="Leve"),CONCATENATE("R",'Riesgos de Gestión'!$A$49),"")</f>
        <v/>
      </c>
      <c r="K34" s="517"/>
      <c r="L34" s="517" t="str">
        <f>IF(AND('Riesgos de Gestión'!$O$55="Baja",'Riesgos de Gestión'!$S$55="Leve"),CONCATENATE("R",'Riesgos de Gestión'!$A$55),"")</f>
        <v/>
      </c>
      <c r="M34" s="517"/>
      <c r="N34" s="517" t="str">
        <f>IF(AND('Riesgos de Gestión'!$O$61="Baja",'Riesgos de Gestión'!$S$61="Leve"),CONCATENATE("R",'Riesgos de Gestión'!$A$61),"")</f>
        <v/>
      </c>
      <c r="O34" s="518"/>
      <c r="P34" s="509" t="str">
        <f>IF(AND('Riesgos de Gestión'!$O$49="Baja",'Riesgos de Gestión'!$S$49="Menor"),CONCATENATE("R",'Riesgos de Gestión'!$A$49),"")</f>
        <v/>
      </c>
      <c r="Q34" s="509"/>
      <c r="R34" s="509" t="str">
        <f>IF(AND('Riesgos de Gestión'!$O$55="Baja",'Riesgos de Gestión'!$S$55="Menor"),CONCATENATE("R",'Riesgos de Gestión'!$A$55),"")</f>
        <v/>
      </c>
      <c r="S34" s="509"/>
      <c r="T34" s="509" t="str">
        <f>IF(AND('Riesgos de Gestión'!$O$61="Baja",'Riesgos de Gestión'!$S$61="Menor"),CONCATENATE("R",'Riesgos de Gestión'!$A$61),"")</f>
        <v/>
      </c>
      <c r="U34" s="510"/>
      <c r="V34" s="508" t="str">
        <f>IF(AND('Riesgos de Gestión'!$O$49="Baja",'Riesgos de Gestión'!$S$49="Moderado"),CONCATENATE("R",'Riesgos de Gestión'!$A$49),"")</f>
        <v/>
      </c>
      <c r="W34" s="509"/>
      <c r="X34" s="509" t="str">
        <f>IF(AND('Riesgos de Gestión'!$O$55="Baja",'Riesgos de Gestión'!$S$55="Moderado"),CONCATENATE("R",'Riesgos de Gestión'!$A$55),"")</f>
        <v/>
      </c>
      <c r="Y34" s="509"/>
      <c r="Z34" s="509" t="str">
        <f>IF(AND('Riesgos de Gestión'!$O$61="Baja",'Riesgos de Gestión'!$S$61="Moderado"),CONCATENATE("R",'Riesgos de Gestión'!$A$61),"")</f>
        <v/>
      </c>
      <c r="AA34" s="510"/>
      <c r="AB34" s="492" t="str">
        <f>IF(AND('Riesgos de Gestión'!$O$49="Baja",'Riesgos de Gestión'!$S$49="Mayor"),CONCATENATE("R",'Riesgos de Gestión'!$A$49),"")</f>
        <v/>
      </c>
      <c r="AC34" s="488"/>
      <c r="AD34" s="488" t="str">
        <f>IF(AND('Riesgos de Gestión'!$O$55="Baja",'Riesgos de Gestión'!$S$55="Mayor"),CONCATENATE("R",'Riesgos de Gestión'!$A$55),"")</f>
        <v/>
      </c>
      <c r="AE34" s="488"/>
      <c r="AF34" s="488" t="str">
        <f>IF(AND('Riesgos de Gestión'!$O$61="Baja",'Riesgos de Gestión'!$S$61="Mayor"),CONCATENATE("R",'Riesgos de Gestión'!$A$61),"")</f>
        <v/>
      </c>
      <c r="AG34" s="489"/>
      <c r="AH34" s="499" t="str">
        <f>IF(AND('Riesgos de Gestión'!$O$49="Baja",'Riesgos de Gestión'!$S$49="Catastrófico"),CONCATENATE("R",'Riesgos de Gestión'!$A$49),"")</f>
        <v/>
      </c>
      <c r="AI34" s="500"/>
      <c r="AJ34" s="500" t="str">
        <f>IF(AND('Riesgos de Gestión'!$O$55="Baja",'Riesgos de Gestión'!$S$55="Catastrófico"),CONCATENATE("R",'Riesgos de Gestión'!$A$55),"")</f>
        <v/>
      </c>
      <c r="AK34" s="500"/>
      <c r="AL34" s="500" t="str">
        <f>IF(AND('Riesgos de Gestión'!$O$61="Baja",'Riesgos de Gestión'!$S$61="Catastrófico"),CONCATENATE("R",'Riesgos de Gestión'!$A$61),"")</f>
        <v/>
      </c>
      <c r="AM34" s="501"/>
      <c r="AN34" s="66"/>
      <c r="AO34" s="473"/>
      <c r="AP34" s="474"/>
      <c r="AQ34" s="474"/>
      <c r="AR34" s="474"/>
      <c r="AS34" s="474"/>
      <c r="AT34" s="475"/>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41"/>
      <c r="C35" s="441"/>
      <c r="D35" s="442"/>
      <c r="E35" s="482"/>
      <c r="F35" s="483"/>
      <c r="G35" s="483"/>
      <c r="H35" s="483"/>
      <c r="I35" s="483"/>
      <c r="J35" s="519"/>
      <c r="K35" s="517"/>
      <c r="L35" s="517"/>
      <c r="M35" s="517"/>
      <c r="N35" s="517"/>
      <c r="O35" s="518"/>
      <c r="P35" s="509"/>
      <c r="Q35" s="509"/>
      <c r="R35" s="509"/>
      <c r="S35" s="509"/>
      <c r="T35" s="509"/>
      <c r="U35" s="510"/>
      <c r="V35" s="508"/>
      <c r="W35" s="509"/>
      <c r="X35" s="509"/>
      <c r="Y35" s="509"/>
      <c r="Z35" s="509"/>
      <c r="AA35" s="510"/>
      <c r="AB35" s="492"/>
      <c r="AC35" s="488"/>
      <c r="AD35" s="488"/>
      <c r="AE35" s="488"/>
      <c r="AF35" s="488"/>
      <c r="AG35" s="489"/>
      <c r="AH35" s="499"/>
      <c r="AI35" s="500"/>
      <c r="AJ35" s="500"/>
      <c r="AK35" s="500"/>
      <c r="AL35" s="500"/>
      <c r="AM35" s="501"/>
      <c r="AN35" s="66"/>
      <c r="AO35" s="473"/>
      <c r="AP35" s="474"/>
      <c r="AQ35" s="474"/>
      <c r="AR35" s="474"/>
      <c r="AS35" s="474"/>
      <c r="AT35" s="475"/>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41"/>
      <c r="C36" s="441"/>
      <c r="D36" s="442"/>
      <c r="E36" s="482"/>
      <c r="F36" s="483"/>
      <c r="G36" s="483"/>
      <c r="H36" s="483"/>
      <c r="I36" s="483"/>
      <c r="J36" s="519" t="str">
        <f>IF(AND('Riesgos de Gestión'!$O$67="Baja",'Riesgos de Gestión'!$S$67="Leve"),CONCATENATE("R",'Riesgos de Gestión'!$A$67),"")</f>
        <v/>
      </c>
      <c r="K36" s="517"/>
      <c r="L36" s="517" t="str">
        <f>IF(AND('Riesgos de Gestión'!$P$73="Baja",'Riesgos de Gestión'!$T$73="Leve"),CONCATENATE("R",'Riesgos de Gestión'!$A$73),"")</f>
        <v/>
      </c>
      <c r="M36" s="517"/>
      <c r="N36" s="517" t="str">
        <f>IF(AND('Riesgos de Gestión'!$P$79="Baja",'Riesgos de Gestión'!$T$79="Leve"),CONCATENATE("R",'Riesgos de Gestión'!$A$79),"")</f>
        <v/>
      </c>
      <c r="O36" s="518"/>
      <c r="P36" s="509" t="str">
        <f>IF(AND('Riesgos de Gestión'!$O$67="Baja",'Riesgos de Gestión'!$S$67="Menor"),CONCATENATE("R",'Riesgos de Gestión'!$A$67),"")</f>
        <v/>
      </c>
      <c r="Q36" s="509"/>
      <c r="R36" s="509" t="str">
        <f>IF(AND('Riesgos de Gestión'!$P$73="Baja",'Riesgos de Gestión'!$T$73="Menor"),CONCATENATE("R",'Riesgos de Gestión'!$A$73),"")</f>
        <v/>
      </c>
      <c r="S36" s="509"/>
      <c r="T36" s="509" t="str">
        <f>IF(AND('Riesgos de Gestión'!$P$79="Baja",'Riesgos de Gestión'!$T$79="Menor"),CONCATENATE("R",'Riesgos de Gestión'!$A$79),"")</f>
        <v/>
      </c>
      <c r="U36" s="510"/>
      <c r="V36" s="508" t="str">
        <f>IF(AND('Riesgos de Gestión'!$O$67="Baja",'Riesgos de Gestión'!$S$67="Moderado"),CONCATENATE("R",'Riesgos de Gestión'!$A$67),"")</f>
        <v/>
      </c>
      <c r="W36" s="509"/>
      <c r="X36" s="509" t="str">
        <f>IF(AND('Riesgos de Gestión'!$P$73="Baja",'Riesgos de Gestión'!$T$73="Moderado"),CONCATENATE("R",'Riesgos de Gestión'!$A$73),"")</f>
        <v/>
      </c>
      <c r="Y36" s="509"/>
      <c r="Z36" s="509" t="str">
        <f>IF(AND('Riesgos de Gestión'!$P$79="Baja",'Riesgos de Gestión'!$T$79="Moderado"),CONCATENATE("R",'Riesgos de Gestión'!$A$79),"")</f>
        <v/>
      </c>
      <c r="AA36" s="510"/>
      <c r="AB36" s="492" t="str">
        <f>IF(AND('Riesgos de Gestión'!$O$67="Baja",'Riesgos de Gestión'!$S$67="Mayor"),CONCATENATE("R",'Riesgos de Gestión'!$A$67),"")</f>
        <v/>
      </c>
      <c r="AC36" s="488"/>
      <c r="AD36" s="488" t="str">
        <f>IF(AND('Riesgos de Gestión'!$P$73="Baja",'Riesgos de Gestión'!$T$73="Mayor"),CONCATENATE("R",'Riesgos de Gestión'!$A$73),"")</f>
        <v/>
      </c>
      <c r="AE36" s="488"/>
      <c r="AF36" s="488" t="str">
        <f>IF(AND('Riesgos de Gestión'!$P$79="Baja",'Riesgos de Gestión'!$T$79="Mayor"),CONCATENATE("R",'Riesgos de Gestión'!$A$79),"")</f>
        <v/>
      </c>
      <c r="AG36" s="489"/>
      <c r="AH36" s="499" t="str">
        <f>IF(AND('Riesgos de Gestión'!$O$67="Baja",'Riesgos de Gestión'!$S$67="Catastrófico"),CONCATENATE("R",'Riesgos de Gestión'!$A$67),"")</f>
        <v/>
      </c>
      <c r="AI36" s="500"/>
      <c r="AJ36" s="500" t="str">
        <f>IF(AND('Riesgos de Gestión'!$P$73="Baja",'Riesgos de Gestión'!$T$73="Catastrófico"),CONCATENATE("R",'Riesgos de Gestión'!$A$73),"")</f>
        <v/>
      </c>
      <c r="AK36" s="500"/>
      <c r="AL36" s="500" t="str">
        <f>IF(AND('Riesgos de Gestión'!$P$79="Baja",'Riesgos de Gestión'!$T$79="Catastrófico"),CONCATENATE("R",'Riesgos de Gestión'!$A$79),"")</f>
        <v/>
      </c>
      <c r="AM36" s="501"/>
      <c r="AN36" s="66"/>
      <c r="AO36" s="473"/>
      <c r="AP36" s="474"/>
      <c r="AQ36" s="474"/>
      <c r="AR36" s="474"/>
      <c r="AS36" s="474"/>
      <c r="AT36" s="47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41"/>
      <c r="C37" s="441"/>
      <c r="D37" s="442"/>
      <c r="E37" s="485"/>
      <c r="F37" s="486"/>
      <c r="G37" s="486"/>
      <c r="H37" s="486"/>
      <c r="I37" s="486"/>
      <c r="J37" s="520"/>
      <c r="K37" s="521"/>
      <c r="L37" s="521"/>
      <c r="M37" s="521"/>
      <c r="N37" s="521"/>
      <c r="O37" s="522"/>
      <c r="P37" s="512"/>
      <c r="Q37" s="512"/>
      <c r="R37" s="512"/>
      <c r="S37" s="512"/>
      <c r="T37" s="512"/>
      <c r="U37" s="513"/>
      <c r="V37" s="511"/>
      <c r="W37" s="512"/>
      <c r="X37" s="512"/>
      <c r="Y37" s="512"/>
      <c r="Z37" s="512"/>
      <c r="AA37" s="513"/>
      <c r="AB37" s="496"/>
      <c r="AC37" s="497"/>
      <c r="AD37" s="497"/>
      <c r="AE37" s="497"/>
      <c r="AF37" s="497"/>
      <c r="AG37" s="498"/>
      <c r="AH37" s="502"/>
      <c r="AI37" s="503"/>
      <c r="AJ37" s="503"/>
      <c r="AK37" s="503"/>
      <c r="AL37" s="503"/>
      <c r="AM37" s="504"/>
      <c r="AN37" s="66"/>
      <c r="AO37" s="476"/>
      <c r="AP37" s="477"/>
      <c r="AQ37" s="477"/>
      <c r="AR37" s="477"/>
      <c r="AS37" s="477"/>
      <c r="AT37" s="47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41"/>
      <c r="C38" s="441"/>
      <c r="D38" s="442"/>
      <c r="E38" s="479" t="s">
        <v>290</v>
      </c>
      <c r="F38" s="480"/>
      <c r="G38" s="480"/>
      <c r="H38" s="480"/>
      <c r="I38" s="481"/>
      <c r="J38" s="523" t="str">
        <f>IF(AND('Riesgos de Gestión'!$O$13="Muy Baja",'Riesgos de Gestión'!$S$13="Leve"),CONCATENATE("R",'Riesgos de Gestión'!$A$13),"")</f>
        <v/>
      </c>
      <c r="K38" s="524"/>
      <c r="L38" s="524" t="str">
        <f>IF(AND('Riesgos de Gestión'!$O$19="Muy Baja",'Riesgos de Gestión'!$S$19="Leve"),CONCATENATE("R",'Riesgos de Gestión'!$A$19),"")</f>
        <v/>
      </c>
      <c r="M38" s="524"/>
      <c r="N38" s="524" t="str">
        <f>IF(AND('Riesgos de Gestión'!$O$25="Muy Baja",'Riesgos de Gestión'!$S$25="Leve"),CONCATENATE("R",'Riesgos de Gestión'!$A$25),"")</f>
        <v/>
      </c>
      <c r="O38" s="525"/>
      <c r="P38" s="523" t="str">
        <f>IF(AND('Riesgos de Gestión'!$O$13="Muy Baja",'Riesgos de Gestión'!$S$13="Menor"),CONCATENATE("R",'Riesgos de Gestión'!$A$13),"")</f>
        <v/>
      </c>
      <c r="Q38" s="524"/>
      <c r="R38" s="524" t="str">
        <f>IF(AND('Riesgos de Gestión'!$O$19="Muy Baja",'Riesgos de Gestión'!$S$19="Menor"),CONCATENATE("R",'Riesgos de Gestión'!$A$19),"")</f>
        <v/>
      </c>
      <c r="S38" s="524"/>
      <c r="T38" s="524" t="str">
        <f>IF(AND('Riesgos de Gestión'!$O$25="Muy Baja",'Riesgos de Gestión'!$S$25="Menor"),CONCATENATE("R",'Riesgos de Gestión'!$A$25),"")</f>
        <v/>
      </c>
      <c r="U38" s="525"/>
      <c r="V38" s="514" t="str">
        <f>IF(AND('Riesgos de Gestión'!$O$13="Muy Baja",'Riesgos de Gestión'!$S$13="Moderado"),CONCATENATE("R",'Riesgos de Gestión'!$A$13),"")</f>
        <v/>
      </c>
      <c r="W38" s="515"/>
      <c r="X38" s="515" t="str">
        <f>IF(AND('Riesgos de Gestión'!$O$19="Muy Baja",'Riesgos de Gestión'!$S$19="Moderado"),CONCATENATE("R",'Riesgos de Gestión'!$A$19),"")</f>
        <v/>
      </c>
      <c r="Y38" s="515"/>
      <c r="Z38" s="515" t="str">
        <f>IF(AND('Riesgos de Gestión'!$O$25="Muy Baja",'Riesgos de Gestión'!$S$25="Moderado"),CONCATENATE("R",'Riesgos de Gestión'!$A$25),"")</f>
        <v/>
      </c>
      <c r="AA38" s="516"/>
      <c r="AB38" s="490" t="str">
        <f>IF(AND('Riesgos de Gestión'!$O$13="Muy Baja",'Riesgos de Gestión'!$S$13="Mayor"),CONCATENATE("R",'Riesgos de Gestión'!$A$13),"")</f>
        <v/>
      </c>
      <c r="AC38" s="491"/>
      <c r="AD38" s="491" t="str">
        <f>IF(AND('Riesgos de Gestión'!$O$19="Muy Baja",'Riesgos de Gestión'!$S$19="Mayor"),CONCATENATE("R",'Riesgos de Gestión'!$A$19),"")</f>
        <v/>
      </c>
      <c r="AE38" s="491"/>
      <c r="AF38" s="491" t="str">
        <f>IF(AND('Riesgos de Gestión'!$O$25="Muy Baja",'Riesgos de Gestión'!$S$25="Mayor"),CONCATENATE("R",'Riesgos de Gestión'!$A$25),"")</f>
        <v/>
      </c>
      <c r="AG38" s="493"/>
      <c r="AH38" s="505" t="str">
        <f>IF(AND('Riesgos de Gestión'!$O$13="Muy Baja",'Riesgos de Gestión'!$S$13="Catastrófico"),CONCATENATE("R",'Riesgos de Gestión'!$A$13),"")</f>
        <v/>
      </c>
      <c r="AI38" s="506"/>
      <c r="AJ38" s="506" t="str">
        <f>IF(AND('Riesgos de Gestión'!$O$19="Muy Baja",'Riesgos de Gestión'!$S$19="Catastrófico"),CONCATENATE("R",'Riesgos de Gestión'!$A$19),"")</f>
        <v/>
      </c>
      <c r="AK38" s="506"/>
      <c r="AL38" s="506" t="str">
        <f>IF(AND('Riesgos de Gestión'!$O$25="Muy Baja",'Riesgos de Gestión'!$S$25="Catastrófico"),CONCATENATE("R",'Riesgos de Gestión'!$A$25),"")</f>
        <v/>
      </c>
      <c r="AM38" s="507"/>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41"/>
      <c r="C39" s="441"/>
      <c r="D39" s="442"/>
      <c r="E39" s="482"/>
      <c r="F39" s="483"/>
      <c r="G39" s="483"/>
      <c r="H39" s="483"/>
      <c r="I39" s="484"/>
      <c r="J39" s="519"/>
      <c r="K39" s="517"/>
      <c r="L39" s="517"/>
      <c r="M39" s="517"/>
      <c r="N39" s="517"/>
      <c r="O39" s="518"/>
      <c r="P39" s="519"/>
      <c r="Q39" s="517"/>
      <c r="R39" s="517"/>
      <c r="S39" s="517"/>
      <c r="T39" s="517"/>
      <c r="U39" s="518"/>
      <c r="V39" s="508"/>
      <c r="W39" s="509"/>
      <c r="X39" s="509"/>
      <c r="Y39" s="509"/>
      <c r="Z39" s="509"/>
      <c r="AA39" s="510"/>
      <c r="AB39" s="492"/>
      <c r="AC39" s="488"/>
      <c r="AD39" s="488"/>
      <c r="AE39" s="488"/>
      <c r="AF39" s="488"/>
      <c r="AG39" s="489"/>
      <c r="AH39" s="499"/>
      <c r="AI39" s="500"/>
      <c r="AJ39" s="500"/>
      <c r="AK39" s="500"/>
      <c r="AL39" s="500"/>
      <c r="AM39" s="501"/>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41"/>
      <c r="C40" s="441"/>
      <c r="D40" s="442"/>
      <c r="E40" s="482"/>
      <c r="F40" s="483"/>
      <c r="G40" s="483"/>
      <c r="H40" s="483"/>
      <c r="I40" s="484"/>
      <c r="J40" s="519" t="str">
        <f>IF(AND('Riesgos de Gestión'!$O$31="Muy Baja",'Riesgos de Gestión'!$S$31="Leve"),CONCATENATE("R",'Riesgos de Gestión'!$A$31),"")</f>
        <v/>
      </c>
      <c r="K40" s="517"/>
      <c r="L40" s="517" t="str">
        <f>IF(AND('Riesgos de Gestión'!$O$37="Muy Baja",'Riesgos de Gestión'!$S$37="Leve"),CONCATENATE("R",'Riesgos de Gestión'!$A$37),"")</f>
        <v/>
      </c>
      <c r="M40" s="517"/>
      <c r="N40" s="517" t="str">
        <f>IF(AND('Riesgos de Gestión'!$O$43="Muy Baja",'Riesgos de Gestión'!$S$43="Leve"),CONCATENATE("R",'Riesgos de Gestión'!$A$43),"")</f>
        <v/>
      </c>
      <c r="O40" s="518"/>
      <c r="P40" s="519" t="str">
        <f>IF(AND('Riesgos de Gestión'!$O$31="Muy Baja",'Riesgos de Gestión'!$S$31="Menor"),CONCATENATE("R",'Riesgos de Gestión'!$A$31),"")</f>
        <v/>
      </c>
      <c r="Q40" s="517"/>
      <c r="R40" s="517" t="str">
        <f>IF(AND('Riesgos de Gestión'!$O$37="Muy Baja",'Riesgos de Gestión'!$S$37="Menor"),CONCATENATE("R",'Riesgos de Gestión'!$A$37),"")</f>
        <v/>
      </c>
      <c r="S40" s="517"/>
      <c r="T40" s="517" t="str">
        <f>IF(AND('Riesgos de Gestión'!$O$43="Muy Baja",'Riesgos de Gestión'!$S$43="Menor"),CONCATENATE("R",'Riesgos de Gestión'!$A$43),"")</f>
        <v/>
      </c>
      <c r="U40" s="518"/>
      <c r="V40" s="508" t="str">
        <f>IF(AND('Riesgos de Gestión'!$O$31="Muy Baja",'Riesgos de Gestión'!$S$31="Moderado"),CONCATENATE("R",'Riesgos de Gestión'!$A$31),"")</f>
        <v/>
      </c>
      <c r="W40" s="509"/>
      <c r="X40" s="509" t="str">
        <f>IF(AND('Riesgos de Gestión'!$O$37="Muy Baja",'Riesgos de Gestión'!$S$37="Moderado"),CONCATENATE("R",'Riesgos de Gestión'!$A$37),"")</f>
        <v/>
      </c>
      <c r="Y40" s="509"/>
      <c r="Z40" s="509" t="str">
        <f>IF(AND('Riesgos de Gestión'!$O$43="Muy Baja",'Riesgos de Gestión'!$S$43="Moderado"),CONCATENATE("R",'Riesgos de Gestión'!$A$43),"")</f>
        <v/>
      </c>
      <c r="AA40" s="510"/>
      <c r="AB40" s="492" t="str">
        <f>IF(AND('Riesgos de Gestión'!$O$31="Muy Baja",'Riesgos de Gestión'!$S$31="Mayor"),CONCATENATE("R",'Riesgos de Gestión'!$A$31),"")</f>
        <v/>
      </c>
      <c r="AC40" s="488"/>
      <c r="AD40" s="488" t="str">
        <f>IF(AND('Riesgos de Gestión'!$O$37="Muy Baja",'Riesgos de Gestión'!$S$37="Mayor"),CONCATENATE("R",'Riesgos de Gestión'!$A$37),"")</f>
        <v/>
      </c>
      <c r="AE40" s="488"/>
      <c r="AF40" s="488" t="str">
        <f>IF(AND('Riesgos de Gestión'!$O$43="Muy Baja",'Riesgos de Gestión'!$S$43="Mayor"),CONCATENATE("R",'Riesgos de Gestión'!$A$43),"")</f>
        <v/>
      </c>
      <c r="AG40" s="489"/>
      <c r="AH40" s="499" t="str">
        <f>IF(AND('Riesgos de Gestión'!$O$31="Muy Baja",'Riesgos de Gestión'!$S$31="Catastrófico"),CONCATENATE("R",'Riesgos de Gestión'!$A$31),"")</f>
        <v/>
      </c>
      <c r="AI40" s="500"/>
      <c r="AJ40" s="500" t="str">
        <f>IF(AND('Riesgos de Gestión'!$O$37="Muy Baja",'Riesgos de Gestión'!$S$37="Catastrófico"),CONCATENATE("R",'Riesgos de Gestión'!$A$37),"")</f>
        <v/>
      </c>
      <c r="AK40" s="500"/>
      <c r="AL40" s="500" t="str">
        <f>IF(AND('Riesgos de Gestión'!$O$43="Muy Baja",'Riesgos de Gestión'!$S$43="Catastrófico"),CONCATENATE("R",'Riesgos de Gestión'!$A$43),"")</f>
        <v/>
      </c>
      <c r="AM40" s="501"/>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41"/>
      <c r="C41" s="441"/>
      <c r="D41" s="442"/>
      <c r="E41" s="482"/>
      <c r="F41" s="483"/>
      <c r="G41" s="483"/>
      <c r="H41" s="483"/>
      <c r="I41" s="484"/>
      <c r="J41" s="519"/>
      <c r="K41" s="517"/>
      <c r="L41" s="517"/>
      <c r="M41" s="517"/>
      <c r="N41" s="517"/>
      <c r="O41" s="518"/>
      <c r="P41" s="519"/>
      <c r="Q41" s="517"/>
      <c r="R41" s="517"/>
      <c r="S41" s="517"/>
      <c r="T41" s="517"/>
      <c r="U41" s="518"/>
      <c r="V41" s="508"/>
      <c r="W41" s="509"/>
      <c r="X41" s="509"/>
      <c r="Y41" s="509"/>
      <c r="Z41" s="509"/>
      <c r="AA41" s="510"/>
      <c r="AB41" s="492"/>
      <c r="AC41" s="488"/>
      <c r="AD41" s="488"/>
      <c r="AE41" s="488"/>
      <c r="AF41" s="488"/>
      <c r="AG41" s="489"/>
      <c r="AH41" s="499"/>
      <c r="AI41" s="500"/>
      <c r="AJ41" s="500"/>
      <c r="AK41" s="500"/>
      <c r="AL41" s="500"/>
      <c r="AM41" s="501"/>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41"/>
      <c r="C42" s="441"/>
      <c r="D42" s="442"/>
      <c r="E42" s="482"/>
      <c r="F42" s="483"/>
      <c r="G42" s="483"/>
      <c r="H42" s="483"/>
      <c r="I42" s="484"/>
      <c r="J42" s="519" t="str">
        <f>IF(AND('Riesgos de Gestión'!$O$49="Muy Baja",'Riesgos de Gestión'!$S$49="Leve"),CONCATENATE("R",'Riesgos de Gestión'!$A$49),"")</f>
        <v/>
      </c>
      <c r="K42" s="517"/>
      <c r="L42" s="517" t="str">
        <f>IF(AND('Riesgos de Gestión'!$O$55="Muy Baja",'Riesgos de Gestión'!$S$55="Leve"),CONCATENATE("R",'Riesgos de Gestión'!$A$55),"")</f>
        <v/>
      </c>
      <c r="M42" s="517"/>
      <c r="N42" s="517" t="str">
        <f>IF(AND('Riesgos de Gestión'!$O$61="Muy Baja",'Riesgos de Gestión'!$S$61="Leve"),CONCATENATE("R",'Riesgos de Gestión'!$A$61),"")</f>
        <v/>
      </c>
      <c r="O42" s="518"/>
      <c r="P42" s="519" t="str">
        <f>IF(AND('Riesgos de Gestión'!$O$49="Muy Baja",'Riesgos de Gestión'!$S$49="Menor"),CONCATENATE("R",'Riesgos de Gestión'!$A$49),"")</f>
        <v/>
      </c>
      <c r="Q42" s="517"/>
      <c r="R42" s="517" t="str">
        <f>IF(AND('Riesgos de Gestión'!$O$55="Muy Baja",'Riesgos de Gestión'!$S$55="Menor"),CONCATENATE("R",'Riesgos de Gestión'!$A$55),"")</f>
        <v/>
      </c>
      <c r="S42" s="517"/>
      <c r="T42" s="517" t="str">
        <f>IF(AND('Riesgos de Gestión'!$O$61="Muy Baja",'Riesgos de Gestión'!$S$61="Menor"),CONCATENATE("R",'Riesgos de Gestión'!$A$61),"")</f>
        <v/>
      </c>
      <c r="U42" s="518"/>
      <c r="V42" s="508" t="str">
        <f>IF(AND('Riesgos de Gestión'!$O$49="Muy Baja",'Riesgos de Gestión'!$S$49="Moderado"),CONCATENATE("R",'Riesgos de Gestión'!$A$49),"")</f>
        <v/>
      </c>
      <c r="W42" s="509"/>
      <c r="X42" s="509" t="str">
        <f>IF(AND('Riesgos de Gestión'!$O$55="Muy Baja",'Riesgos de Gestión'!$S$55="Moderado"),CONCATENATE("R",'Riesgos de Gestión'!$A$55),"")</f>
        <v/>
      </c>
      <c r="Y42" s="509"/>
      <c r="Z42" s="509" t="str">
        <f>IF(AND('Riesgos de Gestión'!$O$61="Muy Baja",'Riesgos de Gestión'!$S$61="Moderado"),CONCATENATE("R",'Riesgos de Gestión'!$A$61),"")</f>
        <v/>
      </c>
      <c r="AA42" s="510"/>
      <c r="AB42" s="492" t="str">
        <f>IF(AND('Riesgos de Gestión'!$O$49="Muy Baja",'Riesgos de Gestión'!$S$49="Mayor"),CONCATENATE("R",'Riesgos de Gestión'!$A$49),"")</f>
        <v/>
      </c>
      <c r="AC42" s="488"/>
      <c r="AD42" s="488" t="str">
        <f>IF(AND('Riesgos de Gestión'!$O$55="Muy Baja",'Riesgos de Gestión'!$S$55="Mayor"),CONCATENATE("R",'Riesgos de Gestión'!$A$55),"")</f>
        <v/>
      </c>
      <c r="AE42" s="488"/>
      <c r="AF42" s="488" t="str">
        <f>IF(AND('Riesgos de Gestión'!$O$61="Muy Baja",'Riesgos de Gestión'!$S$61="Mayor"),CONCATENATE("R",'Riesgos de Gestión'!$A$61),"")</f>
        <v/>
      </c>
      <c r="AG42" s="489"/>
      <c r="AH42" s="499" t="str">
        <f>IF(AND('Riesgos de Gestión'!$O$49="Muy Baja",'Riesgos de Gestión'!$S$49="Catastrófico"),CONCATENATE("R",'Riesgos de Gestión'!$A$49),"")</f>
        <v/>
      </c>
      <c r="AI42" s="500"/>
      <c r="AJ42" s="500" t="str">
        <f>IF(AND('Riesgos de Gestión'!$O$55="Muy Baja",'Riesgos de Gestión'!$S$55="Catastrófico"),CONCATENATE("R",'Riesgos de Gestión'!$A$55),"")</f>
        <v/>
      </c>
      <c r="AK42" s="500"/>
      <c r="AL42" s="500" t="str">
        <f>IF(AND('Riesgos de Gestión'!$O$61="Muy Baja",'Riesgos de Gestión'!$S$61="Catastrófico"),CONCATENATE("R",'Riesgos de Gestión'!$A$61),"")</f>
        <v/>
      </c>
      <c r="AM42" s="501"/>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41"/>
      <c r="C43" s="441"/>
      <c r="D43" s="442"/>
      <c r="E43" s="482"/>
      <c r="F43" s="483"/>
      <c r="G43" s="483"/>
      <c r="H43" s="483"/>
      <c r="I43" s="484"/>
      <c r="J43" s="519"/>
      <c r="K43" s="517"/>
      <c r="L43" s="517"/>
      <c r="M43" s="517"/>
      <c r="N43" s="517"/>
      <c r="O43" s="518"/>
      <c r="P43" s="519"/>
      <c r="Q43" s="517"/>
      <c r="R43" s="517"/>
      <c r="S43" s="517"/>
      <c r="T43" s="517"/>
      <c r="U43" s="518"/>
      <c r="V43" s="508"/>
      <c r="W43" s="509"/>
      <c r="X43" s="509"/>
      <c r="Y43" s="509"/>
      <c r="Z43" s="509"/>
      <c r="AA43" s="510"/>
      <c r="AB43" s="492"/>
      <c r="AC43" s="488"/>
      <c r="AD43" s="488"/>
      <c r="AE43" s="488"/>
      <c r="AF43" s="488"/>
      <c r="AG43" s="489"/>
      <c r="AH43" s="499"/>
      <c r="AI43" s="500"/>
      <c r="AJ43" s="500"/>
      <c r="AK43" s="500"/>
      <c r="AL43" s="500"/>
      <c r="AM43" s="501"/>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41"/>
      <c r="C44" s="441"/>
      <c r="D44" s="442"/>
      <c r="E44" s="482"/>
      <c r="F44" s="483"/>
      <c r="G44" s="483"/>
      <c r="H44" s="483"/>
      <c r="I44" s="484"/>
      <c r="J44" s="519" t="str">
        <f>IF(AND('Riesgos de Gestión'!$O$67="Muy Baja",'Riesgos de Gestión'!$S$67="Leve"),CONCATENATE("R",'Riesgos de Gestión'!$A$67),"")</f>
        <v/>
      </c>
      <c r="K44" s="517"/>
      <c r="L44" s="517" t="str">
        <f>IF(AND('Riesgos de Gestión'!$P$73="Muy Baja",'Riesgos de Gestión'!$T$73="Leve"),CONCATENATE("R",'Riesgos de Gestión'!$A$73),"")</f>
        <v/>
      </c>
      <c r="M44" s="517"/>
      <c r="N44" s="517" t="str">
        <f>IF(AND('Riesgos de Gestión'!$P$79="Muy Baja",'Riesgos de Gestión'!$T$79="Leve"),CONCATENATE("R",'Riesgos de Gestión'!$A$79),"")</f>
        <v/>
      </c>
      <c r="O44" s="518"/>
      <c r="P44" s="519" t="str">
        <f>IF(AND('Riesgos de Gestión'!$O$67="Muy Baja",'Riesgos de Gestión'!$S$67="Menor"),CONCATENATE("R",'Riesgos de Gestión'!$A$67),"")</f>
        <v/>
      </c>
      <c r="Q44" s="517"/>
      <c r="R44" s="517" t="str">
        <f>IF(AND('Riesgos de Gestión'!$P$73="Muy Baja",'Riesgos de Gestión'!$T$73="Menor"),CONCATENATE("R",'Riesgos de Gestión'!$A$73),"")</f>
        <v/>
      </c>
      <c r="S44" s="517"/>
      <c r="T44" s="517" t="str">
        <f>IF(AND('Riesgos de Gestión'!$P$79="Muy Baja",'Riesgos de Gestión'!$T$79="Menor"),CONCATENATE("R",'Riesgos de Gestión'!$A$79),"")</f>
        <v/>
      </c>
      <c r="U44" s="518"/>
      <c r="V44" s="508" t="str">
        <f>IF(AND('Riesgos de Gestión'!$O$67="Muy Baja",'Riesgos de Gestión'!$S$67="Moderado"),CONCATENATE("R",'Riesgos de Gestión'!$A$67),"")</f>
        <v/>
      </c>
      <c r="W44" s="509"/>
      <c r="X44" s="509" t="str">
        <f>IF(AND('Riesgos de Gestión'!$P$73="Muy Baja",'Riesgos de Gestión'!$T$73="Moderado"),CONCATENATE("R",'Riesgos de Gestión'!$A$73),"")</f>
        <v/>
      </c>
      <c r="Y44" s="509"/>
      <c r="Z44" s="509" t="str">
        <f>IF(AND('Riesgos de Gestión'!$P$79="Muy Baja",'Riesgos de Gestión'!$T$79="Moderado"),CONCATENATE("R",'Riesgos de Gestión'!$A$79),"")</f>
        <v/>
      </c>
      <c r="AA44" s="510"/>
      <c r="AB44" s="492" t="str">
        <f>IF(AND('Riesgos de Gestión'!$O$67="Muy Baja",'Riesgos de Gestión'!$S$67="Mayor"),CONCATENATE("R",'Riesgos de Gestión'!$A$67),"")</f>
        <v/>
      </c>
      <c r="AC44" s="488"/>
      <c r="AD44" s="488" t="str">
        <f>IF(AND('Riesgos de Gestión'!$P$73="Muy Baja",'Riesgos de Gestión'!$T$73="Mayor"),CONCATENATE("R",'Riesgos de Gestión'!$A$73),"")</f>
        <v/>
      </c>
      <c r="AE44" s="488"/>
      <c r="AF44" s="488" t="str">
        <f>IF(AND('Riesgos de Gestión'!$P$79="Muy Baja",'Riesgos de Gestión'!$T$79="Mayor"),CONCATENATE("R",'Riesgos de Gestión'!$A$79),"")</f>
        <v/>
      </c>
      <c r="AG44" s="489"/>
      <c r="AH44" s="499" t="str">
        <f>IF(AND('Riesgos de Gestión'!$O$67="Muy Baja",'Riesgos de Gestión'!$S$67="Catastrófico"),CONCATENATE("R",'Riesgos de Gestión'!$A$67),"")</f>
        <v/>
      </c>
      <c r="AI44" s="500"/>
      <c r="AJ44" s="500" t="str">
        <f>IF(AND('Riesgos de Gestión'!$P$73="Muy Baja",'Riesgos de Gestión'!$T$73="Catastrófico"),CONCATENATE("R",'Riesgos de Gestión'!$A$73),"")</f>
        <v/>
      </c>
      <c r="AK44" s="500"/>
      <c r="AL44" s="500" t="str">
        <f>IF(AND('Riesgos de Gestión'!$P$79="Muy Baja",'Riesgos de Gestión'!$T$79="Catastrófico"),CONCATENATE("R",'Riesgos de Gestión'!$A$79),"")</f>
        <v/>
      </c>
      <c r="AM44" s="501"/>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41"/>
      <c r="C45" s="441"/>
      <c r="D45" s="442"/>
      <c r="E45" s="485"/>
      <c r="F45" s="486"/>
      <c r="G45" s="486"/>
      <c r="H45" s="486"/>
      <c r="I45" s="487"/>
      <c r="J45" s="520"/>
      <c r="K45" s="521"/>
      <c r="L45" s="521"/>
      <c r="M45" s="521"/>
      <c r="N45" s="521"/>
      <c r="O45" s="522"/>
      <c r="P45" s="520"/>
      <c r="Q45" s="521"/>
      <c r="R45" s="521"/>
      <c r="S45" s="521"/>
      <c r="T45" s="521"/>
      <c r="U45" s="522"/>
      <c r="V45" s="511"/>
      <c r="W45" s="512"/>
      <c r="X45" s="512"/>
      <c r="Y45" s="512"/>
      <c r="Z45" s="512"/>
      <c r="AA45" s="513"/>
      <c r="AB45" s="496"/>
      <c r="AC45" s="497"/>
      <c r="AD45" s="497"/>
      <c r="AE45" s="497"/>
      <c r="AF45" s="497"/>
      <c r="AG45" s="498"/>
      <c r="AH45" s="502"/>
      <c r="AI45" s="503"/>
      <c r="AJ45" s="503"/>
      <c r="AK45" s="503"/>
      <c r="AL45" s="503"/>
      <c r="AM45" s="504"/>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79" t="s">
        <v>291</v>
      </c>
      <c r="K46" s="480"/>
      <c r="L46" s="480"/>
      <c r="M46" s="480"/>
      <c r="N46" s="480"/>
      <c r="O46" s="481"/>
      <c r="P46" s="479" t="s">
        <v>292</v>
      </c>
      <c r="Q46" s="480"/>
      <c r="R46" s="480"/>
      <c r="S46" s="480"/>
      <c r="T46" s="480"/>
      <c r="U46" s="481"/>
      <c r="V46" s="479" t="s">
        <v>293</v>
      </c>
      <c r="W46" s="480"/>
      <c r="X46" s="480"/>
      <c r="Y46" s="480"/>
      <c r="Z46" s="480"/>
      <c r="AA46" s="481"/>
      <c r="AB46" s="479" t="s">
        <v>294</v>
      </c>
      <c r="AC46" s="495"/>
      <c r="AD46" s="480"/>
      <c r="AE46" s="480"/>
      <c r="AF46" s="480"/>
      <c r="AG46" s="481"/>
      <c r="AH46" s="479" t="s">
        <v>295</v>
      </c>
      <c r="AI46" s="480"/>
      <c r="AJ46" s="480"/>
      <c r="AK46" s="480"/>
      <c r="AL46" s="480"/>
      <c r="AM46" s="481"/>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82"/>
      <c r="K47" s="483"/>
      <c r="L47" s="483"/>
      <c r="M47" s="483"/>
      <c r="N47" s="483"/>
      <c r="O47" s="484"/>
      <c r="P47" s="482"/>
      <c r="Q47" s="483"/>
      <c r="R47" s="483"/>
      <c r="S47" s="483"/>
      <c r="T47" s="483"/>
      <c r="U47" s="484"/>
      <c r="V47" s="482"/>
      <c r="W47" s="483"/>
      <c r="X47" s="483"/>
      <c r="Y47" s="483"/>
      <c r="Z47" s="483"/>
      <c r="AA47" s="484"/>
      <c r="AB47" s="482"/>
      <c r="AC47" s="483"/>
      <c r="AD47" s="483"/>
      <c r="AE47" s="483"/>
      <c r="AF47" s="483"/>
      <c r="AG47" s="484"/>
      <c r="AH47" s="482"/>
      <c r="AI47" s="483"/>
      <c r="AJ47" s="483"/>
      <c r="AK47" s="483"/>
      <c r="AL47" s="483"/>
      <c r="AM47" s="484"/>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82"/>
      <c r="K48" s="483"/>
      <c r="L48" s="483"/>
      <c r="M48" s="483"/>
      <c r="N48" s="483"/>
      <c r="O48" s="484"/>
      <c r="P48" s="482"/>
      <c r="Q48" s="483"/>
      <c r="R48" s="483"/>
      <c r="S48" s="483"/>
      <c r="T48" s="483"/>
      <c r="U48" s="484"/>
      <c r="V48" s="482"/>
      <c r="W48" s="483"/>
      <c r="X48" s="483"/>
      <c r="Y48" s="483"/>
      <c r="Z48" s="483"/>
      <c r="AA48" s="484"/>
      <c r="AB48" s="482"/>
      <c r="AC48" s="483"/>
      <c r="AD48" s="483"/>
      <c r="AE48" s="483"/>
      <c r="AF48" s="483"/>
      <c r="AG48" s="484"/>
      <c r="AH48" s="482"/>
      <c r="AI48" s="483"/>
      <c r="AJ48" s="483"/>
      <c r="AK48" s="483"/>
      <c r="AL48" s="483"/>
      <c r="AM48" s="484"/>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82"/>
      <c r="K49" s="483"/>
      <c r="L49" s="483"/>
      <c r="M49" s="483"/>
      <c r="N49" s="483"/>
      <c r="O49" s="484"/>
      <c r="P49" s="482"/>
      <c r="Q49" s="483"/>
      <c r="R49" s="483"/>
      <c r="S49" s="483"/>
      <c r="T49" s="483"/>
      <c r="U49" s="484"/>
      <c r="V49" s="482"/>
      <c r="W49" s="483"/>
      <c r="X49" s="483"/>
      <c r="Y49" s="483"/>
      <c r="Z49" s="483"/>
      <c r="AA49" s="484"/>
      <c r="AB49" s="482"/>
      <c r="AC49" s="483"/>
      <c r="AD49" s="483"/>
      <c r="AE49" s="483"/>
      <c r="AF49" s="483"/>
      <c r="AG49" s="484"/>
      <c r="AH49" s="482"/>
      <c r="AI49" s="483"/>
      <c r="AJ49" s="483"/>
      <c r="AK49" s="483"/>
      <c r="AL49" s="483"/>
      <c r="AM49" s="484"/>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82"/>
      <c r="K50" s="483"/>
      <c r="L50" s="483"/>
      <c r="M50" s="483"/>
      <c r="N50" s="483"/>
      <c r="O50" s="484"/>
      <c r="P50" s="482"/>
      <c r="Q50" s="483"/>
      <c r="R50" s="483"/>
      <c r="S50" s="483"/>
      <c r="T50" s="483"/>
      <c r="U50" s="484"/>
      <c r="V50" s="482"/>
      <c r="W50" s="483"/>
      <c r="X50" s="483"/>
      <c r="Y50" s="483"/>
      <c r="Z50" s="483"/>
      <c r="AA50" s="484"/>
      <c r="AB50" s="482"/>
      <c r="AC50" s="483"/>
      <c r="AD50" s="483"/>
      <c r="AE50" s="483"/>
      <c r="AF50" s="483"/>
      <c r="AG50" s="484"/>
      <c r="AH50" s="482"/>
      <c r="AI50" s="483"/>
      <c r="AJ50" s="483"/>
      <c r="AK50" s="483"/>
      <c r="AL50" s="483"/>
      <c r="AM50" s="484"/>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85"/>
      <c r="K51" s="486"/>
      <c r="L51" s="486"/>
      <c r="M51" s="486"/>
      <c r="N51" s="486"/>
      <c r="O51" s="487"/>
      <c r="P51" s="485"/>
      <c r="Q51" s="486"/>
      <c r="R51" s="486"/>
      <c r="S51" s="486"/>
      <c r="T51" s="486"/>
      <c r="U51" s="487"/>
      <c r="V51" s="485"/>
      <c r="W51" s="486"/>
      <c r="X51" s="486"/>
      <c r="Y51" s="486"/>
      <c r="Z51" s="486"/>
      <c r="AA51" s="487"/>
      <c r="AB51" s="485"/>
      <c r="AC51" s="486"/>
      <c r="AD51" s="486"/>
      <c r="AE51" s="486"/>
      <c r="AF51" s="486"/>
      <c r="AG51" s="487"/>
      <c r="AH51" s="485"/>
      <c r="AI51" s="486"/>
      <c r="AJ51" s="486"/>
      <c r="AK51" s="486"/>
      <c r="AL51" s="486"/>
      <c r="AM51" s="487"/>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K10" zoomScale="55" zoomScaleNormal="55" workbookViewId="0">
      <selection activeCell="J2" sqref="J2:AM4"/>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52" t="s">
        <v>296</v>
      </c>
      <c r="C2" s="553"/>
      <c r="D2" s="553"/>
      <c r="E2" s="553"/>
      <c r="F2" s="553"/>
      <c r="G2" s="553"/>
      <c r="H2" s="553"/>
      <c r="I2" s="553"/>
      <c r="J2" s="494" t="s">
        <v>15</v>
      </c>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53"/>
      <c r="C3" s="553"/>
      <c r="D3" s="553"/>
      <c r="E3" s="553"/>
      <c r="F3" s="553"/>
      <c r="G3" s="553"/>
      <c r="H3" s="553"/>
      <c r="I3" s="553"/>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53"/>
      <c r="C4" s="553"/>
      <c r="D4" s="553"/>
      <c r="E4" s="553"/>
      <c r="F4" s="553"/>
      <c r="G4" s="553"/>
      <c r="H4" s="553"/>
      <c r="I4" s="553"/>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41" t="s">
        <v>281</v>
      </c>
      <c r="C6" s="441"/>
      <c r="D6" s="442"/>
      <c r="E6" s="536" t="s">
        <v>282</v>
      </c>
      <c r="F6" s="537"/>
      <c r="G6" s="537"/>
      <c r="H6" s="537"/>
      <c r="I6" s="554"/>
      <c r="J6" s="29" t="str">
        <f>IF(AND('Riesgos de Gestión'!$AI$13="Muy Alta",'Riesgos de Gestión'!$AK$13="Leve"),CONCATENATE("R1C",'Riesgos de Gestión'!$V$13),"")</f>
        <v/>
      </c>
      <c r="K6" s="30" t="str">
        <f>IF(AND('Riesgos de Gestión'!$AI$14="Muy Alta",'Riesgos de Gestión'!$AK$14="Leve"),CONCATENATE("R1C",'Riesgos de Gestión'!$V$14),"")</f>
        <v/>
      </c>
      <c r="L6" s="30" t="e">
        <f>IF(AND('Riesgos de Gestión'!#REF!="Muy Alta",'Riesgos de Gestión'!#REF!="Leve"),CONCATENATE("R1C",'Riesgos de Gestión'!#REF!),"")</f>
        <v>#REF!</v>
      </c>
      <c r="M6" s="30" t="e">
        <f>IF(AND('Riesgos de Gestión'!#REF!="Muy Alta",'Riesgos de Gestión'!#REF!="Leve"),CONCATENATE("R1C",'Riesgos de Gestión'!#REF!),"")</f>
        <v>#REF!</v>
      </c>
      <c r="N6" s="30" t="e">
        <f>IF(AND('Riesgos de Gestión'!#REF!="Muy Alta",'Riesgos de Gestión'!#REF!="Leve"),CONCATENATE("R1C",'Riesgos de Gestión'!#REF!),"")</f>
        <v>#REF!</v>
      </c>
      <c r="O6" s="31" t="e">
        <f>IF(AND('Riesgos de Gestión'!#REF!="Muy Alta",'Riesgos de Gestión'!#REF!="Leve"),CONCATENATE("R1C",'Riesgos de Gestión'!#REF!),"")</f>
        <v>#REF!</v>
      </c>
      <c r="P6" s="29" t="str">
        <f>IF(AND('Riesgos de Gestión'!$AI$13="Muy Alta",'Riesgos de Gestión'!$AK$13="Menor"),CONCATENATE("R1C",'Riesgos de Gestión'!$V$13),"")</f>
        <v/>
      </c>
      <c r="Q6" s="30" t="str">
        <f>IF(AND('Riesgos de Gestión'!$AI$14="Muy Alta",'Riesgos de Gestión'!$AK$14="Menor"),CONCATENATE("R1C",'Riesgos de Gestión'!$V$14),"")</f>
        <v/>
      </c>
      <c r="R6" s="30" t="e">
        <f>IF(AND('Riesgos de Gestión'!#REF!="Muy Alta",'Riesgos de Gestión'!#REF!="Menor"),CONCATENATE("R1C",'Riesgos de Gestión'!#REF!),"")</f>
        <v>#REF!</v>
      </c>
      <c r="S6" s="30" t="e">
        <f>IF(AND('Riesgos de Gestión'!#REF!="Muy Alta",'Riesgos de Gestión'!#REF!="Menor"),CONCATENATE("R1C",'Riesgos de Gestión'!#REF!),"")</f>
        <v>#REF!</v>
      </c>
      <c r="T6" s="30" t="e">
        <f>IF(AND('Riesgos de Gestión'!#REF!="Muy Alta",'Riesgos de Gestión'!#REF!="Menor"),CONCATENATE("R1C",'Riesgos de Gestión'!#REF!),"")</f>
        <v>#REF!</v>
      </c>
      <c r="U6" s="31" t="e">
        <f>IF(AND('Riesgos de Gestión'!#REF!="Muy Alta",'Riesgos de Gestión'!#REF!="Menor"),CONCATENATE("R1C",'Riesgos de Gestión'!#REF!),"")</f>
        <v>#REF!</v>
      </c>
      <c r="V6" s="29" t="str">
        <f>IF(AND('Riesgos de Gestión'!$AI$13="Muy Alta",'Riesgos de Gestión'!$AK$13="Moderado"),CONCATENATE("R1C",'Riesgos de Gestión'!$V$13),"")</f>
        <v/>
      </c>
      <c r="W6" s="30" t="str">
        <f>IF(AND('Riesgos de Gestión'!$AI$14="Muy Alta",'Riesgos de Gestión'!$AK$14="Moderado"),CONCATENATE("R1C",'Riesgos de Gestión'!$V$14),"")</f>
        <v/>
      </c>
      <c r="X6" s="30" t="e">
        <f>IF(AND('Riesgos de Gestión'!#REF!="Muy Alta",'Riesgos de Gestión'!#REF!="Moderado"),CONCATENATE("R1C",'Riesgos de Gestión'!#REF!),"")</f>
        <v>#REF!</v>
      </c>
      <c r="Y6" s="30" t="e">
        <f>IF(AND('Riesgos de Gestión'!#REF!="Muy Alta",'Riesgos de Gestión'!#REF!="Moderado"),CONCATENATE("R1C",'Riesgos de Gestión'!#REF!),"")</f>
        <v>#REF!</v>
      </c>
      <c r="Z6" s="30" t="e">
        <f>IF(AND('Riesgos de Gestión'!#REF!="Muy Alta",'Riesgos de Gestión'!#REF!="Moderado"),CONCATENATE("R1C",'Riesgos de Gestión'!#REF!),"")</f>
        <v>#REF!</v>
      </c>
      <c r="AA6" s="31" t="e">
        <f>IF(AND('Riesgos de Gestión'!#REF!="Muy Alta",'Riesgos de Gestión'!#REF!="Moderado"),CONCATENATE("R1C",'Riesgos de Gestión'!#REF!),"")</f>
        <v>#REF!</v>
      </c>
      <c r="AB6" s="29" t="str">
        <f>IF(AND('Riesgos de Gestión'!$AI$13="Muy Alta",'Riesgos de Gestión'!$AK$13="Mayor"),CONCATENATE("R1C",'Riesgos de Gestión'!$V$13),"")</f>
        <v/>
      </c>
      <c r="AC6" s="30" t="str">
        <f>IF(AND('Riesgos de Gestión'!$AI$14="Muy Alta",'Riesgos de Gestión'!$AK$14="Mayor"),CONCATENATE("R1C",'Riesgos de Gestión'!$V$14),"")</f>
        <v/>
      </c>
      <c r="AD6" s="30" t="e">
        <f>IF(AND('Riesgos de Gestión'!#REF!="Muy Alta",'Riesgos de Gestión'!#REF!="Mayor"),CONCATENATE("R1C",'Riesgos de Gestión'!#REF!),"")</f>
        <v>#REF!</v>
      </c>
      <c r="AE6" s="30" t="e">
        <f>IF(AND('Riesgos de Gestión'!#REF!="Muy Alta",'Riesgos de Gestión'!#REF!="Mayor"),CONCATENATE("R1C",'Riesgos de Gestión'!#REF!),"")</f>
        <v>#REF!</v>
      </c>
      <c r="AF6" s="30" t="e">
        <f>IF(AND('Riesgos de Gestión'!#REF!="Muy Alta",'Riesgos de Gestión'!#REF!="Mayor"),CONCATENATE("R1C",'Riesgos de Gestión'!#REF!),"")</f>
        <v>#REF!</v>
      </c>
      <c r="AG6" s="31" t="e">
        <f>IF(AND('Riesgos de Gestión'!#REF!="Muy Alta",'Riesgos de Gestión'!#REF!="Mayor"),CONCATENATE("R1C",'Riesgos de Gestión'!#REF!),"")</f>
        <v>#REF!</v>
      </c>
      <c r="AH6" s="32" t="str">
        <f>IF(AND('Riesgos de Gestión'!$AI$13="Muy Alta",'Riesgos de Gestión'!$AK$13="Catastrófico"),CONCATENATE("R1C",'Riesgos de Gestión'!$V$13),"")</f>
        <v/>
      </c>
      <c r="AI6" s="33" t="str">
        <f>IF(AND('Riesgos de Gestión'!$AI$14="Muy Alta",'Riesgos de Gestión'!$AK$14="Catastrófico"),CONCATENATE("R1C",'Riesgos de Gestión'!$V$14),"")</f>
        <v/>
      </c>
      <c r="AJ6" s="33" t="e">
        <f>IF(AND('Riesgos de Gestión'!#REF!="Muy Alta",'Riesgos de Gestión'!#REF!="Catastrófico"),CONCATENATE("R1C",'Riesgos de Gestión'!#REF!),"")</f>
        <v>#REF!</v>
      </c>
      <c r="AK6" s="33" t="e">
        <f>IF(AND('Riesgos de Gestión'!#REF!="Muy Alta",'Riesgos de Gestión'!#REF!="Catastrófico"),CONCATENATE("R1C",'Riesgos de Gestión'!#REF!),"")</f>
        <v>#REF!</v>
      </c>
      <c r="AL6" s="33" t="e">
        <f>IF(AND('Riesgos de Gestión'!#REF!="Muy Alta",'Riesgos de Gestión'!#REF!="Catastrófico"),CONCATENATE("R1C",'Riesgos de Gestión'!#REF!),"")</f>
        <v>#REF!</v>
      </c>
      <c r="AM6" s="34" t="e">
        <f>IF(AND('Riesgos de Gestión'!#REF!="Muy Alta",'Riesgos de Gestión'!#REF!="Catastrófico"),CONCATENATE("R1C",'Riesgos de Gestión'!#REF!),"")</f>
        <v>#REF!</v>
      </c>
      <c r="AN6" s="66"/>
      <c r="AO6" s="543" t="s">
        <v>283</v>
      </c>
      <c r="AP6" s="544"/>
      <c r="AQ6" s="544"/>
      <c r="AR6" s="544"/>
      <c r="AS6" s="544"/>
      <c r="AT6" s="545"/>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41"/>
      <c r="C7" s="441"/>
      <c r="D7" s="442"/>
      <c r="E7" s="540"/>
      <c r="F7" s="539"/>
      <c r="G7" s="539"/>
      <c r="H7" s="539"/>
      <c r="I7" s="555"/>
      <c r="J7" s="35" t="str">
        <f>IF(AND('Riesgos de Gestión'!$AI$19="Muy Alta",'Riesgos de Gestión'!$AK$19="Leve"),CONCATENATE("R2C",'Riesgos de Gestión'!$V$19),"")</f>
        <v/>
      </c>
      <c r="K7" s="36" t="str">
        <f>IF(AND('Riesgos de Gestión'!$AI$20="Muy Alta",'Riesgos de Gestión'!$AK$20="Leve"),CONCATENATE("R2C",'Riesgos de Gestión'!$V$20),"")</f>
        <v/>
      </c>
      <c r="L7" s="36" t="str">
        <f>IF(AND('Riesgos de Gestión'!$AI$21="Muy Alta",'Riesgos de Gestión'!$AK$21="Leve"),CONCATENATE("R2C",'Riesgos de Gestión'!$V$21),"")</f>
        <v/>
      </c>
      <c r="M7" s="36" t="str">
        <f>IF(AND('Riesgos de Gestión'!$AI$22="Muy Alta",'Riesgos de Gestión'!$AK$22="Leve"),CONCATENATE("R2C",'Riesgos de Gestión'!$V$22),"")</f>
        <v/>
      </c>
      <c r="N7" s="36" t="str">
        <f>IF(AND('Riesgos de Gestión'!$AI$23="Muy Alta",'Riesgos de Gestión'!$AK$23="Leve"),CONCATENATE("R2C",'Riesgos de Gestión'!$V$23),"")</f>
        <v/>
      </c>
      <c r="O7" s="37" t="str">
        <f>IF(AND('Riesgos de Gestión'!$AI$24="Muy Alta",'Riesgos de Gestión'!$AK$24="Leve"),CONCATENATE("R2C",'Riesgos de Gestión'!$V$24),"")</f>
        <v/>
      </c>
      <c r="P7" s="35" t="str">
        <f>IF(AND('Riesgos de Gestión'!$AI$19="Muy Alta",'Riesgos de Gestión'!$AK$19="Menor"),CONCATENATE("R2C",'Riesgos de Gestión'!$V$19),"")</f>
        <v/>
      </c>
      <c r="Q7" s="36" t="str">
        <f>IF(AND('Riesgos de Gestión'!$AI$20="Muy Alta",'Riesgos de Gestión'!$AK$20="Menor"),CONCATENATE("R2C",'Riesgos de Gestión'!$V$20),"")</f>
        <v/>
      </c>
      <c r="R7" s="36" t="str">
        <f>IF(AND('Riesgos de Gestión'!$AI$21="Muy Alta",'Riesgos de Gestión'!$AK$21="Menor"),CONCATENATE("R2C",'Riesgos de Gestión'!$V$21),"")</f>
        <v/>
      </c>
      <c r="S7" s="36" t="str">
        <f>IF(AND('Riesgos de Gestión'!$AI$22="Muy Alta",'Riesgos de Gestión'!$AK$22="Menor"),CONCATENATE("R2C",'Riesgos de Gestión'!$V$22),"")</f>
        <v/>
      </c>
      <c r="T7" s="36" t="str">
        <f>IF(AND('Riesgos de Gestión'!$AI$23="Muy Alta",'Riesgos de Gestión'!$AK$23="Menor"),CONCATENATE("R2C",'Riesgos de Gestión'!$V$23),"")</f>
        <v/>
      </c>
      <c r="U7" s="37" t="str">
        <f>IF(AND('Riesgos de Gestión'!$AI$24="Muy Alta",'Riesgos de Gestión'!$AK$24="Menor"),CONCATENATE("R2C",'Riesgos de Gestión'!$V$24),"")</f>
        <v/>
      </c>
      <c r="V7" s="35" t="str">
        <f>IF(AND('Riesgos de Gestión'!$AI$19="Muy Alta",'Riesgos de Gestión'!$AK$19="Moderado"),CONCATENATE("R2C",'Riesgos de Gestión'!$V$19),"")</f>
        <v/>
      </c>
      <c r="W7" s="36" t="str">
        <f>IF(AND('Riesgos de Gestión'!$AI$20="Muy Alta",'Riesgos de Gestión'!$AK$20="Moderado"),CONCATENATE("R2C",'Riesgos de Gestión'!$V$20),"")</f>
        <v/>
      </c>
      <c r="X7" s="36" t="str">
        <f>IF(AND('Riesgos de Gestión'!$AI$21="Muy Alta",'Riesgos de Gestión'!$AK$21="Moderado"),CONCATENATE("R2C",'Riesgos de Gestión'!$V$21),"")</f>
        <v/>
      </c>
      <c r="Y7" s="36" t="str">
        <f>IF(AND('Riesgos de Gestión'!$AI$22="Muy Alta",'Riesgos de Gestión'!$AK$22="Moderado"),CONCATENATE("R2C",'Riesgos de Gestión'!$V$22),"")</f>
        <v/>
      </c>
      <c r="Z7" s="36" t="str">
        <f>IF(AND('Riesgos de Gestión'!$AI$23="Muy Alta",'Riesgos de Gestión'!$AK$23="Moderado"),CONCATENATE("R2C",'Riesgos de Gestión'!$V$23),"")</f>
        <v/>
      </c>
      <c r="AA7" s="37" t="str">
        <f>IF(AND('Riesgos de Gestión'!$AI$24="Muy Alta",'Riesgos de Gestión'!$AK$24="Moderado"),CONCATENATE("R2C",'Riesgos de Gestión'!$V$24),"")</f>
        <v/>
      </c>
      <c r="AB7" s="35" t="str">
        <f>IF(AND('Riesgos de Gestión'!$AI$19="Muy Alta",'Riesgos de Gestión'!$AK$19="Mayor"),CONCATENATE("R2C",'Riesgos de Gestión'!$V$19),"")</f>
        <v/>
      </c>
      <c r="AC7" s="36" t="str">
        <f>IF(AND('Riesgos de Gestión'!$AI$20="Muy Alta",'Riesgos de Gestión'!$AK$20="Mayor"),CONCATENATE("R2C",'Riesgos de Gestión'!$V$20),"")</f>
        <v/>
      </c>
      <c r="AD7" s="36" t="str">
        <f>IF(AND('Riesgos de Gestión'!$AI$21="Muy Alta",'Riesgos de Gestión'!$AK$21="Mayor"),CONCATENATE("R2C",'Riesgos de Gestión'!$V$21),"")</f>
        <v/>
      </c>
      <c r="AE7" s="36" t="str">
        <f>IF(AND('Riesgos de Gestión'!$AI$22="Muy Alta",'Riesgos de Gestión'!$AK$22="Mayor"),CONCATENATE("R2C",'Riesgos de Gestión'!$V$22),"")</f>
        <v/>
      </c>
      <c r="AF7" s="36" t="str">
        <f>IF(AND('Riesgos de Gestión'!$AI$23="Muy Alta",'Riesgos de Gestión'!$AK$23="Mayor"),CONCATENATE("R2C",'Riesgos de Gestión'!$V$23),"")</f>
        <v/>
      </c>
      <c r="AG7" s="37" t="str">
        <f>IF(AND('Riesgos de Gestión'!$AI$24="Muy Alta",'Riesgos de Gestión'!$AK$24="Mayor"),CONCATENATE("R2C",'Riesgos de Gestión'!$V$24),"")</f>
        <v/>
      </c>
      <c r="AH7" s="38" t="str">
        <f>IF(AND('Riesgos de Gestión'!$AI$19="Muy Alta",'Riesgos de Gestión'!$AK$19="Catastrófico"),CONCATENATE("R2C",'Riesgos de Gestión'!$V$19),"")</f>
        <v/>
      </c>
      <c r="AI7" s="39" t="str">
        <f>IF(AND('Riesgos de Gestión'!$AI$20="Muy Alta",'Riesgos de Gestión'!$AK$20="Catastrófico"),CONCATENATE("R2C",'Riesgos de Gestión'!$V$20),"")</f>
        <v/>
      </c>
      <c r="AJ7" s="39" t="str">
        <f>IF(AND('Riesgos de Gestión'!$AI$21="Muy Alta",'Riesgos de Gestión'!$AK$21="Catastrófico"),CONCATENATE("R2C",'Riesgos de Gestión'!$V$21),"")</f>
        <v/>
      </c>
      <c r="AK7" s="39" t="str">
        <f>IF(AND('Riesgos de Gestión'!$AI$22="Muy Alta",'Riesgos de Gestión'!$AK$22="Catastrófico"),CONCATENATE("R2C",'Riesgos de Gestión'!$V$22),"")</f>
        <v/>
      </c>
      <c r="AL7" s="39" t="str">
        <f>IF(AND('Riesgos de Gestión'!$AI$23="Muy Alta",'Riesgos de Gestión'!$AK$23="Catastrófico"),CONCATENATE("R2C",'Riesgos de Gestión'!$V$23),"")</f>
        <v/>
      </c>
      <c r="AM7" s="40" t="str">
        <f>IF(AND('Riesgos de Gestión'!$AI$24="Muy Alta",'Riesgos de Gestión'!$AK$24="Catastrófico"),CONCATENATE("R2C",'Riesgos de Gestión'!$V$24),"")</f>
        <v/>
      </c>
      <c r="AN7" s="66"/>
      <c r="AO7" s="546"/>
      <c r="AP7" s="547"/>
      <c r="AQ7" s="547"/>
      <c r="AR7" s="547"/>
      <c r="AS7" s="547"/>
      <c r="AT7" s="548"/>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41"/>
      <c r="C8" s="441"/>
      <c r="D8" s="442"/>
      <c r="E8" s="540"/>
      <c r="F8" s="539"/>
      <c r="G8" s="539"/>
      <c r="H8" s="539"/>
      <c r="I8" s="555"/>
      <c r="J8" s="35" t="str">
        <f>IF(AND('Riesgos de Gestión'!$AI$25="Muy Alta",'Riesgos de Gestión'!$AK$25="Leve"),CONCATENATE("R3C",'Riesgos de Gestión'!$V$25),"")</f>
        <v/>
      </c>
      <c r="K8" s="36" t="str">
        <f>IF(AND('Riesgos de Gestión'!$AI$26="Muy Alta",'Riesgos de Gestión'!$AK$26="Leve"),CONCATENATE("R3C",'Riesgos de Gestión'!$V$26),"")</f>
        <v/>
      </c>
      <c r="L8" s="36" t="str">
        <f>IF(AND('Riesgos de Gestión'!$AI$27="Muy Alta",'Riesgos de Gestión'!$AK$27="Leve"),CONCATENATE("R3C",'Riesgos de Gestión'!$V$27),"")</f>
        <v/>
      </c>
      <c r="M8" s="36" t="str">
        <f>IF(AND('Riesgos de Gestión'!$AI$28="Muy Alta",'Riesgos de Gestión'!$AK$28="Leve"),CONCATENATE("R3C",'Riesgos de Gestión'!$V$28),"")</f>
        <v/>
      </c>
      <c r="N8" s="36" t="str">
        <f>IF(AND('Riesgos de Gestión'!$AI$29="Muy Alta",'Riesgos de Gestión'!$AK$29="Leve"),CONCATENATE("R3C",'Riesgos de Gestión'!$V$29),"")</f>
        <v/>
      </c>
      <c r="O8" s="37" t="str">
        <f>IF(AND('Riesgos de Gestión'!$AI$30="Muy Alta",'Riesgos de Gestión'!$AK$30="Leve"),CONCATENATE("R3C",'Riesgos de Gestión'!$V$30),"")</f>
        <v/>
      </c>
      <c r="P8" s="35" t="str">
        <f>IF(AND('Riesgos de Gestión'!$AI$25="Muy Alta",'Riesgos de Gestión'!$AK$25="Menor"),CONCATENATE("R3C",'Riesgos de Gestión'!$V$25),"")</f>
        <v/>
      </c>
      <c r="Q8" s="36" t="str">
        <f>IF(AND('Riesgos de Gestión'!$AI$26="Muy Alta",'Riesgos de Gestión'!$AK$26="Menor"),CONCATENATE("R3C",'Riesgos de Gestión'!$V$26),"")</f>
        <v/>
      </c>
      <c r="R8" s="36" t="str">
        <f>IF(AND('Riesgos de Gestión'!$AI$27="Muy Alta",'Riesgos de Gestión'!$AK$27="Menor"),CONCATENATE("R3C",'Riesgos de Gestión'!$V$27),"")</f>
        <v/>
      </c>
      <c r="S8" s="36" t="str">
        <f>IF(AND('Riesgos de Gestión'!$AI$28="Muy Alta",'Riesgos de Gestión'!$AK$28="Menor"),CONCATENATE("R3C",'Riesgos de Gestión'!$V$28),"")</f>
        <v/>
      </c>
      <c r="T8" s="36" t="str">
        <f>IF(AND('Riesgos de Gestión'!$AI$29="Muy Alta",'Riesgos de Gestión'!$AK$29="Menor"),CONCATENATE("R3C",'Riesgos de Gestión'!$V$29),"")</f>
        <v/>
      </c>
      <c r="U8" s="37" t="str">
        <f>IF(AND('Riesgos de Gestión'!$AI$30="Muy Alta",'Riesgos de Gestión'!$AK$30="Menor"),CONCATENATE("R3C",'Riesgos de Gestión'!$V$30),"")</f>
        <v/>
      </c>
      <c r="V8" s="35" t="str">
        <f>IF(AND('Riesgos de Gestión'!$AI$25="Muy Alta",'Riesgos de Gestión'!$AK$25="Moderado"),CONCATENATE("R3C",'Riesgos de Gestión'!$V$25),"")</f>
        <v/>
      </c>
      <c r="W8" s="36" t="str">
        <f>IF(AND('Riesgos de Gestión'!$AI$26="Muy Alta",'Riesgos de Gestión'!$AK$26="Moderado"),CONCATENATE("R3C",'Riesgos de Gestión'!$V$26),"")</f>
        <v/>
      </c>
      <c r="X8" s="36" t="str">
        <f>IF(AND('Riesgos de Gestión'!$AI$27="Muy Alta",'Riesgos de Gestión'!$AK$27="Moderado"),CONCATENATE("R3C",'Riesgos de Gestión'!$V$27),"")</f>
        <v/>
      </c>
      <c r="Y8" s="36" t="str">
        <f>IF(AND('Riesgos de Gestión'!$AI$28="Muy Alta",'Riesgos de Gestión'!$AK$28="Moderado"),CONCATENATE("R3C",'Riesgos de Gestión'!$V$28),"")</f>
        <v/>
      </c>
      <c r="Z8" s="36" t="str">
        <f>IF(AND('Riesgos de Gestión'!$AI$29="Muy Alta",'Riesgos de Gestión'!$AK$29="Moderado"),CONCATENATE("R3C",'Riesgos de Gestión'!$V$29),"")</f>
        <v/>
      </c>
      <c r="AA8" s="37" t="str">
        <f>IF(AND('Riesgos de Gestión'!$AI$30="Muy Alta",'Riesgos de Gestión'!$AK$30="Moderado"),CONCATENATE("R3C",'Riesgos de Gestión'!$V$30),"")</f>
        <v/>
      </c>
      <c r="AB8" s="35" t="str">
        <f>IF(AND('Riesgos de Gestión'!$AI$25="Muy Alta",'Riesgos de Gestión'!$AK$25="Mayor"),CONCATENATE("R3C",'Riesgos de Gestión'!$V$25),"")</f>
        <v/>
      </c>
      <c r="AC8" s="36" t="str">
        <f>IF(AND('Riesgos de Gestión'!$AI$26="Muy Alta",'Riesgos de Gestión'!$AK$26="Mayor"),CONCATENATE("R3C",'Riesgos de Gestión'!$V$26),"")</f>
        <v/>
      </c>
      <c r="AD8" s="36" t="str">
        <f>IF(AND('Riesgos de Gestión'!$AI$27="Muy Alta",'Riesgos de Gestión'!$AK$27="Mayor"),CONCATENATE("R3C",'Riesgos de Gestión'!$V$27),"")</f>
        <v/>
      </c>
      <c r="AE8" s="36" t="str">
        <f>IF(AND('Riesgos de Gestión'!$AI$28="Muy Alta",'Riesgos de Gestión'!$AK$28="Mayor"),CONCATENATE("R3C",'Riesgos de Gestión'!$V$28),"")</f>
        <v/>
      </c>
      <c r="AF8" s="36" t="str">
        <f>IF(AND('Riesgos de Gestión'!$AI$29="Muy Alta",'Riesgos de Gestión'!$AK$29="Mayor"),CONCATENATE("R3C",'Riesgos de Gestión'!$V$29),"")</f>
        <v/>
      </c>
      <c r="AG8" s="37" t="str">
        <f>IF(AND('Riesgos de Gestión'!$AI$30="Muy Alta",'Riesgos de Gestión'!$AK$30="Mayor"),CONCATENATE("R3C",'Riesgos de Gestión'!$V$30),"")</f>
        <v/>
      </c>
      <c r="AH8" s="38" t="str">
        <f>IF(AND('Riesgos de Gestión'!$AI$25="Muy Alta",'Riesgos de Gestión'!$AK$25="Catastrófico"),CONCATENATE("R3C",'Riesgos de Gestión'!$V$25),"")</f>
        <v/>
      </c>
      <c r="AI8" s="39" t="str">
        <f>IF(AND('Riesgos de Gestión'!$AI$26="Muy Alta",'Riesgos de Gestión'!$AK$26="Catastrófico"),CONCATENATE("R3C",'Riesgos de Gestión'!$V$26),"")</f>
        <v/>
      </c>
      <c r="AJ8" s="39" t="str">
        <f>IF(AND('Riesgos de Gestión'!$AI$27="Muy Alta",'Riesgos de Gestión'!$AK$27="Catastrófico"),CONCATENATE("R3C",'Riesgos de Gestión'!$V$27),"")</f>
        <v/>
      </c>
      <c r="AK8" s="39" t="str">
        <f>IF(AND('Riesgos de Gestión'!$AI$28="Muy Alta",'Riesgos de Gestión'!$AK$28="Catastrófico"),CONCATENATE("R3C",'Riesgos de Gestión'!$V$28),"")</f>
        <v/>
      </c>
      <c r="AL8" s="39" t="str">
        <f>IF(AND('Riesgos de Gestión'!$AI$29="Muy Alta",'Riesgos de Gestión'!$AK$29="Catastrófico"),CONCATENATE("R3C",'Riesgos de Gestión'!$V$29),"")</f>
        <v/>
      </c>
      <c r="AM8" s="40" t="str">
        <f>IF(AND('Riesgos de Gestión'!$AI$30="Muy Alta",'Riesgos de Gestión'!$AK$30="Catastrófico"),CONCATENATE("R3C",'Riesgos de Gestión'!$V$30),"")</f>
        <v/>
      </c>
      <c r="AN8" s="66"/>
      <c r="AO8" s="546"/>
      <c r="AP8" s="547"/>
      <c r="AQ8" s="547"/>
      <c r="AR8" s="547"/>
      <c r="AS8" s="547"/>
      <c r="AT8" s="548"/>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41"/>
      <c r="C9" s="441"/>
      <c r="D9" s="442"/>
      <c r="E9" s="540"/>
      <c r="F9" s="539"/>
      <c r="G9" s="539"/>
      <c r="H9" s="539"/>
      <c r="I9" s="555"/>
      <c r="J9" s="35" t="str">
        <f>IF(AND('Riesgos de Gestión'!$AI$31="Muy Alta",'Riesgos de Gestión'!$AK$31="Leve"),CONCATENATE("R4C",'Riesgos de Gestión'!$V$31),"")</f>
        <v/>
      </c>
      <c r="K9" s="36" t="str">
        <f>IF(AND('Riesgos de Gestión'!$AI$32="Muy Alta",'Riesgos de Gestión'!$AK$32="Leve"),CONCATENATE("R4C",'Riesgos de Gestión'!$V$32),"")</f>
        <v/>
      </c>
      <c r="L9" s="36" t="str">
        <f>IF(AND('Riesgos de Gestión'!$AI$33="Muy Alta",'Riesgos de Gestión'!$AK$33="Leve"),CONCATENATE("R4C",'Riesgos de Gestión'!$V$33),"")</f>
        <v/>
      </c>
      <c r="M9" s="36" t="str">
        <f>IF(AND('Riesgos de Gestión'!$AI$34="Muy Alta",'Riesgos de Gestión'!$AK$34="Leve"),CONCATENATE("R4C",'Riesgos de Gestión'!$V$34),"")</f>
        <v/>
      </c>
      <c r="N9" s="36" t="str">
        <f>IF(AND('Riesgos de Gestión'!$AI$35="Muy Alta",'Riesgos de Gestión'!$AK$35="Leve"),CONCATENATE("R4C",'Riesgos de Gestión'!$V$35),"")</f>
        <v/>
      </c>
      <c r="O9" s="37" t="str">
        <f>IF(AND('Riesgos de Gestión'!$AI$36="Muy Alta",'Riesgos de Gestión'!$AK$36="Leve"),CONCATENATE("R4C",'Riesgos de Gestión'!$V$36),"")</f>
        <v/>
      </c>
      <c r="P9" s="35" t="str">
        <f>IF(AND('Riesgos de Gestión'!$AI$31="Muy Alta",'Riesgos de Gestión'!$AK$31="Menor"),CONCATENATE("R4C",'Riesgos de Gestión'!$V$31),"")</f>
        <v/>
      </c>
      <c r="Q9" s="36" t="str">
        <f>IF(AND('Riesgos de Gestión'!$AI$32="Muy Alta",'Riesgos de Gestión'!$AK$32="Menor"),CONCATENATE("R4C",'Riesgos de Gestión'!$V$32),"")</f>
        <v/>
      </c>
      <c r="R9" s="36" t="str">
        <f>IF(AND('Riesgos de Gestión'!$AI$33="Muy Alta",'Riesgos de Gestión'!$AK$33="Menor"),CONCATENATE("R4C",'Riesgos de Gestión'!$V$33),"")</f>
        <v/>
      </c>
      <c r="S9" s="36" t="str">
        <f>IF(AND('Riesgos de Gestión'!$AI$34="Muy Alta",'Riesgos de Gestión'!$AK$34="Menor"),CONCATENATE("R4C",'Riesgos de Gestión'!$V$34),"")</f>
        <v/>
      </c>
      <c r="T9" s="36" t="str">
        <f>IF(AND('Riesgos de Gestión'!$AI$35="Muy Alta",'Riesgos de Gestión'!$AK$35="Menor"),CONCATENATE("R4C",'Riesgos de Gestión'!$V$35),"")</f>
        <v/>
      </c>
      <c r="U9" s="37" t="str">
        <f>IF(AND('Riesgos de Gestión'!$AI$36="Muy Alta",'Riesgos de Gestión'!$AK$36="Menor"),CONCATENATE("R4C",'Riesgos de Gestión'!$V$36),"")</f>
        <v/>
      </c>
      <c r="V9" s="35" t="str">
        <f>IF(AND('Riesgos de Gestión'!$AI$31="Muy Alta",'Riesgos de Gestión'!$AK$31="Moderado"),CONCATENATE("R4C",'Riesgos de Gestión'!$V$31),"")</f>
        <v/>
      </c>
      <c r="W9" s="36" t="str">
        <f>IF(AND('Riesgos de Gestión'!$AI$32="Muy Alta",'Riesgos de Gestión'!$AK$32="Moderado"),CONCATENATE("R4C",'Riesgos de Gestión'!$V$32),"")</f>
        <v/>
      </c>
      <c r="X9" s="36" t="str">
        <f>IF(AND('Riesgos de Gestión'!$AI$33="Muy Alta",'Riesgos de Gestión'!$AK$33="Moderado"),CONCATENATE("R4C",'Riesgos de Gestión'!$V$33),"")</f>
        <v/>
      </c>
      <c r="Y9" s="36" t="str">
        <f>IF(AND('Riesgos de Gestión'!$AI$34="Muy Alta",'Riesgos de Gestión'!$AK$34="Moderado"),CONCATENATE("R4C",'Riesgos de Gestión'!$V$34),"")</f>
        <v/>
      </c>
      <c r="Z9" s="36" t="str">
        <f>IF(AND('Riesgos de Gestión'!$AI$35="Muy Alta",'Riesgos de Gestión'!$AK$35="Moderado"),CONCATENATE("R4C",'Riesgos de Gestión'!$V$35),"")</f>
        <v/>
      </c>
      <c r="AA9" s="37" t="str">
        <f>IF(AND('Riesgos de Gestión'!$AI$36="Muy Alta",'Riesgos de Gestión'!$AK$36="Moderado"),CONCATENATE("R4C",'Riesgos de Gestión'!$V$36),"")</f>
        <v/>
      </c>
      <c r="AB9" s="35" t="str">
        <f>IF(AND('Riesgos de Gestión'!$AI$31="Muy Alta",'Riesgos de Gestión'!$AK$31="Mayor"),CONCATENATE("R4C",'Riesgos de Gestión'!$V$31),"")</f>
        <v/>
      </c>
      <c r="AC9" s="36" t="str">
        <f>IF(AND('Riesgos de Gestión'!$AI$32="Muy Alta",'Riesgos de Gestión'!$AK$32="Mayor"),CONCATENATE("R4C",'Riesgos de Gestión'!$V$32),"")</f>
        <v/>
      </c>
      <c r="AD9" s="36" t="str">
        <f>IF(AND('Riesgos de Gestión'!$AI$33="Muy Alta",'Riesgos de Gestión'!$AK$33="Mayor"),CONCATENATE("R4C",'Riesgos de Gestión'!$V$33),"")</f>
        <v/>
      </c>
      <c r="AE9" s="36" t="str">
        <f>IF(AND('Riesgos de Gestión'!$AI$34="Muy Alta",'Riesgos de Gestión'!$AK$34="Mayor"),CONCATENATE("R4C",'Riesgos de Gestión'!$V$34),"")</f>
        <v/>
      </c>
      <c r="AF9" s="36" t="str">
        <f>IF(AND('Riesgos de Gestión'!$AI$35="Muy Alta",'Riesgos de Gestión'!$AK$35="Mayor"),CONCATENATE("R4C",'Riesgos de Gestión'!$V$35),"")</f>
        <v/>
      </c>
      <c r="AG9" s="37" t="str">
        <f>IF(AND('Riesgos de Gestión'!$AI$36="Muy Alta",'Riesgos de Gestión'!$AK$36="Mayor"),CONCATENATE("R4C",'Riesgos de Gestión'!$V$36),"")</f>
        <v/>
      </c>
      <c r="AH9" s="38" t="str">
        <f>IF(AND('Riesgos de Gestión'!$AI$31="Muy Alta",'Riesgos de Gestión'!$AK$31="Catastrófico"),CONCATENATE("R4C",'Riesgos de Gestión'!$V$31),"")</f>
        <v/>
      </c>
      <c r="AI9" s="39" t="str">
        <f>IF(AND('Riesgos de Gestión'!$AI$32="Muy Alta",'Riesgos de Gestión'!$AK$32="Catastrófico"),CONCATENATE("R4C",'Riesgos de Gestión'!$V$32),"")</f>
        <v/>
      </c>
      <c r="AJ9" s="39" t="str">
        <f>IF(AND('Riesgos de Gestión'!$AI$33="Muy Alta",'Riesgos de Gestión'!$AK$33="Catastrófico"),CONCATENATE("R4C",'Riesgos de Gestión'!$V$33),"")</f>
        <v/>
      </c>
      <c r="AK9" s="39" t="str">
        <f>IF(AND('Riesgos de Gestión'!$AI$34="Muy Alta",'Riesgos de Gestión'!$AK$34="Catastrófico"),CONCATENATE("R4C",'Riesgos de Gestión'!$V$34),"")</f>
        <v/>
      </c>
      <c r="AL9" s="39" t="str">
        <f>IF(AND('Riesgos de Gestión'!$AI$35="Muy Alta",'Riesgos de Gestión'!$AK$35="Catastrófico"),CONCATENATE("R4C",'Riesgos de Gestión'!$V$35),"")</f>
        <v/>
      </c>
      <c r="AM9" s="40" t="str">
        <f>IF(AND('Riesgos de Gestión'!$AI$36="Muy Alta",'Riesgos de Gestión'!$AK$36="Catastrófico"),CONCATENATE("R4C",'Riesgos de Gestión'!$V$36),"")</f>
        <v/>
      </c>
      <c r="AN9" s="66"/>
      <c r="AO9" s="546"/>
      <c r="AP9" s="547"/>
      <c r="AQ9" s="547"/>
      <c r="AR9" s="547"/>
      <c r="AS9" s="547"/>
      <c r="AT9" s="548"/>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41"/>
      <c r="C10" s="441"/>
      <c r="D10" s="442"/>
      <c r="E10" s="540"/>
      <c r="F10" s="539"/>
      <c r="G10" s="539"/>
      <c r="H10" s="539"/>
      <c r="I10" s="555"/>
      <c r="J10" s="35" t="str">
        <f>IF(AND('Riesgos de Gestión'!$AI$37="Muy Alta",'Riesgos de Gestión'!$AK$37="Leve"),CONCATENATE("R5C",'Riesgos de Gestión'!$V$37),"")</f>
        <v/>
      </c>
      <c r="K10" s="36" t="str">
        <f>IF(AND('Riesgos de Gestión'!$AI$38="Muy Alta",'Riesgos de Gestión'!$AK$38="Leve"),CONCATENATE("R5C",'Riesgos de Gestión'!$V$38),"")</f>
        <v/>
      </c>
      <c r="L10" s="36" t="str">
        <f>IF(AND('Riesgos de Gestión'!$AI$39="Muy Alta",'Riesgos de Gestión'!$AK$39="Leve"),CONCATENATE("R5C",'Riesgos de Gestión'!$V$39),"")</f>
        <v/>
      </c>
      <c r="M10" s="36" t="str">
        <f>IF(AND('Riesgos de Gestión'!$AI$40="Muy Alta",'Riesgos de Gestión'!$AK$40="Leve"),CONCATENATE("R5C",'Riesgos de Gestión'!$V$40),"")</f>
        <v/>
      </c>
      <c r="N10" s="36" t="str">
        <f>IF(AND('Riesgos de Gestión'!$AI$41="Muy Alta",'Riesgos de Gestión'!$AK$41="Leve"),CONCATENATE("R5C",'Riesgos de Gestión'!$V$41),"")</f>
        <v/>
      </c>
      <c r="O10" s="37" t="str">
        <f>IF(AND('Riesgos de Gestión'!$AI$42="Muy Alta",'Riesgos de Gestión'!$AK$42="Leve"),CONCATENATE("R5C",'Riesgos de Gestión'!$V$42),"")</f>
        <v/>
      </c>
      <c r="P10" s="35" t="str">
        <f>IF(AND('Riesgos de Gestión'!$AI$37="Muy Alta",'Riesgos de Gestión'!$AK$37="Menor"),CONCATENATE("R5C",'Riesgos de Gestión'!$V$37),"")</f>
        <v/>
      </c>
      <c r="Q10" s="36" t="str">
        <f>IF(AND('Riesgos de Gestión'!$AI$38="Muy Alta",'Riesgos de Gestión'!$AK$38="Menor"),CONCATENATE("R5C",'Riesgos de Gestión'!$V$38),"")</f>
        <v/>
      </c>
      <c r="R10" s="36" t="str">
        <f>IF(AND('Riesgos de Gestión'!$AI$39="Muy Alta",'Riesgos de Gestión'!$AK$39="Menor"),CONCATENATE("R5C",'Riesgos de Gestión'!$V$39),"")</f>
        <v/>
      </c>
      <c r="S10" s="36" t="str">
        <f>IF(AND('Riesgos de Gestión'!$AI$40="Muy Alta",'Riesgos de Gestión'!$AK$40="Menor"),CONCATENATE("R5C",'Riesgos de Gestión'!$V$40),"")</f>
        <v/>
      </c>
      <c r="T10" s="36" t="str">
        <f>IF(AND('Riesgos de Gestión'!$AI$41="Muy Alta",'Riesgos de Gestión'!$AK$41="Menor"),CONCATENATE("R5C",'Riesgos de Gestión'!$V$41),"")</f>
        <v/>
      </c>
      <c r="U10" s="37" t="str">
        <f>IF(AND('Riesgos de Gestión'!$AI$42="Muy Alta",'Riesgos de Gestión'!$AK$42="Menor"),CONCATENATE("R5C",'Riesgos de Gestión'!$V$42),"")</f>
        <v/>
      </c>
      <c r="V10" s="35" t="str">
        <f>IF(AND('Riesgos de Gestión'!$AI$37="Muy Alta",'Riesgos de Gestión'!$AK$37="Moderado"),CONCATENATE("R5C",'Riesgos de Gestión'!$V$37),"")</f>
        <v/>
      </c>
      <c r="W10" s="36" t="str">
        <f>IF(AND('Riesgos de Gestión'!$AI$38="Muy Alta",'Riesgos de Gestión'!$AK$38="Moderado"),CONCATENATE("R5C",'Riesgos de Gestión'!$V$38),"")</f>
        <v/>
      </c>
      <c r="X10" s="36" t="str">
        <f>IF(AND('Riesgos de Gestión'!$AI$39="Muy Alta",'Riesgos de Gestión'!$AK$39="Moderado"),CONCATENATE("R5C",'Riesgos de Gestión'!$V$39),"")</f>
        <v/>
      </c>
      <c r="Y10" s="36" t="str">
        <f>IF(AND('Riesgos de Gestión'!$AI$40="Muy Alta",'Riesgos de Gestión'!$AK$40="Moderado"),CONCATENATE("R5C",'Riesgos de Gestión'!$V$40),"")</f>
        <v/>
      </c>
      <c r="Z10" s="36" t="str">
        <f>IF(AND('Riesgos de Gestión'!$AI$41="Muy Alta",'Riesgos de Gestión'!$AK$41="Moderado"),CONCATENATE("R5C",'Riesgos de Gestión'!$V$41),"")</f>
        <v/>
      </c>
      <c r="AA10" s="37" t="str">
        <f>IF(AND('Riesgos de Gestión'!$AI$42="Muy Alta",'Riesgos de Gestión'!$AK$42="Moderado"),CONCATENATE("R5C",'Riesgos de Gestión'!$V$42),"")</f>
        <v/>
      </c>
      <c r="AB10" s="35" t="str">
        <f>IF(AND('Riesgos de Gestión'!$AI$37="Muy Alta",'Riesgos de Gestión'!$AK$37="Mayor"),CONCATENATE("R5C",'Riesgos de Gestión'!$V$37),"")</f>
        <v/>
      </c>
      <c r="AC10" s="36" t="str">
        <f>IF(AND('Riesgos de Gestión'!$AI$38="Muy Alta",'Riesgos de Gestión'!$AK$38="Mayor"),CONCATENATE("R5C",'Riesgos de Gestión'!$V$38),"")</f>
        <v/>
      </c>
      <c r="AD10" s="36" t="str">
        <f>IF(AND('Riesgos de Gestión'!$AI$39="Muy Alta",'Riesgos de Gestión'!$AK$39="Mayor"),CONCATENATE("R5C",'Riesgos de Gestión'!$V$39),"")</f>
        <v/>
      </c>
      <c r="AE10" s="36" t="str">
        <f>IF(AND('Riesgos de Gestión'!$AI$40="Muy Alta",'Riesgos de Gestión'!$AK$40="Mayor"),CONCATENATE("R5C",'Riesgos de Gestión'!$V$40),"")</f>
        <v/>
      </c>
      <c r="AF10" s="36" t="str">
        <f>IF(AND('Riesgos de Gestión'!$AI$41="Muy Alta",'Riesgos de Gestión'!$AK$41="Mayor"),CONCATENATE("R5C",'Riesgos de Gestión'!$V$41),"")</f>
        <v/>
      </c>
      <c r="AG10" s="37" t="str">
        <f>IF(AND('Riesgos de Gestión'!$AI$42="Muy Alta",'Riesgos de Gestión'!$AK$42="Mayor"),CONCATENATE("R5C",'Riesgos de Gestión'!$V$42),"")</f>
        <v/>
      </c>
      <c r="AH10" s="38" t="str">
        <f>IF(AND('Riesgos de Gestión'!$AI$37="Muy Alta",'Riesgos de Gestión'!$AK$37="Catastrófico"),CONCATENATE("R5C",'Riesgos de Gestión'!$V$37),"")</f>
        <v/>
      </c>
      <c r="AI10" s="39" t="str">
        <f>IF(AND('Riesgos de Gestión'!$AI$38="Muy Alta",'Riesgos de Gestión'!$AK$38="Catastrófico"),CONCATENATE("R5C",'Riesgos de Gestión'!$V$38),"")</f>
        <v/>
      </c>
      <c r="AJ10" s="39" t="str">
        <f>IF(AND('Riesgos de Gestión'!$AI$39="Muy Alta",'Riesgos de Gestión'!$AK$39="Catastrófico"),CONCATENATE("R5C",'Riesgos de Gestión'!$V$39),"")</f>
        <v/>
      </c>
      <c r="AK10" s="39" t="str">
        <f>IF(AND('Riesgos de Gestión'!$AI$40="Muy Alta",'Riesgos de Gestión'!$AK$40="Catastrófico"),CONCATENATE("R5C",'Riesgos de Gestión'!$V$40),"")</f>
        <v/>
      </c>
      <c r="AL10" s="39" t="str">
        <f>IF(AND('Riesgos de Gestión'!$AI$41="Muy Alta",'Riesgos de Gestión'!$AK$41="Catastrófico"),CONCATENATE("R5C",'Riesgos de Gestión'!$V$41),"")</f>
        <v/>
      </c>
      <c r="AM10" s="40" t="str">
        <f>IF(AND('Riesgos de Gestión'!$AI$42="Muy Alta",'Riesgos de Gestión'!$AK$42="Catastrófico"),CONCATENATE("R5C",'Riesgos de Gestión'!$V$42),"")</f>
        <v/>
      </c>
      <c r="AN10" s="66"/>
      <c r="AO10" s="546"/>
      <c r="AP10" s="547"/>
      <c r="AQ10" s="547"/>
      <c r="AR10" s="547"/>
      <c r="AS10" s="547"/>
      <c r="AT10" s="548"/>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41"/>
      <c r="C11" s="441"/>
      <c r="D11" s="442"/>
      <c r="E11" s="540"/>
      <c r="F11" s="539"/>
      <c r="G11" s="539"/>
      <c r="H11" s="539"/>
      <c r="I11" s="555"/>
      <c r="J11" s="35" t="str">
        <f>IF(AND('Riesgos de Gestión'!$AI$43="Muy Alta",'Riesgos de Gestión'!$AK$43="Leve"),CONCATENATE("R6C",'Riesgos de Gestión'!$V$43),"")</f>
        <v/>
      </c>
      <c r="K11" s="36" t="str">
        <f>IF(AND('Riesgos de Gestión'!$AI$44="Muy Alta",'Riesgos de Gestión'!$AK$44="Leve"),CONCATENATE("R6C",'Riesgos de Gestión'!$V$44),"")</f>
        <v/>
      </c>
      <c r="L11" s="36" t="str">
        <f>IF(AND('Riesgos de Gestión'!$AI$45="Muy Alta",'Riesgos de Gestión'!$AK$45="Leve"),CONCATENATE("R6C",'Riesgos de Gestión'!$V$45),"")</f>
        <v/>
      </c>
      <c r="M11" s="36" t="str">
        <f>IF(AND('Riesgos de Gestión'!$AI$46="Muy Alta",'Riesgos de Gestión'!$AK$46="Leve"),CONCATENATE("R6C",'Riesgos de Gestión'!$V$46),"")</f>
        <v/>
      </c>
      <c r="N11" s="36" t="str">
        <f>IF(AND('Riesgos de Gestión'!$AI$47="Muy Alta",'Riesgos de Gestión'!$AK$47="Leve"),CONCATENATE("R6C",'Riesgos de Gestión'!$V$47),"")</f>
        <v/>
      </c>
      <c r="O11" s="37" t="str">
        <f>IF(AND('Riesgos de Gestión'!$AI$48="Muy Alta",'Riesgos de Gestión'!$AK$48="Leve"),CONCATENATE("R6C",'Riesgos de Gestión'!$V$48),"")</f>
        <v/>
      </c>
      <c r="P11" s="35" t="str">
        <f>IF(AND('Riesgos de Gestión'!$AI$43="Muy Alta",'Riesgos de Gestión'!$AK$43="Menor"),CONCATENATE("R6C",'Riesgos de Gestión'!$V$43),"")</f>
        <v/>
      </c>
      <c r="Q11" s="36" t="str">
        <f>IF(AND('Riesgos de Gestión'!$AI$44="Muy Alta",'Riesgos de Gestión'!$AK$44="Menor"),CONCATENATE("R6C",'Riesgos de Gestión'!$V$44),"")</f>
        <v/>
      </c>
      <c r="R11" s="36" t="str">
        <f>IF(AND('Riesgos de Gestión'!$AI$45="Muy Alta",'Riesgos de Gestión'!$AK$45="Menor"),CONCATENATE("R6C",'Riesgos de Gestión'!$V$45),"")</f>
        <v/>
      </c>
      <c r="S11" s="36" t="str">
        <f>IF(AND('Riesgos de Gestión'!$AI$46="Muy Alta",'Riesgos de Gestión'!$AK$46="Menor"),CONCATENATE("R6C",'Riesgos de Gestión'!$V$46),"")</f>
        <v/>
      </c>
      <c r="T11" s="36" t="str">
        <f>IF(AND('Riesgos de Gestión'!$AI$47="Muy Alta",'Riesgos de Gestión'!$AK$47="Menor"),CONCATENATE("R6C",'Riesgos de Gestión'!$V$47),"")</f>
        <v/>
      </c>
      <c r="U11" s="37" t="str">
        <f>IF(AND('Riesgos de Gestión'!$AI$48="Muy Alta",'Riesgos de Gestión'!$AK$48="Menor"),CONCATENATE("R6C",'Riesgos de Gestión'!$V$48),"")</f>
        <v/>
      </c>
      <c r="V11" s="35" t="str">
        <f>IF(AND('Riesgos de Gestión'!$AI$43="Muy Alta",'Riesgos de Gestión'!$AK$43="Moderado"),CONCATENATE("R6C",'Riesgos de Gestión'!$V$43),"")</f>
        <v/>
      </c>
      <c r="W11" s="36" t="str">
        <f>IF(AND('Riesgos de Gestión'!$AI$44="Muy Alta",'Riesgos de Gestión'!$AK$44="Moderado"),CONCATENATE("R6C",'Riesgos de Gestión'!$V$44),"")</f>
        <v/>
      </c>
      <c r="X11" s="36" t="str">
        <f>IF(AND('Riesgos de Gestión'!$AI$45="Muy Alta",'Riesgos de Gestión'!$AK$45="Moderado"),CONCATENATE("R6C",'Riesgos de Gestión'!$V$45),"")</f>
        <v/>
      </c>
      <c r="Y11" s="36" t="str">
        <f>IF(AND('Riesgos de Gestión'!$AI$46="Muy Alta",'Riesgos de Gestión'!$AK$46="Moderado"),CONCATENATE("R6C",'Riesgos de Gestión'!$V$46),"")</f>
        <v/>
      </c>
      <c r="Z11" s="36" t="str">
        <f>IF(AND('Riesgos de Gestión'!$AI$47="Muy Alta",'Riesgos de Gestión'!$AK$47="Moderado"),CONCATENATE("R6C",'Riesgos de Gestión'!$V$47),"")</f>
        <v/>
      </c>
      <c r="AA11" s="37" t="str">
        <f>IF(AND('Riesgos de Gestión'!$AI$48="Muy Alta",'Riesgos de Gestión'!$AK$48="Moderado"),CONCATENATE("R6C",'Riesgos de Gestión'!$V$48),"")</f>
        <v/>
      </c>
      <c r="AB11" s="35" t="str">
        <f>IF(AND('Riesgos de Gestión'!$AI$43="Muy Alta",'Riesgos de Gestión'!$AK$43="Mayor"),CONCATENATE("R6C",'Riesgos de Gestión'!$V$43),"")</f>
        <v/>
      </c>
      <c r="AC11" s="36" t="str">
        <f>IF(AND('Riesgos de Gestión'!$AI$44="Muy Alta",'Riesgos de Gestión'!$AK$44="Mayor"),CONCATENATE("R6C",'Riesgos de Gestión'!$V$44),"")</f>
        <v/>
      </c>
      <c r="AD11" s="36" t="str">
        <f>IF(AND('Riesgos de Gestión'!$AI$45="Muy Alta",'Riesgos de Gestión'!$AK$45="Mayor"),CONCATENATE("R6C",'Riesgos de Gestión'!$V$45),"")</f>
        <v/>
      </c>
      <c r="AE11" s="36" t="str">
        <f>IF(AND('Riesgos de Gestión'!$AI$46="Muy Alta",'Riesgos de Gestión'!$AK$46="Mayor"),CONCATENATE("R6C",'Riesgos de Gestión'!$V$46),"")</f>
        <v/>
      </c>
      <c r="AF11" s="36" t="str">
        <f>IF(AND('Riesgos de Gestión'!$AI$47="Muy Alta",'Riesgos de Gestión'!$AK$47="Mayor"),CONCATENATE("R6C",'Riesgos de Gestión'!$V$47),"")</f>
        <v/>
      </c>
      <c r="AG11" s="37" t="str">
        <f>IF(AND('Riesgos de Gestión'!$AI$48="Muy Alta",'Riesgos de Gestión'!$AK$48="Mayor"),CONCATENATE("R6C",'Riesgos de Gestión'!$V$48),"")</f>
        <v/>
      </c>
      <c r="AH11" s="38" t="str">
        <f>IF(AND('Riesgos de Gestión'!$AI$43="Muy Alta",'Riesgos de Gestión'!$AK$43="Catastrófico"),CONCATENATE("R6C",'Riesgos de Gestión'!$V$43),"")</f>
        <v/>
      </c>
      <c r="AI11" s="39" t="str">
        <f>IF(AND('Riesgos de Gestión'!$AI$44="Muy Alta",'Riesgos de Gestión'!$AK$44="Catastrófico"),CONCATENATE("R6C",'Riesgos de Gestión'!$V$44),"")</f>
        <v/>
      </c>
      <c r="AJ11" s="39" t="str">
        <f>IF(AND('Riesgos de Gestión'!$AI$45="Muy Alta",'Riesgos de Gestión'!$AK$45="Catastrófico"),CONCATENATE("R6C",'Riesgos de Gestión'!$V$45),"")</f>
        <v/>
      </c>
      <c r="AK11" s="39" t="str">
        <f>IF(AND('Riesgos de Gestión'!$AI$46="Muy Alta",'Riesgos de Gestión'!$AK$46="Catastrófico"),CONCATENATE("R6C",'Riesgos de Gestión'!$V$46),"")</f>
        <v/>
      </c>
      <c r="AL11" s="39" t="str">
        <f>IF(AND('Riesgos de Gestión'!$AI$47="Muy Alta",'Riesgos de Gestión'!$AK$47="Catastrófico"),CONCATENATE("R6C",'Riesgos de Gestión'!$V$47),"")</f>
        <v/>
      </c>
      <c r="AM11" s="40" t="str">
        <f>IF(AND('Riesgos de Gestión'!$AI$48="Muy Alta",'Riesgos de Gestión'!$AK$48="Catastrófico"),CONCATENATE("R6C",'Riesgos de Gestión'!$V$48),"")</f>
        <v/>
      </c>
      <c r="AN11" s="66"/>
      <c r="AO11" s="546"/>
      <c r="AP11" s="547"/>
      <c r="AQ11" s="547"/>
      <c r="AR11" s="547"/>
      <c r="AS11" s="547"/>
      <c r="AT11" s="548"/>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41"/>
      <c r="C12" s="441"/>
      <c r="D12" s="442"/>
      <c r="E12" s="540"/>
      <c r="F12" s="539"/>
      <c r="G12" s="539"/>
      <c r="H12" s="539"/>
      <c r="I12" s="555"/>
      <c r="J12" s="35" t="str">
        <f>IF(AND('Riesgos de Gestión'!$AI$49="Muy Alta",'Riesgos de Gestión'!$AK$49="Leve"),CONCATENATE("R7C",'Riesgos de Gestión'!$V$49),"")</f>
        <v/>
      </c>
      <c r="K12" s="36" t="str">
        <f>IF(AND('Riesgos de Gestión'!$AI$50="Muy Alta",'Riesgos de Gestión'!$AK$50="Leve"),CONCATENATE("R7C",'Riesgos de Gestión'!$V$50),"")</f>
        <v/>
      </c>
      <c r="L12" s="36" t="str">
        <f>IF(AND('Riesgos de Gestión'!$AI$51="Muy Alta",'Riesgos de Gestión'!$AK$51="Leve"),CONCATENATE("R7C",'Riesgos de Gestión'!$V$51),"")</f>
        <v/>
      </c>
      <c r="M12" s="36" t="str">
        <f>IF(AND('Riesgos de Gestión'!$AI$52="Muy Alta",'Riesgos de Gestión'!$AK$52="Leve"),CONCATENATE("R7C",'Riesgos de Gestión'!$V$52),"")</f>
        <v/>
      </c>
      <c r="N12" s="36" t="str">
        <f>IF(AND('Riesgos de Gestión'!$AI$53="Muy Alta",'Riesgos de Gestión'!$AK$53="Leve"),CONCATENATE("R7C",'Riesgos de Gestión'!$V$53),"")</f>
        <v/>
      </c>
      <c r="O12" s="37" t="str">
        <f>IF(AND('Riesgos de Gestión'!$AI$54="Muy Alta",'Riesgos de Gestión'!$AK$54="Leve"),CONCATENATE("R7C",'Riesgos de Gestión'!$V$54),"")</f>
        <v/>
      </c>
      <c r="P12" s="35" t="str">
        <f>IF(AND('Riesgos de Gestión'!$AI$49="Muy Alta",'Riesgos de Gestión'!$AK$49="Menor"),CONCATENATE("R7C",'Riesgos de Gestión'!$V$49),"")</f>
        <v/>
      </c>
      <c r="Q12" s="36" t="str">
        <f>IF(AND('Riesgos de Gestión'!$AI$50="Muy Alta",'Riesgos de Gestión'!$AK$50="Menor"),CONCATENATE("R7C",'Riesgos de Gestión'!$V$50),"")</f>
        <v/>
      </c>
      <c r="R12" s="36" t="str">
        <f>IF(AND('Riesgos de Gestión'!$AI$51="Muy Alta",'Riesgos de Gestión'!$AK$51="Menor"),CONCATENATE("R7C",'Riesgos de Gestión'!$V$51),"")</f>
        <v/>
      </c>
      <c r="S12" s="36" t="str">
        <f>IF(AND('Riesgos de Gestión'!$AI$52="Muy Alta",'Riesgos de Gestión'!$AK$52="Menor"),CONCATENATE("R7C",'Riesgos de Gestión'!$V$52),"")</f>
        <v/>
      </c>
      <c r="T12" s="36" t="str">
        <f>IF(AND('Riesgos de Gestión'!$AI$53="Muy Alta",'Riesgos de Gestión'!$AK$53="Menor"),CONCATENATE("R7C",'Riesgos de Gestión'!$V$53),"")</f>
        <v/>
      </c>
      <c r="U12" s="37" t="str">
        <f>IF(AND('Riesgos de Gestión'!$AI$54="Muy Alta",'Riesgos de Gestión'!$AK$54="Menor"),CONCATENATE("R7C",'Riesgos de Gestión'!$V$54),"")</f>
        <v/>
      </c>
      <c r="V12" s="35" t="str">
        <f>IF(AND('Riesgos de Gestión'!$AI$49="Muy Alta",'Riesgos de Gestión'!$AK$49="Moderado"),CONCATENATE("R7C",'Riesgos de Gestión'!$V$49),"")</f>
        <v/>
      </c>
      <c r="W12" s="36" t="str">
        <f>IF(AND('Riesgos de Gestión'!$AI$50="Muy Alta",'Riesgos de Gestión'!$AK$50="Moderado"),CONCATENATE("R7C",'Riesgos de Gestión'!$V$50),"")</f>
        <v/>
      </c>
      <c r="X12" s="36" t="str">
        <f>IF(AND('Riesgos de Gestión'!$AI$51="Muy Alta",'Riesgos de Gestión'!$AK$51="Moderado"),CONCATENATE("R7C",'Riesgos de Gestión'!$V$51),"")</f>
        <v/>
      </c>
      <c r="Y12" s="36" t="str">
        <f>IF(AND('Riesgos de Gestión'!$AI$52="Muy Alta",'Riesgos de Gestión'!$AK$52="Moderado"),CONCATENATE("R7C",'Riesgos de Gestión'!$V$52),"")</f>
        <v/>
      </c>
      <c r="Z12" s="36" t="str">
        <f>IF(AND('Riesgos de Gestión'!$AI$53="Muy Alta",'Riesgos de Gestión'!$AK$53="Moderado"),CONCATENATE("R7C",'Riesgos de Gestión'!$V$53),"")</f>
        <v/>
      </c>
      <c r="AA12" s="37" t="str">
        <f>IF(AND('Riesgos de Gestión'!$AI$54="Muy Alta",'Riesgos de Gestión'!$AK$54="Moderado"),CONCATENATE("R7C",'Riesgos de Gestión'!$V$54),"")</f>
        <v/>
      </c>
      <c r="AB12" s="35" t="str">
        <f>IF(AND('Riesgos de Gestión'!$AI$49="Muy Alta",'Riesgos de Gestión'!$AK$49="Mayor"),CONCATENATE("R7C",'Riesgos de Gestión'!$V$49),"")</f>
        <v/>
      </c>
      <c r="AC12" s="36" t="str">
        <f>IF(AND('Riesgos de Gestión'!$AI$50="Muy Alta",'Riesgos de Gestión'!$AK$50="Mayor"),CONCATENATE("R7C",'Riesgos de Gestión'!$V$50),"")</f>
        <v/>
      </c>
      <c r="AD12" s="36" t="str">
        <f>IF(AND('Riesgos de Gestión'!$AI$51="Muy Alta",'Riesgos de Gestión'!$AK$51="Mayor"),CONCATENATE("R7C",'Riesgos de Gestión'!$V$51),"")</f>
        <v/>
      </c>
      <c r="AE12" s="36" t="str">
        <f>IF(AND('Riesgos de Gestión'!$AI$52="Muy Alta",'Riesgos de Gestión'!$AK$52="Mayor"),CONCATENATE("R7C",'Riesgos de Gestión'!$V$52),"")</f>
        <v/>
      </c>
      <c r="AF12" s="36" t="str">
        <f>IF(AND('Riesgos de Gestión'!$AI$53="Muy Alta",'Riesgos de Gestión'!$AK$53="Mayor"),CONCATENATE("R7C",'Riesgos de Gestión'!$V$53),"")</f>
        <v/>
      </c>
      <c r="AG12" s="37" t="str">
        <f>IF(AND('Riesgos de Gestión'!$AI$54="Muy Alta",'Riesgos de Gestión'!$AK$54="Mayor"),CONCATENATE("R7C",'Riesgos de Gestión'!$V$54),"")</f>
        <v/>
      </c>
      <c r="AH12" s="38" t="str">
        <f>IF(AND('Riesgos de Gestión'!$AI$49="Muy Alta",'Riesgos de Gestión'!$AK$49="Catastrófico"),CONCATENATE("R7C",'Riesgos de Gestión'!$V$49),"")</f>
        <v/>
      </c>
      <c r="AI12" s="39" t="str">
        <f>IF(AND('Riesgos de Gestión'!$AI$50="Muy Alta",'Riesgos de Gestión'!$AK$50="Catastrófico"),CONCATENATE("R7C",'Riesgos de Gestión'!$V$50),"")</f>
        <v/>
      </c>
      <c r="AJ12" s="39" t="str">
        <f>IF(AND('Riesgos de Gestión'!$AI$51="Muy Alta",'Riesgos de Gestión'!$AK$51="Catastrófico"),CONCATENATE("R7C",'Riesgos de Gestión'!$V$51),"")</f>
        <v/>
      </c>
      <c r="AK12" s="39" t="str">
        <f>IF(AND('Riesgos de Gestión'!$AI$52="Muy Alta",'Riesgos de Gestión'!$AK$52="Catastrófico"),CONCATENATE("R7C",'Riesgos de Gestión'!$V$52),"")</f>
        <v/>
      </c>
      <c r="AL12" s="39" t="str">
        <f>IF(AND('Riesgos de Gestión'!$AI$53="Muy Alta",'Riesgos de Gestión'!$AK$53="Catastrófico"),CONCATENATE("R7C",'Riesgos de Gestión'!$V$53),"")</f>
        <v/>
      </c>
      <c r="AM12" s="40" t="str">
        <f>IF(AND('Riesgos de Gestión'!$AI$54="Muy Alta",'Riesgos de Gestión'!$AK$54="Catastrófico"),CONCATENATE("R7C",'Riesgos de Gestión'!$V$54),"")</f>
        <v/>
      </c>
      <c r="AN12" s="66"/>
      <c r="AO12" s="546"/>
      <c r="AP12" s="547"/>
      <c r="AQ12" s="547"/>
      <c r="AR12" s="547"/>
      <c r="AS12" s="547"/>
      <c r="AT12" s="548"/>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41"/>
      <c r="C13" s="441"/>
      <c r="D13" s="442"/>
      <c r="E13" s="540"/>
      <c r="F13" s="539"/>
      <c r="G13" s="539"/>
      <c r="H13" s="539"/>
      <c r="I13" s="555"/>
      <c r="J13" s="35" t="str">
        <f>IF(AND('Riesgos de Gestión'!$AI$55="Muy Alta",'Riesgos de Gestión'!$AK$55="Leve"),CONCATENATE("R8C",'Riesgos de Gestión'!$V$55),"")</f>
        <v/>
      </c>
      <c r="K13" s="36" t="str">
        <f>IF(AND('Riesgos de Gestión'!$AI$56="Muy Alta",'Riesgos de Gestión'!$AK$56="Leve"),CONCATENATE("R8C",'Riesgos de Gestión'!$V$56),"")</f>
        <v/>
      </c>
      <c r="L13" s="36" t="str">
        <f>IF(AND('Riesgos de Gestión'!$AI$57="Muy Alta",'Riesgos de Gestión'!$AK$57="Leve"),CONCATENATE("R8C",'Riesgos de Gestión'!$V$57),"")</f>
        <v/>
      </c>
      <c r="M13" s="36" t="str">
        <f>IF(AND('Riesgos de Gestión'!$AI$58="Muy Alta",'Riesgos de Gestión'!$AK$58="Leve"),CONCATENATE("R8C",'Riesgos de Gestión'!$V$58),"")</f>
        <v/>
      </c>
      <c r="N13" s="36" t="str">
        <f>IF(AND('Riesgos de Gestión'!$AI$59="Muy Alta",'Riesgos de Gestión'!$AK$59="Leve"),CONCATENATE("R8C",'Riesgos de Gestión'!$V$59),"")</f>
        <v/>
      </c>
      <c r="O13" s="37" t="str">
        <f>IF(AND('Riesgos de Gestión'!$AI$60="Muy Alta",'Riesgos de Gestión'!$AK$60="Leve"),CONCATENATE("R8C",'Riesgos de Gestión'!$V$60),"")</f>
        <v/>
      </c>
      <c r="P13" s="35" t="str">
        <f>IF(AND('Riesgos de Gestión'!$AI$55="Muy Alta",'Riesgos de Gestión'!$AK$55="Menor"),CONCATENATE("R8C",'Riesgos de Gestión'!$V$55),"")</f>
        <v/>
      </c>
      <c r="Q13" s="36" t="str">
        <f>IF(AND('Riesgos de Gestión'!$AI$56="Muy Alta",'Riesgos de Gestión'!$AK$56="Menor"),CONCATENATE("R8C",'Riesgos de Gestión'!$V$56),"")</f>
        <v/>
      </c>
      <c r="R13" s="36" t="str">
        <f>IF(AND('Riesgos de Gestión'!$AI$57="Muy Alta",'Riesgos de Gestión'!$AK$57="Menor"),CONCATENATE("R8C",'Riesgos de Gestión'!$V$57),"")</f>
        <v/>
      </c>
      <c r="S13" s="36" t="str">
        <f>IF(AND('Riesgos de Gestión'!$AI$58="Muy Alta",'Riesgos de Gestión'!$AK$58="Menor"),CONCATENATE("R8C",'Riesgos de Gestión'!$V$58),"")</f>
        <v/>
      </c>
      <c r="T13" s="36" t="str">
        <f>IF(AND('Riesgos de Gestión'!$AI$59="Muy Alta",'Riesgos de Gestión'!$AK$59="Menor"),CONCATENATE("R8C",'Riesgos de Gestión'!$V$59),"")</f>
        <v/>
      </c>
      <c r="U13" s="37" t="str">
        <f>IF(AND('Riesgos de Gestión'!$AI$60="Muy Alta",'Riesgos de Gestión'!$AK$60="Menor"),CONCATENATE("R8C",'Riesgos de Gestión'!$V$60),"")</f>
        <v/>
      </c>
      <c r="V13" s="35" t="str">
        <f>IF(AND('Riesgos de Gestión'!$AI$55="Muy Alta",'Riesgos de Gestión'!$AK$55="Moderado"),CONCATENATE("R8C",'Riesgos de Gestión'!$V$55),"")</f>
        <v/>
      </c>
      <c r="W13" s="36" t="str">
        <f>IF(AND('Riesgos de Gestión'!$AI$56="Muy Alta",'Riesgos de Gestión'!$AK$56="Moderado"),CONCATENATE("R8C",'Riesgos de Gestión'!$V$56),"")</f>
        <v/>
      </c>
      <c r="X13" s="36" t="str">
        <f>IF(AND('Riesgos de Gestión'!$AI$57="Muy Alta",'Riesgos de Gestión'!$AK$57="Moderado"),CONCATENATE("R8C",'Riesgos de Gestión'!$V$57),"")</f>
        <v/>
      </c>
      <c r="Y13" s="36" t="str">
        <f>IF(AND('Riesgos de Gestión'!$AI$58="Muy Alta",'Riesgos de Gestión'!$AK$58="Moderado"),CONCATENATE("R8C",'Riesgos de Gestión'!$V$58),"")</f>
        <v/>
      </c>
      <c r="Z13" s="36" t="str">
        <f>IF(AND('Riesgos de Gestión'!$AI$59="Muy Alta",'Riesgos de Gestión'!$AK$59="Moderado"),CONCATENATE("R8C",'Riesgos de Gestión'!$V$59),"")</f>
        <v/>
      </c>
      <c r="AA13" s="37" t="str">
        <f>IF(AND('Riesgos de Gestión'!$AI$60="Muy Alta",'Riesgos de Gestión'!$AK$60="Moderado"),CONCATENATE("R8C",'Riesgos de Gestión'!$V$60),"")</f>
        <v/>
      </c>
      <c r="AB13" s="35" t="str">
        <f>IF(AND('Riesgos de Gestión'!$AI$55="Muy Alta",'Riesgos de Gestión'!$AK$55="Mayor"),CONCATENATE("R8C",'Riesgos de Gestión'!$V$55),"")</f>
        <v/>
      </c>
      <c r="AC13" s="36" t="str">
        <f>IF(AND('Riesgos de Gestión'!$AI$56="Muy Alta",'Riesgos de Gestión'!$AK$56="Mayor"),CONCATENATE("R8C",'Riesgos de Gestión'!$V$56),"")</f>
        <v/>
      </c>
      <c r="AD13" s="36" t="str">
        <f>IF(AND('Riesgos de Gestión'!$AI$57="Muy Alta",'Riesgos de Gestión'!$AK$57="Mayor"),CONCATENATE("R8C",'Riesgos de Gestión'!$V$57),"")</f>
        <v/>
      </c>
      <c r="AE13" s="36" t="str">
        <f>IF(AND('Riesgos de Gestión'!$AI$58="Muy Alta",'Riesgos de Gestión'!$AK$58="Mayor"),CONCATENATE("R8C",'Riesgos de Gestión'!$V$58),"")</f>
        <v/>
      </c>
      <c r="AF13" s="36" t="str">
        <f>IF(AND('Riesgos de Gestión'!$AI$59="Muy Alta",'Riesgos de Gestión'!$AK$59="Mayor"),CONCATENATE("R8C",'Riesgos de Gestión'!$V$59),"")</f>
        <v/>
      </c>
      <c r="AG13" s="37" t="str">
        <f>IF(AND('Riesgos de Gestión'!$AI$60="Muy Alta",'Riesgos de Gestión'!$AK$60="Mayor"),CONCATENATE("R8C",'Riesgos de Gestión'!$V$60),"")</f>
        <v/>
      </c>
      <c r="AH13" s="38" t="str">
        <f>IF(AND('Riesgos de Gestión'!$AI$55="Muy Alta",'Riesgos de Gestión'!$AK$55="Catastrófico"),CONCATENATE("R8C",'Riesgos de Gestión'!$V$55),"")</f>
        <v/>
      </c>
      <c r="AI13" s="39" t="str">
        <f>IF(AND('Riesgos de Gestión'!$AI$56="Muy Alta",'Riesgos de Gestión'!$AK$56="Catastrófico"),CONCATENATE("R8C",'Riesgos de Gestión'!$V$56),"")</f>
        <v/>
      </c>
      <c r="AJ13" s="39" t="str">
        <f>IF(AND('Riesgos de Gestión'!$AI$57="Muy Alta",'Riesgos de Gestión'!$AK$57="Catastrófico"),CONCATENATE("R8C",'Riesgos de Gestión'!$V$57),"")</f>
        <v/>
      </c>
      <c r="AK13" s="39" t="str">
        <f>IF(AND('Riesgos de Gestión'!$AI$58="Muy Alta",'Riesgos de Gestión'!$AK$58="Catastrófico"),CONCATENATE("R8C",'Riesgos de Gestión'!$V$58),"")</f>
        <v/>
      </c>
      <c r="AL13" s="39" t="str">
        <f>IF(AND('Riesgos de Gestión'!$AI$59="Muy Alta",'Riesgos de Gestión'!$AK$59="Catastrófico"),CONCATENATE("R8C",'Riesgos de Gestión'!$V$59),"")</f>
        <v/>
      </c>
      <c r="AM13" s="40" t="str">
        <f>IF(AND('Riesgos de Gestión'!$AI$60="Muy Alta",'Riesgos de Gestión'!$AK$60="Catastrófico"),CONCATENATE("R8C",'Riesgos de Gestión'!$V$60),"")</f>
        <v/>
      </c>
      <c r="AN13" s="66"/>
      <c r="AO13" s="546"/>
      <c r="AP13" s="547"/>
      <c r="AQ13" s="547"/>
      <c r="AR13" s="547"/>
      <c r="AS13" s="547"/>
      <c r="AT13" s="548"/>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41"/>
      <c r="C14" s="441"/>
      <c r="D14" s="442"/>
      <c r="E14" s="540"/>
      <c r="F14" s="539"/>
      <c r="G14" s="539"/>
      <c r="H14" s="539"/>
      <c r="I14" s="555"/>
      <c r="J14" s="35" t="str">
        <f>IF(AND('Riesgos de Gestión'!$AI$61="Muy Alta",'Riesgos de Gestión'!$AK$61="Leve"),CONCATENATE("R9C",'Riesgos de Gestión'!$V$61),"")</f>
        <v/>
      </c>
      <c r="K14" s="36" t="str">
        <f>IF(AND('Riesgos de Gestión'!$AI$62="Muy Alta",'Riesgos de Gestión'!$AK$62="Leve"),CONCATENATE("R9C",'Riesgos de Gestión'!$V$62),"")</f>
        <v/>
      </c>
      <c r="L14" s="36" t="str">
        <f>IF(AND('Riesgos de Gestión'!$AI$63="Muy Alta",'Riesgos de Gestión'!$AK$63="Leve"),CONCATENATE("R9C",'Riesgos de Gestión'!$V$63),"")</f>
        <v/>
      </c>
      <c r="M14" s="36" t="str">
        <f>IF(AND('Riesgos de Gestión'!$AI$64="Muy Alta",'Riesgos de Gestión'!$AK$64="Leve"),CONCATENATE("R9C",'Riesgos de Gestión'!$V$64),"")</f>
        <v/>
      </c>
      <c r="N14" s="36" t="str">
        <f>IF(AND('Riesgos de Gestión'!$AI$65="Muy Alta",'Riesgos de Gestión'!$AK$65="Leve"),CONCATENATE("R9C",'Riesgos de Gestión'!$V$65),"")</f>
        <v/>
      </c>
      <c r="O14" s="37" t="str">
        <f>IF(AND('Riesgos de Gestión'!$AI$66="Muy Alta",'Riesgos de Gestión'!$AK$66="Leve"),CONCATENATE("R9C",'Riesgos de Gestión'!$V$66),"")</f>
        <v/>
      </c>
      <c r="P14" s="35" t="str">
        <f>IF(AND('Riesgos de Gestión'!$AI$61="Muy Alta",'Riesgos de Gestión'!$AK$61="Menor"),CONCATENATE("R9C",'Riesgos de Gestión'!$V$61),"")</f>
        <v/>
      </c>
      <c r="Q14" s="36" t="str">
        <f>IF(AND('Riesgos de Gestión'!$AI$62="Muy Alta",'Riesgos de Gestión'!$AK$62="Menor"),CONCATENATE("R9C",'Riesgos de Gestión'!$V$62),"")</f>
        <v/>
      </c>
      <c r="R14" s="36" t="str">
        <f>IF(AND('Riesgos de Gestión'!$AI$63="Muy Alta",'Riesgos de Gestión'!$AK$63="Menor"),CONCATENATE("R9C",'Riesgos de Gestión'!$V$63),"")</f>
        <v/>
      </c>
      <c r="S14" s="36" t="str">
        <f>IF(AND('Riesgos de Gestión'!$AI$64="Muy Alta",'Riesgos de Gestión'!$AK$64="Menor"),CONCATENATE("R9C",'Riesgos de Gestión'!$V$64),"")</f>
        <v/>
      </c>
      <c r="T14" s="36" t="str">
        <f>IF(AND('Riesgos de Gestión'!$AI$65="Muy Alta",'Riesgos de Gestión'!$AK$65="Menor"),CONCATENATE("R9C",'Riesgos de Gestión'!$V$65),"")</f>
        <v/>
      </c>
      <c r="U14" s="37" t="str">
        <f>IF(AND('Riesgos de Gestión'!$AI$66="Muy Alta",'Riesgos de Gestión'!$AK$66="Menor"),CONCATENATE("R9C",'Riesgos de Gestión'!$V$66),"")</f>
        <v/>
      </c>
      <c r="V14" s="35" t="str">
        <f>IF(AND('Riesgos de Gestión'!$AI$61="Muy Alta",'Riesgos de Gestión'!$AK$61="Moderado"),CONCATENATE("R9C",'Riesgos de Gestión'!$V$61),"")</f>
        <v/>
      </c>
      <c r="W14" s="36" t="str">
        <f>IF(AND('Riesgos de Gestión'!$AI$62="Muy Alta",'Riesgos de Gestión'!$AK$62="Moderado"),CONCATENATE("R9C",'Riesgos de Gestión'!$V$62),"")</f>
        <v/>
      </c>
      <c r="X14" s="36" t="str">
        <f>IF(AND('Riesgos de Gestión'!$AI$63="Muy Alta",'Riesgos de Gestión'!$AK$63="Moderado"),CONCATENATE("R9C",'Riesgos de Gestión'!$V$63),"")</f>
        <v/>
      </c>
      <c r="Y14" s="36" t="str">
        <f>IF(AND('Riesgos de Gestión'!$AI$64="Muy Alta",'Riesgos de Gestión'!$AK$64="Moderado"),CONCATENATE("R9C",'Riesgos de Gestión'!$V$64),"")</f>
        <v/>
      </c>
      <c r="Z14" s="36" t="str">
        <f>IF(AND('Riesgos de Gestión'!$AI$65="Muy Alta",'Riesgos de Gestión'!$AK$65="Moderado"),CONCATENATE("R9C",'Riesgos de Gestión'!$V$65),"")</f>
        <v/>
      </c>
      <c r="AA14" s="37" t="str">
        <f>IF(AND('Riesgos de Gestión'!$AI$66="Muy Alta",'Riesgos de Gestión'!$AK$66="Moderado"),CONCATENATE("R9C",'Riesgos de Gestión'!$V$66),"")</f>
        <v/>
      </c>
      <c r="AB14" s="35" t="str">
        <f>IF(AND('Riesgos de Gestión'!$AI$61="Muy Alta",'Riesgos de Gestión'!$AK$61="Mayor"),CONCATENATE("R9C",'Riesgos de Gestión'!$V$61),"")</f>
        <v/>
      </c>
      <c r="AC14" s="36" t="str">
        <f>IF(AND('Riesgos de Gestión'!$AI$62="Muy Alta",'Riesgos de Gestión'!$AK$62="Mayor"),CONCATENATE("R9C",'Riesgos de Gestión'!$V$62),"")</f>
        <v/>
      </c>
      <c r="AD14" s="36" t="str">
        <f>IF(AND('Riesgos de Gestión'!$AI$63="Muy Alta",'Riesgos de Gestión'!$AK$63="Mayor"),CONCATENATE("R9C",'Riesgos de Gestión'!$V$63),"")</f>
        <v/>
      </c>
      <c r="AE14" s="36" t="str">
        <f>IF(AND('Riesgos de Gestión'!$AI$64="Muy Alta",'Riesgos de Gestión'!$AK$64="Mayor"),CONCATENATE("R9C",'Riesgos de Gestión'!$V$64),"")</f>
        <v/>
      </c>
      <c r="AF14" s="36" t="str">
        <f>IF(AND('Riesgos de Gestión'!$AI$65="Muy Alta",'Riesgos de Gestión'!$AK$65="Mayor"),CONCATENATE("R9C",'Riesgos de Gestión'!$V$65),"")</f>
        <v/>
      </c>
      <c r="AG14" s="37" t="str">
        <f>IF(AND('Riesgos de Gestión'!$AI$66="Muy Alta",'Riesgos de Gestión'!$AK$66="Mayor"),CONCATENATE("R9C",'Riesgos de Gestión'!$V$66),"")</f>
        <v/>
      </c>
      <c r="AH14" s="38" t="str">
        <f>IF(AND('Riesgos de Gestión'!$AI$61="Muy Alta",'Riesgos de Gestión'!$AK$61="Catastrófico"),CONCATENATE("R9C",'Riesgos de Gestión'!$V$61),"")</f>
        <v/>
      </c>
      <c r="AI14" s="39" t="str">
        <f>IF(AND('Riesgos de Gestión'!$AI$62="Muy Alta",'Riesgos de Gestión'!$AK$62="Catastrófico"),CONCATENATE("R9C",'Riesgos de Gestión'!$V$62),"")</f>
        <v/>
      </c>
      <c r="AJ14" s="39" t="str">
        <f>IF(AND('Riesgos de Gestión'!$AI$63="Muy Alta",'Riesgos de Gestión'!$AK$63="Catastrófico"),CONCATENATE("R9C",'Riesgos de Gestión'!$V$63),"")</f>
        <v/>
      </c>
      <c r="AK14" s="39" t="str">
        <f>IF(AND('Riesgos de Gestión'!$AI$64="Muy Alta",'Riesgos de Gestión'!$AK$64="Catastrófico"),CONCATENATE("R9C",'Riesgos de Gestión'!$V$64),"")</f>
        <v/>
      </c>
      <c r="AL14" s="39" t="str">
        <f>IF(AND('Riesgos de Gestión'!$AI$65="Muy Alta",'Riesgos de Gestión'!$AK$65="Catastrófico"),CONCATENATE("R9C",'Riesgos de Gestión'!$V$65),"")</f>
        <v/>
      </c>
      <c r="AM14" s="40" t="str">
        <f>IF(AND('Riesgos de Gestión'!$AI$66="Muy Alta",'Riesgos de Gestión'!$AK$66="Catastrófico"),CONCATENATE("R9C",'Riesgos de Gestión'!$V$66),"")</f>
        <v/>
      </c>
      <c r="AN14" s="66"/>
      <c r="AO14" s="546"/>
      <c r="AP14" s="547"/>
      <c r="AQ14" s="547"/>
      <c r="AR14" s="547"/>
      <c r="AS14" s="547"/>
      <c r="AT14" s="548"/>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41"/>
      <c r="C15" s="441"/>
      <c r="D15" s="442"/>
      <c r="E15" s="541"/>
      <c r="F15" s="542"/>
      <c r="G15" s="542"/>
      <c r="H15" s="542"/>
      <c r="I15" s="556"/>
      <c r="J15" s="41" t="str">
        <f>IF(AND('Riesgos de Gestión'!$AI$67="Muy Alta",'Riesgos de Gestión'!$AK$67="Leve"),CONCATENATE("R10C",'Riesgos de Gestión'!$V$67),"")</f>
        <v/>
      </c>
      <c r="K15" s="42" t="str">
        <f>IF(AND('Riesgos de Gestión'!$AI$68="Muy Alta",'Riesgos de Gestión'!$AK$68="Leve"),CONCATENATE("R10C",'Riesgos de Gestión'!$V$68),"")</f>
        <v/>
      </c>
      <c r="L15" s="42" t="str">
        <f>IF(AND('Riesgos de Gestión'!$AI$69="Muy Alta",'Riesgos de Gestión'!$AK$69="Leve"),CONCATENATE("R10C",'Riesgos de Gestión'!$V$69),"")</f>
        <v/>
      </c>
      <c r="M15" s="42" t="str">
        <f>IF(AND('Riesgos de Gestión'!$AI$70="Muy Alta",'Riesgos de Gestión'!$AK$70="Leve"),CONCATENATE("R10C",'Riesgos de Gestión'!$V$70),"")</f>
        <v/>
      </c>
      <c r="N15" s="42" t="str">
        <f>IF(AND('Riesgos de Gestión'!$AI$71="Muy Alta",'Riesgos de Gestión'!$AK$71="Leve"),CONCATENATE("R10C",'Riesgos de Gestión'!$V$71),"")</f>
        <v/>
      </c>
      <c r="O15" s="43" t="str">
        <f>IF(AND('Riesgos de Gestión'!$AI$72="Muy Alta",'Riesgos de Gestión'!$AK$72="Leve"),CONCATENATE("R10C",'Riesgos de Gestión'!$V$72),"")</f>
        <v/>
      </c>
      <c r="P15" s="35" t="str">
        <f>IF(AND('Riesgos de Gestión'!$AI$67="Muy Alta",'Riesgos de Gestión'!$AK$67="Menor"),CONCATENATE("R10C",'Riesgos de Gestión'!$V$67),"")</f>
        <v/>
      </c>
      <c r="Q15" s="36" t="str">
        <f>IF(AND('Riesgos de Gestión'!$AI$68="Muy Alta",'Riesgos de Gestión'!$AK$68="Menor"),CONCATENATE("R10C",'Riesgos de Gestión'!$V$68),"")</f>
        <v/>
      </c>
      <c r="R15" s="36" t="str">
        <f>IF(AND('Riesgos de Gestión'!$AI$69="Muy Alta",'Riesgos de Gestión'!$AK$69="Menor"),CONCATENATE("R10C",'Riesgos de Gestión'!$V$69),"")</f>
        <v/>
      </c>
      <c r="S15" s="36" t="str">
        <f>IF(AND('Riesgos de Gestión'!$AI$70="Muy Alta",'Riesgos de Gestión'!$AK$70="Menor"),CONCATENATE("R10C",'Riesgos de Gestión'!$V$70),"")</f>
        <v/>
      </c>
      <c r="T15" s="36" t="str">
        <f>IF(AND('Riesgos de Gestión'!$AI$71="Muy Alta",'Riesgos de Gestión'!$AK$71="Menor"),CONCATENATE("R10C",'Riesgos de Gestión'!$V$71),"")</f>
        <v/>
      </c>
      <c r="U15" s="37" t="str">
        <f>IF(AND('Riesgos de Gestión'!$AI$72="Muy Alta",'Riesgos de Gestión'!$AK$72="Menor"),CONCATENATE("R10C",'Riesgos de Gestión'!$V$72),"")</f>
        <v/>
      </c>
      <c r="V15" s="41" t="str">
        <f>IF(AND('Riesgos de Gestión'!$AI$67="Muy Alta",'Riesgos de Gestión'!$AK$67="Moderado"),CONCATENATE("R10C",'Riesgos de Gestión'!$V$67),"")</f>
        <v/>
      </c>
      <c r="W15" s="42" t="str">
        <f>IF(AND('Riesgos de Gestión'!$AI$68="Muy Alta",'Riesgos de Gestión'!$AK$68="Moderado"),CONCATENATE("R10C",'Riesgos de Gestión'!$V$68),"")</f>
        <v/>
      </c>
      <c r="X15" s="42" t="str">
        <f>IF(AND('Riesgos de Gestión'!$AI$69="Muy Alta",'Riesgos de Gestión'!$AK$69="Moderado"),CONCATENATE("R10C",'Riesgos de Gestión'!$V$69),"")</f>
        <v/>
      </c>
      <c r="Y15" s="42" t="str">
        <f>IF(AND('Riesgos de Gestión'!$AI$70="Muy Alta",'Riesgos de Gestión'!$AK$70="Moderado"),CONCATENATE("R10C",'Riesgos de Gestión'!$V$70),"")</f>
        <v/>
      </c>
      <c r="Z15" s="42" t="str">
        <f>IF(AND('Riesgos de Gestión'!$AI$71="Muy Alta",'Riesgos de Gestión'!$AK$71="Moderado"),CONCATENATE("R10C",'Riesgos de Gestión'!$V$71),"")</f>
        <v/>
      </c>
      <c r="AA15" s="43" t="str">
        <f>IF(AND('Riesgos de Gestión'!$AI$72="Muy Alta",'Riesgos de Gestión'!$AK$72="Moderado"),CONCATENATE("R10C",'Riesgos de Gestión'!$V$72),"")</f>
        <v/>
      </c>
      <c r="AB15" s="35" t="str">
        <f>IF(AND('Riesgos de Gestión'!$AI$67="Muy Alta",'Riesgos de Gestión'!$AK$67="Mayor"),CONCATENATE("R10C",'Riesgos de Gestión'!$V$67),"")</f>
        <v/>
      </c>
      <c r="AC15" s="36" t="str">
        <f>IF(AND('Riesgos de Gestión'!$AI$68="Muy Alta",'Riesgos de Gestión'!$AK$68="Mayor"),CONCATENATE("R10C",'Riesgos de Gestión'!$V$68),"")</f>
        <v/>
      </c>
      <c r="AD15" s="36" t="str">
        <f>IF(AND('Riesgos de Gestión'!$AI$69="Muy Alta",'Riesgos de Gestión'!$AK$69="Mayor"),CONCATENATE("R10C",'Riesgos de Gestión'!$V$69),"")</f>
        <v/>
      </c>
      <c r="AE15" s="36" t="str">
        <f>IF(AND('Riesgos de Gestión'!$AI$70="Muy Alta",'Riesgos de Gestión'!$AK$70="Mayor"),CONCATENATE("R10C",'Riesgos de Gestión'!$V$70),"")</f>
        <v/>
      </c>
      <c r="AF15" s="36" t="str">
        <f>IF(AND('Riesgos de Gestión'!$AI$71="Muy Alta",'Riesgos de Gestión'!$AK$71="Mayor"),CONCATENATE("R10C",'Riesgos de Gestión'!$V$71),"")</f>
        <v/>
      </c>
      <c r="AG15" s="37" t="str">
        <f>IF(AND('Riesgos de Gestión'!$AI$72="Muy Alta",'Riesgos de Gestión'!$AK$72="Mayor"),CONCATENATE("R10C",'Riesgos de Gestión'!$V$72),"")</f>
        <v/>
      </c>
      <c r="AH15" s="44" t="str">
        <f>IF(AND('Riesgos de Gestión'!$AI$67="Muy Alta",'Riesgos de Gestión'!$AK$67="Catastrófico"),CONCATENATE("R10C",'Riesgos de Gestión'!$V$67),"")</f>
        <v/>
      </c>
      <c r="AI15" s="45" t="str">
        <f>IF(AND('Riesgos de Gestión'!$AI$68="Muy Alta",'Riesgos de Gestión'!$AK$68="Catastrófico"),CONCATENATE("R10C",'Riesgos de Gestión'!$V$68),"")</f>
        <v/>
      </c>
      <c r="AJ15" s="45" t="str">
        <f>IF(AND('Riesgos de Gestión'!$AI$69="Muy Alta",'Riesgos de Gestión'!$AK$69="Catastrófico"),CONCATENATE("R10C",'Riesgos de Gestión'!$V$69),"")</f>
        <v/>
      </c>
      <c r="AK15" s="45" t="str">
        <f>IF(AND('Riesgos de Gestión'!$AI$70="Muy Alta",'Riesgos de Gestión'!$AK$70="Catastrófico"),CONCATENATE("R10C",'Riesgos de Gestión'!$V$70),"")</f>
        <v/>
      </c>
      <c r="AL15" s="45" t="str">
        <f>IF(AND('Riesgos de Gestión'!$AI$71="Muy Alta",'Riesgos de Gestión'!$AK$71="Catastrófico"),CONCATENATE("R10C",'Riesgos de Gestión'!$V$71),"")</f>
        <v/>
      </c>
      <c r="AM15" s="46" t="str">
        <f>IF(AND('Riesgos de Gestión'!$AI$72="Muy Alta",'Riesgos de Gestión'!$AK$72="Catastrófico"),CONCATENATE("R10C",'Riesgos de Gestión'!$V$72),"")</f>
        <v/>
      </c>
      <c r="AN15" s="66"/>
      <c r="AO15" s="549"/>
      <c r="AP15" s="550"/>
      <c r="AQ15" s="550"/>
      <c r="AR15" s="550"/>
      <c r="AS15" s="550"/>
      <c r="AT15" s="551"/>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41"/>
      <c r="C16" s="441"/>
      <c r="D16" s="442"/>
      <c r="E16" s="536" t="s">
        <v>284</v>
      </c>
      <c r="F16" s="537"/>
      <c r="G16" s="537"/>
      <c r="H16" s="537"/>
      <c r="I16" s="537"/>
      <c r="J16" s="47" t="str">
        <f>IF(AND('Riesgos de Gestión'!$AI$13="Alta",'Riesgos de Gestión'!$AK$13="Leve"),CONCATENATE("R1C",'Riesgos de Gestión'!$V$13),"")</f>
        <v/>
      </c>
      <c r="K16" s="48" t="str">
        <f>IF(AND('Riesgos de Gestión'!$AI$14="Alta",'Riesgos de Gestión'!$AK$14="Leve"),CONCATENATE("R1C",'Riesgos de Gestión'!$V$14),"")</f>
        <v/>
      </c>
      <c r="L16" s="48" t="e">
        <f>IF(AND('Riesgos de Gestión'!#REF!="Alta",'Riesgos de Gestión'!#REF!="Leve"),CONCATENATE("R1C",'Riesgos de Gestión'!#REF!),"")</f>
        <v>#REF!</v>
      </c>
      <c r="M16" s="48" t="e">
        <f>IF(AND('Riesgos de Gestión'!#REF!="Alta",'Riesgos de Gestión'!#REF!="Leve"),CONCATENATE("R1C",'Riesgos de Gestión'!#REF!),"")</f>
        <v>#REF!</v>
      </c>
      <c r="N16" s="48" t="e">
        <f>IF(AND('Riesgos de Gestión'!#REF!="Alta",'Riesgos de Gestión'!#REF!="Leve"),CONCATENATE("R1C",'Riesgos de Gestión'!#REF!),"")</f>
        <v>#REF!</v>
      </c>
      <c r="O16" s="49" t="e">
        <f>IF(AND('Riesgos de Gestión'!#REF!="Alta",'Riesgos de Gestión'!#REF!="Leve"),CONCATENATE("R1C",'Riesgos de Gestión'!#REF!),"")</f>
        <v>#REF!</v>
      </c>
      <c r="P16" s="47" t="str">
        <f>IF(AND('Riesgos de Gestión'!$AI$13="Alta",'Riesgos de Gestión'!$AK$13="Menor"),CONCATENATE("R1C",'Riesgos de Gestión'!$V$13),"")</f>
        <v/>
      </c>
      <c r="Q16" s="48" t="str">
        <f>IF(AND('Riesgos de Gestión'!$AI$14="Alta",'Riesgos de Gestión'!$AK$14="Menor"),CONCATENATE("R1C",'Riesgos de Gestión'!$V$14),"")</f>
        <v/>
      </c>
      <c r="R16" s="48" t="e">
        <f>IF(AND('Riesgos de Gestión'!#REF!="Alta",'Riesgos de Gestión'!#REF!="Menor"),CONCATENATE("R1C",'Riesgos de Gestión'!#REF!),"")</f>
        <v>#REF!</v>
      </c>
      <c r="S16" s="48" t="e">
        <f>IF(AND('Riesgos de Gestión'!#REF!="Alta",'Riesgos de Gestión'!#REF!="Menor"),CONCATENATE("R1C",'Riesgos de Gestión'!#REF!),"")</f>
        <v>#REF!</v>
      </c>
      <c r="T16" s="48" t="e">
        <f>IF(AND('Riesgos de Gestión'!#REF!="Alta",'Riesgos de Gestión'!#REF!="Menor"),CONCATENATE("R1C",'Riesgos de Gestión'!#REF!),"")</f>
        <v>#REF!</v>
      </c>
      <c r="U16" s="49" t="e">
        <f>IF(AND('Riesgos de Gestión'!#REF!="Alta",'Riesgos de Gestión'!#REF!="Menor"),CONCATENATE("R1C",'Riesgos de Gestión'!#REF!),"")</f>
        <v>#REF!</v>
      </c>
      <c r="V16" s="29" t="str">
        <f>IF(AND('Riesgos de Gestión'!$AI$13="Alta",'Riesgos de Gestión'!$AK$13="Moderado"),CONCATENATE("R1C",'Riesgos de Gestión'!$V$13),"")</f>
        <v/>
      </c>
      <c r="W16" s="30" t="str">
        <f>IF(AND('Riesgos de Gestión'!$AI$14="Alta",'Riesgos de Gestión'!$AK$14="Moderado"),CONCATENATE("R1C",'Riesgos de Gestión'!$V$14),"")</f>
        <v/>
      </c>
      <c r="X16" s="30" t="e">
        <f>IF(AND('Riesgos de Gestión'!#REF!="Alta",'Riesgos de Gestión'!#REF!="Moderado"),CONCATENATE("R1C",'Riesgos de Gestión'!#REF!),"")</f>
        <v>#REF!</v>
      </c>
      <c r="Y16" s="30" t="e">
        <f>IF(AND('Riesgos de Gestión'!#REF!="Alta",'Riesgos de Gestión'!#REF!="Moderado"),CONCATENATE("R1C",'Riesgos de Gestión'!#REF!),"")</f>
        <v>#REF!</v>
      </c>
      <c r="Z16" s="30" t="e">
        <f>IF(AND('Riesgos de Gestión'!#REF!="Alta",'Riesgos de Gestión'!#REF!="Moderado"),CONCATENATE("R1C",'Riesgos de Gestión'!#REF!),"")</f>
        <v>#REF!</v>
      </c>
      <c r="AA16" s="31" t="e">
        <f>IF(AND('Riesgos de Gestión'!#REF!="Alta",'Riesgos de Gestión'!#REF!="Moderado"),CONCATENATE("R1C",'Riesgos de Gestión'!#REF!),"")</f>
        <v>#REF!</v>
      </c>
      <c r="AB16" s="29" t="str">
        <f>IF(AND('Riesgos de Gestión'!$AI$13="Alta",'Riesgos de Gestión'!$AK$13="Mayor"),CONCATENATE("R1C",'Riesgos de Gestión'!$V$13),"")</f>
        <v/>
      </c>
      <c r="AC16" s="30" t="str">
        <f>IF(AND('Riesgos de Gestión'!$AI$14="Alta",'Riesgos de Gestión'!$AK$14="Mayor"),CONCATENATE("R1C",'Riesgos de Gestión'!$V$14),"")</f>
        <v/>
      </c>
      <c r="AD16" s="30" t="e">
        <f>IF(AND('Riesgos de Gestión'!#REF!="Alta",'Riesgos de Gestión'!#REF!="Mayor"),CONCATENATE("R1C",'Riesgos de Gestión'!#REF!),"")</f>
        <v>#REF!</v>
      </c>
      <c r="AE16" s="30" t="e">
        <f>IF(AND('Riesgos de Gestión'!#REF!="Alta",'Riesgos de Gestión'!#REF!="Mayor"),CONCATENATE("R1C",'Riesgos de Gestión'!#REF!),"")</f>
        <v>#REF!</v>
      </c>
      <c r="AF16" s="30" t="e">
        <f>IF(AND('Riesgos de Gestión'!#REF!="Alta",'Riesgos de Gestión'!#REF!="Mayor"),CONCATENATE("R1C",'Riesgos de Gestión'!#REF!),"")</f>
        <v>#REF!</v>
      </c>
      <c r="AG16" s="31" t="e">
        <f>IF(AND('Riesgos de Gestión'!#REF!="Alta",'Riesgos de Gestión'!#REF!="Mayor"),CONCATENATE("R1C",'Riesgos de Gestión'!#REF!),"")</f>
        <v>#REF!</v>
      </c>
      <c r="AH16" s="32" t="str">
        <f>IF(AND('Riesgos de Gestión'!$AI$13="Alta",'Riesgos de Gestión'!$AK$13="Catastrófico"),CONCATENATE("R1C",'Riesgos de Gestión'!$V$13),"")</f>
        <v/>
      </c>
      <c r="AI16" s="33" t="str">
        <f>IF(AND('Riesgos de Gestión'!$AI$14="Alta",'Riesgos de Gestión'!$AK$14="Catastrófico"),CONCATENATE("R1C",'Riesgos de Gestión'!$V$14),"")</f>
        <v/>
      </c>
      <c r="AJ16" s="33" t="e">
        <f>IF(AND('Riesgos de Gestión'!#REF!="Alta",'Riesgos de Gestión'!#REF!="Catastrófico"),CONCATENATE("R1C",'Riesgos de Gestión'!#REF!),"")</f>
        <v>#REF!</v>
      </c>
      <c r="AK16" s="33" t="e">
        <f>IF(AND('Riesgos de Gestión'!#REF!="Alta",'Riesgos de Gestión'!#REF!="Catastrófico"),CONCATENATE("R1C",'Riesgos de Gestión'!#REF!),"")</f>
        <v>#REF!</v>
      </c>
      <c r="AL16" s="33" t="e">
        <f>IF(AND('Riesgos de Gestión'!#REF!="Alta",'Riesgos de Gestión'!#REF!="Catastrófico"),CONCATENATE("R1C",'Riesgos de Gestión'!#REF!),"")</f>
        <v>#REF!</v>
      </c>
      <c r="AM16" s="34" t="e">
        <f>IF(AND('Riesgos de Gestión'!#REF!="Alta",'Riesgos de Gestión'!#REF!="Catastrófico"),CONCATENATE("R1C",'Riesgos de Gestión'!#REF!),"")</f>
        <v>#REF!</v>
      </c>
      <c r="AN16" s="66"/>
      <c r="AO16" s="527" t="s">
        <v>285</v>
      </c>
      <c r="AP16" s="528"/>
      <c r="AQ16" s="528"/>
      <c r="AR16" s="528"/>
      <c r="AS16" s="528"/>
      <c r="AT16" s="529"/>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41"/>
      <c r="C17" s="441"/>
      <c r="D17" s="442"/>
      <c r="E17" s="538"/>
      <c r="F17" s="539"/>
      <c r="G17" s="539"/>
      <c r="H17" s="539"/>
      <c r="I17" s="539"/>
      <c r="J17" s="50" t="str">
        <f>IF(AND('Riesgos de Gestión'!$AI$19="Alta",'Riesgos de Gestión'!$AK$19="Leve"),CONCATENATE("R2C",'Riesgos de Gestión'!$V$19),"")</f>
        <v/>
      </c>
      <c r="K17" s="51" t="str">
        <f>IF(AND('Riesgos de Gestión'!$AI$20="Alta",'Riesgos de Gestión'!$AK$20="Leve"),CONCATENATE("R2C",'Riesgos de Gestión'!$V$20),"")</f>
        <v/>
      </c>
      <c r="L17" s="51" t="str">
        <f>IF(AND('Riesgos de Gestión'!$AI$21="Alta",'Riesgos de Gestión'!$AK$21="Leve"),CONCATENATE("R2C",'Riesgos de Gestión'!$V$21),"")</f>
        <v/>
      </c>
      <c r="M17" s="51" t="str">
        <f>IF(AND('Riesgos de Gestión'!$AI$22="Alta",'Riesgos de Gestión'!$AK$22="Leve"),CONCATENATE("R2C",'Riesgos de Gestión'!$V$22),"")</f>
        <v/>
      </c>
      <c r="N17" s="51" t="str">
        <f>IF(AND('Riesgos de Gestión'!$AI$23="Alta",'Riesgos de Gestión'!$AK$23="Leve"),CONCATENATE("R2C",'Riesgos de Gestión'!$V$23),"")</f>
        <v/>
      </c>
      <c r="O17" s="52" t="str">
        <f>IF(AND('Riesgos de Gestión'!$AI$24="Alta",'Riesgos de Gestión'!$AK$24="Leve"),CONCATENATE("R2C",'Riesgos de Gestión'!$V$24),"")</f>
        <v/>
      </c>
      <c r="P17" s="50" t="str">
        <f>IF(AND('Riesgos de Gestión'!$AI$19="Alta",'Riesgos de Gestión'!$AK$19="Menor"),CONCATENATE("R2C",'Riesgos de Gestión'!$V$19),"")</f>
        <v/>
      </c>
      <c r="Q17" s="51" t="str">
        <f>IF(AND('Riesgos de Gestión'!$AI$20="Alta",'Riesgos de Gestión'!$AK$20="Menor"),CONCATENATE("R2C",'Riesgos de Gestión'!$V$20),"")</f>
        <v/>
      </c>
      <c r="R17" s="51" t="str">
        <f>IF(AND('Riesgos de Gestión'!$AI$21="Alta",'Riesgos de Gestión'!$AK$21="Menor"),CONCATENATE("R2C",'Riesgos de Gestión'!$V$21),"")</f>
        <v/>
      </c>
      <c r="S17" s="51" t="str">
        <f>IF(AND('Riesgos de Gestión'!$AI$22="Alta",'Riesgos de Gestión'!$AK$22="Menor"),CONCATENATE("R2C",'Riesgos de Gestión'!$V$22),"")</f>
        <v/>
      </c>
      <c r="T17" s="51" t="str">
        <f>IF(AND('Riesgos de Gestión'!$AI$23="Alta",'Riesgos de Gestión'!$AK$23="Menor"),CONCATENATE("R2C",'Riesgos de Gestión'!$V$23),"")</f>
        <v/>
      </c>
      <c r="U17" s="52" t="str">
        <f>IF(AND('Riesgos de Gestión'!$AI$24="Alta",'Riesgos de Gestión'!$AK$24="Menor"),CONCATENATE("R2C",'Riesgos de Gestión'!$V$24),"")</f>
        <v/>
      </c>
      <c r="V17" s="35" t="str">
        <f>IF(AND('Riesgos de Gestión'!$AI$19="Alta",'Riesgos de Gestión'!$AK$19="Moderado"),CONCATENATE("R2C",'Riesgos de Gestión'!$V$19),"")</f>
        <v/>
      </c>
      <c r="W17" s="36" t="str">
        <f>IF(AND('Riesgos de Gestión'!$AI$20="Alta",'Riesgos de Gestión'!$AK$20="Moderado"),CONCATENATE("R2C",'Riesgos de Gestión'!$V$20),"")</f>
        <v/>
      </c>
      <c r="X17" s="36" t="str">
        <f>IF(AND('Riesgos de Gestión'!$AI$21="Alta",'Riesgos de Gestión'!$AK$21="Moderado"),CONCATENATE("R2C",'Riesgos de Gestión'!$V$21),"")</f>
        <v/>
      </c>
      <c r="Y17" s="36" t="str">
        <f>IF(AND('Riesgos de Gestión'!$AI$22="Alta",'Riesgos de Gestión'!$AK$22="Moderado"),CONCATENATE("R2C",'Riesgos de Gestión'!$V$22),"")</f>
        <v/>
      </c>
      <c r="Z17" s="36" t="str">
        <f>IF(AND('Riesgos de Gestión'!$AI$23="Alta",'Riesgos de Gestión'!$AK$23="Moderado"),CONCATENATE("R2C",'Riesgos de Gestión'!$V$23),"")</f>
        <v/>
      </c>
      <c r="AA17" s="37" t="str">
        <f>IF(AND('Riesgos de Gestión'!$AI$24="Alta",'Riesgos de Gestión'!$AK$24="Moderado"),CONCATENATE("R2C",'Riesgos de Gestión'!$V$24),"")</f>
        <v/>
      </c>
      <c r="AB17" s="35" t="str">
        <f>IF(AND('Riesgos de Gestión'!$AI$19="Alta",'Riesgos de Gestión'!$AK$19="Mayor"),CONCATENATE("R2C",'Riesgos de Gestión'!$V$19),"")</f>
        <v/>
      </c>
      <c r="AC17" s="36" t="str">
        <f>IF(AND('Riesgos de Gestión'!$AI$20="Alta",'Riesgos de Gestión'!$AK$20="Mayor"),CONCATENATE("R2C",'Riesgos de Gestión'!$V$20),"")</f>
        <v/>
      </c>
      <c r="AD17" s="36" t="str">
        <f>IF(AND('Riesgos de Gestión'!$AI$21="Alta",'Riesgos de Gestión'!$AK$21="Mayor"),CONCATENATE("R2C",'Riesgos de Gestión'!$V$21),"")</f>
        <v/>
      </c>
      <c r="AE17" s="36" t="str">
        <f>IF(AND('Riesgos de Gestión'!$AI$22="Alta",'Riesgos de Gestión'!$AK$22="Mayor"),CONCATENATE("R2C",'Riesgos de Gestión'!$V$22),"")</f>
        <v/>
      </c>
      <c r="AF17" s="36" t="str">
        <f>IF(AND('Riesgos de Gestión'!$AI$23="Alta",'Riesgos de Gestión'!$AK$23="Mayor"),CONCATENATE("R2C",'Riesgos de Gestión'!$V$23),"")</f>
        <v/>
      </c>
      <c r="AG17" s="37" t="str">
        <f>IF(AND('Riesgos de Gestión'!$AI$24="Alta",'Riesgos de Gestión'!$AK$24="Mayor"),CONCATENATE("R2C",'Riesgos de Gestión'!$V$24),"")</f>
        <v/>
      </c>
      <c r="AH17" s="38" t="str">
        <f>IF(AND('Riesgos de Gestión'!$AI$19="Alta",'Riesgos de Gestión'!$AK$19="Catastrófico"),CONCATENATE("R2C",'Riesgos de Gestión'!$V$19),"")</f>
        <v/>
      </c>
      <c r="AI17" s="39" t="str">
        <f>IF(AND('Riesgos de Gestión'!$AI$20="Alta",'Riesgos de Gestión'!$AK$20="Catastrófico"),CONCATENATE("R2C",'Riesgos de Gestión'!$V$20),"")</f>
        <v/>
      </c>
      <c r="AJ17" s="39" t="str">
        <f>IF(AND('Riesgos de Gestión'!$AI$21="Alta",'Riesgos de Gestión'!$AK$21="Catastrófico"),CONCATENATE("R2C",'Riesgos de Gestión'!$V$21),"")</f>
        <v/>
      </c>
      <c r="AK17" s="39" t="str">
        <f>IF(AND('Riesgos de Gestión'!$AI$22="Alta",'Riesgos de Gestión'!$AK$22="Catastrófico"),CONCATENATE("R2C",'Riesgos de Gestión'!$V$22),"")</f>
        <v/>
      </c>
      <c r="AL17" s="39" t="str">
        <f>IF(AND('Riesgos de Gestión'!$AI$23="Alta",'Riesgos de Gestión'!$AK$23="Catastrófico"),CONCATENATE("R2C",'Riesgos de Gestión'!$V$23),"")</f>
        <v/>
      </c>
      <c r="AM17" s="40" t="str">
        <f>IF(AND('Riesgos de Gestión'!$AI$24="Alta",'Riesgos de Gestión'!$AK$24="Catastrófico"),CONCATENATE("R2C",'Riesgos de Gestión'!$V$24),"")</f>
        <v/>
      </c>
      <c r="AN17" s="66"/>
      <c r="AO17" s="530"/>
      <c r="AP17" s="531"/>
      <c r="AQ17" s="531"/>
      <c r="AR17" s="531"/>
      <c r="AS17" s="531"/>
      <c r="AT17" s="53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41"/>
      <c r="C18" s="441"/>
      <c r="D18" s="442"/>
      <c r="E18" s="540"/>
      <c r="F18" s="539"/>
      <c r="G18" s="539"/>
      <c r="H18" s="539"/>
      <c r="I18" s="539"/>
      <c r="J18" s="50" t="str">
        <f>IF(AND('Riesgos de Gestión'!$AI$25="Alta",'Riesgos de Gestión'!$AK$25="Leve"),CONCATENATE("R3C",'Riesgos de Gestión'!$V$25),"")</f>
        <v/>
      </c>
      <c r="K18" s="51" t="str">
        <f>IF(AND('Riesgos de Gestión'!$AI$26="Alta",'Riesgos de Gestión'!$AK$26="Leve"),CONCATENATE("R3C",'Riesgos de Gestión'!$V$26),"")</f>
        <v/>
      </c>
      <c r="L18" s="51" t="str">
        <f>IF(AND('Riesgos de Gestión'!$AI$27="Alta",'Riesgos de Gestión'!$AK$27="Leve"),CONCATENATE("R3C",'Riesgos de Gestión'!$V$27),"")</f>
        <v/>
      </c>
      <c r="M18" s="51" t="str">
        <f>IF(AND('Riesgos de Gestión'!$AI$28="Alta",'Riesgos de Gestión'!$AK$28="Leve"),CONCATENATE("R3C",'Riesgos de Gestión'!$V$28),"")</f>
        <v/>
      </c>
      <c r="N18" s="51" t="str">
        <f>IF(AND('Riesgos de Gestión'!$AI$29="Alta",'Riesgos de Gestión'!$AK$29="Leve"),CONCATENATE("R3C",'Riesgos de Gestión'!$V$29),"")</f>
        <v/>
      </c>
      <c r="O18" s="52" t="str">
        <f>IF(AND('Riesgos de Gestión'!$AI$30="Alta",'Riesgos de Gestión'!$AK$30="Leve"),CONCATENATE("R3C",'Riesgos de Gestión'!$V$30),"")</f>
        <v/>
      </c>
      <c r="P18" s="50" t="str">
        <f>IF(AND('Riesgos de Gestión'!$AI$25="Alta",'Riesgos de Gestión'!$AK$25="Menor"),CONCATENATE("R3C",'Riesgos de Gestión'!$V$25),"")</f>
        <v/>
      </c>
      <c r="Q18" s="51" t="str">
        <f>IF(AND('Riesgos de Gestión'!$AI$26="Alta",'Riesgos de Gestión'!$AK$26="Menor"),CONCATENATE("R3C",'Riesgos de Gestión'!$V$26),"")</f>
        <v/>
      </c>
      <c r="R18" s="51" t="str">
        <f>IF(AND('Riesgos de Gestión'!$AI$27="Alta",'Riesgos de Gestión'!$AK$27="Menor"),CONCATENATE("R3C",'Riesgos de Gestión'!$V$27),"")</f>
        <v/>
      </c>
      <c r="S18" s="51" t="str">
        <f>IF(AND('Riesgos de Gestión'!$AI$28="Alta",'Riesgos de Gestión'!$AK$28="Menor"),CONCATENATE("R3C",'Riesgos de Gestión'!$V$28),"")</f>
        <v/>
      </c>
      <c r="T18" s="51" t="str">
        <f>IF(AND('Riesgos de Gestión'!$AI$29="Alta",'Riesgos de Gestión'!$AK$29="Menor"),CONCATENATE("R3C",'Riesgos de Gestión'!$V$29),"")</f>
        <v/>
      </c>
      <c r="U18" s="52" t="str">
        <f>IF(AND('Riesgos de Gestión'!$AI$30="Alta",'Riesgos de Gestión'!$AK$30="Menor"),CONCATENATE("R3C",'Riesgos de Gestión'!$V$30),"")</f>
        <v/>
      </c>
      <c r="V18" s="35" t="str">
        <f>IF(AND('Riesgos de Gestión'!$AI$25="Alta",'Riesgos de Gestión'!$AK$25="Moderado"),CONCATENATE("R3C",'Riesgos de Gestión'!$V$25),"")</f>
        <v/>
      </c>
      <c r="W18" s="36" t="str">
        <f>IF(AND('Riesgos de Gestión'!$AI$26="Alta",'Riesgos de Gestión'!$AK$26="Moderado"),CONCATENATE("R3C",'Riesgos de Gestión'!$V$26),"")</f>
        <v/>
      </c>
      <c r="X18" s="36" t="str">
        <f>IF(AND('Riesgos de Gestión'!$AI$27="Alta",'Riesgos de Gestión'!$AK$27="Moderado"),CONCATENATE("R3C",'Riesgos de Gestión'!$V$27),"")</f>
        <v/>
      </c>
      <c r="Y18" s="36" t="str">
        <f>IF(AND('Riesgos de Gestión'!$AI$28="Alta",'Riesgos de Gestión'!$AK$28="Moderado"),CONCATENATE("R3C",'Riesgos de Gestión'!$V$28),"")</f>
        <v/>
      </c>
      <c r="Z18" s="36" t="str">
        <f>IF(AND('Riesgos de Gestión'!$AI$29="Alta",'Riesgos de Gestión'!$AK$29="Moderado"),CONCATENATE("R3C",'Riesgos de Gestión'!$V$29),"")</f>
        <v/>
      </c>
      <c r="AA18" s="37" t="str">
        <f>IF(AND('Riesgos de Gestión'!$AI$30="Alta",'Riesgos de Gestión'!$AK$30="Moderado"),CONCATENATE("R3C",'Riesgos de Gestión'!$V$30),"")</f>
        <v/>
      </c>
      <c r="AB18" s="35" t="str">
        <f>IF(AND('Riesgos de Gestión'!$AI$25="Alta",'Riesgos de Gestión'!$AK$25="Mayor"),CONCATENATE("R3C",'Riesgos de Gestión'!$V$25),"")</f>
        <v/>
      </c>
      <c r="AC18" s="36" t="str">
        <f>IF(AND('Riesgos de Gestión'!$AI$26="Alta",'Riesgos de Gestión'!$AK$26="Mayor"),CONCATENATE("R3C",'Riesgos de Gestión'!$V$26),"")</f>
        <v/>
      </c>
      <c r="AD18" s="36" t="str">
        <f>IF(AND('Riesgos de Gestión'!$AI$27="Alta",'Riesgos de Gestión'!$AK$27="Mayor"),CONCATENATE("R3C",'Riesgos de Gestión'!$V$27),"")</f>
        <v/>
      </c>
      <c r="AE18" s="36" t="str">
        <f>IF(AND('Riesgos de Gestión'!$AI$28="Alta",'Riesgos de Gestión'!$AK$28="Mayor"),CONCATENATE("R3C",'Riesgos de Gestión'!$V$28),"")</f>
        <v/>
      </c>
      <c r="AF18" s="36" t="str">
        <f>IF(AND('Riesgos de Gestión'!$AI$29="Alta",'Riesgos de Gestión'!$AK$29="Mayor"),CONCATENATE("R3C",'Riesgos de Gestión'!$V$29),"")</f>
        <v/>
      </c>
      <c r="AG18" s="37" t="str">
        <f>IF(AND('Riesgos de Gestión'!$AI$30="Alta",'Riesgos de Gestión'!$AK$30="Mayor"),CONCATENATE("R3C",'Riesgos de Gestión'!$V$30),"")</f>
        <v/>
      </c>
      <c r="AH18" s="38" t="str">
        <f>IF(AND('Riesgos de Gestión'!$AI$25="Alta",'Riesgos de Gestión'!$AK$25="Catastrófico"),CONCATENATE("R3C",'Riesgos de Gestión'!$V$25),"")</f>
        <v/>
      </c>
      <c r="AI18" s="39" t="str">
        <f>IF(AND('Riesgos de Gestión'!$AI$26="Alta",'Riesgos de Gestión'!$AK$26="Catastrófico"),CONCATENATE("R3C",'Riesgos de Gestión'!$V$26),"")</f>
        <v/>
      </c>
      <c r="AJ18" s="39" t="str">
        <f>IF(AND('Riesgos de Gestión'!$AI$27="Alta",'Riesgos de Gestión'!$AK$27="Catastrófico"),CONCATENATE("R3C",'Riesgos de Gestión'!$V$27),"")</f>
        <v/>
      </c>
      <c r="AK18" s="39" t="str">
        <f>IF(AND('Riesgos de Gestión'!$AI$28="Alta",'Riesgos de Gestión'!$AK$28="Catastrófico"),CONCATENATE("R3C",'Riesgos de Gestión'!$V$28),"")</f>
        <v/>
      </c>
      <c r="AL18" s="39" t="str">
        <f>IF(AND('Riesgos de Gestión'!$AI$29="Alta",'Riesgos de Gestión'!$AK$29="Catastrófico"),CONCATENATE("R3C",'Riesgos de Gestión'!$V$29),"")</f>
        <v/>
      </c>
      <c r="AM18" s="40" t="str">
        <f>IF(AND('Riesgos de Gestión'!$AI$30="Alta",'Riesgos de Gestión'!$AK$30="Catastrófico"),CONCATENATE("R3C",'Riesgos de Gestión'!$V$30),"")</f>
        <v/>
      </c>
      <c r="AN18" s="66"/>
      <c r="AO18" s="530"/>
      <c r="AP18" s="531"/>
      <c r="AQ18" s="531"/>
      <c r="AR18" s="531"/>
      <c r="AS18" s="531"/>
      <c r="AT18" s="53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41"/>
      <c r="C19" s="441"/>
      <c r="D19" s="442"/>
      <c r="E19" s="540"/>
      <c r="F19" s="539"/>
      <c r="G19" s="539"/>
      <c r="H19" s="539"/>
      <c r="I19" s="539"/>
      <c r="J19" s="50" t="str">
        <f>IF(AND('Riesgos de Gestión'!$AI$31="Alta",'Riesgos de Gestión'!$AK$31="Leve"),CONCATENATE("R4C",'Riesgos de Gestión'!$V$31),"")</f>
        <v/>
      </c>
      <c r="K19" s="51" t="str">
        <f>IF(AND('Riesgos de Gestión'!$AI$32="Alta",'Riesgos de Gestión'!$AK$32="Leve"),CONCATENATE("R4C",'Riesgos de Gestión'!$V$32),"")</f>
        <v/>
      </c>
      <c r="L19" s="51" t="str">
        <f>IF(AND('Riesgos de Gestión'!$AI$33="Alta",'Riesgos de Gestión'!$AK$33="Leve"),CONCATENATE("R4C",'Riesgos de Gestión'!$V$33),"")</f>
        <v/>
      </c>
      <c r="M19" s="51" t="str">
        <f>IF(AND('Riesgos de Gestión'!$AI$34="Alta",'Riesgos de Gestión'!$AK$34="Leve"),CONCATENATE("R4C",'Riesgos de Gestión'!$V$34),"")</f>
        <v/>
      </c>
      <c r="N19" s="51" t="str">
        <f>IF(AND('Riesgos de Gestión'!$AI$35="Alta",'Riesgos de Gestión'!$AK$35="Leve"),CONCATENATE("R4C",'Riesgos de Gestión'!$V$35),"")</f>
        <v/>
      </c>
      <c r="O19" s="52" t="str">
        <f>IF(AND('Riesgos de Gestión'!$AI$36="Alta",'Riesgos de Gestión'!$AK$36="Leve"),CONCATENATE("R4C",'Riesgos de Gestión'!$V$36),"")</f>
        <v/>
      </c>
      <c r="P19" s="50" t="str">
        <f>IF(AND('Riesgos de Gestión'!$AI$31="Alta",'Riesgos de Gestión'!$AK$31="Menor"),CONCATENATE("R4C",'Riesgos de Gestión'!$V$31),"")</f>
        <v/>
      </c>
      <c r="Q19" s="51" t="str">
        <f>IF(AND('Riesgos de Gestión'!$AI$32="Alta",'Riesgos de Gestión'!$AK$32="Menor"),CONCATENATE("R4C",'Riesgos de Gestión'!$V$32),"")</f>
        <v/>
      </c>
      <c r="R19" s="51" t="str">
        <f>IF(AND('Riesgos de Gestión'!$AI$33="Alta",'Riesgos de Gestión'!$AK$33="Menor"),CONCATENATE("R4C",'Riesgos de Gestión'!$V$33),"")</f>
        <v/>
      </c>
      <c r="S19" s="51" t="str">
        <f>IF(AND('Riesgos de Gestión'!$AI$34="Alta",'Riesgos de Gestión'!$AK$34="Menor"),CONCATENATE("R4C",'Riesgos de Gestión'!$V$34),"")</f>
        <v/>
      </c>
      <c r="T19" s="51" t="str">
        <f>IF(AND('Riesgos de Gestión'!$AI$35="Alta",'Riesgos de Gestión'!$AK$35="Menor"),CONCATENATE("R4C",'Riesgos de Gestión'!$V$35),"")</f>
        <v/>
      </c>
      <c r="U19" s="52" t="str">
        <f>IF(AND('Riesgos de Gestión'!$AI$36="Alta",'Riesgos de Gestión'!$AK$36="Menor"),CONCATENATE("R4C",'Riesgos de Gestión'!$V$36),"")</f>
        <v/>
      </c>
      <c r="V19" s="35" t="str">
        <f>IF(AND('Riesgos de Gestión'!$AI$31="Alta",'Riesgos de Gestión'!$AK$31="Moderado"),CONCATENATE("R4C",'Riesgos de Gestión'!$V$31),"")</f>
        <v/>
      </c>
      <c r="W19" s="36" t="str">
        <f>IF(AND('Riesgos de Gestión'!$AI$32="Alta",'Riesgos de Gestión'!$AK$32="Moderado"),CONCATENATE("R4C",'Riesgos de Gestión'!$V$32),"")</f>
        <v/>
      </c>
      <c r="X19" s="36" t="str">
        <f>IF(AND('Riesgos de Gestión'!$AI$33="Alta",'Riesgos de Gestión'!$AK$33="Moderado"),CONCATENATE("R4C",'Riesgos de Gestión'!$V$33),"")</f>
        <v/>
      </c>
      <c r="Y19" s="36" t="str">
        <f>IF(AND('Riesgos de Gestión'!$AI$34="Alta",'Riesgos de Gestión'!$AK$34="Moderado"),CONCATENATE("R4C",'Riesgos de Gestión'!$V$34),"")</f>
        <v/>
      </c>
      <c r="Z19" s="36" t="str">
        <f>IF(AND('Riesgos de Gestión'!$AI$35="Alta",'Riesgos de Gestión'!$AK$35="Moderado"),CONCATENATE("R4C",'Riesgos de Gestión'!$V$35),"")</f>
        <v/>
      </c>
      <c r="AA19" s="37" t="str">
        <f>IF(AND('Riesgos de Gestión'!$AI$36="Alta",'Riesgos de Gestión'!$AK$36="Moderado"),CONCATENATE("R4C",'Riesgos de Gestión'!$V$36),"")</f>
        <v/>
      </c>
      <c r="AB19" s="35" t="str">
        <f>IF(AND('Riesgos de Gestión'!$AI$31="Alta",'Riesgos de Gestión'!$AK$31="Mayor"),CONCATENATE("R4C",'Riesgos de Gestión'!$V$31),"")</f>
        <v/>
      </c>
      <c r="AC19" s="36" t="str">
        <f>IF(AND('Riesgos de Gestión'!$AI$32="Alta",'Riesgos de Gestión'!$AK$32="Mayor"),CONCATENATE("R4C",'Riesgos de Gestión'!$V$32),"")</f>
        <v/>
      </c>
      <c r="AD19" s="36" t="str">
        <f>IF(AND('Riesgos de Gestión'!$AI$33="Alta",'Riesgos de Gestión'!$AK$33="Mayor"),CONCATENATE("R4C",'Riesgos de Gestión'!$V$33),"")</f>
        <v/>
      </c>
      <c r="AE19" s="36" t="str">
        <f>IF(AND('Riesgos de Gestión'!$AI$34="Alta",'Riesgos de Gestión'!$AK$34="Mayor"),CONCATENATE("R4C",'Riesgos de Gestión'!$V$34),"")</f>
        <v/>
      </c>
      <c r="AF19" s="36" t="str">
        <f>IF(AND('Riesgos de Gestión'!$AI$35="Alta",'Riesgos de Gestión'!$AK$35="Mayor"),CONCATENATE("R4C",'Riesgos de Gestión'!$V$35),"")</f>
        <v/>
      </c>
      <c r="AG19" s="37" t="str">
        <f>IF(AND('Riesgos de Gestión'!$AI$36="Alta",'Riesgos de Gestión'!$AK$36="Mayor"),CONCATENATE("R4C",'Riesgos de Gestión'!$V$36),"")</f>
        <v/>
      </c>
      <c r="AH19" s="38" t="str">
        <f>IF(AND('Riesgos de Gestión'!$AI$31="Alta",'Riesgos de Gestión'!$AK$31="Catastrófico"),CONCATENATE("R4C",'Riesgos de Gestión'!$V$31),"")</f>
        <v/>
      </c>
      <c r="AI19" s="39" t="str">
        <f>IF(AND('Riesgos de Gestión'!$AI$32="Alta",'Riesgos de Gestión'!$AK$32="Catastrófico"),CONCATENATE("R4C",'Riesgos de Gestión'!$V$32),"")</f>
        <v/>
      </c>
      <c r="AJ19" s="39" t="str">
        <f>IF(AND('Riesgos de Gestión'!$AI$33="Alta",'Riesgos de Gestión'!$AK$33="Catastrófico"),CONCATENATE("R4C",'Riesgos de Gestión'!$V$33),"")</f>
        <v/>
      </c>
      <c r="AK19" s="39" t="str">
        <f>IF(AND('Riesgos de Gestión'!$AI$34="Alta",'Riesgos de Gestión'!$AK$34="Catastrófico"),CONCATENATE("R4C",'Riesgos de Gestión'!$V$34),"")</f>
        <v/>
      </c>
      <c r="AL19" s="39" t="str">
        <f>IF(AND('Riesgos de Gestión'!$AI$35="Alta",'Riesgos de Gestión'!$AK$35="Catastrófico"),CONCATENATE("R4C",'Riesgos de Gestión'!$V$35),"")</f>
        <v/>
      </c>
      <c r="AM19" s="40" t="str">
        <f>IF(AND('Riesgos de Gestión'!$AI$36="Alta",'Riesgos de Gestión'!$AK$36="Catastrófico"),CONCATENATE("R4C",'Riesgos de Gestión'!$V$36),"")</f>
        <v/>
      </c>
      <c r="AN19" s="66"/>
      <c r="AO19" s="530"/>
      <c r="AP19" s="531"/>
      <c r="AQ19" s="531"/>
      <c r="AR19" s="531"/>
      <c r="AS19" s="531"/>
      <c r="AT19" s="53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41"/>
      <c r="C20" s="441"/>
      <c r="D20" s="442"/>
      <c r="E20" s="540"/>
      <c r="F20" s="539"/>
      <c r="G20" s="539"/>
      <c r="H20" s="539"/>
      <c r="I20" s="539"/>
      <c r="J20" s="50" t="str">
        <f>IF(AND('Riesgos de Gestión'!$AI$37="Alta",'Riesgos de Gestión'!$AK$37="Leve"),CONCATENATE("R5C",'Riesgos de Gestión'!$V$37),"")</f>
        <v/>
      </c>
      <c r="K20" s="51" t="str">
        <f>IF(AND('Riesgos de Gestión'!$AI$38="Alta",'Riesgos de Gestión'!$AK$38="Leve"),CONCATENATE("R5C",'Riesgos de Gestión'!$V$38),"")</f>
        <v/>
      </c>
      <c r="L20" s="51" t="str">
        <f>IF(AND('Riesgos de Gestión'!$AI$39="Alta",'Riesgos de Gestión'!$AK$39="Leve"),CONCATENATE("R5C",'Riesgos de Gestión'!$V$39),"")</f>
        <v/>
      </c>
      <c r="M20" s="51" t="str">
        <f>IF(AND('Riesgos de Gestión'!$AI$40="Alta",'Riesgos de Gestión'!$AK$40="Leve"),CONCATENATE("R5C",'Riesgos de Gestión'!$V$40),"")</f>
        <v/>
      </c>
      <c r="N20" s="51" t="str">
        <f>IF(AND('Riesgos de Gestión'!$AI$41="Alta",'Riesgos de Gestión'!$AK$41="Leve"),CONCATENATE("R5C",'Riesgos de Gestión'!$V$41),"")</f>
        <v/>
      </c>
      <c r="O20" s="52" t="str">
        <f>IF(AND('Riesgos de Gestión'!$AI$42="Alta",'Riesgos de Gestión'!$AK$42="Leve"),CONCATENATE("R5C",'Riesgos de Gestión'!$V$42),"")</f>
        <v/>
      </c>
      <c r="P20" s="50" t="str">
        <f>IF(AND('Riesgos de Gestión'!$AI$37="Alta",'Riesgos de Gestión'!$AK$37="Menor"),CONCATENATE("R5C",'Riesgos de Gestión'!$V$37),"")</f>
        <v/>
      </c>
      <c r="Q20" s="51" t="str">
        <f>IF(AND('Riesgos de Gestión'!$AI$38="Alta",'Riesgos de Gestión'!$AK$38="Menor"),CONCATENATE("R5C",'Riesgos de Gestión'!$V$38),"")</f>
        <v/>
      </c>
      <c r="R20" s="51" t="str">
        <f>IF(AND('Riesgos de Gestión'!$AI$39="Alta",'Riesgos de Gestión'!$AK$39="Menor"),CONCATENATE("R5C",'Riesgos de Gestión'!$V$39),"")</f>
        <v/>
      </c>
      <c r="S20" s="51" t="str">
        <f>IF(AND('Riesgos de Gestión'!$AI$40="Alta",'Riesgos de Gestión'!$AK$40="Menor"),CONCATENATE("R5C",'Riesgos de Gestión'!$V$40),"")</f>
        <v/>
      </c>
      <c r="T20" s="51" t="str">
        <f>IF(AND('Riesgos de Gestión'!$AI$41="Alta",'Riesgos de Gestión'!$AK$41="Menor"),CONCATENATE("R5C",'Riesgos de Gestión'!$V$41),"")</f>
        <v/>
      </c>
      <c r="U20" s="52" t="str">
        <f>IF(AND('Riesgos de Gestión'!$AI$42="Alta",'Riesgos de Gestión'!$AK$42="Menor"),CONCATENATE("R5C",'Riesgos de Gestión'!$V$42),"")</f>
        <v/>
      </c>
      <c r="V20" s="35" t="str">
        <f>IF(AND('Riesgos de Gestión'!$AI$37="Alta",'Riesgos de Gestión'!$AK$37="Moderado"),CONCATENATE("R5C",'Riesgos de Gestión'!$V$37),"")</f>
        <v/>
      </c>
      <c r="W20" s="36" t="str">
        <f>IF(AND('Riesgos de Gestión'!$AI$38="Alta",'Riesgos de Gestión'!$AK$38="Moderado"),CONCATENATE("R5C",'Riesgos de Gestión'!$V$38),"")</f>
        <v/>
      </c>
      <c r="X20" s="36" t="str">
        <f>IF(AND('Riesgos de Gestión'!$AI$39="Alta",'Riesgos de Gestión'!$AK$39="Moderado"),CONCATENATE("R5C",'Riesgos de Gestión'!$V$39),"")</f>
        <v/>
      </c>
      <c r="Y20" s="36" t="str">
        <f>IF(AND('Riesgos de Gestión'!$AI$40="Alta",'Riesgos de Gestión'!$AK$40="Moderado"),CONCATENATE("R5C",'Riesgos de Gestión'!$V$40),"")</f>
        <v/>
      </c>
      <c r="Z20" s="36" t="str">
        <f>IF(AND('Riesgos de Gestión'!$AI$41="Alta",'Riesgos de Gestión'!$AK$41="Moderado"),CONCATENATE("R5C",'Riesgos de Gestión'!$V$41),"")</f>
        <v/>
      </c>
      <c r="AA20" s="37" t="str">
        <f>IF(AND('Riesgos de Gestión'!$AI$42="Alta",'Riesgos de Gestión'!$AK$42="Moderado"),CONCATENATE("R5C",'Riesgos de Gestión'!$V$42),"")</f>
        <v/>
      </c>
      <c r="AB20" s="35" t="str">
        <f>IF(AND('Riesgos de Gestión'!$AI$37="Alta",'Riesgos de Gestión'!$AK$37="Mayor"),CONCATENATE("R5C",'Riesgos de Gestión'!$V$37),"")</f>
        <v/>
      </c>
      <c r="AC20" s="36" t="str">
        <f>IF(AND('Riesgos de Gestión'!$AI$38="Alta",'Riesgos de Gestión'!$AK$38="Mayor"),CONCATENATE("R5C",'Riesgos de Gestión'!$V$38),"")</f>
        <v/>
      </c>
      <c r="AD20" s="36" t="str">
        <f>IF(AND('Riesgos de Gestión'!$AI$39="Alta",'Riesgos de Gestión'!$AK$39="Mayor"),CONCATENATE("R5C",'Riesgos de Gestión'!$V$39),"")</f>
        <v/>
      </c>
      <c r="AE20" s="36" t="str">
        <f>IF(AND('Riesgos de Gestión'!$AI$40="Alta",'Riesgos de Gestión'!$AK$40="Mayor"),CONCATENATE("R5C",'Riesgos de Gestión'!$V$40),"")</f>
        <v/>
      </c>
      <c r="AF20" s="36" t="str">
        <f>IF(AND('Riesgos de Gestión'!$AI$41="Alta",'Riesgos de Gestión'!$AK$41="Mayor"),CONCATENATE("R5C",'Riesgos de Gestión'!$V$41),"")</f>
        <v/>
      </c>
      <c r="AG20" s="37" t="str">
        <f>IF(AND('Riesgos de Gestión'!$AI$42="Alta",'Riesgos de Gestión'!$AK$42="Mayor"),CONCATENATE("R5C",'Riesgos de Gestión'!$V$42),"")</f>
        <v/>
      </c>
      <c r="AH20" s="38" t="str">
        <f>IF(AND('Riesgos de Gestión'!$AI$37="Alta",'Riesgos de Gestión'!$AK$37="Catastrófico"),CONCATENATE("R5C",'Riesgos de Gestión'!$V$37),"")</f>
        <v/>
      </c>
      <c r="AI20" s="39" t="str">
        <f>IF(AND('Riesgos de Gestión'!$AI$38="Alta",'Riesgos de Gestión'!$AK$38="Catastrófico"),CONCATENATE("R5C",'Riesgos de Gestión'!$V$38),"")</f>
        <v/>
      </c>
      <c r="AJ20" s="39" t="str">
        <f>IF(AND('Riesgos de Gestión'!$AI$39="Alta",'Riesgos de Gestión'!$AK$39="Catastrófico"),CONCATENATE("R5C",'Riesgos de Gestión'!$V$39),"")</f>
        <v/>
      </c>
      <c r="AK20" s="39" t="str">
        <f>IF(AND('Riesgos de Gestión'!$AI$40="Alta",'Riesgos de Gestión'!$AK$40="Catastrófico"),CONCATENATE("R5C",'Riesgos de Gestión'!$V$40),"")</f>
        <v/>
      </c>
      <c r="AL20" s="39" t="str">
        <f>IF(AND('Riesgos de Gestión'!$AI$41="Alta",'Riesgos de Gestión'!$AK$41="Catastrófico"),CONCATENATE("R5C",'Riesgos de Gestión'!$V$41),"")</f>
        <v/>
      </c>
      <c r="AM20" s="40" t="str">
        <f>IF(AND('Riesgos de Gestión'!$AI$42="Alta",'Riesgos de Gestión'!$AK$42="Catastrófico"),CONCATENATE("R5C",'Riesgos de Gestión'!$V$42),"")</f>
        <v/>
      </c>
      <c r="AN20" s="66"/>
      <c r="AO20" s="530"/>
      <c r="AP20" s="531"/>
      <c r="AQ20" s="531"/>
      <c r="AR20" s="531"/>
      <c r="AS20" s="531"/>
      <c r="AT20" s="53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41"/>
      <c r="C21" s="441"/>
      <c r="D21" s="442"/>
      <c r="E21" s="540"/>
      <c r="F21" s="539"/>
      <c r="G21" s="539"/>
      <c r="H21" s="539"/>
      <c r="I21" s="539"/>
      <c r="J21" s="50" t="str">
        <f>IF(AND('Riesgos de Gestión'!$AI$43="Alta",'Riesgos de Gestión'!$AK$43="Leve"),CONCATENATE("R6C",'Riesgos de Gestión'!$V$43),"")</f>
        <v/>
      </c>
      <c r="K21" s="51" t="str">
        <f>IF(AND('Riesgos de Gestión'!$AI$44="Alta",'Riesgos de Gestión'!$AK$44="Leve"),CONCATENATE("R6C",'Riesgos de Gestión'!$V$44),"")</f>
        <v/>
      </c>
      <c r="L21" s="51" t="str">
        <f>IF(AND('Riesgos de Gestión'!$AI$45="Alta",'Riesgos de Gestión'!$AK$45="Leve"),CONCATENATE("R6C",'Riesgos de Gestión'!$V$45),"")</f>
        <v/>
      </c>
      <c r="M21" s="51" t="str">
        <f>IF(AND('Riesgos de Gestión'!$AI$46="Alta",'Riesgos de Gestión'!$AK$46="Leve"),CONCATENATE("R6C",'Riesgos de Gestión'!$V$46),"")</f>
        <v/>
      </c>
      <c r="N21" s="51" t="str">
        <f>IF(AND('Riesgos de Gestión'!$AI$47="Alta",'Riesgos de Gestión'!$AK$47="Leve"),CONCATENATE("R6C",'Riesgos de Gestión'!$V$47),"")</f>
        <v/>
      </c>
      <c r="O21" s="52" t="str">
        <f>IF(AND('Riesgos de Gestión'!$AI$48="Alta",'Riesgos de Gestión'!$AK$48="Leve"),CONCATENATE("R6C",'Riesgos de Gestión'!$V$48),"")</f>
        <v/>
      </c>
      <c r="P21" s="50" t="str">
        <f>IF(AND('Riesgos de Gestión'!$AI$43="Alta",'Riesgos de Gestión'!$AK$43="Menor"),CONCATENATE("R6C",'Riesgos de Gestión'!$V$43),"")</f>
        <v/>
      </c>
      <c r="Q21" s="51" t="str">
        <f>IF(AND('Riesgos de Gestión'!$AI$44="Alta",'Riesgos de Gestión'!$AK$44="Menor"),CONCATENATE("R6C",'Riesgos de Gestión'!$V$44),"")</f>
        <v/>
      </c>
      <c r="R21" s="51" t="str">
        <f>IF(AND('Riesgos de Gestión'!$AI$45="Alta",'Riesgos de Gestión'!$AK$45="Menor"),CONCATENATE("R6C",'Riesgos de Gestión'!$V$45),"")</f>
        <v/>
      </c>
      <c r="S21" s="51" t="str">
        <f>IF(AND('Riesgos de Gestión'!$AI$46="Alta",'Riesgos de Gestión'!$AK$46="Menor"),CONCATENATE("R6C",'Riesgos de Gestión'!$V$46),"")</f>
        <v/>
      </c>
      <c r="T21" s="51" t="str">
        <f>IF(AND('Riesgos de Gestión'!$AI$47="Alta",'Riesgos de Gestión'!$AK$47="Menor"),CONCATENATE("R6C",'Riesgos de Gestión'!$V$47),"")</f>
        <v/>
      </c>
      <c r="U21" s="52" t="str">
        <f>IF(AND('Riesgos de Gestión'!$AI$48="Alta",'Riesgos de Gestión'!$AK$48="Menor"),CONCATENATE("R6C",'Riesgos de Gestión'!$V$48),"")</f>
        <v/>
      </c>
      <c r="V21" s="35" t="str">
        <f>IF(AND('Riesgos de Gestión'!$AI$43="Alta",'Riesgos de Gestión'!$AK$43="Moderado"),CONCATENATE("R6C",'Riesgos de Gestión'!$V$43),"")</f>
        <v/>
      </c>
      <c r="W21" s="36" t="str">
        <f>IF(AND('Riesgos de Gestión'!$AI$44="Alta",'Riesgos de Gestión'!$AK$44="Moderado"),CONCATENATE("R6C",'Riesgos de Gestión'!$V$44),"")</f>
        <v/>
      </c>
      <c r="X21" s="36" t="str">
        <f>IF(AND('Riesgos de Gestión'!$AI$45="Alta",'Riesgos de Gestión'!$AK$45="Moderado"),CONCATENATE("R6C",'Riesgos de Gestión'!$V$45),"")</f>
        <v/>
      </c>
      <c r="Y21" s="36" t="str">
        <f>IF(AND('Riesgos de Gestión'!$AI$46="Alta",'Riesgos de Gestión'!$AK$46="Moderado"),CONCATENATE("R6C",'Riesgos de Gestión'!$V$46),"")</f>
        <v/>
      </c>
      <c r="Z21" s="36" t="str">
        <f>IF(AND('Riesgos de Gestión'!$AI$47="Alta",'Riesgos de Gestión'!$AK$47="Moderado"),CONCATENATE("R6C",'Riesgos de Gestión'!$V$47),"")</f>
        <v/>
      </c>
      <c r="AA21" s="37" t="str">
        <f>IF(AND('Riesgos de Gestión'!$AI$48="Alta",'Riesgos de Gestión'!$AK$48="Moderado"),CONCATENATE("R6C",'Riesgos de Gestión'!$V$48),"")</f>
        <v/>
      </c>
      <c r="AB21" s="35" t="str">
        <f>IF(AND('Riesgos de Gestión'!$AI$43="Alta",'Riesgos de Gestión'!$AK$43="Mayor"),CONCATENATE("R6C",'Riesgos de Gestión'!$V$43),"")</f>
        <v/>
      </c>
      <c r="AC21" s="36" t="str">
        <f>IF(AND('Riesgos de Gestión'!$AI$44="Alta",'Riesgos de Gestión'!$AK$44="Mayor"),CONCATENATE("R6C",'Riesgos de Gestión'!$V$44),"")</f>
        <v/>
      </c>
      <c r="AD21" s="36" t="str">
        <f>IF(AND('Riesgos de Gestión'!$AI$45="Alta",'Riesgos de Gestión'!$AK$45="Mayor"),CONCATENATE("R6C",'Riesgos de Gestión'!$V$45),"")</f>
        <v/>
      </c>
      <c r="AE21" s="36" t="str">
        <f>IF(AND('Riesgos de Gestión'!$AI$46="Alta",'Riesgos de Gestión'!$AK$46="Mayor"),CONCATENATE("R6C",'Riesgos de Gestión'!$V$46),"")</f>
        <v/>
      </c>
      <c r="AF21" s="36" t="str">
        <f>IF(AND('Riesgos de Gestión'!$AI$47="Alta",'Riesgos de Gestión'!$AK$47="Mayor"),CONCATENATE("R6C",'Riesgos de Gestión'!$V$47),"")</f>
        <v/>
      </c>
      <c r="AG21" s="37" t="str">
        <f>IF(AND('Riesgos de Gestión'!$AI$48="Alta",'Riesgos de Gestión'!$AK$48="Mayor"),CONCATENATE("R6C",'Riesgos de Gestión'!$V$48),"")</f>
        <v/>
      </c>
      <c r="AH21" s="38" t="str">
        <f>IF(AND('Riesgos de Gestión'!$AI$43="Alta",'Riesgos de Gestión'!$AK$43="Catastrófico"),CONCATENATE("R6C",'Riesgos de Gestión'!$V$43),"")</f>
        <v/>
      </c>
      <c r="AI21" s="39" t="str">
        <f>IF(AND('Riesgos de Gestión'!$AI$44="Alta",'Riesgos de Gestión'!$AK$44="Catastrófico"),CONCATENATE("R6C",'Riesgos de Gestión'!$V$44),"")</f>
        <v/>
      </c>
      <c r="AJ21" s="39" t="str">
        <f>IF(AND('Riesgos de Gestión'!$AI$45="Alta",'Riesgos de Gestión'!$AK$45="Catastrófico"),CONCATENATE("R6C",'Riesgos de Gestión'!$V$45),"")</f>
        <v/>
      </c>
      <c r="AK21" s="39" t="str">
        <f>IF(AND('Riesgos de Gestión'!$AI$46="Alta",'Riesgos de Gestión'!$AK$46="Catastrófico"),CONCATENATE("R6C",'Riesgos de Gestión'!$V$46),"")</f>
        <v/>
      </c>
      <c r="AL21" s="39" t="str">
        <f>IF(AND('Riesgos de Gestión'!$AI$47="Alta",'Riesgos de Gestión'!$AK$47="Catastrófico"),CONCATENATE("R6C",'Riesgos de Gestión'!$V$47),"")</f>
        <v/>
      </c>
      <c r="AM21" s="40" t="str">
        <f>IF(AND('Riesgos de Gestión'!$AI$48="Alta",'Riesgos de Gestión'!$AK$48="Catastrófico"),CONCATENATE("R6C",'Riesgos de Gestión'!$V$48),"")</f>
        <v/>
      </c>
      <c r="AN21" s="66"/>
      <c r="AO21" s="530"/>
      <c r="AP21" s="531"/>
      <c r="AQ21" s="531"/>
      <c r="AR21" s="531"/>
      <c r="AS21" s="531"/>
      <c r="AT21" s="532"/>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41"/>
      <c r="C22" s="441"/>
      <c r="D22" s="442"/>
      <c r="E22" s="540"/>
      <c r="F22" s="539"/>
      <c r="G22" s="539"/>
      <c r="H22" s="539"/>
      <c r="I22" s="539"/>
      <c r="J22" s="50" t="str">
        <f>IF(AND('Riesgos de Gestión'!$AI$49="Alta",'Riesgos de Gestión'!$AK$49="Leve"),CONCATENATE("R7C",'Riesgos de Gestión'!$V$49),"")</f>
        <v/>
      </c>
      <c r="K22" s="51" t="str">
        <f>IF(AND('Riesgos de Gestión'!$AI$50="Alta",'Riesgos de Gestión'!$AK$50="Leve"),CONCATENATE("R7C",'Riesgos de Gestión'!$V$50),"")</f>
        <v/>
      </c>
      <c r="L22" s="51" t="str">
        <f>IF(AND('Riesgos de Gestión'!$AI$51="Alta",'Riesgos de Gestión'!$AK$51="Leve"),CONCATENATE("R7C",'Riesgos de Gestión'!$V$51),"")</f>
        <v/>
      </c>
      <c r="M22" s="51" t="str">
        <f>IF(AND('Riesgos de Gestión'!$AI$52="Alta",'Riesgos de Gestión'!$AK$52="Leve"),CONCATENATE("R7C",'Riesgos de Gestión'!$V$52),"")</f>
        <v/>
      </c>
      <c r="N22" s="51" t="str">
        <f>IF(AND('Riesgos de Gestión'!$AI$53="Alta",'Riesgos de Gestión'!$AK$53="Leve"),CONCATENATE("R7C",'Riesgos de Gestión'!$V$53),"")</f>
        <v/>
      </c>
      <c r="O22" s="52" t="str">
        <f>IF(AND('Riesgos de Gestión'!$AI$54="Alta",'Riesgos de Gestión'!$AK$54="Leve"),CONCATENATE("R7C",'Riesgos de Gestión'!$V$54),"")</f>
        <v/>
      </c>
      <c r="P22" s="50" t="str">
        <f>IF(AND('Riesgos de Gestión'!$AI$49="Alta",'Riesgos de Gestión'!$AK$49="Menor"),CONCATENATE("R7C",'Riesgos de Gestión'!$V$49),"")</f>
        <v/>
      </c>
      <c r="Q22" s="51" t="str">
        <f>IF(AND('Riesgos de Gestión'!$AI$50="Alta",'Riesgos de Gestión'!$AK$50="Menor"),CONCATENATE("R7C",'Riesgos de Gestión'!$V$50),"")</f>
        <v/>
      </c>
      <c r="R22" s="51" t="str">
        <f>IF(AND('Riesgos de Gestión'!$AI$51="Alta",'Riesgos de Gestión'!$AK$51="Menor"),CONCATENATE("R7C",'Riesgos de Gestión'!$V$51),"")</f>
        <v/>
      </c>
      <c r="S22" s="51" t="str">
        <f>IF(AND('Riesgos de Gestión'!$AI$52="Alta",'Riesgos de Gestión'!$AK$52="Menor"),CONCATENATE("R7C",'Riesgos de Gestión'!$V$52),"")</f>
        <v/>
      </c>
      <c r="T22" s="51" t="str">
        <f>IF(AND('Riesgos de Gestión'!$AI$53="Alta",'Riesgos de Gestión'!$AK$53="Menor"),CONCATENATE("R7C",'Riesgos de Gestión'!$V$53),"")</f>
        <v/>
      </c>
      <c r="U22" s="52" t="str">
        <f>IF(AND('Riesgos de Gestión'!$AI$54="Alta",'Riesgos de Gestión'!$AK$54="Menor"),CONCATENATE("R7C",'Riesgos de Gestión'!$V$54),"")</f>
        <v/>
      </c>
      <c r="V22" s="35" t="str">
        <f>IF(AND('Riesgos de Gestión'!$AI$49="Alta",'Riesgos de Gestión'!$AK$49="Moderado"),CONCATENATE("R7C",'Riesgos de Gestión'!$V$49),"")</f>
        <v/>
      </c>
      <c r="W22" s="36" t="str">
        <f>IF(AND('Riesgos de Gestión'!$AI$50="Alta",'Riesgos de Gestión'!$AK$50="Moderado"),CONCATENATE("R7C",'Riesgos de Gestión'!$V$50),"")</f>
        <v/>
      </c>
      <c r="X22" s="36" t="str">
        <f>IF(AND('Riesgos de Gestión'!$AI$51="Alta",'Riesgos de Gestión'!$AK$51="Moderado"),CONCATENATE("R7C",'Riesgos de Gestión'!$V$51),"")</f>
        <v/>
      </c>
      <c r="Y22" s="36" t="str">
        <f>IF(AND('Riesgos de Gestión'!$AI$52="Alta",'Riesgos de Gestión'!$AK$52="Moderado"),CONCATENATE("R7C",'Riesgos de Gestión'!$V$52),"")</f>
        <v/>
      </c>
      <c r="Z22" s="36" t="str">
        <f>IF(AND('Riesgos de Gestión'!$AI$53="Alta",'Riesgos de Gestión'!$AK$53="Moderado"),CONCATENATE("R7C",'Riesgos de Gestión'!$V$53),"")</f>
        <v/>
      </c>
      <c r="AA22" s="37" t="str">
        <f>IF(AND('Riesgos de Gestión'!$AI$54="Alta",'Riesgos de Gestión'!$AK$54="Moderado"),CONCATENATE("R7C",'Riesgos de Gestión'!$V$54),"")</f>
        <v/>
      </c>
      <c r="AB22" s="35" t="str">
        <f>IF(AND('Riesgos de Gestión'!$AI$49="Alta",'Riesgos de Gestión'!$AK$49="Mayor"),CONCATENATE("R7C",'Riesgos de Gestión'!$V$49),"")</f>
        <v/>
      </c>
      <c r="AC22" s="36" t="str">
        <f>IF(AND('Riesgos de Gestión'!$AI$50="Alta",'Riesgos de Gestión'!$AK$50="Mayor"),CONCATENATE("R7C",'Riesgos de Gestión'!$V$50),"")</f>
        <v/>
      </c>
      <c r="AD22" s="36" t="str">
        <f>IF(AND('Riesgos de Gestión'!$AI$51="Alta",'Riesgos de Gestión'!$AK$51="Mayor"),CONCATENATE("R7C",'Riesgos de Gestión'!$V$51),"")</f>
        <v/>
      </c>
      <c r="AE22" s="36" t="str">
        <f>IF(AND('Riesgos de Gestión'!$AI$52="Alta",'Riesgos de Gestión'!$AK$52="Mayor"),CONCATENATE("R7C",'Riesgos de Gestión'!$V$52),"")</f>
        <v/>
      </c>
      <c r="AF22" s="36" t="str">
        <f>IF(AND('Riesgos de Gestión'!$AI$53="Alta",'Riesgos de Gestión'!$AK$53="Mayor"),CONCATENATE("R7C",'Riesgos de Gestión'!$V$53),"")</f>
        <v/>
      </c>
      <c r="AG22" s="37" t="str">
        <f>IF(AND('Riesgos de Gestión'!$AI$54="Alta",'Riesgos de Gestión'!$AK$54="Mayor"),CONCATENATE("R7C",'Riesgos de Gestión'!$V$54),"")</f>
        <v/>
      </c>
      <c r="AH22" s="38" t="str">
        <f>IF(AND('Riesgos de Gestión'!$AI$49="Alta",'Riesgos de Gestión'!$AK$49="Catastrófico"),CONCATENATE("R7C",'Riesgos de Gestión'!$V$49),"")</f>
        <v/>
      </c>
      <c r="AI22" s="39" t="str">
        <f>IF(AND('Riesgos de Gestión'!$AI$50="Alta",'Riesgos de Gestión'!$AK$50="Catastrófico"),CONCATENATE("R7C",'Riesgos de Gestión'!$V$50),"")</f>
        <v/>
      </c>
      <c r="AJ22" s="39" t="str">
        <f>IF(AND('Riesgos de Gestión'!$AI$51="Alta",'Riesgos de Gestión'!$AK$51="Catastrófico"),CONCATENATE("R7C",'Riesgos de Gestión'!$V$51),"")</f>
        <v/>
      </c>
      <c r="AK22" s="39" t="str">
        <f>IF(AND('Riesgos de Gestión'!$AI$52="Alta",'Riesgos de Gestión'!$AK$52="Catastrófico"),CONCATENATE("R7C",'Riesgos de Gestión'!$V$52),"")</f>
        <v/>
      </c>
      <c r="AL22" s="39" t="str">
        <f>IF(AND('Riesgos de Gestión'!$AI$53="Alta",'Riesgos de Gestión'!$AK$53="Catastrófico"),CONCATENATE("R7C",'Riesgos de Gestión'!$V$53),"")</f>
        <v/>
      </c>
      <c r="AM22" s="40" t="str">
        <f>IF(AND('Riesgos de Gestión'!$AI$54="Alta",'Riesgos de Gestión'!$AK$54="Catastrófico"),CONCATENATE("R7C",'Riesgos de Gestión'!$V$54),"")</f>
        <v/>
      </c>
      <c r="AN22" s="66"/>
      <c r="AO22" s="530"/>
      <c r="AP22" s="531"/>
      <c r="AQ22" s="531"/>
      <c r="AR22" s="531"/>
      <c r="AS22" s="531"/>
      <c r="AT22" s="53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41"/>
      <c r="C23" s="441"/>
      <c r="D23" s="442"/>
      <c r="E23" s="540"/>
      <c r="F23" s="539"/>
      <c r="G23" s="539"/>
      <c r="H23" s="539"/>
      <c r="I23" s="539"/>
      <c r="J23" s="50" t="str">
        <f>IF(AND('Riesgos de Gestión'!$AI$55="Alta",'Riesgos de Gestión'!$AK$55="Leve"),CONCATENATE("R8C",'Riesgos de Gestión'!$V$55),"")</f>
        <v/>
      </c>
      <c r="K23" s="51" t="str">
        <f>IF(AND('Riesgos de Gestión'!$AI$56="Alta",'Riesgos de Gestión'!$AK$56="Leve"),CONCATENATE("R8C",'Riesgos de Gestión'!$V$56),"")</f>
        <v/>
      </c>
      <c r="L23" s="51" t="str">
        <f>IF(AND('Riesgos de Gestión'!$AI$57="Alta",'Riesgos de Gestión'!$AK$57="Leve"),CONCATENATE("R8C",'Riesgos de Gestión'!$V$57),"")</f>
        <v/>
      </c>
      <c r="M23" s="51" t="str">
        <f>IF(AND('Riesgos de Gestión'!$AI$58="Alta",'Riesgos de Gestión'!$AK$58="Leve"),CONCATENATE("R8C",'Riesgos de Gestión'!$V$58),"")</f>
        <v/>
      </c>
      <c r="N23" s="51" t="str">
        <f>IF(AND('Riesgos de Gestión'!$AI$59="Alta",'Riesgos de Gestión'!$AK$59="Leve"),CONCATENATE("R8C",'Riesgos de Gestión'!$V$59),"")</f>
        <v/>
      </c>
      <c r="O23" s="52" t="str">
        <f>IF(AND('Riesgos de Gestión'!$AI$60="Alta",'Riesgos de Gestión'!$AK$60="Leve"),CONCATENATE("R8C",'Riesgos de Gestión'!$V$60),"")</f>
        <v/>
      </c>
      <c r="P23" s="50" t="str">
        <f>IF(AND('Riesgos de Gestión'!$AI$55="Alta",'Riesgos de Gestión'!$AK$55="Menor"),CONCATENATE("R8C",'Riesgos de Gestión'!$V$55),"")</f>
        <v/>
      </c>
      <c r="Q23" s="51" t="str">
        <f>IF(AND('Riesgos de Gestión'!$AI$56="Alta",'Riesgos de Gestión'!$AK$56="Menor"),CONCATENATE("R8C",'Riesgos de Gestión'!$V$56),"")</f>
        <v/>
      </c>
      <c r="R23" s="51" t="str">
        <f>IF(AND('Riesgos de Gestión'!$AI$57="Alta",'Riesgos de Gestión'!$AK$57="Menor"),CONCATENATE("R8C",'Riesgos de Gestión'!$V$57),"")</f>
        <v/>
      </c>
      <c r="S23" s="51" t="str">
        <f>IF(AND('Riesgos de Gestión'!$AI$58="Alta",'Riesgos de Gestión'!$AK$58="Menor"),CONCATENATE("R8C",'Riesgos de Gestión'!$V$58),"")</f>
        <v/>
      </c>
      <c r="T23" s="51" t="str">
        <f>IF(AND('Riesgos de Gestión'!$AI$59="Alta",'Riesgos de Gestión'!$AK$59="Menor"),CONCATENATE("R8C",'Riesgos de Gestión'!$V$59),"")</f>
        <v/>
      </c>
      <c r="U23" s="52" t="str">
        <f>IF(AND('Riesgos de Gestión'!$AI$60="Alta",'Riesgos de Gestión'!$AK$60="Menor"),CONCATENATE("R8C",'Riesgos de Gestión'!$V$60),"")</f>
        <v/>
      </c>
      <c r="V23" s="35" t="str">
        <f>IF(AND('Riesgos de Gestión'!$AI$55="Alta",'Riesgos de Gestión'!$AK$55="Moderado"),CONCATENATE("R8C",'Riesgos de Gestión'!$V$55),"")</f>
        <v/>
      </c>
      <c r="W23" s="36" t="str">
        <f>IF(AND('Riesgos de Gestión'!$AI$56="Alta",'Riesgos de Gestión'!$AK$56="Moderado"),CONCATENATE("R8C",'Riesgos de Gestión'!$V$56),"")</f>
        <v/>
      </c>
      <c r="X23" s="36" t="str">
        <f>IF(AND('Riesgos de Gestión'!$AI$57="Alta",'Riesgos de Gestión'!$AK$57="Moderado"),CONCATENATE("R8C",'Riesgos de Gestión'!$V$57),"")</f>
        <v/>
      </c>
      <c r="Y23" s="36" t="str">
        <f>IF(AND('Riesgos de Gestión'!$AI$58="Alta",'Riesgos de Gestión'!$AK$58="Moderado"),CONCATENATE("R8C",'Riesgos de Gestión'!$V$58),"")</f>
        <v/>
      </c>
      <c r="Z23" s="36" t="str">
        <f>IF(AND('Riesgos de Gestión'!$AI$59="Alta",'Riesgos de Gestión'!$AK$59="Moderado"),CONCATENATE("R8C",'Riesgos de Gestión'!$V$59),"")</f>
        <v/>
      </c>
      <c r="AA23" s="37" t="str">
        <f>IF(AND('Riesgos de Gestión'!$AI$60="Alta",'Riesgos de Gestión'!$AK$60="Moderado"),CONCATENATE("R8C",'Riesgos de Gestión'!$V$60),"")</f>
        <v/>
      </c>
      <c r="AB23" s="35" t="str">
        <f>IF(AND('Riesgos de Gestión'!$AI$55="Alta",'Riesgos de Gestión'!$AK$55="Mayor"),CONCATENATE("R8C",'Riesgos de Gestión'!$V$55),"")</f>
        <v/>
      </c>
      <c r="AC23" s="36" t="str">
        <f>IF(AND('Riesgos de Gestión'!$AI$56="Alta",'Riesgos de Gestión'!$AK$56="Mayor"),CONCATENATE("R8C",'Riesgos de Gestión'!$V$56),"")</f>
        <v/>
      </c>
      <c r="AD23" s="36" t="str">
        <f>IF(AND('Riesgos de Gestión'!$AI$57="Alta",'Riesgos de Gestión'!$AK$57="Mayor"),CONCATENATE("R8C",'Riesgos de Gestión'!$V$57),"")</f>
        <v/>
      </c>
      <c r="AE23" s="36" t="str">
        <f>IF(AND('Riesgos de Gestión'!$AI$58="Alta",'Riesgos de Gestión'!$AK$58="Mayor"),CONCATENATE("R8C",'Riesgos de Gestión'!$V$58),"")</f>
        <v/>
      </c>
      <c r="AF23" s="36" t="str">
        <f>IF(AND('Riesgos de Gestión'!$AI$59="Alta",'Riesgos de Gestión'!$AK$59="Mayor"),CONCATENATE("R8C",'Riesgos de Gestión'!$V$59),"")</f>
        <v/>
      </c>
      <c r="AG23" s="37" t="str">
        <f>IF(AND('Riesgos de Gestión'!$AI$60="Alta",'Riesgos de Gestión'!$AK$60="Mayor"),CONCATENATE("R8C",'Riesgos de Gestión'!$V$60),"")</f>
        <v/>
      </c>
      <c r="AH23" s="38" t="str">
        <f>IF(AND('Riesgos de Gestión'!$AI$55="Alta",'Riesgos de Gestión'!$AK$55="Catastrófico"),CONCATENATE("R8C",'Riesgos de Gestión'!$V$55),"")</f>
        <v/>
      </c>
      <c r="AI23" s="39" t="str">
        <f>IF(AND('Riesgos de Gestión'!$AI$56="Alta",'Riesgos de Gestión'!$AK$56="Catastrófico"),CONCATENATE("R8C",'Riesgos de Gestión'!$V$56),"")</f>
        <v/>
      </c>
      <c r="AJ23" s="39" t="str">
        <f>IF(AND('Riesgos de Gestión'!$AI$57="Alta",'Riesgos de Gestión'!$AK$57="Catastrófico"),CONCATENATE("R8C",'Riesgos de Gestión'!$V$57),"")</f>
        <v/>
      </c>
      <c r="AK23" s="39" t="str">
        <f>IF(AND('Riesgos de Gestión'!$AI$58="Alta",'Riesgos de Gestión'!$AK$58="Catastrófico"),CONCATENATE("R8C",'Riesgos de Gestión'!$V$58),"")</f>
        <v/>
      </c>
      <c r="AL23" s="39" t="str">
        <f>IF(AND('Riesgos de Gestión'!$AI$59="Alta",'Riesgos de Gestión'!$AK$59="Catastrófico"),CONCATENATE("R8C",'Riesgos de Gestión'!$V$59),"")</f>
        <v/>
      </c>
      <c r="AM23" s="40" t="str">
        <f>IF(AND('Riesgos de Gestión'!$AI$60="Alta",'Riesgos de Gestión'!$AK$60="Catastrófico"),CONCATENATE("R8C",'Riesgos de Gestión'!$V$60),"")</f>
        <v/>
      </c>
      <c r="AN23" s="66"/>
      <c r="AO23" s="530"/>
      <c r="AP23" s="531"/>
      <c r="AQ23" s="531"/>
      <c r="AR23" s="531"/>
      <c r="AS23" s="531"/>
      <c r="AT23" s="532"/>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41"/>
      <c r="C24" s="441"/>
      <c r="D24" s="442"/>
      <c r="E24" s="540"/>
      <c r="F24" s="539"/>
      <c r="G24" s="539"/>
      <c r="H24" s="539"/>
      <c r="I24" s="539"/>
      <c r="J24" s="50" t="str">
        <f>IF(AND('Riesgos de Gestión'!$AI$61="Alta",'Riesgos de Gestión'!$AK$61="Leve"),CONCATENATE("R9C",'Riesgos de Gestión'!$V$61),"")</f>
        <v/>
      </c>
      <c r="K24" s="51" t="str">
        <f>IF(AND('Riesgos de Gestión'!$AI$62="Alta",'Riesgos de Gestión'!$AK$62="Leve"),CONCATENATE("R9C",'Riesgos de Gestión'!$V$62),"")</f>
        <v/>
      </c>
      <c r="L24" s="51" t="str">
        <f>IF(AND('Riesgos de Gestión'!$AI$63="Alta",'Riesgos de Gestión'!$AK$63="Leve"),CONCATENATE("R9C",'Riesgos de Gestión'!$V$63),"")</f>
        <v/>
      </c>
      <c r="M24" s="51" t="str">
        <f>IF(AND('Riesgos de Gestión'!$AI$64="Alta",'Riesgos de Gestión'!$AK$64="Leve"),CONCATENATE("R9C",'Riesgos de Gestión'!$V$64),"")</f>
        <v/>
      </c>
      <c r="N24" s="51" t="str">
        <f>IF(AND('Riesgos de Gestión'!$AI$65="Alta",'Riesgos de Gestión'!$AK$65="Leve"),CONCATENATE("R9C",'Riesgos de Gestión'!$V$65),"")</f>
        <v/>
      </c>
      <c r="O24" s="52" t="str">
        <f>IF(AND('Riesgos de Gestión'!$AI$66="Alta",'Riesgos de Gestión'!$AK$66="Leve"),CONCATENATE("R9C",'Riesgos de Gestión'!$V$66),"")</f>
        <v/>
      </c>
      <c r="P24" s="50" t="str">
        <f>IF(AND('Riesgos de Gestión'!$AI$61="Alta",'Riesgos de Gestión'!$AK$61="Menor"),CONCATENATE("R9C",'Riesgos de Gestión'!$V$61),"")</f>
        <v/>
      </c>
      <c r="Q24" s="51" t="str">
        <f>IF(AND('Riesgos de Gestión'!$AI$62="Alta",'Riesgos de Gestión'!$AK$62="Menor"),CONCATENATE("R9C",'Riesgos de Gestión'!$V$62),"")</f>
        <v/>
      </c>
      <c r="R24" s="51" t="str">
        <f>IF(AND('Riesgos de Gestión'!$AI$63="Alta",'Riesgos de Gestión'!$AK$63="Menor"),CONCATENATE("R9C",'Riesgos de Gestión'!$V$63),"")</f>
        <v/>
      </c>
      <c r="S24" s="51" t="str">
        <f>IF(AND('Riesgos de Gestión'!$AI$64="Alta",'Riesgos de Gestión'!$AK$64="Menor"),CONCATENATE("R9C",'Riesgos de Gestión'!$V$64),"")</f>
        <v/>
      </c>
      <c r="T24" s="51" t="str">
        <f>IF(AND('Riesgos de Gestión'!$AI$65="Alta",'Riesgos de Gestión'!$AK$65="Menor"),CONCATENATE("R9C",'Riesgos de Gestión'!$V$65),"")</f>
        <v/>
      </c>
      <c r="U24" s="52" t="str">
        <f>IF(AND('Riesgos de Gestión'!$AI$66="Alta",'Riesgos de Gestión'!$AK$66="Menor"),CONCATENATE("R9C",'Riesgos de Gestión'!$V$66),"")</f>
        <v/>
      </c>
      <c r="V24" s="35" t="str">
        <f>IF(AND('Riesgos de Gestión'!$AI$61="Alta",'Riesgos de Gestión'!$AK$61="Moderado"),CONCATENATE("R9C",'Riesgos de Gestión'!$V$61),"")</f>
        <v/>
      </c>
      <c r="W24" s="36" t="str">
        <f>IF(AND('Riesgos de Gestión'!$AI$62="Alta",'Riesgos de Gestión'!$AK$62="Moderado"),CONCATENATE("R9C",'Riesgos de Gestión'!$V$62),"")</f>
        <v/>
      </c>
      <c r="X24" s="36" t="str">
        <f>IF(AND('Riesgos de Gestión'!$AI$63="Alta",'Riesgos de Gestión'!$AK$63="Moderado"),CONCATENATE("R9C",'Riesgos de Gestión'!$V$63),"")</f>
        <v/>
      </c>
      <c r="Y24" s="36" t="str">
        <f>IF(AND('Riesgos de Gestión'!$AI$64="Alta",'Riesgos de Gestión'!$AK$64="Moderado"),CONCATENATE("R9C",'Riesgos de Gestión'!$V$64),"")</f>
        <v/>
      </c>
      <c r="Z24" s="36" t="str">
        <f>IF(AND('Riesgos de Gestión'!$AI$65="Alta",'Riesgos de Gestión'!$AK$65="Moderado"),CONCATENATE("R9C",'Riesgos de Gestión'!$V$65),"")</f>
        <v/>
      </c>
      <c r="AA24" s="37" t="str">
        <f>IF(AND('Riesgos de Gestión'!$AI$66="Alta",'Riesgos de Gestión'!$AK$66="Moderado"),CONCATENATE("R9C",'Riesgos de Gestión'!$V$66),"")</f>
        <v/>
      </c>
      <c r="AB24" s="35" t="str">
        <f>IF(AND('Riesgos de Gestión'!$AI$61="Alta",'Riesgos de Gestión'!$AK$61="Mayor"),CONCATENATE("R9C",'Riesgos de Gestión'!$V$61),"")</f>
        <v/>
      </c>
      <c r="AC24" s="36" t="str">
        <f>IF(AND('Riesgos de Gestión'!$AI$62="Alta",'Riesgos de Gestión'!$AK$62="Mayor"),CONCATENATE("R9C",'Riesgos de Gestión'!$V$62),"")</f>
        <v/>
      </c>
      <c r="AD24" s="36" t="str">
        <f>IF(AND('Riesgos de Gestión'!$AI$63="Alta",'Riesgos de Gestión'!$AK$63="Mayor"),CONCATENATE("R9C",'Riesgos de Gestión'!$V$63),"")</f>
        <v/>
      </c>
      <c r="AE24" s="36" t="str">
        <f>IF(AND('Riesgos de Gestión'!$AI$64="Alta",'Riesgos de Gestión'!$AK$64="Mayor"),CONCATENATE("R9C",'Riesgos de Gestión'!$V$64),"")</f>
        <v/>
      </c>
      <c r="AF24" s="36" t="str">
        <f>IF(AND('Riesgos de Gestión'!$AI$65="Alta",'Riesgos de Gestión'!$AK$65="Mayor"),CONCATENATE("R9C",'Riesgos de Gestión'!$V$65),"")</f>
        <v/>
      </c>
      <c r="AG24" s="37" t="str">
        <f>IF(AND('Riesgos de Gestión'!$AI$66="Alta",'Riesgos de Gestión'!$AK$66="Mayor"),CONCATENATE("R9C",'Riesgos de Gestión'!$V$66),"")</f>
        <v/>
      </c>
      <c r="AH24" s="38" t="str">
        <f>IF(AND('Riesgos de Gestión'!$AI$61="Alta",'Riesgos de Gestión'!$AK$61="Catastrófico"),CONCATENATE("R9C",'Riesgos de Gestión'!$V$61),"")</f>
        <v/>
      </c>
      <c r="AI24" s="39" t="str">
        <f>IF(AND('Riesgos de Gestión'!$AI$62="Alta",'Riesgos de Gestión'!$AK$62="Catastrófico"),CONCATENATE("R9C",'Riesgos de Gestión'!$V$62),"")</f>
        <v/>
      </c>
      <c r="AJ24" s="39" t="str">
        <f>IF(AND('Riesgos de Gestión'!$AI$63="Alta",'Riesgos de Gestión'!$AK$63="Catastrófico"),CONCATENATE("R9C",'Riesgos de Gestión'!$V$63),"")</f>
        <v/>
      </c>
      <c r="AK24" s="39" t="str">
        <f>IF(AND('Riesgos de Gestión'!$AI$64="Alta",'Riesgos de Gestión'!$AK$64="Catastrófico"),CONCATENATE("R9C",'Riesgos de Gestión'!$V$64),"")</f>
        <v/>
      </c>
      <c r="AL24" s="39" t="str">
        <f>IF(AND('Riesgos de Gestión'!$AI$65="Alta",'Riesgos de Gestión'!$AK$65="Catastrófico"),CONCATENATE("R9C",'Riesgos de Gestión'!$V$65),"")</f>
        <v/>
      </c>
      <c r="AM24" s="40" t="str">
        <f>IF(AND('Riesgos de Gestión'!$AI$66="Alta",'Riesgos de Gestión'!$AK$66="Catastrófico"),CONCATENATE("R9C",'Riesgos de Gestión'!$V$66),"")</f>
        <v/>
      </c>
      <c r="AN24" s="66"/>
      <c r="AO24" s="530"/>
      <c r="AP24" s="531"/>
      <c r="AQ24" s="531"/>
      <c r="AR24" s="531"/>
      <c r="AS24" s="531"/>
      <c r="AT24" s="532"/>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41"/>
      <c r="C25" s="441"/>
      <c r="D25" s="442"/>
      <c r="E25" s="541"/>
      <c r="F25" s="542"/>
      <c r="G25" s="542"/>
      <c r="H25" s="542"/>
      <c r="I25" s="542"/>
      <c r="J25" s="53" t="str">
        <f>IF(AND('Riesgos de Gestión'!$AI$67="Alta",'Riesgos de Gestión'!$AK$67="Leve"),CONCATENATE("R10C",'Riesgos de Gestión'!$V$67),"")</f>
        <v/>
      </c>
      <c r="K25" s="54" t="str">
        <f>IF(AND('Riesgos de Gestión'!$AI$68="Alta",'Riesgos de Gestión'!$AK$68="Leve"),CONCATENATE("R10C",'Riesgos de Gestión'!$V$68),"")</f>
        <v/>
      </c>
      <c r="L25" s="54" t="str">
        <f>IF(AND('Riesgos de Gestión'!$AI$69="Alta",'Riesgos de Gestión'!$AK$69="Leve"),CONCATENATE("R10C",'Riesgos de Gestión'!$V$69),"")</f>
        <v/>
      </c>
      <c r="M25" s="54" t="str">
        <f>IF(AND('Riesgos de Gestión'!$AI$70="Alta",'Riesgos de Gestión'!$AK$70="Leve"),CONCATENATE("R10C",'Riesgos de Gestión'!$V$70),"")</f>
        <v/>
      </c>
      <c r="N25" s="54" t="str">
        <f>IF(AND('Riesgos de Gestión'!$AI$71="Alta",'Riesgos de Gestión'!$AK$71="Leve"),CONCATENATE("R10C",'Riesgos de Gestión'!$V$71),"")</f>
        <v/>
      </c>
      <c r="O25" s="55" t="str">
        <f>IF(AND('Riesgos de Gestión'!$AI$72="Alta",'Riesgos de Gestión'!$AK$72="Leve"),CONCATENATE("R10C",'Riesgos de Gestión'!$V$72),"")</f>
        <v/>
      </c>
      <c r="P25" s="53" t="str">
        <f>IF(AND('Riesgos de Gestión'!$AI$67="Alta",'Riesgos de Gestión'!$AK$67="Menor"),CONCATENATE("R10C",'Riesgos de Gestión'!$V$67),"")</f>
        <v/>
      </c>
      <c r="Q25" s="54" t="str">
        <f>IF(AND('Riesgos de Gestión'!$AI$68="Alta",'Riesgos de Gestión'!$AK$68="Menor"),CONCATENATE("R10C",'Riesgos de Gestión'!$V$68),"")</f>
        <v/>
      </c>
      <c r="R25" s="54" t="str">
        <f>IF(AND('Riesgos de Gestión'!$AI$69="Alta",'Riesgos de Gestión'!$AK$69="Menor"),CONCATENATE("R10C",'Riesgos de Gestión'!$V$69),"")</f>
        <v/>
      </c>
      <c r="S25" s="54" t="str">
        <f>IF(AND('Riesgos de Gestión'!$AI$70="Alta",'Riesgos de Gestión'!$AK$70="Menor"),CONCATENATE("R10C",'Riesgos de Gestión'!$V$70),"")</f>
        <v/>
      </c>
      <c r="T25" s="54" t="str">
        <f>IF(AND('Riesgos de Gestión'!$AI$71="Alta",'Riesgos de Gestión'!$AK$71="Menor"),CONCATENATE("R10C",'Riesgos de Gestión'!$V$71),"")</f>
        <v/>
      </c>
      <c r="U25" s="55" t="str">
        <f>IF(AND('Riesgos de Gestión'!$AI$72="Alta",'Riesgos de Gestión'!$AK$72="Menor"),CONCATENATE("R10C",'Riesgos de Gestión'!$V$72),"")</f>
        <v/>
      </c>
      <c r="V25" s="41" t="str">
        <f>IF(AND('Riesgos de Gestión'!$AI$67="Alta",'Riesgos de Gestión'!$AK$67="Moderado"),CONCATENATE("R10C",'Riesgos de Gestión'!$V$67),"")</f>
        <v/>
      </c>
      <c r="W25" s="42" t="str">
        <f>IF(AND('Riesgos de Gestión'!$AI$68="Alta",'Riesgos de Gestión'!$AK$68="Moderado"),CONCATENATE("R10C",'Riesgos de Gestión'!$V$68),"")</f>
        <v/>
      </c>
      <c r="X25" s="42" t="str">
        <f>IF(AND('Riesgos de Gestión'!$AI$69="Alta",'Riesgos de Gestión'!$AK$69="Moderado"),CONCATENATE("R10C",'Riesgos de Gestión'!$V$69),"")</f>
        <v/>
      </c>
      <c r="Y25" s="42" t="str">
        <f>IF(AND('Riesgos de Gestión'!$AI$70="Alta",'Riesgos de Gestión'!$AK$70="Moderado"),CONCATENATE("R10C",'Riesgos de Gestión'!$V$70),"")</f>
        <v/>
      </c>
      <c r="Z25" s="42" t="str">
        <f>IF(AND('Riesgos de Gestión'!$AI$71="Alta",'Riesgos de Gestión'!$AK$71="Moderado"),CONCATENATE("R10C",'Riesgos de Gestión'!$V$71),"")</f>
        <v/>
      </c>
      <c r="AA25" s="43" t="str">
        <f>IF(AND('Riesgos de Gestión'!$AI$72="Alta",'Riesgos de Gestión'!$AK$72="Moderado"),CONCATENATE("R10C",'Riesgos de Gestión'!$V$72),"")</f>
        <v/>
      </c>
      <c r="AB25" s="41" t="str">
        <f>IF(AND('Riesgos de Gestión'!$AI$67="Alta",'Riesgos de Gestión'!$AK$67="Mayor"),CONCATENATE("R10C",'Riesgos de Gestión'!$V$67),"")</f>
        <v/>
      </c>
      <c r="AC25" s="42" t="str">
        <f>IF(AND('Riesgos de Gestión'!$AI$68="Alta",'Riesgos de Gestión'!$AK$68="Mayor"),CONCATENATE("R10C",'Riesgos de Gestión'!$V$68),"")</f>
        <v/>
      </c>
      <c r="AD25" s="42" t="str">
        <f>IF(AND('Riesgos de Gestión'!$AI$69="Alta",'Riesgos de Gestión'!$AK$69="Mayor"),CONCATENATE("R10C",'Riesgos de Gestión'!$V$69),"")</f>
        <v/>
      </c>
      <c r="AE25" s="42" t="str">
        <f>IF(AND('Riesgos de Gestión'!$AI$70="Alta",'Riesgos de Gestión'!$AK$70="Mayor"),CONCATENATE("R10C",'Riesgos de Gestión'!$V$70),"")</f>
        <v/>
      </c>
      <c r="AF25" s="42" t="str">
        <f>IF(AND('Riesgos de Gestión'!$AI$71="Alta",'Riesgos de Gestión'!$AK$71="Mayor"),CONCATENATE("R10C",'Riesgos de Gestión'!$V$71),"")</f>
        <v/>
      </c>
      <c r="AG25" s="43" t="str">
        <f>IF(AND('Riesgos de Gestión'!$AI$72="Alta",'Riesgos de Gestión'!$AK$72="Mayor"),CONCATENATE("R10C",'Riesgos de Gestión'!$V$72),"")</f>
        <v/>
      </c>
      <c r="AH25" s="44" t="str">
        <f>IF(AND('Riesgos de Gestión'!$AI$67="Alta",'Riesgos de Gestión'!$AK$67="Catastrófico"),CONCATENATE("R10C",'Riesgos de Gestión'!$V$67),"")</f>
        <v/>
      </c>
      <c r="AI25" s="45" t="str">
        <f>IF(AND('Riesgos de Gestión'!$AI$68="Alta",'Riesgos de Gestión'!$AK$68="Catastrófico"),CONCATENATE("R10C",'Riesgos de Gestión'!$V$68),"")</f>
        <v/>
      </c>
      <c r="AJ25" s="45" t="str">
        <f>IF(AND('Riesgos de Gestión'!$AI$69="Alta",'Riesgos de Gestión'!$AK$69="Catastrófico"),CONCATENATE("R10C",'Riesgos de Gestión'!$V$69),"")</f>
        <v/>
      </c>
      <c r="AK25" s="45" t="str">
        <f>IF(AND('Riesgos de Gestión'!$AI$70="Alta",'Riesgos de Gestión'!$AK$70="Catastrófico"),CONCATENATE("R10C",'Riesgos de Gestión'!$V$70),"")</f>
        <v/>
      </c>
      <c r="AL25" s="45" t="str">
        <f>IF(AND('Riesgos de Gestión'!$AI$71="Alta",'Riesgos de Gestión'!$AK$71="Catastrófico"),CONCATENATE("R10C",'Riesgos de Gestión'!$V$71),"")</f>
        <v/>
      </c>
      <c r="AM25" s="46" t="str">
        <f>IF(AND('Riesgos de Gestión'!$AI$72="Alta",'Riesgos de Gestión'!$AK$72="Catastrófico"),CONCATENATE("R10C",'Riesgos de Gestión'!$V$72),"")</f>
        <v/>
      </c>
      <c r="AN25" s="66"/>
      <c r="AO25" s="533"/>
      <c r="AP25" s="534"/>
      <c r="AQ25" s="534"/>
      <c r="AR25" s="534"/>
      <c r="AS25" s="534"/>
      <c r="AT25" s="53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41"/>
      <c r="C26" s="441"/>
      <c r="D26" s="442"/>
      <c r="E26" s="536" t="s">
        <v>286</v>
      </c>
      <c r="F26" s="537"/>
      <c r="G26" s="537"/>
      <c r="H26" s="537"/>
      <c r="I26" s="554"/>
      <c r="J26" s="47" t="str">
        <f>IF(AND('Riesgos de Gestión'!$AI$13="Media",'Riesgos de Gestión'!$AK$13="Leve"),CONCATENATE("R1C",'Riesgos de Gestión'!$V$13),"")</f>
        <v/>
      </c>
      <c r="K26" s="48" t="str">
        <f>IF(AND('Riesgos de Gestión'!$AI$14="Media",'Riesgos de Gestión'!$AK$14="Leve"),CONCATENATE("R1C",'Riesgos de Gestión'!$V$14),"")</f>
        <v/>
      </c>
      <c r="L26" s="48" t="e">
        <f>IF(AND('Riesgos de Gestión'!#REF!="Media",'Riesgos de Gestión'!#REF!="Leve"),CONCATENATE("R1C",'Riesgos de Gestión'!#REF!),"")</f>
        <v>#REF!</v>
      </c>
      <c r="M26" s="48" t="e">
        <f>IF(AND('Riesgos de Gestión'!#REF!="Media",'Riesgos de Gestión'!#REF!="Leve"),CONCATENATE("R1C",'Riesgos de Gestión'!#REF!),"")</f>
        <v>#REF!</v>
      </c>
      <c r="N26" s="48" t="e">
        <f>IF(AND('Riesgos de Gestión'!#REF!="Media",'Riesgos de Gestión'!#REF!="Leve"),CONCATENATE("R1C",'Riesgos de Gestión'!#REF!),"")</f>
        <v>#REF!</v>
      </c>
      <c r="O26" s="49" t="e">
        <f>IF(AND('Riesgos de Gestión'!#REF!="Media",'Riesgos de Gestión'!#REF!="Leve"),CONCATENATE("R1C",'Riesgos de Gestión'!#REF!),"")</f>
        <v>#REF!</v>
      </c>
      <c r="P26" s="47" t="str">
        <f>IF(AND('Riesgos de Gestión'!$AI$13="Media",'Riesgos de Gestión'!$AK$13="Menor"),CONCATENATE("R1C",'Riesgos de Gestión'!$V$13),"")</f>
        <v/>
      </c>
      <c r="Q26" s="48" t="str">
        <f>IF(AND('Riesgos de Gestión'!$AI$14="Media",'Riesgos de Gestión'!$AK$14="Menor"),CONCATENATE("R1C",'Riesgos de Gestión'!$V$14),"")</f>
        <v/>
      </c>
      <c r="R26" s="48" t="e">
        <f>IF(AND('Riesgos de Gestión'!#REF!="Media",'Riesgos de Gestión'!#REF!="Menor"),CONCATENATE("R1C",'Riesgos de Gestión'!#REF!),"")</f>
        <v>#REF!</v>
      </c>
      <c r="S26" s="48" t="e">
        <f>IF(AND('Riesgos de Gestión'!#REF!="Media",'Riesgos de Gestión'!#REF!="Menor"),CONCATENATE("R1C",'Riesgos de Gestión'!#REF!),"")</f>
        <v>#REF!</v>
      </c>
      <c r="T26" s="48" t="e">
        <f>IF(AND('Riesgos de Gestión'!#REF!="Media",'Riesgos de Gestión'!#REF!="Menor"),CONCATENATE("R1C",'Riesgos de Gestión'!#REF!),"")</f>
        <v>#REF!</v>
      </c>
      <c r="U26" s="49" t="e">
        <f>IF(AND('Riesgos de Gestión'!#REF!="Media",'Riesgos de Gestión'!#REF!="Menor"),CONCATENATE("R1C",'Riesgos de Gestión'!#REF!),"")</f>
        <v>#REF!</v>
      </c>
      <c r="V26" s="47" t="str">
        <f>IF(AND('Riesgos de Gestión'!$AI$13="Media",'Riesgos de Gestión'!$AK$13="Moderado"),CONCATENATE("R1C",'Riesgos de Gestión'!$V$13),"")</f>
        <v/>
      </c>
      <c r="W26" s="48" t="str">
        <f>IF(AND('Riesgos de Gestión'!$AI$14="Media",'Riesgos de Gestión'!$AK$14="Moderado"),CONCATENATE("R1C",'Riesgos de Gestión'!$V$14),"")</f>
        <v/>
      </c>
      <c r="X26" s="48" t="e">
        <f>IF(AND('Riesgos de Gestión'!#REF!="Media",'Riesgos de Gestión'!#REF!="Moderado"),CONCATENATE("R1C",'Riesgos de Gestión'!#REF!),"")</f>
        <v>#REF!</v>
      </c>
      <c r="Y26" s="48" t="e">
        <f>IF(AND('Riesgos de Gestión'!#REF!="Media",'Riesgos de Gestión'!#REF!="Moderado"),CONCATENATE("R1C",'Riesgos de Gestión'!#REF!),"")</f>
        <v>#REF!</v>
      </c>
      <c r="Z26" s="48" t="e">
        <f>IF(AND('Riesgos de Gestión'!#REF!="Media",'Riesgos de Gestión'!#REF!="Moderado"),CONCATENATE("R1C",'Riesgos de Gestión'!#REF!),"")</f>
        <v>#REF!</v>
      </c>
      <c r="AA26" s="49" t="e">
        <f>IF(AND('Riesgos de Gestión'!#REF!="Media",'Riesgos de Gestión'!#REF!="Moderado"),CONCATENATE("R1C",'Riesgos de Gestión'!#REF!),"")</f>
        <v>#REF!</v>
      </c>
      <c r="AB26" s="29" t="str">
        <f>IF(AND('Riesgos de Gestión'!$AI$13="Media",'Riesgos de Gestión'!$AK$13="Mayor"),CONCATENATE("R1C",'Riesgos de Gestión'!$V$13),"")</f>
        <v/>
      </c>
      <c r="AC26" s="30" t="str">
        <f>IF(AND('Riesgos de Gestión'!$AI$14="Media",'Riesgos de Gestión'!$AK$14="Mayor"),CONCATENATE("R1C",'Riesgos de Gestión'!$V$14),"")</f>
        <v/>
      </c>
      <c r="AD26" s="30" t="e">
        <f>IF(AND('Riesgos de Gestión'!#REF!="Media",'Riesgos de Gestión'!#REF!="Mayor"),CONCATENATE("R1C",'Riesgos de Gestión'!#REF!),"")</f>
        <v>#REF!</v>
      </c>
      <c r="AE26" s="30" t="e">
        <f>IF(AND('Riesgos de Gestión'!#REF!="Media",'Riesgos de Gestión'!#REF!="Mayor"),CONCATENATE("R1C",'Riesgos de Gestión'!#REF!),"")</f>
        <v>#REF!</v>
      </c>
      <c r="AF26" s="30" t="e">
        <f>IF(AND('Riesgos de Gestión'!#REF!="Media",'Riesgos de Gestión'!#REF!="Mayor"),CONCATENATE("R1C",'Riesgos de Gestión'!#REF!),"")</f>
        <v>#REF!</v>
      </c>
      <c r="AG26" s="31" t="e">
        <f>IF(AND('Riesgos de Gestión'!#REF!="Media",'Riesgos de Gestión'!#REF!="Mayor"),CONCATENATE("R1C",'Riesgos de Gestión'!#REF!),"")</f>
        <v>#REF!</v>
      </c>
      <c r="AH26" s="32" t="str">
        <f>IF(AND('Riesgos de Gestión'!$AI$13="Media",'Riesgos de Gestión'!$AK$13="Catastrófico"),CONCATENATE("R1C",'Riesgos de Gestión'!$V$13),"")</f>
        <v/>
      </c>
      <c r="AI26" s="33" t="str">
        <f>IF(AND('Riesgos de Gestión'!$AI$14="Media",'Riesgos de Gestión'!$AK$14="Catastrófico"),CONCATENATE("R1C",'Riesgos de Gestión'!$V$14),"")</f>
        <v/>
      </c>
      <c r="AJ26" s="33" t="e">
        <f>IF(AND('Riesgos de Gestión'!#REF!="Media",'Riesgos de Gestión'!#REF!="Catastrófico"),CONCATENATE("R1C",'Riesgos de Gestión'!#REF!),"")</f>
        <v>#REF!</v>
      </c>
      <c r="AK26" s="33" t="e">
        <f>IF(AND('Riesgos de Gestión'!#REF!="Media",'Riesgos de Gestión'!#REF!="Catastrófico"),CONCATENATE("R1C",'Riesgos de Gestión'!#REF!),"")</f>
        <v>#REF!</v>
      </c>
      <c r="AL26" s="33" t="e">
        <f>IF(AND('Riesgos de Gestión'!#REF!="Media",'Riesgos de Gestión'!#REF!="Catastrófico"),CONCATENATE("R1C",'Riesgos de Gestión'!#REF!),"")</f>
        <v>#REF!</v>
      </c>
      <c r="AM26" s="34" t="e">
        <f>IF(AND('Riesgos de Gestión'!#REF!="Media",'Riesgos de Gestión'!#REF!="Catastrófico"),CONCATENATE("R1C",'Riesgos de Gestión'!#REF!),"")</f>
        <v>#REF!</v>
      </c>
      <c r="AN26" s="66"/>
      <c r="AO26" s="566" t="s">
        <v>287</v>
      </c>
      <c r="AP26" s="567"/>
      <c r="AQ26" s="567"/>
      <c r="AR26" s="567"/>
      <c r="AS26" s="567"/>
      <c r="AT26" s="56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41"/>
      <c r="C27" s="441"/>
      <c r="D27" s="442"/>
      <c r="E27" s="538"/>
      <c r="F27" s="539"/>
      <c r="G27" s="539"/>
      <c r="H27" s="539"/>
      <c r="I27" s="555"/>
      <c r="J27" s="50" t="str">
        <f>IF(AND('Riesgos de Gestión'!$AI$19="Media",'Riesgos de Gestión'!$AK$19="Leve"),CONCATENATE("R2C",'Riesgos de Gestión'!$V$19),"")</f>
        <v/>
      </c>
      <c r="K27" s="51" t="str">
        <f>IF(AND('Riesgos de Gestión'!$AI$20="Media",'Riesgos de Gestión'!$AK$20="Leve"),CONCATENATE("R2C",'Riesgos de Gestión'!$V$20),"")</f>
        <v/>
      </c>
      <c r="L27" s="51" t="str">
        <f>IF(AND('Riesgos de Gestión'!$AI$21="Media",'Riesgos de Gestión'!$AK$21="Leve"),CONCATENATE("R2C",'Riesgos de Gestión'!$V$21),"")</f>
        <v/>
      </c>
      <c r="M27" s="51" t="str">
        <f>IF(AND('Riesgos de Gestión'!$AI$22="Media",'Riesgos de Gestión'!$AK$22="Leve"),CONCATENATE("R2C",'Riesgos de Gestión'!$V$22),"")</f>
        <v/>
      </c>
      <c r="N27" s="51" t="str">
        <f>IF(AND('Riesgos de Gestión'!$AI$23="Media",'Riesgos de Gestión'!$AK$23="Leve"),CONCATENATE("R2C",'Riesgos de Gestión'!$V$23),"")</f>
        <v/>
      </c>
      <c r="O27" s="52" t="str">
        <f>IF(AND('Riesgos de Gestión'!$AI$24="Media",'Riesgos de Gestión'!$AK$24="Leve"),CONCATENATE("R2C",'Riesgos de Gestión'!$V$24),"")</f>
        <v/>
      </c>
      <c r="P27" s="50" t="str">
        <f>IF(AND('Riesgos de Gestión'!$AI$19="Media",'Riesgos de Gestión'!$AK$19="Menor"),CONCATENATE("R2C",'Riesgos de Gestión'!$V$19),"")</f>
        <v/>
      </c>
      <c r="Q27" s="51" t="str">
        <f>IF(AND('Riesgos de Gestión'!$AI$20="Media",'Riesgos de Gestión'!$AK$20="Menor"),CONCATENATE("R2C",'Riesgos de Gestión'!$V$20),"")</f>
        <v/>
      </c>
      <c r="R27" s="51" t="str">
        <f>IF(AND('Riesgos de Gestión'!$AI$21="Media",'Riesgos de Gestión'!$AK$21="Menor"),CONCATENATE("R2C",'Riesgos de Gestión'!$V$21),"")</f>
        <v/>
      </c>
      <c r="S27" s="51" t="str">
        <f>IF(AND('Riesgos de Gestión'!$AI$22="Media",'Riesgos de Gestión'!$AK$22="Menor"),CONCATENATE("R2C",'Riesgos de Gestión'!$V$22),"")</f>
        <v/>
      </c>
      <c r="T27" s="51" t="str">
        <f>IF(AND('Riesgos de Gestión'!$AI$23="Media",'Riesgos de Gestión'!$AK$23="Menor"),CONCATENATE("R2C",'Riesgos de Gestión'!$V$23),"")</f>
        <v/>
      </c>
      <c r="U27" s="52" t="str">
        <f>IF(AND('Riesgos de Gestión'!$AI$24="Media",'Riesgos de Gestión'!$AK$24="Menor"),CONCATENATE("R2C",'Riesgos de Gestión'!$V$24),"")</f>
        <v/>
      </c>
      <c r="V27" s="50" t="str">
        <f>IF(AND('Riesgos de Gestión'!$AI$19="Media",'Riesgos de Gestión'!$AK$19="Moderado"),CONCATENATE("R2C",'Riesgos de Gestión'!$V$19),"")</f>
        <v/>
      </c>
      <c r="W27" s="51" t="str">
        <f>IF(AND('Riesgos de Gestión'!$AI$20="Media",'Riesgos de Gestión'!$AK$20="Moderado"),CONCATENATE("R2C",'Riesgos de Gestión'!$V$20),"")</f>
        <v/>
      </c>
      <c r="X27" s="51" t="str">
        <f>IF(AND('Riesgos de Gestión'!$AI$21="Media",'Riesgos de Gestión'!$AK$21="Moderado"),CONCATENATE("R2C",'Riesgos de Gestión'!$V$21),"")</f>
        <v/>
      </c>
      <c r="Y27" s="51" t="str">
        <f>IF(AND('Riesgos de Gestión'!$AI$22="Media",'Riesgos de Gestión'!$AK$22="Moderado"),CONCATENATE("R2C",'Riesgos de Gestión'!$V$22),"")</f>
        <v/>
      </c>
      <c r="Z27" s="51" t="str">
        <f>IF(AND('Riesgos de Gestión'!$AI$23="Media",'Riesgos de Gestión'!$AK$23="Moderado"),CONCATENATE("R2C",'Riesgos de Gestión'!$V$23),"")</f>
        <v/>
      </c>
      <c r="AA27" s="52" t="str">
        <f>IF(AND('Riesgos de Gestión'!$AI$24="Media",'Riesgos de Gestión'!$AK$24="Moderado"),CONCATENATE("R2C",'Riesgos de Gestión'!$V$24),"")</f>
        <v/>
      </c>
      <c r="AB27" s="35" t="str">
        <f>IF(AND('Riesgos de Gestión'!$AI$19="Media",'Riesgos de Gestión'!$AK$19="Mayor"),CONCATENATE("R2C",'Riesgos de Gestión'!$V$19),"")</f>
        <v/>
      </c>
      <c r="AC27" s="36" t="str">
        <f>IF(AND('Riesgos de Gestión'!$AI$20="Media",'Riesgos de Gestión'!$AK$20="Mayor"),CONCATENATE("R2C",'Riesgos de Gestión'!$V$20),"")</f>
        <v/>
      </c>
      <c r="AD27" s="36" t="str">
        <f>IF(AND('Riesgos de Gestión'!$AI$21="Media",'Riesgos de Gestión'!$AK$21="Mayor"),CONCATENATE("R2C",'Riesgos de Gestión'!$V$21),"")</f>
        <v/>
      </c>
      <c r="AE27" s="36" t="str">
        <f>IF(AND('Riesgos de Gestión'!$AI$22="Media",'Riesgos de Gestión'!$AK$22="Mayor"),CONCATENATE("R2C",'Riesgos de Gestión'!$V$22),"")</f>
        <v/>
      </c>
      <c r="AF27" s="36" t="str">
        <f>IF(AND('Riesgos de Gestión'!$AI$23="Media",'Riesgos de Gestión'!$AK$23="Mayor"),CONCATENATE("R2C",'Riesgos de Gestión'!$V$23),"")</f>
        <v/>
      </c>
      <c r="AG27" s="37" t="str">
        <f>IF(AND('Riesgos de Gestión'!$AI$24="Media",'Riesgos de Gestión'!$AK$24="Mayor"),CONCATENATE("R2C",'Riesgos de Gestión'!$V$24),"")</f>
        <v/>
      </c>
      <c r="AH27" s="38" t="str">
        <f>IF(AND('Riesgos de Gestión'!$AI$19="Media",'Riesgos de Gestión'!$AK$19="Catastrófico"),CONCATENATE("R2C",'Riesgos de Gestión'!$V$19),"")</f>
        <v/>
      </c>
      <c r="AI27" s="39" t="str">
        <f>IF(AND('Riesgos de Gestión'!$AI$20="Media",'Riesgos de Gestión'!$AK$20="Catastrófico"),CONCATENATE("R2C",'Riesgos de Gestión'!$V$20),"")</f>
        <v/>
      </c>
      <c r="AJ27" s="39" t="str">
        <f>IF(AND('Riesgos de Gestión'!$AI$21="Media",'Riesgos de Gestión'!$AK$21="Catastrófico"),CONCATENATE("R2C",'Riesgos de Gestión'!$V$21),"")</f>
        <v/>
      </c>
      <c r="AK27" s="39" t="str">
        <f>IF(AND('Riesgos de Gestión'!$AI$22="Media",'Riesgos de Gestión'!$AK$22="Catastrófico"),CONCATENATE("R2C",'Riesgos de Gestión'!$V$22),"")</f>
        <v/>
      </c>
      <c r="AL27" s="39" t="str">
        <f>IF(AND('Riesgos de Gestión'!$AI$23="Media",'Riesgos de Gestión'!$AK$23="Catastrófico"),CONCATENATE("R2C",'Riesgos de Gestión'!$V$23),"")</f>
        <v/>
      </c>
      <c r="AM27" s="40" t="str">
        <f>IF(AND('Riesgos de Gestión'!$AI$24="Media",'Riesgos de Gestión'!$AK$24="Catastrófico"),CONCATENATE("R2C",'Riesgos de Gestión'!$V$24),"")</f>
        <v/>
      </c>
      <c r="AN27" s="66"/>
      <c r="AO27" s="569"/>
      <c r="AP27" s="570"/>
      <c r="AQ27" s="570"/>
      <c r="AR27" s="570"/>
      <c r="AS27" s="570"/>
      <c r="AT27" s="57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41"/>
      <c r="C28" s="441"/>
      <c r="D28" s="442"/>
      <c r="E28" s="540"/>
      <c r="F28" s="539"/>
      <c r="G28" s="539"/>
      <c r="H28" s="539"/>
      <c r="I28" s="555"/>
      <c r="J28" s="50" t="str">
        <f>IF(AND('Riesgos de Gestión'!$AI$25="Media",'Riesgos de Gestión'!$AK$25="Leve"),CONCATENATE("R3C",'Riesgos de Gestión'!$V$25),"")</f>
        <v/>
      </c>
      <c r="K28" s="51" t="str">
        <f>IF(AND('Riesgos de Gestión'!$AI$26="Media",'Riesgos de Gestión'!$AK$26="Leve"),CONCATENATE("R3C",'Riesgos de Gestión'!$V$26),"")</f>
        <v/>
      </c>
      <c r="L28" s="51" t="str">
        <f>IF(AND('Riesgos de Gestión'!$AI$27="Media",'Riesgos de Gestión'!$AK$27="Leve"),CONCATENATE("R3C",'Riesgos de Gestión'!$V$27),"")</f>
        <v/>
      </c>
      <c r="M28" s="51" t="str">
        <f>IF(AND('Riesgos de Gestión'!$AI$28="Media",'Riesgos de Gestión'!$AK$28="Leve"),CONCATENATE("R3C",'Riesgos de Gestión'!$V$28),"")</f>
        <v/>
      </c>
      <c r="N28" s="51" t="str">
        <f>IF(AND('Riesgos de Gestión'!$AI$29="Media",'Riesgos de Gestión'!$AK$29="Leve"),CONCATENATE("R3C",'Riesgos de Gestión'!$V$29),"")</f>
        <v/>
      </c>
      <c r="O28" s="52" t="str">
        <f>IF(AND('Riesgos de Gestión'!$AI$30="Media",'Riesgos de Gestión'!$AK$30="Leve"),CONCATENATE("R3C",'Riesgos de Gestión'!$V$30),"")</f>
        <v/>
      </c>
      <c r="P28" s="50" t="str">
        <f>IF(AND('Riesgos de Gestión'!$AI$25="Media",'Riesgos de Gestión'!$AK$25="Menor"),CONCATENATE("R3C",'Riesgos de Gestión'!$V$25),"")</f>
        <v/>
      </c>
      <c r="Q28" s="51" t="str">
        <f>IF(AND('Riesgos de Gestión'!$AI$26="Media",'Riesgos de Gestión'!$AK$26="Menor"),CONCATENATE("R3C",'Riesgos de Gestión'!$V$26),"")</f>
        <v/>
      </c>
      <c r="R28" s="51" t="str">
        <f>IF(AND('Riesgos de Gestión'!$AI$27="Media",'Riesgos de Gestión'!$AK$27="Menor"),CONCATENATE("R3C",'Riesgos de Gestión'!$V$27),"")</f>
        <v/>
      </c>
      <c r="S28" s="51" t="str">
        <f>IF(AND('Riesgos de Gestión'!$AI$28="Media",'Riesgos de Gestión'!$AK$28="Menor"),CONCATENATE("R3C",'Riesgos de Gestión'!$V$28),"")</f>
        <v/>
      </c>
      <c r="T28" s="51" t="str">
        <f>IF(AND('Riesgos de Gestión'!$AI$29="Media",'Riesgos de Gestión'!$AK$29="Menor"),CONCATENATE("R3C",'Riesgos de Gestión'!$V$29),"")</f>
        <v/>
      </c>
      <c r="U28" s="52" t="str">
        <f>IF(AND('Riesgos de Gestión'!$AI$30="Media",'Riesgos de Gestión'!$AK$30="Menor"),CONCATENATE("R3C",'Riesgos de Gestión'!$V$30),"")</f>
        <v/>
      </c>
      <c r="V28" s="50" t="str">
        <f>IF(AND('Riesgos de Gestión'!$AI$25="Media",'Riesgos de Gestión'!$AK$25="Moderado"),CONCATENATE("R3C",'Riesgos de Gestión'!$V$25),"")</f>
        <v/>
      </c>
      <c r="W28" s="51" t="str">
        <f>IF(AND('Riesgos de Gestión'!$AI$26="Media",'Riesgos de Gestión'!$AK$26="Moderado"),CONCATENATE("R3C",'Riesgos de Gestión'!$V$26),"")</f>
        <v/>
      </c>
      <c r="X28" s="51" t="str">
        <f>IF(AND('Riesgos de Gestión'!$AI$27="Media",'Riesgos de Gestión'!$AK$27="Moderado"),CONCATENATE("R3C",'Riesgos de Gestión'!$V$27),"")</f>
        <v/>
      </c>
      <c r="Y28" s="51" t="str">
        <f>IF(AND('Riesgos de Gestión'!$AI$28="Media",'Riesgos de Gestión'!$AK$28="Moderado"),CONCATENATE("R3C",'Riesgos de Gestión'!$V$28),"")</f>
        <v/>
      </c>
      <c r="Z28" s="51" t="str">
        <f>IF(AND('Riesgos de Gestión'!$AI$29="Media",'Riesgos de Gestión'!$AK$29="Moderado"),CONCATENATE("R3C",'Riesgos de Gestión'!$V$29),"")</f>
        <v/>
      </c>
      <c r="AA28" s="52" t="str">
        <f>IF(AND('Riesgos de Gestión'!$AI$30="Media",'Riesgos de Gestión'!$AK$30="Moderado"),CONCATENATE("R3C",'Riesgos de Gestión'!$V$30),"")</f>
        <v/>
      </c>
      <c r="AB28" s="35" t="str">
        <f>IF(AND('Riesgos de Gestión'!$AI$25="Media",'Riesgos de Gestión'!$AK$25="Mayor"),CONCATENATE("R3C",'Riesgos de Gestión'!$V$25),"")</f>
        <v/>
      </c>
      <c r="AC28" s="36" t="str">
        <f>IF(AND('Riesgos de Gestión'!$AI$26="Media",'Riesgos de Gestión'!$AK$26="Mayor"),CONCATENATE("R3C",'Riesgos de Gestión'!$V$26),"")</f>
        <v/>
      </c>
      <c r="AD28" s="36" t="str">
        <f>IF(AND('Riesgos de Gestión'!$AI$27="Media",'Riesgos de Gestión'!$AK$27="Mayor"),CONCATENATE("R3C",'Riesgos de Gestión'!$V$27),"")</f>
        <v/>
      </c>
      <c r="AE28" s="36" t="str">
        <f>IF(AND('Riesgos de Gestión'!$AI$28="Media",'Riesgos de Gestión'!$AK$28="Mayor"),CONCATENATE("R3C",'Riesgos de Gestión'!$V$28),"")</f>
        <v/>
      </c>
      <c r="AF28" s="36" t="str">
        <f>IF(AND('Riesgos de Gestión'!$AI$29="Media",'Riesgos de Gestión'!$AK$29="Mayor"),CONCATENATE("R3C",'Riesgos de Gestión'!$V$29),"")</f>
        <v/>
      </c>
      <c r="AG28" s="37" t="str">
        <f>IF(AND('Riesgos de Gestión'!$AI$30="Media",'Riesgos de Gestión'!$AK$30="Mayor"),CONCATENATE("R3C",'Riesgos de Gestión'!$V$30),"")</f>
        <v/>
      </c>
      <c r="AH28" s="38" t="str">
        <f>IF(AND('Riesgos de Gestión'!$AI$25="Media",'Riesgos de Gestión'!$AK$25="Catastrófico"),CONCATENATE("R3C",'Riesgos de Gestión'!$V$25),"")</f>
        <v/>
      </c>
      <c r="AI28" s="39" t="str">
        <f>IF(AND('Riesgos de Gestión'!$AI$26="Media",'Riesgos de Gestión'!$AK$26="Catastrófico"),CONCATENATE("R3C",'Riesgos de Gestión'!$V$26),"")</f>
        <v/>
      </c>
      <c r="AJ28" s="39" t="str">
        <f>IF(AND('Riesgos de Gestión'!$AI$27="Media",'Riesgos de Gestión'!$AK$27="Catastrófico"),CONCATENATE("R3C",'Riesgos de Gestión'!$V$27),"")</f>
        <v/>
      </c>
      <c r="AK28" s="39" t="str">
        <f>IF(AND('Riesgos de Gestión'!$AI$28="Media",'Riesgos de Gestión'!$AK$28="Catastrófico"),CONCATENATE("R3C",'Riesgos de Gestión'!$V$28),"")</f>
        <v/>
      </c>
      <c r="AL28" s="39" t="str">
        <f>IF(AND('Riesgos de Gestión'!$AI$29="Media",'Riesgos de Gestión'!$AK$29="Catastrófico"),CONCATENATE("R3C",'Riesgos de Gestión'!$V$29),"")</f>
        <v/>
      </c>
      <c r="AM28" s="40" t="str">
        <f>IF(AND('Riesgos de Gestión'!$AI$30="Media",'Riesgos de Gestión'!$AK$30="Catastrófico"),CONCATENATE("R3C",'Riesgos de Gestión'!$V$30),"")</f>
        <v/>
      </c>
      <c r="AN28" s="66"/>
      <c r="AO28" s="569"/>
      <c r="AP28" s="570"/>
      <c r="AQ28" s="570"/>
      <c r="AR28" s="570"/>
      <c r="AS28" s="570"/>
      <c r="AT28" s="57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41"/>
      <c r="C29" s="441"/>
      <c r="D29" s="442"/>
      <c r="E29" s="540"/>
      <c r="F29" s="539"/>
      <c r="G29" s="539"/>
      <c r="H29" s="539"/>
      <c r="I29" s="555"/>
      <c r="J29" s="50" t="str">
        <f>IF(AND('Riesgos de Gestión'!$AI$31="Media",'Riesgos de Gestión'!$AK$31="Leve"),CONCATENATE("R4C",'Riesgos de Gestión'!$V$31),"")</f>
        <v/>
      </c>
      <c r="K29" s="51" t="str">
        <f>IF(AND('Riesgos de Gestión'!$AI$32="Media",'Riesgos de Gestión'!$AK$32="Leve"),CONCATENATE("R4C",'Riesgos de Gestión'!$V$32),"")</f>
        <v/>
      </c>
      <c r="L29" s="51" t="str">
        <f>IF(AND('Riesgos de Gestión'!$AI$33="Media",'Riesgos de Gestión'!$AK$33="Leve"),CONCATENATE("R4C",'Riesgos de Gestión'!$V$33),"")</f>
        <v/>
      </c>
      <c r="M29" s="51" t="str">
        <f>IF(AND('Riesgos de Gestión'!$AI$34="Media",'Riesgos de Gestión'!$AK$34="Leve"),CONCATENATE("R4C",'Riesgos de Gestión'!$V$34),"")</f>
        <v/>
      </c>
      <c r="N29" s="51" t="str">
        <f>IF(AND('Riesgos de Gestión'!$AI$35="Media",'Riesgos de Gestión'!$AK$35="Leve"),CONCATENATE("R4C",'Riesgos de Gestión'!$V$35),"")</f>
        <v/>
      </c>
      <c r="O29" s="52" t="str">
        <f>IF(AND('Riesgos de Gestión'!$AI$36="Media",'Riesgos de Gestión'!$AK$36="Leve"),CONCATENATE("R4C",'Riesgos de Gestión'!$V$36),"")</f>
        <v/>
      </c>
      <c r="P29" s="50" t="str">
        <f>IF(AND('Riesgos de Gestión'!$AI$31="Media",'Riesgos de Gestión'!$AK$31="Menor"),CONCATENATE("R4C",'Riesgos de Gestión'!$V$31),"")</f>
        <v/>
      </c>
      <c r="Q29" s="51" t="str">
        <f>IF(AND('Riesgos de Gestión'!$AI$32="Media",'Riesgos de Gestión'!$AK$32="Menor"),CONCATENATE("R4C",'Riesgos de Gestión'!$V$32),"")</f>
        <v/>
      </c>
      <c r="R29" s="51" t="str">
        <f>IF(AND('Riesgos de Gestión'!$AI$33="Media",'Riesgos de Gestión'!$AK$33="Menor"),CONCATENATE("R4C",'Riesgos de Gestión'!$V$33),"")</f>
        <v/>
      </c>
      <c r="S29" s="51" t="str">
        <f>IF(AND('Riesgos de Gestión'!$AI$34="Media",'Riesgos de Gestión'!$AK$34="Menor"),CONCATENATE("R4C",'Riesgos de Gestión'!$V$34),"")</f>
        <v/>
      </c>
      <c r="T29" s="51" t="str">
        <f>IF(AND('Riesgos de Gestión'!$AI$35="Media",'Riesgos de Gestión'!$AK$35="Menor"),CONCATENATE("R4C",'Riesgos de Gestión'!$V$35),"")</f>
        <v/>
      </c>
      <c r="U29" s="52" t="str">
        <f>IF(AND('Riesgos de Gestión'!$AI$36="Media",'Riesgos de Gestión'!$AK$36="Menor"),CONCATENATE("R4C",'Riesgos de Gestión'!$V$36),"")</f>
        <v/>
      </c>
      <c r="V29" s="50" t="str">
        <f>IF(AND('Riesgos de Gestión'!$AI$31="Media",'Riesgos de Gestión'!$AK$31="Moderado"),CONCATENATE("R4C",'Riesgos de Gestión'!$V$31),"")</f>
        <v/>
      </c>
      <c r="W29" s="51" t="str">
        <f>IF(AND('Riesgos de Gestión'!$AI$32="Media",'Riesgos de Gestión'!$AK$32="Moderado"),CONCATENATE("R4C",'Riesgos de Gestión'!$V$32),"")</f>
        <v/>
      </c>
      <c r="X29" s="51" t="str">
        <f>IF(AND('Riesgos de Gestión'!$AI$33="Media",'Riesgos de Gestión'!$AK$33="Moderado"),CONCATENATE("R4C",'Riesgos de Gestión'!$V$33),"")</f>
        <v/>
      </c>
      <c r="Y29" s="51" t="str">
        <f>IF(AND('Riesgos de Gestión'!$AI$34="Media",'Riesgos de Gestión'!$AK$34="Moderado"),CONCATENATE("R4C",'Riesgos de Gestión'!$V$34),"")</f>
        <v/>
      </c>
      <c r="Z29" s="51" t="str">
        <f>IF(AND('Riesgos de Gestión'!$AI$35="Media",'Riesgos de Gestión'!$AK$35="Moderado"),CONCATENATE("R4C",'Riesgos de Gestión'!$V$35),"")</f>
        <v/>
      </c>
      <c r="AA29" s="52" t="str">
        <f>IF(AND('Riesgos de Gestión'!$AI$36="Media",'Riesgos de Gestión'!$AK$36="Moderado"),CONCATENATE("R4C",'Riesgos de Gestión'!$V$36),"")</f>
        <v/>
      </c>
      <c r="AB29" s="35" t="str">
        <f>IF(AND('Riesgos de Gestión'!$AI$31="Media",'Riesgos de Gestión'!$AK$31="Mayor"),CONCATENATE("R4C",'Riesgos de Gestión'!$V$31),"")</f>
        <v/>
      </c>
      <c r="AC29" s="36" t="str">
        <f>IF(AND('Riesgos de Gestión'!$AI$32="Media",'Riesgos de Gestión'!$AK$32="Mayor"),CONCATENATE("R4C",'Riesgos de Gestión'!$V$32),"")</f>
        <v/>
      </c>
      <c r="AD29" s="36" t="str">
        <f>IF(AND('Riesgos de Gestión'!$AI$33="Media",'Riesgos de Gestión'!$AK$33="Mayor"),CONCATENATE("R4C",'Riesgos de Gestión'!$V$33),"")</f>
        <v/>
      </c>
      <c r="AE29" s="36" t="str">
        <f>IF(AND('Riesgos de Gestión'!$AI$34="Media",'Riesgos de Gestión'!$AK$34="Mayor"),CONCATENATE("R4C",'Riesgos de Gestión'!$V$34),"")</f>
        <v/>
      </c>
      <c r="AF29" s="36" t="str">
        <f>IF(AND('Riesgos de Gestión'!$AI$35="Media",'Riesgos de Gestión'!$AK$35="Mayor"),CONCATENATE("R4C",'Riesgos de Gestión'!$V$35),"")</f>
        <v/>
      </c>
      <c r="AG29" s="37" t="str">
        <f>IF(AND('Riesgos de Gestión'!$AI$36="Media",'Riesgos de Gestión'!$AK$36="Mayor"),CONCATENATE("R4C",'Riesgos de Gestión'!$V$36),"")</f>
        <v/>
      </c>
      <c r="AH29" s="38" t="str">
        <f>IF(AND('Riesgos de Gestión'!$AI$31="Media",'Riesgos de Gestión'!$AK$31="Catastrófico"),CONCATENATE("R4C",'Riesgos de Gestión'!$V$31),"")</f>
        <v/>
      </c>
      <c r="AI29" s="39" t="str">
        <f>IF(AND('Riesgos de Gestión'!$AI$32="Media",'Riesgos de Gestión'!$AK$32="Catastrófico"),CONCATENATE("R4C",'Riesgos de Gestión'!$V$32),"")</f>
        <v/>
      </c>
      <c r="AJ29" s="39" t="str">
        <f>IF(AND('Riesgos de Gestión'!$AI$33="Media",'Riesgos de Gestión'!$AK$33="Catastrófico"),CONCATENATE("R4C",'Riesgos de Gestión'!$V$33),"")</f>
        <v/>
      </c>
      <c r="AK29" s="39" t="str">
        <f>IF(AND('Riesgos de Gestión'!$AI$34="Media",'Riesgos de Gestión'!$AK$34="Catastrófico"),CONCATENATE("R4C",'Riesgos de Gestión'!$V$34),"")</f>
        <v/>
      </c>
      <c r="AL29" s="39" t="str">
        <f>IF(AND('Riesgos de Gestión'!$AI$35="Media",'Riesgos de Gestión'!$AK$35="Catastrófico"),CONCATENATE("R4C",'Riesgos de Gestión'!$V$35),"")</f>
        <v/>
      </c>
      <c r="AM29" s="40" t="str">
        <f>IF(AND('Riesgos de Gestión'!$AI$36="Media",'Riesgos de Gestión'!$AK$36="Catastrófico"),CONCATENATE("R4C",'Riesgos de Gestión'!$V$36),"")</f>
        <v/>
      </c>
      <c r="AN29" s="66"/>
      <c r="AO29" s="569"/>
      <c r="AP29" s="570"/>
      <c r="AQ29" s="570"/>
      <c r="AR29" s="570"/>
      <c r="AS29" s="570"/>
      <c r="AT29" s="57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41"/>
      <c r="C30" s="441"/>
      <c r="D30" s="442"/>
      <c r="E30" s="540"/>
      <c r="F30" s="539"/>
      <c r="G30" s="539"/>
      <c r="H30" s="539"/>
      <c r="I30" s="555"/>
      <c r="J30" s="50" t="str">
        <f>IF(AND('Riesgos de Gestión'!$AI$37="Media",'Riesgos de Gestión'!$AK$37="Leve"),CONCATENATE("R5C",'Riesgos de Gestión'!$V$37),"")</f>
        <v/>
      </c>
      <c r="K30" s="51" t="str">
        <f>IF(AND('Riesgos de Gestión'!$AI$38="Media",'Riesgos de Gestión'!$AK$38="Leve"),CONCATENATE("R5C",'Riesgos de Gestión'!$V$38),"")</f>
        <v/>
      </c>
      <c r="L30" s="51" t="str">
        <f>IF(AND('Riesgos de Gestión'!$AI$39="Media",'Riesgos de Gestión'!$AK$39="Leve"),CONCATENATE("R5C",'Riesgos de Gestión'!$V$39),"")</f>
        <v/>
      </c>
      <c r="M30" s="51" t="str">
        <f>IF(AND('Riesgos de Gestión'!$AI$40="Media",'Riesgos de Gestión'!$AK$40="Leve"),CONCATENATE("R5C",'Riesgos de Gestión'!$V$40),"")</f>
        <v/>
      </c>
      <c r="N30" s="51" t="str">
        <f>IF(AND('Riesgos de Gestión'!$AI$41="Media",'Riesgos de Gestión'!$AK$41="Leve"),CONCATENATE("R5C",'Riesgos de Gestión'!$V$41),"")</f>
        <v/>
      </c>
      <c r="O30" s="52" t="str">
        <f>IF(AND('Riesgos de Gestión'!$AI$42="Media",'Riesgos de Gestión'!$AK$42="Leve"),CONCATENATE("R5C",'Riesgos de Gestión'!$V$42),"")</f>
        <v/>
      </c>
      <c r="P30" s="50" t="str">
        <f>IF(AND('Riesgos de Gestión'!$AI$37="Media",'Riesgos de Gestión'!$AK$37="Menor"),CONCATENATE("R5C",'Riesgos de Gestión'!$V$37),"")</f>
        <v/>
      </c>
      <c r="Q30" s="51" t="str">
        <f>IF(AND('Riesgos de Gestión'!$AI$38="Media",'Riesgos de Gestión'!$AK$38="Menor"),CONCATENATE("R5C",'Riesgos de Gestión'!$V$38),"")</f>
        <v/>
      </c>
      <c r="R30" s="51" t="str">
        <f>IF(AND('Riesgos de Gestión'!$AI$39="Media",'Riesgos de Gestión'!$AK$39="Menor"),CONCATENATE("R5C",'Riesgos de Gestión'!$V$39),"")</f>
        <v/>
      </c>
      <c r="S30" s="51" t="str">
        <f>IF(AND('Riesgos de Gestión'!$AI$40="Media",'Riesgos de Gestión'!$AK$40="Menor"),CONCATENATE("R5C",'Riesgos de Gestión'!$V$40),"")</f>
        <v/>
      </c>
      <c r="T30" s="51" t="str">
        <f>IF(AND('Riesgos de Gestión'!$AI$41="Media",'Riesgos de Gestión'!$AK$41="Menor"),CONCATENATE("R5C",'Riesgos de Gestión'!$V$41),"")</f>
        <v/>
      </c>
      <c r="U30" s="52" t="str">
        <f>IF(AND('Riesgos de Gestión'!$AI$42="Media",'Riesgos de Gestión'!$AK$42="Menor"),CONCATENATE("R5C",'Riesgos de Gestión'!$V$42),"")</f>
        <v/>
      </c>
      <c r="V30" s="50" t="str">
        <f>IF(AND('Riesgos de Gestión'!$AI$37="Media",'Riesgos de Gestión'!$AK$37="Moderado"),CONCATENATE("R5C",'Riesgos de Gestión'!$V$37),"")</f>
        <v/>
      </c>
      <c r="W30" s="51" t="str">
        <f>IF(AND('Riesgos de Gestión'!$AI$38="Media",'Riesgos de Gestión'!$AK$38="Moderado"),CONCATENATE("R5C",'Riesgos de Gestión'!$V$38),"")</f>
        <v/>
      </c>
      <c r="X30" s="51" t="str">
        <f>IF(AND('Riesgos de Gestión'!$AI$39="Media",'Riesgos de Gestión'!$AK$39="Moderado"),CONCATENATE("R5C",'Riesgos de Gestión'!$V$39),"")</f>
        <v/>
      </c>
      <c r="Y30" s="51" t="str">
        <f>IF(AND('Riesgos de Gestión'!$AI$40="Media",'Riesgos de Gestión'!$AK$40="Moderado"),CONCATENATE("R5C",'Riesgos de Gestión'!$V$40),"")</f>
        <v/>
      </c>
      <c r="Z30" s="51" t="str">
        <f>IF(AND('Riesgos de Gestión'!$AI$41="Media",'Riesgos de Gestión'!$AK$41="Moderado"),CONCATENATE("R5C",'Riesgos de Gestión'!$V$41),"")</f>
        <v/>
      </c>
      <c r="AA30" s="52" t="str">
        <f>IF(AND('Riesgos de Gestión'!$AI$42="Media",'Riesgos de Gestión'!$AK$42="Moderado"),CONCATENATE("R5C",'Riesgos de Gestión'!$V$42),"")</f>
        <v/>
      </c>
      <c r="AB30" s="35" t="str">
        <f>IF(AND('Riesgos de Gestión'!$AI$37="Media",'Riesgos de Gestión'!$AK$37="Mayor"),CONCATENATE("R5C",'Riesgos de Gestión'!$V$37),"")</f>
        <v/>
      </c>
      <c r="AC30" s="36" t="str">
        <f>IF(AND('Riesgos de Gestión'!$AI$38="Media",'Riesgos de Gestión'!$AK$38="Mayor"),CONCATENATE("R5C",'Riesgos de Gestión'!$V$38),"")</f>
        <v/>
      </c>
      <c r="AD30" s="36" t="str">
        <f>IF(AND('Riesgos de Gestión'!$AI$39="Media",'Riesgos de Gestión'!$AK$39="Mayor"),CONCATENATE("R5C",'Riesgos de Gestión'!$V$39),"")</f>
        <v/>
      </c>
      <c r="AE30" s="36" t="str">
        <f>IF(AND('Riesgos de Gestión'!$AI$40="Media",'Riesgos de Gestión'!$AK$40="Mayor"),CONCATENATE("R5C",'Riesgos de Gestión'!$V$40),"")</f>
        <v/>
      </c>
      <c r="AF30" s="36" t="str">
        <f>IF(AND('Riesgos de Gestión'!$AI$41="Media",'Riesgos de Gestión'!$AK$41="Mayor"),CONCATENATE("R5C",'Riesgos de Gestión'!$V$41),"")</f>
        <v/>
      </c>
      <c r="AG30" s="37" t="str">
        <f>IF(AND('Riesgos de Gestión'!$AI$42="Media",'Riesgos de Gestión'!$AK$42="Mayor"),CONCATENATE("R5C",'Riesgos de Gestión'!$V$42),"")</f>
        <v/>
      </c>
      <c r="AH30" s="38" t="str">
        <f>IF(AND('Riesgos de Gestión'!$AI$37="Media",'Riesgos de Gestión'!$AK$37="Catastrófico"),CONCATENATE("R5C",'Riesgos de Gestión'!$V$37),"")</f>
        <v/>
      </c>
      <c r="AI30" s="39" t="str">
        <f>IF(AND('Riesgos de Gestión'!$AI$38="Media",'Riesgos de Gestión'!$AK$38="Catastrófico"),CONCATENATE("R5C",'Riesgos de Gestión'!$V$38),"")</f>
        <v/>
      </c>
      <c r="AJ30" s="39" t="str">
        <f>IF(AND('Riesgos de Gestión'!$AI$39="Media",'Riesgos de Gestión'!$AK$39="Catastrófico"),CONCATENATE("R5C",'Riesgos de Gestión'!$V$39),"")</f>
        <v/>
      </c>
      <c r="AK30" s="39" t="str">
        <f>IF(AND('Riesgos de Gestión'!$AI$40="Media",'Riesgos de Gestión'!$AK$40="Catastrófico"),CONCATENATE("R5C",'Riesgos de Gestión'!$V$40),"")</f>
        <v/>
      </c>
      <c r="AL30" s="39" t="str">
        <f>IF(AND('Riesgos de Gestión'!$AI$41="Media",'Riesgos de Gestión'!$AK$41="Catastrófico"),CONCATENATE("R5C",'Riesgos de Gestión'!$V$41),"")</f>
        <v/>
      </c>
      <c r="AM30" s="40" t="str">
        <f>IF(AND('Riesgos de Gestión'!$AI$42="Media",'Riesgos de Gestión'!$AK$42="Catastrófico"),CONCATENATE("R5C",'Riesgos de Gestión'!$V$42),"")</f>
        <v/>
      </c>
      <c r="AN30" s="66"/>
      <c r="AO30" s="569"/>
      <c r="AP30" s="570"/>
      <c r="AQ30" s="570"/>
      <c r="AR30" s="570"/>
      <c r="AS30" s="570"/>
      <c r="AT30" s="57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41"/>
      <c r="C31" s="441"/>
      <c r="D31" s="442"/>
      <c r="E31" s="540"/>
      <c r="F31" s="539"/>
      <c r="G31" s="539"/>
      <c r="H31" s="539"/>
      <c r="I31" s="555"/>
      <c r="J31" s="50" t="str">
        <f>IF(AND('Riesgos de Gestión'!$AI$43="Media",'Riesgos de Gestión'!$AK$43="Leve"),CONCATENATE("R6C",'Riesgos de Gestión'!$V$43),"")</f>
        <v/>
      </c>
      <c r="K31" s="51" t="str">
        <f>IF(AND('Riesgos de Gestión'!$AI$44="Media",'Riesgos de Gestión'!$AK$44="Leve"),CONCATENATE("R6C",'Riesgos de Gestión'!$V$44),"")</f>
        <v/>
      </c>
      <c r="L31" s="51" t="str">
        <f>IF(AND('Riesgos de Gestión'!$AI$45="Media",'Riesgos de Gestión'!$AK$45="Leve"),CONCATENATE("R6C",'Riesgos de Gestión'!$V$45),"")</f>
        <v/>
      </c>
      <c r="M31" s="51" t="str">
        <f>IF(AND('Riesgos de Gestión'!$AI$46="Media",'Riesgos de Gestión'!$AK$46="Leve"),CONCATENATE("R6C",'Riesgos de Gestión'!$V$46),"")</f>
        <v/>
      </c>
      <c r="N31" s="51" t="str">
        <f>IF(AND('Riesgos de Gestión'!$AI$47="Media",'Riesgos de Gestión'!$AK$47="Leve"),CONCATENATE("R6C",'Riesgos de Gestión'!$V$47),"")</f>
        <v/>
      </c>
      <c r="O31" s="52" t="str">
        <f>IF(AND('Riesgos de Gestión'!$AI$48="Media",'Riesgos de Gestión'!$AK$48="Leve"),CONCATENATE("R6C",'Riesgos de Gestión'!$V$48),"")</f>
        <v/>
      </c>
      <c r="P31" s="50" t="str">
        <f>IF(AND('Riesgos de Gestión'!$AI$43="Media",'Riesgos de Gestión'!$AK$43="Menor"),CONCATENATE("R6C",'Riesgos de Gestión'!$V$43),"")</f>
        <v/>
      </c>
      <c r="Q31" s="51" t="str">
        <f>IF(AND('Riesgos de Gestión'!$AI$44="Media",'Riesgos de Gestión'!$AK$44="Menor"),CONCATENATE("R6C",'Riesgos de Gestión'!$V$44),"")</f>
        <v/>
      </c>
      <c r="R31" s="51" t="str">
        <f>IF(AND('Riesgos de Gestión'!$AI$45="Media",'Riesgos de Gestión'!$AK$45="Menor"),CONCATENATE("R6C",'Riesgos de Gestión'!$V$45),"")</f>
        <v/>
      </c>
      <c r="S31" s="51" t="str">
        <f>IF(AND('Riesgos de Gestión'!$AI$46="Media",'Riesgos de Gestión'!$AK$46="Menor"),CONCATENATE("R6C",'Riesgos de Gestión'!$V$46),"")</f>
        <v/>
      </c>
      <c r="T31" s="51" t="str">
        <f>IF(AND('Riesgos de Gestión'!$AI$47="Media",'Riesgos de Gestión'!$AK$47="Menor"),CONCATENATE("R6C",'Riesgos de Gestión'!$V$47),"")</f>
        <v/>
      </c>
      <c r="U31" s="52" t="str">
        <f>IF(AND('Riesgos de Gestión'!$AI$48="Media",'Riesgos de Gestión'!$AK$48="Menor"),CONCATENATE("R6C",'Riesgos de Gestión'!$V$48),"")</f>
        <v/>
      </c>
      <c r="V31" s="50" t="str">
        <f>IF(AND('Riesgos de Gestión'!$AI$43="Media",'Riesgos de Gestión'!$AK$43="Moderado"),CONCATENATE("R6C",'Riesgos de Gestión'!$V$43),"")</f>
        <v/>
      </c>
      <c r="W31" s="51" t="str">
        <f>IF(AND('Riesgos de Gestión'!$AI$44="Media",'Riesgos de Gestión'!$AK$44="Moderado"),CONCATENATE("R6C",'Riesgos de Gestión'!$V$44),"")</f>
        <v/>
      </c>
      <c r="X31" s="51" t="str">
        <f>IF(AND('Riesgos de Gestión'!$AI$45="Media",'Riesgos de Gestión'!$AK$45="Moderado"),CONCATENATE("R6C",'Riesgos de Gestión'!$V$45),"")</f>
        <v/>
      </c>
      <c r="Y31" s="51" t="str">
        <f>IF(AND('Riesgos de Gestión'!$AI$46="Media",'Riesgos de Gestión'!$AK$46="Moderado"),CONCATENATE("R6C",'Riesgos de Gestión'!$V$46),"")</f>
        <v/>
      </c>
      <c r="Z31" s="51" t="str">
        <f>IF(AND('Riesgos de Gestión'!$AI$47="Media",'Riesgos de Gestión'!$AK$47="Moderado"),CONCATENATE("R6C",'Riesgos de Gestión'!$V$47),"")</f>
        <v/>
      </c>
      <c r="AA31" s="52" t="str">
        <f>IF(AND('Riesgos de Gestión'!$AI$48="Media",'Riesgos de Gestión'!$AK$48="Moderado"),CONCATENATE("R6C",'Riesgos de Gestión'!$V$48),"")</f>
        <v/>
      </c>
      <c r="AB31" s="35" t="str">
        <f>IF(AND('Riesgos de Gestión'!$AI$43="Media",'Riesgos de Gestión'!$AK$43="Mayor"),CONCATENATE("R6C",'Riesgos de Gestión'!$V$43),"")</f>
        <v/>
      </c>
      <c r="AC31" s="36" t="str">
        <f>IF(AND('Riesgos de Gestión'!$AI$44="Media",'Riesgos de Gestión'!$AK$44="Mayor"),CONCATENATE("R6C",'Riesgos de Gestión'!$V$44),"")</f>
        <v/>
      </c>
      <c r="AD31" s="36" t="str">
        <f>IF(AND('Riesgos de Gestión'!$AI$45="Media",'Riesgos de Gestión'!$AK$45="Mayor"),CONCATENATE("R6C",'Riesgos de Gestión'!$V$45),"")</f>
        <v/>
      </c>
      <c r="AE31" s="36" t="str">
        <f>IF(AND('Riesgos de Gestión'!$AI$46="Media",'Riesgos de Gestión'!$AK$46="Mayor"),CONCATENATE("R6C",'Riesgos de Gestión'!$V$46),"")</f>
        <v/>
      </c>
      <c r="AF31" s="36" t="str">
        <f>IF(AND('Riesgos de Gestión'!$AI$47="Media",'Riesgos de Gestión'!$AK$47="Mayor"),CONCATENATE("R6C",'Riesgos de Gestión'!$V$47),"")</f>
        <v/>
      </c>
      <c r="AG31" s="37" t="str">
        <f>IF(AND('Riesgos de Gestión'!$AI$48="Media",'Riesgos de Gestión'!$AK$48="Mayor"),CONCATENATE("R6C",'Riesgos de Gestión'!$V$48),"")</f>
        <v/>
      </c>
      <c r="AH31" s="38" t="str">
        <f>IF(AND('Riesgos de Gestión'!$AI$43="Media",'Riesgos de Gestión'!$AK$43="Catastrófico"),CONCATENATE("R6C",'Riesgos de Gestión'!$V$43),"")</f>
        <v/>
      </c>
      <c r="AI31" s="39" t="str">
        <f>IF(AND('Riesgos de Gestión'!$AI$44="Media",'Riesgos de Gestión'!$AK$44="Catastrófico"),CONCATENATE("R6C",'Riesgos de Gestión'!$V$44),"")</f>
        <v/>
      </c>
      <c r="AJ31" s="39" t="str">
        <f>IF(AND('Riesgos de Gestión'!$AI$45="Media",'Riesgos de Gestión'!$AK$45="Catastrófico"),CONCATENATE("R6C",'Riesgos de Gestión'!$V$45),"")</f>
        <v/>
      </c>
      <c r="AK31" s="39" t="str">
        <f>IF(AND('Riesgos de Gestión'!$AI$46="Media",'Riesgos de Gestión'!$AK$46="Catastrófico"),CONCATENATE("R6C",'Riesgos de Gestión'!$V$46),"")</f>
        <v/>
      </c>
      <c r="AL31" s="39" t="str">
        <f>IF(AND('Riesgos de Gestión'!$AI$47="Media",'Riesgos de Gestión'!$AK$47="Catastrófico"),CONCATENATE("R6C",'Riesgos de Gestión'!$V$47),"")</f>
        <v/>
      </c>
      <c r="AM31" s="40" t="str">
        <f>IF(AND('Riesgos de Gestión'!$AI$48="Media",'Riesgos de Gestión'!$AK$48="Catastrófico"),CONCATENATE("R6C",'Riesgos de Gestión'!$V$48),"")</f>
        <v/>
      </c>
      <c r="AN31" s="66"/>
      <c r="AO31" s="569"/>
      <c r="AP31" s="570"/>
      <c r="AQ31" s="570"/>
      <c r="AR31" s="570"/>
      <c r="AS31" s="570"/>
      <c r="AT31" s="571"/>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41"/>
      <c r="C32" s="441"/>
      <c r="D32" s="442"/>
      <c r="E32" s="540"/>
      <c r="F32" s="539"/>
      <c r="G32" s="539"/>
      <c r="H32" s="539"/>
      <c r="I32" s="555"/>
      <c r="J32" s="50" t="str">
        <f>IF(AND('Riesgos de Gestión'!$AI$49="Media",'Riesgos de Gestión'!$AK$49="Leve"),CONCATENATE("R7C",'Riesgos de Gestión'!$V$49),"")</f>
        <v/>
      </c>
      <c r="K32" s="51" t="str">
        <f>IF(AND('Riesgos de Gestión'!$AI$50="Media",'Riesgos de Gestión'!$AK$50="Leve"),CONCATENATE("R7C",'Riesgos de Gestión'!$V$50),"")</f>
        <v/>
      </c>
      <c r="L32" s="51" t="str">
        <f>IF(AND('Riesgos de Gestión'!$AI$51="Media",'Riesgos de Gestión'!$AK$51="Leve"),CONCATENATE("R7C",'Riesgos de Gestión'!$V$51),"")</f>
        <v/>
      </c>
      <c r="M32" s="51" t="str">
        <f>IF(AND('Riesgos de Gestión'!$AI$52="Media",'Riesgos de Gestión'!$AK$52="Leve"),CONCATENATE("R7C",'Riesgos de Gestión'!$V$52),"")</f>
        <v/>
      </c>
      <c r="N32" s="51" t="str">
        <f>IF(AND('Riesgos de Gestión'!$AI$53="Media",'Riesgos de Gestión'!$AK$53="Leve"),CONCATENATE("R7C",'Riesgos de Gestión'!$V$53),"")</f>
        <v/>
      </c>
      <c r="O32" s="52" t="str">
        <f>IF(AND('Riesgos de Gestión'!$AI$54="Media",'Riesgos de Gestión'!$AK$54="Leve"),CONCATENATE("R7C",'Riesgos de Gestión'!$V$54),"")</f>
        <v/>
      </c>
      <c r="P32" s="50" t="str">
        <f>IF(AND('Riesgos de Gestión'!$AI$49="Media",'Riesgos de Gestión'!$AK$49="Menor"),CONCATENATE("R7C",'Riesgos de Gestión'!$V$49),"")</f>
        <v/>
      </c>
      <c r="Q32" s="51" t="str">
        <f>IF(AND('Riesgos de Gestión'!$AI$50="Media",'Riesgos de Gestión'!$AK$50="Menor"),CONCATENATE("R7C",'Riesgos de Gestión'!$V$50),"")</f>
        <v/>
      </c>
      <c r="R32" s="51" t="str">
        <f>IF(AND('Riesgos de Gestión'!$AI$51="Media",'Riesgos de Gestión'!$AK$51="Menor"),CONCATENATE("R7C",'Riesgos de Gestión'!$V$51),"")</f>
        <v/>
      </c>
      <c r="S32" s="51" t="str">
        <f>IF(AND('Riesgos de Gestión'!$AI$52="Media",'Riesgos de Gestión'!$AK$52="Menor"),CONCATENATE("R7C",'Riesgos de Gestión'!$V$52),"")</f>
        <v/>
      </c>
      <c r="T32" s="51" t="str">
        <f>IF(AND('Riesgos de Gestión'!$AI$53="Media",'Riesgos de Gestión'!$AK$53="Menor"),CONCATENATE("R7C",'Riesgos de Gestión'!$V$53),"")</f>
        <v/>
      </c>
      <c r="U32" s="52" t="str">
        <f>IF(AND('Riesgos de Gestión'!$AI$54="Media",'Riesgos de Gestión'!$AK$54="Menor"),CONCATENATE("R7C",'Riesgos de Gestión'!$V$54),"")</f>
        <v/>
      </c>
      <c r="V32" s="50" t="str">
        <f>IF(AND('Riesgos de Gestión'!$AI$49="Media",'Riesgos de Gestión'!$AK$49="Moderado"),CONCATENATE("R7C",'Riesgos de Gestión'!$V$49),"")</f>
        <v/>
      </c>
      <c r="W32" s="51" t="str">
        <f>IF(AND('Riesgos de Gestión'!$AI$50="Media",'Riesgos de Gestión'!$AK$50="Moderado"),CONCATENATE("R7C",'Riesgos de Gestión'!$V$50),"")</f>
        <v/>
      </c>
      <c r="X32" s="51" t="str">
        <f>IF(AND('Riesgos de Gestión'!$AI$51="Media",'Riesgos de Gestión'!$AK$51="Moderado"),CONCATENATE("R7C",'Riesgos de Gestión'!$V$51),"")</f>
        <v/>
      </c>
      <c r="Y32" s="51" t="str">
        <f>IF(AND('Riesgos de Gestión'!$AI$52="Media",'Riesgos de Gestión'!$AK$52="Moderado"),CONCATENATE("R7C",'Riesgos de Gestión'!$V$52),"")</f>
        <v/>
      </c>
      <c r="Z32" s="51" t="str">
        <f>IF(AND('Riesgos de Gestión'!$AI$53="Media",'Riesgos de Gestión'!$AK$53="Moderado"),CONCATENATE("R7C",'Riesgos de Gestión'!$V$53),"")</f>
        <v/>
      </c>
      <c r="AA32" s="52" t="str">
        <f>IF(AND('Riesgos de Gestión'!$AI$54="Media",'Riesgos de Gestión'!$AK$54="Moderado"),CONCATENATE("R7C",'Riesgos de Gestión'!$V$54),"")</f>
        <v/>
      </c>
      <c r="AB32" s="35" t="str">
        <f>IF(AND('Riesgos de Gestión'!$AI$49="Media",'Riesgos de Gestión'!$AK$49="Mayor"),CONCATENATE("R7C",'Riesgos de Gestión'!$V$49),"")</f>
        <v/>
      </c>
      <c r="AC32" s="36" t="str">
        <f>IF(AND('Riesgos de Gestión'!$AI$50="Media",'Riesgos de Gestión'!$AK$50="Mayor"),CONCATENATE("R7C",'Riesgos de Gestión'!$V$50),"")</f>
        <v/>
      </c>
      <c r="AD32" s="36" t="str">
        <f>IF(AND('Riesgos de Gestión'!$AI$51="Media",'Riesgos de Gestión'!$AK$51="Mayor"),CONCATENATE("R7C",'Riesgos de Gestión'!$V$51),"")</f>
        <v/>
      </c>
      <c r="AE32" s="36" t="str">
        <f>IF(AND('Riesgos de Gestión'!$AI$52="Media",'Riesgos de Gestión'!$AK$52="Mayor"),CONCATENATE("R7C",'Riesgos de Gestión'!$V$52),"")</f>
        <v/>
      </c>
      <c r="AF32" s="36" t="str">
        <f>IF(AND('Riesgos de Gestión'!$AI$53="Media",'Riesgos de Gestión'!$AK$53="Mayor"),CONCATENATE("R7C",'Riesgos de Gestión'!$V$53),"")</f>
        <v/>
      </c>
      <c r="AG32" s="37" t="str">
        <f>IF(AND('Riesgos de Gestión'!$AI$54="Media",'Riesgos de Gestión'!$AK$54="Mayor"),CONCATENATE("R7C",'Riesgos de Gestión'!$V$54),"")</f>
        <v/>
      </c>
      <c r="AH32" s="38" t="str">
        <f>IF(AND('Riesgos de Gestión'!$AI$49="Media",'Riesgos de Gestión'!$AK$49="Catastrófico"),CONCATENATE("R7C",'Riesgos de Gestión'!$V$49),"")</f>
        <v/>
      </c>
      <c r="AI32" s="39" t="str">
        <f>IF(AND('Riesgos de Gestión'!$AI$50="Media",'Riesgos de Gestión'!$AK$50="Catastrófico"),CONCATENATE("R7C",'Riesgos de Gestión'!$V$50),"")</f>
        <v/>
      </c>
      <c r="AJ32" s="39" t="str">
        <f>IF(AND('Riesgos de Gestión'!$AI$51="Media",'Riesgos de Gestión'!$AK$51="Catastrófico"),CONCATENATE("R7C",'Riesgos de Gestión'!$V$51),"")</f>
        <v/>
      </c>
      <c r="AK32" s="39" t="str">
        <f>IF(AND('Riesgos de Gestión'!$AI$52="Media",'Riesgos de Gestión'!$AK$52="Catastrófico"),CONCATENATE("R7C",'Riesgos de Gestión'!$V$52),"")</f>
        <v/>
      </c>
      <c r="AL32" s="39" t="str">
        <f>IF(AND('Riesgos de Gestión'!$AI$53="Media",'Riesgos de Gestión'!$AK$53="Catastrófico"),CONCATENATE("R7C",'Riesgos de Gestión'!$V$53),"")</f>
        <v/>
      </c>
      <c r="AM32" s="40" t="str">
        <f>IF(AND('Riesgos de Gestión'!$AI$54="Media",'Riesgos de Gestión'!$AK$54="Catastrófico"),CONCATENATE("R7C",'Riesgos de Gestión'!$V$54),"")</f>
        <v/>
      </c>
      <c r="AN32" s="66"/>
      <c r="AO32" s="569"/>
      <c r="AP32" s="570"/>
      <c r="AQ32" s="570"/>
      <c r="AR32" s="570"/>
      <c r="AS32" s="570"/>
      <c r="AT32" s="571"/>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41"/>
      <c r="C33" s="441"/>
      <c r="D33" s="442"/>
      <c r="E33" s="540"/>
      <c r="F33" s="539"/>
      <c r="G33" s="539"/>
      <c r="H33" s="539"/>
      <c r="I33" s="555"/>
      <c r="J33" s="50" t="str">
        <f>IF(AND('Riesgos de Gestión'!$AI$55="Media",'Riesgos de Gestión'!$AK$55="Leve"),CONCATENATE("R8C",'Riesgos de Gestión'!$V$55),"")</f>
        <v/>
      </c>
      <c r="K33" s="51" t="str">
        <f>IF(AND('Riesgos de Gestión'!$AI$56="Media",'Riesgos de Gestión'!$AK$56="Leve"),CONCATENATE("R8C",'Riesgos de Gestión'!$V$56),"")</f>
        <v/>
      </c>
      <c r="L33" s="51" t="str">
        <f>IF(AND('Riesgos de Gestión'!$AI$57="Media",'Riesgos de Gestión'!$AK$57="Leve"),CONCATENATE("R8C",'Riesgos de Gestión'!$V$57),"")</f>
        <v/>
      </c>
      <c r="M33" s="51" t="str">
        <f>IF(AND('Riesgos de Gestión'!$AI$58="Media",'Riesgos de Gestión'!$AK$58="Leve"),CONCATENATE("R8C",'Riesgos de Gestión'!$V$58),"")</f>
        <v/>
      </c>
      <c r="N33" s="51" t="str">
        <f>IF(AND('Riesgos de Gestión'!$AI$59="Media",'Riesgos de Gestión'!$AK$59="Leve"),CONCATENATE("R8C",'Riesgos de Gestión'!$V$59),"")</f>
        <v/>
      </c>
      <c r="O33" s="52" t="str">
        <f>IF(AND('Riesgos de Gestión'!$AI$60="Media",'Riesgos de Gestión'!$AK$60="Leve"),CONCATENATE("R8C",'Riesgos de Gestión'!$V$60),"")</f>
        <v/>
      </c>
      <c r="P33" s="50" t="str">
        <f>IF(AND('Riesgos de Gestión'!$AI$55="Media",'Riesgos de Gestión'!$AK$55="Menor"),CONCATENATE("R8C",'Riesgos de Gestión'!$V$55),"")</f>
        <v/>
      </c>
      <c r="Q33" s="51" t="str">
        <f>IF(AND('Riesgos de Gestión'!$AI$56="Media",'Riesgos de Gestión'!$AK$56="Menor"),CONCATENATE("R8C",'Riesgos de Gestión'!$V$56),"")</f>
        <v/>
      </c>
      <c r="R33" s="51" t="str">
        <f>IF(AND('Riesgos de Gestión'!$AI$57="Media",'Riesgos de Gestión'!$AK$57="Menor"),CONCATENATE("R8C",'Riesgos de Gestión'!$V$57),"")</f>
        <v/>
      </c>
      <c r="S33" s="51" t="str">
        <f>IF(AND('Riesgos de Gestión'!$AI$58="Media",'Riesgos de Gestión'!$AK$58="Menor"),CONCATENATE("R8C",'Riesgos de Gestión'!$V$58),"")</f>
        <v/>
      </c>
      <c r="T33" s="51" t="str">
        <f>IF(AND('Riesgos de Gestión'!$AI$59="Media",'Riesgos de Gestión'!$AK$59="Menor"),CONCATENATE("R8C",'Riesgos de Gestión'!$V$59),"")</f>
        <v/>
      </c>
      <c r="U33" s="52" t="str">
        <f>IF(AND('Riesgos de Gestión'!$AI$60="Media",'Riesgos de Gestión'!$AK$60="Menor"),CONCATENATE("R8C",'Riesgos de Gestión'!$V$60),"")</f>
        <v/>
      </c>
      <c r="V33" s="50" t="str">
        <f>IF(AND('Riesgos de Gestión'!$AI$55="Media",'Riesgos de Gestión'!$AK$55="Moderado"),CONCATENATE("R8C",'Riesgos de Gestión'!$V$55),"")</f>
        <v/>
      </c>
      <c r="W33" s="51" t="str">
        <f>IF(AND('Riesgos de Gestión'!$AI$56="Media",'Riesgos de Gestión'!$AK$56="Moderado"),CONCATENATE("R8C",'Riesgos de Gestión'!$V$56),"")</f>
        <v/>
      </c>
      <c r="X33" s="51" t="str">
        <f>IF(AND('Riesgos de Gestión'!$AI$57="Media",'Riesgos de Gestión'!$AK$57="Moderado"),CONCATENATE("R8C",'Riesgos de Gestión'!$V$57),"")</f>
        <v/>
      </c>
      <c r="Y33" s="51" t="str">
        <f>IF(AND('Riesgos de Gestión'!$AI$58="Media",'Riesgos de Gestión'!$AK$58="Moderado"),CONCATENATE("R8C",'Riesgos de Gestión'!$V$58),"")</f>
        <v/>
      </c>
      <c r="Z33" s="51" t="str">
        <f>IF(AND('Riesgos de Gestión'!$AI$59="Media",'Riesgos de Gestión'!$AK$59="Moderado"),CONCATENATE("R8C",'Riesgos de Gestión'!$V$59),"")</f>
        <v/>
      </c>
      <c r="AA33" s="52" t="str">
        <f>IF(AND('Riesgos de Gestión'!$AI$60="Media",'Riesgos de Gestión'!$AK$60="Moderado"),CONCATENATE("R8C",'Riesgos de Gestión'!$V$60),"")</f>
        <v/>
      </c>
      <c r="AB33" s="35" t="str">
        <f>IF(AND('Riesgos de Gestión'!$AI$55="Media",'Riesgos de Gestión'!$AK$55="Mayor"),CONCATENATE("R8C",'Riesgos de Gestión'!$V$55),"")</f>
        <v/>
      </c>
      <c r="AC33" s="36" t="str">
        <f>IF(AND('Riesgos de Gestión'!$AI$56="Media",'Riesgos de Gestión'!$AK$56="Mayor"),CONCATENATE("R8C",'Riesgos de Gestión'!$V$56),"")</f>
        <v/>
      </c>
      <c r="AD33" s="36" t="str">
        <f>IF(AND('Riesgos de Gestión'!$AI$57="Media",'Riesgos de Gestión'!$AK$57="Mayor"),CONCATENATE("R8C",'Riesgos de Gestión'!$V$57),"")</f>
        <v/>
      </c>
      <c r="AE33" s="36" t="str">
        <f>IF(AND('Riesgos de Gestión'!$AI$58="Media",'Riesgos de Gestión'!$AK$58="Mayor"),CONCATENATE("R8C",'Riesgos de Gestión'!$V$58),"")</f>
        <v/>
      </c>
      <c r="AF33" s="36" t="str">
        <f>IF(AND('Riesgos de Gestión'!$AI$59="Media",'Riesgos de Gestión'!$AK$59="Mayor"),CONCATENATE("R8C",'Riesgos de Gestión'!$V$59),"")</f>
        <v/>
      </c>
      <c r="AG33" s="37" t="str">
        <f>IF(AND('Riesgos de Gestión'!$AI$60="Media",'Riesgos de Gestión'!$AK$60="Mayor"),CONCATENATE("R8C",'Riesgos de Gestión'!$V$60),"")</f>
        <v/>
      </c>
      <c r="AH33" s="38" t="str">
        <f>IF(AND('Riesgos de Gestión'!$AI$55="Media",'Riesgos de Gestión'!$AK$55="Catastrófico"),CONCATENATE("R8C",'Riesgos de Gestión'!$V$55),"")</f>
        <v/>
      </c>
      <c r="AI33" s="39" t="str">
        <f>IF(AND('Riesgos de Gestión'!$AI$56="Media",'Riesgos de Gestión'!$AK$56="Catastrófico"),CONCATENATE("R8C",'Riesgos de Gestión'!$V$56),"")</f>
        <v/>
      </c>
      <c r="AJ33" s="39" t="str">
        <f>IF(AND('Riesgos de Gestión'!$AI$57="Media",'Riesgos de Gestión'!$AK$57="Catastrófico"),CONCATENATE("R8C",'Riesgos de Gestión'!$V$57),"")</f>
        <v/>
      </c>
      <c r="AK33" s="39" t="str">
        <f>IF(AND('Riesgos de Gestión'!$AI$58="Media",'Riesgos de Gestión'!$AK$58="Catastrófico"),CONCATENATE("R8C",'Riesgos de Gestión'!$V$58),"")</f>
        <v/>
      </c>
      <c r="AL33" s="39" t="str">
        <f>IF(AND('Riesgos de Gestión'!$AI$59="Media",'Riesgos de Gestión'!$AK$59="Catastrófico"),CONCATENATE("R8C",'Riesgos de Gestión'!$V$59),"")</f>
        <v/>
      </c>
      <c r="AM33" s="40" t="str">
        <f>IF(AND('Riesgos de Gestión'!$AI$60="Media",'Riesgos de Gestión'!$AK$60="Catastrófico"),CONCATENATE("R8C",'Riesgos de Gestión'!$V$60),"")</f>
        <v/>
      </c>
      <c r="AN33" s="66"/>
      <c r="AO33" s="569"/>
      <c r="AP33" s="570"/>
      <c r="AQ33" s="570"/>
      <c r="AR33" s="570"/>
      <c r="AS33" s="570"/>
      <c r="AT33" s="571"/>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41"/>
      <c r="C34" s="441"/>
      <c r="D34" s="442"/>
      <c r="E34" s="540"/>
      <c r="F34" s="539"/>
      <c r="G34" s="539"/>
      <c r="H34" s="539"/>
      <c r="I34" s="555"/>
      <c r="J34" s="50" t="str">
        <f>IF(AND('Riesgos de Gestión'!$AI$61="Media",'Riesgos de Gestión'!$AK$61="Leve"),CONCATENATE("R9C",'Riesgos de Gestión'!$V$61),"")</f>
        <v/>
      </c>
      <c r="K34" s="51" t="str">
        <f>IF(AND('Riesgos de Gestión'!$AI$62="Media",'Riesgos de Gestión'!$AK$62="Leve"),CONCATENATE("R9C",'Riesgos de Gestión'!$V$62),"")</f>
        <v/>
      </c>
      <c r="L34" s="51" t="str">
        <f>IF(AND('Riesgos de Gestión'!$AI$63="Media",'Riesgos de Gestión'!$AK$63="Leve"),CONCATENATE("R9C",'Riesgos de Gestión'!$V$63),"")</f>
        <v/>
      </c>
      <c r="M34" s="51" t="str">
        <f>IF(AND('Riesgos de Gestión'!$AI$64="Media",'Riesgos de Gestión'!$AK$64="Leve"),CONCATENATE("R9C",'Riesgos de Gestión'!$V$64),"")</f>
        <v/>
      </c>
      <c r="N34" s="51" t="str">
        <f>IF(AND('Riesgos de Gestión'!$AI$65="Media",'Riesgos de Gestión'!$AK$65="Leve"),CONCATENATE("R9C",'Riesgos de Gestión'!$V$65),"")</f>
        <v/>
      </c>
      <c r="O34" s="52" t="str">
        <f>IF(AND('Riesgos de Gestión'!$AI$66="Media",'Riesgos de Gestión'!$AK$66="Leve"),CONCATENATE("R9C",'Riesgos de Gestión'!$V$66),"")</f>
        <v/>
      </c>
      <c r="P34" s="50" t="str">
        <f>IF(AND('Riesgos de Gestión'!$AI$61="Media",'Riesgos de Gestión'!$AK$61="Menor"),CONCATENATE("R9C",'Riesgos de Gestión'!$V$61),"")</f>
        <v/>
      </c>
      <c r="Q34" s="51" t="str">
        <f>IF(AND('Riesgos de Gestión'!$AI$62="Media",'Riesgos de Gestión'!$AK$62="Menor"),CONCATENATE("R9C",'Riesgos de Gestión'!$V$62),"")</f>
        <v/>
      </c>
      <c r="R34" s="51" t="str">
        <f>IF(AND('Riesgos de Gestión'!$AI$63="Media",'Riesgos de Gestión'!$AK$63="Menor"),CONCATENATE("R9C",'Riesgos de Gestión'!$V$63),"")</f>
        <v/>
      </c>
      <c r="S34" s="51" t="str">
        <f>IF(AND('Riesgos de Gestión'!$AI$64="Media",'Riesgos de Gestión'!$AK$64="Menor"),CONCATENATE("R9C",'Riesgos de Gestión'!$V$64),"")</f>
        <v/>
      </c>
      <c r="T34" s="51" t="str">
        <f>IF(AND('Riesgos de Gestión'!$AI$65="Media",'Riesgos de Gestión'!$AK$65="Menor"),CONCATENATE("R9C",'Riesgos de Gestión'!$V$65),"")</f>
        <v/>
      </c>
      <c r="U34" s="52" t="str">
        <f>IF(AND('Riesgos de Gestión'!$AI$66="Media",'Riesgos de Gestión'!$AK$66="Menor"),CONCATENATE("R9C",'Riesgos de Gestión'!$V$66),"")</f>
        <v/>
      </c>
      <c r="V34" s="50" t="str">
        <f>IF(AND('Riesgos de Gestión'!$AI$61="Media",'Riesgos de Gestión'!$AK$61="Moderado"),CONCATENATE("R9C",'Riesgos de Gestión'!$V$61),"")</f>
        <v/>
      </c>
      <c r="W34" s="51" t="str">
        <f>IF(AND('Riesgos de Gestión'!$AI$62="Media",'Riesgos de Gestión'!$AK$62="Moderado"),CONCATENATE("R9C",'Riesgos de Gestión'!$V$62),"")</f>
        <v/>
      </c>
      <c r="X34" s="51" t="str">
        <f>IF(AND('Riesgos de Gestión'!$AI$63="Media",'Riesgos de Gestión'!$AK$63="Moderado"),CONCATENATE("R9C",'Riesgos de Gestión'!$V$63),"")</f>
        <v/>
      </c>
      <c r="Y34" s="51" t="str">
        <f>IF(AND('Riesgos de Gestión'!$AI$64="Media",'Riesgos de Gestión'!$AK$64="Moderado"),CONCATENATE("R9C",'Riesgos de Gestión'!$V$64),"")</f>
        <v/>
      </c>
      <c r="Z34" s="51" t="str">
        <f>IF(AND('Riesgos de Gestión'!$AI$65="Media",'Riesgos de Gestión'!$AK$65="Moderado"),CONCATENATE("R9C",'Riesgos de Gestión'!$V$65),"")</f>
        <v/>
      </c>
      <c r="AA34" s="52" t="str">
        <f>IF(AND('Riesgos de Gestión'!$AI$66="Media",'Riesgos de Gestión'!$AK$66="Moderado"),CONCATENATE("R9C",'Riesgos de Gestión'!$V$66),"")</f>
        <v/>
      </c>
      <c r="AB34" s="35" t="str">
        <f>IF(AND('Riesgos de Gestión'!$AI$61="Media",'Riesgos de Gestión'!$AK$61="Mayor"),CONCATENATE("R9C",'Riesgos de Gestión'!$V$61),"")</f>
        <v/>
      </c>
      <c r="AC34" s="36" t="str">
        <f>IF(AND('Riesgos de Gestión'!$AI$62="Media",'Riesgos de Gestión'!$AK$62="Mayor"),CONCATENATE("R9C",'Riesgos de Gestión'!$V$62),"")</f>
        <v/>
      </c>
      <c r="AD34" s="36" t="str">
        <f>IF(AND('Riesgos de Gestión'!$AI$63="Media",'Riesgos de Gestión'!$AK$63="Mayor"),CONCATENATE("R9C",'Riesgos de Gestión'!$V$63),"")</f>
        <v/>
      </c>
      <c r="AE34" s="36" t="str">
        <f>IF(AND('Riesgos de Gestión'!$AI$64="Media",'Riesgos de Gestión'!$AK$64="Mayor"),CONCATENATE("R9C",'Riesgos de Gestión'!$V$64),"")</f>
        <v/>
      </c>
      <c r="AF34" s="36" t="str">
        <f>IF(AND('Riesgos de Gestión'!$AI$65="Media",'Riesgos de Gestión'!$AK$65="Mayor"),CONCATENATE("R9C",'Riesgos de Gestión'!$V$65),"")</f>
        <v/>
      </c>
      <c r="AG34" s="37" t="str">
        <f>IF(AND('Riesgos de Gestión'!$AI$66="Media",'Riesgos de Gestión'!$AK$66="Mayor"),CONCATENATE("R9C",'Riesgos de Gestión'!$V$66),"")</f>
        <v/>
      </c>
      <c r="AH34" s="38" t="str">
        <f>IF(AND('Riesgos de Gestión'!$AI$61="Media",'Riesgos de Gestión'!$AK$61="Catastrófico"),CONCATENATE("R9C",'Riesgos de Gestión'!$V$61),"")</f>
        <v/>
      </c>
      <c r="AI34" s="39" t="str">
        <f>IF(AND('Riesgos de Gestión'!$AI$62="Media",'Riesgos de Gestión'!$AK$62="Catastrófico"),CONCATENATE("R9C",'Riesgos de Gestión'!$V$62),"")</f>
        <v/>
      </c>
      <c r="AJ34" s="39" t="str">
        <f>IF(AND('Riesgos de Gestión'!$AI$63="Media",'Riesgos de Gestión'!$AK$63="Catastrófico"),CONCATENATE("R9C",'Riesgos de Gestión'!$V$63),"")</f>
        <v/>
      </c>
      <c r="AK34" s="39" t="str">
        <f>IF(AND('Riesgos de Gestión'!$AI$64="Media",'Riesgos de Gestión'!$AK$64="Catastrófico"),CONCATENATE("R9C",'Riesgos de Gestión'!$V$64),"")</f>
        <v/>
      </c>
      <c r="AL34" s="39" t="str">
        <f>IF(AND('Riesgos de Gestión'!$AI$65="Media",'Riesgos de Gestión'!$AK$65="Catastrófico"),CONCATENATE("R9C",'Riesgos de Gestión'!$V$65),"")</f>
        <v/>
      </c>
      <c r="AM34" s="40" t="str">
        <f>IF(AND('Riesgos de Gestión'!$AI$66="Media",'Riesgos de Gestión'!$AK$66="Catastrófico"),CONCATENATE("R9C",'Riesgos de Gestión'!$V$66),"")</f>
        <v/>
      </c>
      <c r="AN34" s="66"/>
      <c r="AO34" s="569"/>
      <c r="AP34" s="570"/>
      <c r="AQ34" s="570"/>
      <c r="AR34" s="570"/>
      <c r="AS34" s="570"/>
      <c r="AT34" s="571"/>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41"/>
      <c r="C35" s="441"/>
      <c r="D35" s="442"/>
      <c r="E35" s="541"/>
      <c r="F35" s="542"/>
      <c r="G35" s="542"/>
      <c r="H35" s="542"/>
      <c r="I35" s="556"/>
      <c r="J35" s="50" t="str">
        <f>IF(AND('Riesgos de Gestión'!$AI$67="Media",'Riesgos de Gestión'!$AK$67="Leve"),CONCATENATE("R10C",'Riesgos de Gestión'!$V$67),"")</f>
        <v/>
      </c>
      <c r="K35" s="51" t="str">
        <f>IF(AND('Riesgos de Gestión'!$AI$68="Media",'Riesgos de Gestión'!$AK$68="Leve"),CONCATENATE("R10C",'Riesgos de Gestión'!$V$68),"")</f>
        <v/>
      </c>
      <c r="L35" s="51" t="str">
        <f>IF(AND('Riesgos de Gestión'!$AI$69="Media",'Riesgos de Gestión'!$AK$69="Leve"),CONCATENATE("R10C",'Riesgos de Gestión'!$V$69),"")</f>
        <v/>
      </c>
      <c r="M35" s="51" t="str">
        <f>IF(AND('Riesgos de Gestión'!$AI$70="Media",'Riesgos de Gestión'!$AK$70="Leve"),CONCATENATE("R10C",'Riesgos de Gestión'!$V$70),"")</f>
        <v/>
      </c>
      <c r="N35" s="51" t="str">
        <f>IF(AND('Riesgos de Gestión'!$AI$71="Media",'Riesgos de Gestión'!$AK$71="Leve"),CONCATENATE("R10C",'Riesgos de Gestión'!$V$71),"")</f>
        <v/>
      </c>
      <c r="O35" s="52" t="str">
        <f>IF(AND('Riesgos de Gestión'!$AI$72="Media",'Riesgos de Gestión'!$AK$72="Leve"),CONCATENATE("R10C",'Riesgos de Gestión'!$V$72),"")</f>
        <v/>
      </c>
      <c r="P35" s="50" t="str">
        <f>IF(AND('Riesgos de Gestión'!$AI$67="Media",'Riesgos de Gestión'!$AK$67="Menor"),CONCATENATE("R10C",'Riesgos de Gestión'!$V$67),"")</f>
        <v/>
      </c>
      <c r="Q35" s="51" t="str">
        <f>IF(AND('Riesgos de Gestión'!$AI$68="Media",'Riesgos de Gestión'!$AK$68="Menor"),CONCATENATE("R10C",'Riesgos de Gestión'!$V$68),"")</f>
        <v/>
      </c>
      <c r="R35" s="51" t="str">
        <f>IF(AND('Riesgos de Gestión'!$AI$69="Media",'Riesgos de Gestión'!$AK$69="Menor"),CONCATENATE("R10C",'Riesgos de Gestión'!$V$69),"")</f>
        <v/>
      </c>
      <c r="S35" s="51" t="str">
        <f>IF(AND('Riesgos de Gestión'!$AI$70="Media",'Riesgos de Gestión'!$AK$70="Menor"),CONCATENATE("R10C",'Riesgos de Gestión'!$V$70),"")</f>
        <v/>
      </c>
      <c r="T35" s="51" t="str">
        <f>IF(AND('Riesgos de Gestión'!$AI$71="Media",'Riesgos de Gestión'!$AK$71="Menor"),CONCATENATE("R10C",'Riesgos de Gestión'!$V$71),"")</f>
        <v/>
      </c>
      <c r="U35" s="52" t="str">
        <f>IF(AND('Riesgos de Gestión'!$AI$72="Media",'Riesgos de Gestión'!$AK$72="Menor"),CONCATENATE("R10C",'Riesgos de Gestión'!$V$72),"")</f>
        <v/>
      </c>
      <c r="V35" s="50" t="str">
        <f>IF(AND('Riesgos de Gestión'!$AI$67="Media",'Riesgos de Gestión'!$AK$67="Moderado"),CONCATENATE("R10C",'Riesgos de Gestión'!$V$67),"")</f>
        <v/>
      </c>
      <c r="W35" s="51" t="str">
        <f>IF(AND('Riesgos de Gestión'!$AI$68="Media",'Riesgos de Gestión'!$AK$68="Moderado"),CONCATENATE("R10C",'Riesgos de Gestión'!$V$68),"")</f>
        <v/>
      </c>
      <c r="X35" s="51" t="str">
        <f>IF(AND('Riesgos de Gestión'!$AI$69="Media",'Riesgos de Gestión'!$AK$69="Moderado"),CONCATENATE("R10C",'Riesgos de Gestión'!$V$69),"")</f>
        <v/>
      </c>
      <c r="Y35" s="51" t="str">
        <f>IF(AND('Riesgos de Gestión'!$AI$70="Media",'Riesgos de Gestión'!$AK$70="Moderado"),CONCATENATE("R10C",'Riesgos de Gestión'!$V$70),"")</f>
        <v/>
      </c>
      <c r="Z35" s="51" t="str">
        <f>IF(AND('Riesgos de Gestión'!$AI$71="Media",'Riesgos de Gestión'!$AK$71="Moderado"),CONCATENATE("R10C",'Riesgos de Gestión'!$V$71),"")</f>
        <v/>
      </c>
      <c r="AA35" s="52" t="str">
        <f>IF(AND('Riesgos de Gestión'!$AI$72="Media",'Riesgos de Gestión'!$AK$72="Moderado"),CONCATENATE("R10C",'Riesgos de Gestión'!$V$72),"")</f>
        <v/>
      </c>
      <c r="AB35" s="41" t="str">
        <f>IF(AND('Riesgos de Gestión'!$AI$67="Media",'Riesgos de Gestión'!$AK$67="Mayor"),CONCATENATE("R10C",'Riesgos de Gestión'!$V$67),"")</f>
        <v/>
      </c>
      <c r="AC35" s="42" t="str">
        <f>IF(AND('Riesgos de Gestión'!$AI$68="Media",'Riesgos de Gestión'!$AK$68="Mayor"),CONCATENATE("R10C",'Riesgos de Gestión'!$V$68),"")</f>
        <v/>
      </c>
      <c r="AD35" s="42" t="str">
        <f>IF(AND('Riesgos de Gestión'!$AI$69="Media",'Riesgos de Gestión'!$AK$69="Mayor"),CONCATENATE("R10C",'Riesgos de Gestión'!$V$69),"")</f>
        <v/>
      </c>
      <c r="AE35" s="42" t="str">
        <f>IF(AND('Riesgos de Gestión'!$AI$70="Media",'Riesgos de Gestión'!$AK$70="Mayor"),CONCATENATE("R10C",'Riesgos de Gestión'!$V$70),"")</f>
        <v/>
      </c>
      <c r="AF35" s="42" t="str">
        <f>IF(AND('Riesgos de Gestión'!$AI$71="Media",'Riesgos de Gestión'!$AK$71="Mayor"),CONCATENATE("R10C",'Riesgos de Gestión'!$V$71),"")</f>
        <v/>
      </c>
      <c r="AG35" s="43" t="str">
        <f>IF(AND('Riesgos de Gestión'!$AI$72="Media",'Riesgos de Gestión'!$AK$72="Mayor"),CONCATENATE("R10C",'Riesgos de Gestión'!$V$72),"")</f>
        <v/>
      </c>
      <c r="AH35" s="44" t="str">
        <f>IF(AND('Riesgos de Gestión'!$AI$67="Media",'Riesgos de Gestión'!$AK$67="Catastrófico"),CONCATENATE("R10C",'Riesgos de Gestión'!$V$67),"")</f>
        <v/>
      </c>
      <c r="AI35" s="45" t="str">
        <f>IF(AND('Riesgos de Gestión'!$AI$68="Media",'Riesgos de Gestión'!$AK$68="Catastrófico"),CONCATENATE("R10C",'Riesgos de Gestión'!$V$68),"")</f>
        <v/>
      </c>
      <c r="AJ35" s="45" t="str">
        <f>IF(AND('Riesgos de Gestión'!$AI$69="Media",'Riesgos de Gestión'!$AK$69="Catastrófico"),CONCATENATE("R10C",'Riesgos de Gestión'!$V$69),"")</f>
        <v/>
      </c>
      <c r="AK35" s="45" t="str">
        <f>IF(AND('Riesgos de Gestión'!$AI$70="Media",'Riesgos de Gestión'!$AK$70="Catastrófico"),CONCATENATE("R10C",'Riesgos de Gestión'!$V$70),"")</f>
        <v/>
      </c>
      <c r="AL35" s="45" t="str">
        <f>IF(AND('Riesgos de Gestión'!$AI$71="Media",'Riesgos de Gestión'!$AK$71="Catastrófico"),CONCATENATE("R10C",'Riesgos de Gestión'!$V$71),"")</f>
        <v/>
      </c>
      <c r="AM35" s="46" t="str">
        <f>IF(AND('Riesgos de Gestión'!$AI$72="Media",'Riesgos de Gestión'!$AK$72="Catastrófico"),CONCATENATE("R10C",'Riesgos de Gestión'!$V$72),"")</f>
        <v/>
      </c>
      <c r="AN35" s="66"/>
      <c r="AO35" s="572"/>
      <c r="AP35" s="573"/>
      <c r="AQ35" s="573"/>
      <c r="AR35" s="573"/>
      <c r="AS35" s="573"/>
      <c r="AT35" s="57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41"/>
      <c r="C36" s="441"/>
      <c r="D36" s="442"/>
      <c r="E36" s="536" t="s">
        <v>288</v>
      </c>
      <c r="F36" s="537"/>
      <c r="G36" s="537"/>
      <c r="H36" s="537"/>
      <c r="I36" s="537"/>
      <c r="J36" s="56" t="str">
        <f>IF(AND('Riesgos de Gestión'!$AI$13="Baja",'Riesgos de Gestión'!$AK$13="Leve"),CONCATENATE("R1C",'Riesgos de Gestión'!$V$13),"")</f>
        <v/>
      </c>
      <c r="K36" s="57" t="str">
        <f>IF(AND('Riesgos de Gestión'!$AI$14="Baja",'Riesgos de Gestión'!$AK$14="Leve"),CONCATENATE("R1C",'Riesgos de Gestión'!$V$14),"")</f>
        <v/>
      </c>
      <c r="L36" s="57" t="e">
        <f>IF(AND('Riesgos de Gestión'!#REF!="Baja",'Riesgos de Gestión'!#REF!="Leve"),CONCATENATE("R1C",'Riesgos de Gestión'!#REF!),"")</f>
        <v>#REF!</v>
      </c>
      <c r="M36" s="57" t="e">
        <f>IF(AND('Riesgos de Gestión'!#REF!="Baja",'Riesgos de Gestión'!#REF!="Leve"),CONCATENATE("R1C",'Riesgos de Gestión'!#REF!),"")</f>
        <v>#REF!</v>
      </c>
      <c r="N36" s="57" t="e">
        <f>IF(AND('Riesgos de Gestión'!#REF!="Baja",'Riesgos de Gestión'!#REF!="Leve"),CONCATENATE("R1C",'Riesgos de Gestión'!#REF!),"")</f>
        <v>#REF!</v>
      </c>
      <c r="O36" s="58" t="e">
        <f>IF(AND('Riesgos de Gestión'!#REF!="Baja",'Riesgos de Gestión'!#REF!="Leve"),CONCATENATE("R1C",'Riesgos de Gestión'!#REF!),"")</f>
        <v>#REF!</v>
      </c>
      <c r="P36" s="47" t="str">
        <f>IF(AND('Riesgos de Gestión'!$AI$13="Baja",'Riesgos de Gestión'!$AK$13="Menor"),CONCATENATE("R1C",'Riesgos de Gestión'!$V$13),"")</f>
        <v>R1C1</v>
      </c>
      <c r="Q36" s="48" t="str">
        <f>IF(AND('Riesgos de Gestión'!$AI$14="Baja",'Riesgos de Gestión'!$AK$14="Menor"),CONCATENATE("R1C",'Riesgos de Gestión'!$V$14),"")</f>
        <v/>
      </c>
      <c r="R36" s="48" t="e">
        <f>IF(AND('Riesgos de Gestión'!#REF!="Baja",'Riesgos de Gestión'!#REF!="Menor"),CONCATENATE("R1C",'Riesgos de Gestión'!#REF!),"")</f>
        <v>#REF!</v>
      </c>
      <c r="S36" s="48" t="e">
        <f>IF(AND('Riesgos de Gestión'!#REF!="Baja",'Riesgos de Gestión'!#REF!="Menor"),CONCATENATE("R1C",'Riesgos de Gestión'!#REF!),"")</f>
        <v>#REF!</v>
      </c>
      <c r="T36" s="48" t="e">
        <f>IF(AND('Riesgos de Gestión'!#REF!="Baja",'Riesgos de Gestión'!#REF!="Menor"),CONCATENATE("R1C",'Riesgos de Gestión'!#REF!),"")</f>
        <v>#REF!</v>
      </c>
      <c r="U36" s="49" t="e">
        <f>IF(AND('Riesgos de Gestión'!#REF!="Baja",'Riesgos de Gestión'!#REF!="Menor"),CONCATENATE("R1C",'Riesgos de Gestión'!#REF!),"")</f>
        <v>#REF!</v>
      </c>
      <c r="V36" s="47" t="str">
        <f>IF(AND('Riesgos de Gestión'!$AI$13="Baja",'Riesgos de Gestión'!$AK$13="Moderado"),CONCATENATE("R1C",'Riesgos de Gestión'!$V$13),"")</f>
        <v/>
      </c>
      <c r="W36" s="48" t="str">
        <f>IF(AND('Riesgos de Gestión'!$AI$14="Baja",'Riesgos de Gestión'!$AK$14="Moderado"),CONCATENATE("R1C",'Riesgos de Gestión'!$V$14),"")</f>
        <v/>
      </c>
      <c r="X36" s="48" t="e">
        <f>IF(AND('Riesgos de Gestión'!#REF!="Baja",'Riesgos de Gestión'!#REF!="Moderado"),CONCATENATE("R1C",'Riesgos de Gestión'!#REF!),"")</f>
        <v>#REF!</v>
      </c>
      <c r="Y36" s="48" t="e">
        <f>IF(AND('Riesgos de Gestión'!#REF!="Baja",'Riesgos de Gestión'!#REF!="Moderado"),CONCATENATE("R1C",'Riesgos de Gestión'!#REF!),"")</f>
        <v>#REF!</v>
      </c>
      <c r="Z36" s="48" t="e">
        <f>IF(AND('Riesgos de Gestión'!#REF!="Baja",'Riesgos de Gestión'!#REF!="Moderado"),CONCATENATE("R1C",'Riesgos de Gestión'!#REF!),"")</f>
        <v>#REF!</v>
      </c>
      <c r="AA36" s="49" t="e">
        <f>IF(AND('Riesgos de Gestión'!#REF!="Baja",'Riesgos de Gestión'!#REF!="Moderado"),CONCATENATE("R1C",'Riesgos de Gestión'!#REF!),"")</f>
        <v>#REF!</v>
      </c>
      <c r="AB36" s="29" t="str">
        <f>IF(AND('Riesgos de Gestión'!$AI$13="Baja",'Riesgos de Gestión'!$AK$13="Mayor"),CONCATENATE("R1C",'Riesgos de Gestión'!$V$13),"")</f>
        <v/>
      </c>
      <c r="AC36" s="30" t="str">
        <f>IF(AND('Riesgos de Gestión'!$AI$14="Baja",'Riesgos de Gestión'!$AK$14="Mayor"),CONCATENATE("R1C",'Riesgos de Gestión'!$V$14),"")</f>
        <v/>
      </c>
      <c r="AD36" s="30" t="e">
        <f>IF(AND('Riesgos de Gestión'!#REF!="Baja",'Riesgos de Gestión'!#REF!="Mayor"),CONCATENATE("R1C",'Riesgos de Gestión'!#REF!),"")</f>
        <v>#REF!</v>
      </c>
      <c r="AE36" s="30" t="e">
        <f>IF(AND('Riesgos de Gestión'!#REF!="Baja",'Riesgos de Gestión'!#REF!="Mayor"),CONCATENATE("R1C",'Riesgos de Gestión'!#REF!),"")</f>
        <v>#REF!</v>
      </c>
      <c r="AF36" s="30" t="e">
        <f>IF(AND('Riesgos de Gestión'!#REF!="Baja",'Riesgos de Gestión'!#REF!="Mayor"),CONCATENATE("R1C",'Riesgos de Gestión'!#REF!),"")</f>
        <v>#REF!</v>
      </c>
      <c r="AG36" s="31" t="e">
        <f>IF(AND('Riesgos de Gestión'!#REF!="Baja",'Riesgos de Gestión'!#REF!="Mayor"),CONCATENATE("R1C",'Riesgos de Gestión'!#REF!),"")</f>
        <v>#REF!</v>
      </c>
      <c r="AH36" s="32" t="str">
        <f>IF(AND('Riesgos de Gestión'!$AI$13="Baja",'Riesgos de Gestión'!$AK$13="Catastrófico"),CONCATENATE("R1C",'Riesgos de Gestión'!$V$13),"")</f>
        <v/>
      </c>
      <c r="AI36" s="33" t="str">
        <f>IF(AND('Riesgos de Gestión'!$AI$14="Baja",'Riesgos de Gestión'!$AK$14="Catastrófico"),CONCATENATE("R1C",'Riesgos de Gestión'!$V$14),"")</f>
        <v/>
      </c>
      <c r="AJ36" s="33" t="e">
        <f>IF(AND('Riesgos de Gestión'!#REF!="Baja",'Riesgos de Gestión'!#REF!="Catastrófico"),CONCATENATE("R1C",'Riesgos de Gestión'!#REF!),"")</f>
        <v>#REF!</v>
      </c>
      <c r="AK36" s="33" t="e">
        <f>IF(AND('Riesgos de Gestión'!#REF!="Baja",'Riesgos de Gestión'!#REF!="Catastrófico"),CONCATENATE("R1C",'Riesgos de Gestión'!#REF!),"")</f>
        <v>#REF!</v>
      </c>
      <c r="AL36" s="33" t="e">
        <f>IF(AND('Riesgos de Gestión'!#REF!="Baja",'Riesgos de Gestión'!#REF!="Catastrófico"),CONCATENATE("R1C",'Riesgos de Gestión'!#REF!),"")</f>
        <v>#REF!</v>
      </c>
      <c r="AM36" s="34" t="e">
        <f>IF(AND('Riesgos de Gestión'!#REF!="Baja",'Riesgos de Gestión'!#REF!="Catastrófico"),CONCATENATE("R1C",'Riesgos de Gestión'!#REF!),"")</f>
        <v>#REF!</v>
      </c>
      <c r="AN36" s="66"/>
      <c r="AO36" s="557" t="s">
        <v>289</v>
      </c>
      <c r="AP36" s="558"/>
      <c r="AQ36" s="558"/>
      <c r="AR36" s="558"/>
      <c r="AS36" s="558"/>
      <c r="AT36" s="559"/>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41"/>
      <c r="C37" s="441"/>
      <c r="D37" s="442"/>
      <c r="E37" s="538"/>
      <c r="F37" s="539"/>
      <c r="G37" s="539"/>
      <c r="H37" s="539"/>
      <c r="I37" s="539"/>
      <c r="J37" s="59" t="str">
        <f>IF(AND('Riesgos de Gestión'!$AI$19="Baja",'Riesgos de Gestión'!$AK$19="Leve"),CONCATENATE("R2C",'Riesgos de Gestión'!$V$19),"")</f>
        <v/>
      </c>
      <c r="K37" s="60" t="str">
        <f>IF(AND('Riesgos de Gestión'!$AI$20="Baja",'Riesgos de Gestión'!$AK$20="Leve"),CONCATENATE("R2C",'Riesgos de Gestión'!$V$20),"")</f>
        <v/>
      </c>
      <c r="L37" s="60" t="str">
        <f>IF(AND('Riesgos de Gestión'!$AI$21="Baja",'Riesgos de Gestión'!$AK$21="Leve"),CONCATENATE("R2C",'Riesgos de Gestión'!$V$21),"")</f>
        <v/>
      </c>
      <c r="M37" s="60" t="str">
        <f>IF(AND('Riesgos de Gestión'!$AI$22="Baja",'Riesgos de Gestión'!$AK$22="Leve"),CONCATENATE("R2C",'Riesgos de Gestión'!$V$22),"")</f>
        <v/>
      </c>
      <c r="N37" s="60" t="str">
        <f>IF(AND('Riesgos de Gestión'!$AI$23="Baja",'Riesgos de Gestión'!$AK$23="Leve"),CONCATENATE("R2C",'Riesgos de Gestión'!$V$23),"")</f>
        <v/>
      </c>
      <c r="O37" s="61" t="str">
        <f>IF(AND('Riesgos de Gestión'!$AI$24="Baja",'Riesgos de Gestión'!$AK$24="Leve"),CONCATENATE("R2C",'Riesgos de Gestión'!$V$24),"")</f>
        <v/>
      </c>
      <c r="P37" s="50" t="str">
        <f>IF(AND('Riesgos de Gestión'!$AI$19="Baja",'Riesgos de Gestión'!$AK$19="Menor"),CONCATENATE("R2C",'Riesgos de Gestión'!$V$19),"")</f>
        <v/>
      </c>
      <c r="Q37" s="51" t="str">
        <f>IF(AND('Riesgos de Gestión'!$AI$20="Baja",'Riesgos de Gestión'!$AK$20="Menor"),CONCATENATE("R2C",'Riesgos de Gestión'!$V$20),"")</f>
        <v/>
      </c>
      <c r="R37" s="51" t="str">
        <f>IF(AND('Riesgos de Gestión'!$AI$21="Baja",'Riesgos de Gestión'!$AK$21="Menor"),CONCATENATE("R2C",'Riesgos de Gestión'!$V$21),"")</f>
        <v/>
      </c>
      <c r="S37" s="51" t="str">
        <f>IF(AND('Riesgos de Gestión'!$AI$22="Baja",'Riesgos de Gestión'!$AK$22="Menor"),CONCATENATE("R2C",'Riesgos de Gestión'!$V$22),"")</f>
        <v/>
      </c>
      <c r="T37" s="51" t="str">
        <f>IF(AND('Riesgos de Gestión'!$AI$23="Baja",'Riesgos de Gestión'!$AK$23="Menor"),CONCATENATE("R2C",'Riesgos de Gestión'!$V$23),"")</f>
        <v/>
      </c>
      <c r="U37" s="52" t="str">
        <f>IF(AND('Riesgos de Gestión'!$AI$24="Baja",'Riesgos de Gestión'!$AK$24="Menor"),CONCATENATE("R2C",'Riesgos de Gestión'!$V$24),"")</f>
        <v/>
      </c>
      <c r="V37" s="50" t="str">
        <f>IF(AND('Riesgos de Gestión'!$AI$19="Baja",'Riesgos de Gestión'!$AK$19="Moderado"),CONCATENATE("R2C",'Riesgos de Gestión'!$V$19),"")</f>
        <v/>
      </c>
      <c r="W37" s="51" t="str">
        <f>IF(AND('Riesgos de Gestión'!$AI$20="Baja",'Riesgos de Gestión'!$AK$20="Moderado"),CONCATENATE("R2C",'Riesgos de Gestión'!$V$20),"")</f>
        <v/>
      </c>
      <c r="X37" s="51" t="str">
        <f>IF(AND('Riesgos de Gestión'!$AI$21="Baja",'Riesgos de Gestión'!$AK$21="Moderado"),CONCATENATE("R2C",'Riesgos de Gestión'!$V$21),"")</f>
        <v/>
      </c>
      <c r="Y37" s="51" t="str">
        <f>IF(AND('Riesgos de Gestión'!$AI$22="Baja",'Riesgos de Gestión'!$AK$22="Moderado"),CONCATENATE("R2C",'Riesgos de Gestión'!$V$22),"")</f>
        <v/>
      </c>
      <c r="Z37" s="51" t="str">
        <f>IF(AND('Riesgos de Gestión'!$AI$23="Baja",'Riesgos de Gestión'!$AK$23="Moderado"),CONCATENATE("R2C",'Riesgos de Gestión'!$V$23),"")</f>
        <v/>
      </c>
      <c r="AA37" s="52" t="str">
        <f>IF(AND('Riesgos de Gestión'!$AI$24="Baja",'Riesgos de Gestión'!$AK$24="Moderado"),CONCATENATE("R2C",'Riesgos de Gestión'!$V$24),"")</f>
        <v/>
      </c>
      <c r="AB37" s="35" t="str">
        <f>IF(AND('Riesgos de Gestión'!$AI$19="Baja",'Riesgos de Gestión'!$AK$19="Mayor"),CONCATENATE("R2C",'Riesgos de Gestión'!$V$19),"")</f>
        <v/>
      </c>
      <c r="AC37" s="36" t="str">
        <f>IF(AND('Riesgos de Gestión'!$AI$20="Baja",'Riesgos de Gestión'!$AK$20="Mayor"),CONCATENATE("R2C",'Riesgos de Gestión'!$V$20),"")</f>
        <v/>
      </c>
      <c r="AD37" s="36" t="str">
        <f>IF(AND('Riesgos de Gestión'!$AI$21="Baja",'Riesgos de Gestión'!$AK$21="Mayor"),CONCATENATE("R2C",'Riesgos de Gestión'!$V$21),"")</f>
        <v/>
      </c>
      <c r="AE37" s="36" t="str">
        <f>IF(AND('Riesgos de Gestión'!$AI$22="Baja",'Riesgos de Gestión'!$AK$22="Mayor"),CONCATENATE("R2C",'Riesgos de Gestión'!$V$22),"")</f>
        <v/>
      </c>
      <c r="AF37" s="36" t="str">
        <f>IF(AND('Riesgos de Gestión'!$AI$23="Baja",'Riesgos de Gestión'!$AK$23="Mayor"),CONCATENATE("R2C",'Riesgos de Gestión'!$V$23),"")</f>
        <v/>
      </c>
      <c r="AG37" s="37" t="str">
        <f>IF(AND('Riesgos de Gestión'!$AI$24="Baja",'Riesgos de Gestión'!$AK$24="Mayor"),CONCATENATE("R2C",'Riesgos de Gestión'!$V$24),"")</f>
        <v/>
      </c>
      <c r="AH37" s="38" t="str">
        <f>IF(AND('Riesgos de Gestión'!$AI$19="Baja",'Riesgos de Gestión'!$AK$19="Catastrófico"),CONCATENATE("R2C",'Riesgos de Gestión'!$V$19),"")</f>
        <v/>
      </c>
      <c r="AI37" s="39" t="str">
        <f>IF(AND('Riesgos de Gestión'!$AI$20="Baja",'Riesgos de Gestión'!$AK$20="Catastrófico"),CONCATENATE("R2C",'Riesgos de Gestión'!$V$20),"")</f>
        <v/>
      </c>
      <c r="AJ37" s="39" t="str">
        <f>IF(AND('Riesgos de Gestión'!$AI$21="Baja",'Riesgos de Gestión'!$AK$21="Catastrófico"),CONCATENATE("R2C",'Riesgos de Gestión'!$V$21),"")</f>
        <v/>
      </c>
      <c r="AK37" s="39" t="str">
        <f>IF(AND('Riesgos de Gestión'!$AI$22="Baja",'Riesgos de Gestión'!$AK$22="Catastrófico"),CONCATENATE("R2C",'Riesgos de Gestión'!$V$22),"")</f>
        <v/>
      </c>
      <c r="AL37" s="39" t="str">
        <f>IF(AND('Riesgos de Gestión'!$AI$23="Baja",'Riesgos de Gestión'!$AK$23="Catastrófico"),CONCATENATE("R2C",'Riesgos de Gestión'!$V$23),"")</f>
        <v/>
      </c>
      <c r="AM37" s="40" t="str">
        <f>IF(AND('Riesgos de Gestión'!$AI$24="Baja",'Riesgos de Gestión'!$AK$24="Catastrófico"),CONCATENATE("R2C",'Riesgos de Gestión'!$V$24),"")</f>
        <v/>
      </c>
      <c r="AN37" s="66"/>
      <c r="AO37" s="560"/>
      <c r="AP37" s="561"/>
      <c r="AQ37" s="561"/>
      <c r="AR37" s="561"/>
      <c r="AS37" s="561"/>
      <c r="AT37" s="562"/>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41"/>
      <c r="C38" s="441"/>
      <c r="D38" s="442"/>
      <c r="E38" s="540"/>
      <c r="F38" s="539"/>
      <c r="G38" s="539"/>
      <c r="H38" s="539"/>
      <c r="I38" s="539"/>
      <c r="J38" s="59" t="str">
        <f>IF(AND('Riesgos de Gestión'!$AI$25="Baja",'Riesgos de Gestión'!$AK$25="Leve"),CONCATENATE("R3C",'Riesgos de Gestión'!$V$25),"")</f>
        <v/>
      </c>
      <c r="K38" s="60" t="str">
        <f>IF(AND('Riesgos de Gestión'!$AI$26="Baja",'Riesgos de Gestión'!$AK$26="Leve"),CONCATENATE("R3C",'Riesgos de Gestión'!$V$26),"")</f>
        <v/>
      </c>
      <c r="L38" s="60" t="str">
        <f>IF(AND('Riesgos de Gestión'!$AI$27="Baja",'Riesgos de Gestión'!$AK$27="Leve"),CONCATENATE("R3C",'Riesgos de Gestión'!$V$27),"")</f>
        <v/>
      </c>
      <c r="M38" s="60" t="str">
        <f>IF(AND('Riesgos de Gestión'!$AI$28="Baja",'Riesgos de Gestión'!$AK$28="Leve"),CONCATENATE("R3C",'Riesgos de Gestión'!$V$28),"")</f>
        <v/>
      </c>
      <c r="N38" s="60" t="str">
        <f>IF(AND('Riesgos de Gestión'!$AI$29="Baja",'Riesgos de Gestión'!$AK$29="Leve"),CONCATENATE("R3C",'Riesgos de Gestión'!$V$29),"")</f>
        <v/>
      </c>
      <c r="O38" s="61" t="str">
        <f>IF(AND('Riesgos de Gestión'!$AI$30="Baja",'Riesgos de Gestión'!$AK$30="Leve"),CONCATENATE("R3C",'Riesgos de Gestión'!$V$30),"")</f>
        <v/>
      </c>
      <c r="P38" s="50" t="str">
        <f>IF(AND('Riesgos de Gestión'!$AI$25="Baja",'Riesgos de Gestión'!$AK$25="Menor"),CONCATENATE("R3C",'Riesgos de Gestión'!$V$25),"")</f>
        <v/>
      </c>
      <c r="Q38" s="51" t="str">
        <f>IF(AND('Riesgos de Gestión'!$AI$26="Baja",'Riesgos de Gestión'!$AK$26="Menor"),CONCATENATE("R3C",'Riesgos de Gestión'!$V$26),"")</f>
        <v/>
      </c>
      <c r="R38" s="51" t="str">
        <f>IF(AND('Riesgos de Gestión'!$AI$27="Baja",'Riesgos de Gestión'!$AK$27="Menor"),CONCATENATE("R3C",'Riesgos de Gestión'!$V$27),"")</f>
        <v/>
      </c>
      <c r="S38" s="51" t="str">
        <f>IF(AND('Riesgos de Gestión'!$AI$28="Baja",'Riesgos de Gestión'!$AK$28="Menor"),CONCATENATE("R3C",'Riesgos de Gestión'!$V$28),"")</f>
        <v/>
      </c>
      <c r="T38" s="51" t="str">
        <f>IF(AND('Riesgos de Gestión'!$AI$29="Baja",'Riesgos de Gestión'!$AK$29="Menor"),CONCATENATE("R3C",'Riesgos de Gestión'!$V$29),"")</f>
        <v/>
      </c>
      <c r="U38" s="52" t="str">
        <f>IF(AND('Riesgos de Gestión'!$AI$30="Baja",'Riesgos de Gestión'!$AK$30="Menor"),CONCATENATE("R3C",'Riesgos de Gestión'!$V$30),"")</f>
        <v/>
      </c>
      <c r="V38" s="50" t="str">
        <f>IF(AND('Riesgos de Gestión'!$AI$25="Baja",'Riesgos de Gestión'!$AK$25="Moderado"),CONCATENATE("R3C",'Riesgos de Gestión'!$V$25),"")</f>
        <v/>
      </c>
      <c r="W38" s="51" t="str">
        <f>IF(AND('Riesgos de Gestión'!$AI$26="Baja",'Riesgos de Gestión'!$AK$26="Moderado"),CONCATENATE("R3C",'Riesgos de Gestión'!$V$26),"")</f>
        <v/>
      </c>
      <c r="X38" s="51" t="str">
        <f>IF(AND('Riesgos de Gestión'!$AI$27="Baja",'Riesgos de Gestión'!$AK$27="Moderado"),CONCATENATE("R3C",'Riesgos de Gestión'!$V$27),"")</f>
        <v/>
      </c>
      <c r="Y38" s="51" t="str">
        <f>IF(AND('Riesgos de Gestión'!$AI$28="Baja",'Riesgos de Gestión'!$AK$28="Moderado"),CONCATENATE("R3C",'Riesgos de Gestión'!$V$28),"")</f>
        <v/>
      </c>
      <c r="Z38" s="51" t="str">
        <f>IF(AND('Riesgos de Gestión'!$AI$29="Baja",'Riesgos de Gestión'!$AK$29="Moderado"),CONCATENATE("R3C",'Riesgos de Gestión'!$V$29),"")</f>
        <v/>
      </c>
      <c r="AA38" s="52" t="str">
        <f>IF(AND('Riesgos de Gestión'!$AI$30="Baja",'Riesgos de Gestión'!$AK$30="Moderado"),CONCATENATE("R3C",'Riesgos de Gestión'!$V$30),"")</f>
        <v/>
      </c>
      <c r="AB38" s="35" t="str">
        <f>IF(AND('Riesgos de Gestión'!$AI$25="Baja",'Riesgos de Gestión'!$AK$25="Mayor"),CONCATENATE("R3C",'Riesgos de Gestión'!$V$25),"")</f>
        <v/>
      </c>
      <c r="AC38" s="36" t="str">
        <f>IF(AND('Riesgos de Gestión'!$AI$26="Baja",'Riesgos de Gestión'!$AK$26="Mayor"),CONCATENATE("R3C",'Riesgos de Gestión'!$V$26),"")</f>
        <v/>
      </c>
      <c r="AD38" s="36" t="str">
        <f>IF(AND('Riesgos de Gestión'!$AI$27="Baja",'Riesgos de Gestión'!$AK$27="Mayor"),CONCATENATE("R3C",'Riesgos de Gestión'!$V$27),"")</f>
        <v/>
      </c>
      <c r="AE38" s="36" t="str">
        <f>IF(AND('Riesgos de Gestión'!$AI$28="Baja",'Riesgos de Gestión'!$AK$28="Mayor"),CONCATENATE("R3C",'Riesgos de Gestión'!$V$28),"")</f>
        <v/>
      </c>
      <c r="AF38" s="36" t="str">
        <f>IF(AND('Riesgos de Gestión'!$AI$29="Baja",'Riesgos de Gestión'!$AK$29="Mayor"),CONCATENATE("R3C",'Riesgos de Gestión'!$V$29),"")</f>
        <v/>
      </c>
      <c r="AG38" s="37" t="str">
        <f>IF(AND('Riesgos de Gestión'!$AI$30="Baja",'Riesgos de Gestión'!$AK$30="Mayor"),CONCATENATE("R3C",'Riesgos de Gestión'!$V$30),"")</f>
        <v/>
      </c>
      <c r="AH38" s="38" t="str">
        <f>IF(AND('Riesgos de Gestión'!$AI$25="Baja",'Riesgos de Gestión'!$AK$25="Catastrófico"),CONCATENATE("R3C",'Riesgos de Gestión'!$V$25),"")</f>
        <v/>
      </c>
      <c r="AI38" s="39" t="str">
        <f>IF(AND('Riesgos de Gestión'!$AI$26="Baja",'Riesgos de Gestión'!$AK$26="Catastrófico"),CONCATENATE("R3C",'Riesgos de Gestión'!$V$26),"")</f>
        <v/>
      </c>
      <c r="AJ38" s="39" t="str">
        <f>IF(AND('Riesgos de Gestión'!$AI$27="Baja",'Riesgos de Gestión'!$AK$27="Catastrófico"),CONCATENATE("R3C",'Riesgos de Gestión'!$V$27),"")</f>
        <v/>
      </c>
      <c r="AK38" s="39" t="str">
        <f>IF(AND('Riesgos de Gestión'!$AI$28="Baja",'Riesgos de Gestión'!$AK$28="Catastrófico"),CONCATENATE("R3C",'Riesgos de Gestión'!$V$28),"")</f>
        <v/>
      </c>
      <c r="AL38" s="39" t="str">
        <f>IF(AND('Riesgos de Gestión'!$AI$29="Baja",'Riesgos de Gestión'!$AK$29="Catastrófico"),CONCATENATE("R3C",'Riesgos de Gestión'!$V$29),"")</f>
        <v/>
      </c>
      <c r="AM38" s="40" t="str">
        <f>IF(AND('Riesgos de Gestión'!$AI$30="Baja",'Riesgos de Gestión'!$AK$30="Catastrófico"),CONCATENATE("R3C",'Riesgos de Gestión'!$V$30),"")</f>
        <v/>
      </c>
      <c r="AN38" s="66"/>
      <c r="AO38" s="560"/>
      <c r="AP38" s="561"/>
      <c r="AQ38" s="561"/>
      <c r="AR38" s="561"/>
      <c r="AS38" s="561"/>
      <c r="AT38" s="562"/>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41"/>
      <c r="C39" s="441"/>
      <c r="D39" s="442"/>
      <c r="E39" s="540"/>
      <c r="F39" s="539"/>
      <c r="G39" s="539"/>
      <c r="H39" s="539"/>
      <c r="I39" s="539"/>
      <c r="J39" s="59" t="str">
        <f>IF(AND('Riesgos de Gestión'!$AI$31="Baja",'Riesgos de Gestión'!$AK$31="Leve"),CONCATENATE("R4C",'Riesgos de Gestión'!$V$31),"")</f>
        <v/>
      </c>
      <c r="K39" s="60" t="str">
        <f>IF(AND('Riesgos de Gestión'!$AI$32="Baja",'Riesgos de Gestión'!$AK$32="Leve"),CONCATENATE("R4C",'Riesgos de Gestión'!$V$32),"")</f>
        <v/>
      </c>
      <c r="L39" s="60" t="str">
        <f>IF(AND('Riesgos de Gestión'!$AI$33="Baja",'Riesgos de Gestión'!$AK$33="Leve"),CONCATENATE("R4C",'Riesgos de Gestión'!$V$33),"")</f>
        <v/>
      </c>
      <c r="M39" s="60" t="str">
        <f>IF(AND('Riesgos de Gestión'!$AI$34="Baja",'Riesgos de Gestión'!$AK$34="Leve"),CONCATENATE("R4C",'Riesgos de Gestión'!$V$34),"")</f>
        <v/>
      </c>
      <c r="N39" s="60" t="str">
        <f>IF(AND('Riesgos de Gestión'!$AI$35="Baja",'Riesgos de Gestión'!$AK$35="Leve"),CONCATENATE("R4C",'Riesgos de Gestión'!$V$35),"")</f>
        <v/>
      </c>
      <c r="O39" s="61" t="str">
        <f>IF(AND('Riesgos de Gestión'!$AI$36="Baja",'Riesgos de Gestión'!$AK$36="Leve"),CONCATENATE("R4C",'Riesgos de Gestión'!$V$36),"")</f>
        <v/>
      </c>
      <c r="P39" s="50" t="str">
        <f>IF(AND('Riesgos de Gestión'!$AI$31="Baja",'Riesgos de Gestión'!$AK$31="Menor"),CONCATENATE("R4C",'Riesgos de Gestión'!$V$31),"")</f>
        <v/>
      </c>
      <c r="Q39" s="51" t="str">
        <f>IF(AND('Riesgos de Gestión'!$AI$32="Baja",'Riesgos de Gestión'!$AK$32="Menor"),CONCATENATE("R4C",'Riesgos de Gestión'!$V$32),"")</f>
        <v/>
      </c>
      <c r="R39" s="51" t="str">
        <f>IF(AND('Riesgos de Gestión'!$AI$33="Baja",'Riesgos de Gestión'!$AK$33="Menor"),CONCATENATE("R4C",'Riesgos de Gestión'!$V$33),"")</f>
        <v/>
      </c>
      <c r="S39" s="51" t="str">
        <f>IF(AND('Riesgos de Gestión'!$AI$34="Baja",'Riesgos de Gestión'!$AK$34="Menor"),CONCATENATE("R4C",'Riesgos de Gestión'!$V$34),"")</f>
        <v/>
      </c>
      <c r="T39" s="51" t="str">
        <f>IF(AND('Riesgos de Gestión'!$AI$35="Baja",'Riesgos de Gestión'!$AK$35="Menor"),CONCATENATE("R4C",'Riesgos de Gestión'!$V$35),"")</f>
        <v/>
      </c>
      <c r="U39" s="52" t="str">
        <f>IF(AND('Riesgos de Gestión'!$AI$36="Baja",'Riesgos de Gestión'!$AK$36="Menor"),CONCATENATE("R4C",'Riesgos de Gestión'!$V$36),"")</f>
        <v/>
      </c>
      <c r="V39" s="50" t="str">
        <f>IF(AND('Riesgos de Gestión'!$AI$31="Baja",'Riesgos de Gestión'!$AK$31="Moderado"),CONCATENATE("R4C",'Riesgos de Gestión'!$V$31),"")</f>
        <v/>
      </c>
      <c r="W39" s="51" t="str">
        <f>IF(AND('Riesgos de Gestión'!$AI$32="Baja",'Riesgos de Gestión'!$AK$32="Moderado"),CONCATENATE("R4C",'Riesgos de Gestión'!$V$32),"")</f>
        <v/>
      </c>
      <c r="X39" s="51" t="str">
        <f>IF(AND('Riesgos de Gestión'!$AI$33="Baja",'Riesgos de Gestión'!$AK$33="Moderado"),CONCATENATE("R4C",'Riesgos de Gestión'!$V$33),"")</f>
        <v/>
      </c>
      <c r="Y39" s="51" t="str">
        <f>IF(AND('Riesgos de Gestión'!$AI$34="Baja",'Riesgos de Gestión'!$AK$34="Moderado"),CONCATENATE("R4C",'Riesgos de Gestión'!$V$34),"")</f>
        <v/>
      </c>
      <c r="Z39" s="51" t="str">
        <f>IF(AND('Riesgos de Gestión'!$AI$35="Baja",'Riesgos de Gestión'!$AK$35="Moderado"),CONCATENATE("R4C",'Riesgos de Gestión'!$V$35),"")</f>
        <v/>
      </c>
      <c r="AA39" s="52" t="str">
        <f>IF(AND('Riesgos de Gestión'!$AI$36="Baja",'Riesgos de Gestión'!$AK$36="Moderado"),CONCATENATE("R4C",'Riesgos de Gestión'!$V$36),"")</f>
        <v/>
      </c>
      <c r="AB39" s="35" t="str">
        <f>IF(AND('Riesgos de Gestión'!$AI$31="Baja",'Riesgos de Gestión'!$AK$31="Mayor"),CONCATENATE("R4C",'Riesgos de Gestión'!$V$31),"")</f>
        <v/>
      </c>
      <c r="AC39" s="36" t="str">
        <f>IF(AND('Riesgos de Gestión'!$AI$32="Baja",'Riesgos de Gestión'!$AK$32="Mayor"),CONCATENATE("R4C",'Riesgos de Gestión'!$V$32),"")</f>
        <v/>
      </c>
      <c r="AD39" s="36" t="str">
        <f>IF(AND('Riesgos de Gestión'!$AI$33="Baja",'Riesgos de Gestión'!$AK$33="Mayor"),CONCATENATE("R4C",'Riesgos de Gestión'!$V$33),"")</f>
        <v/>
      </c>
      <c r="AE39" s="36" t="str">
        <f>IF(AND('Riesgos de Gestión'!$AI$34="Baja",'Riesgos de Gestión'!$AK$34="Mayor"),CONCATENATE("R4C",'Riesgos de Gestión'!$V$34),"")</f>
        <v/>
      </c>
      <c r="AF39" s="36" t="str">
        <f>IF(AND('Riesgos de Gestión'!$AI$35="Baja",'Riesgos de Gestión'!$AK$35="Mayor"),CONCATENATE("R4C",'Riesgos de Gestión'!$V$35),"")</f>
        <v/>
      </c>
      <c r="AG39" s="37" t="str">
        <f>IF(AND('Riesgos de Gestión'!$AI$36="Baja",'Riesgos de Gestión'!$AK$36="Mayor"),CONCATENATE("R4C",'Riesgos de Gestión'!$V$36),"")</f>
        <v/>
      </c>
      <c r="AH39" s="38" t="str">
        <f>IF(AND('Riesgos de Gestión'!$AI$31="Baja",'Riesgos de Gestión'!$AK$31="Catastrófico"),CONCATENATE("R4C",'Riesgos de Gestión'!$V$31),"")</f>
        <v/>
      </c>
      <c r="AI39" s="39" t="str">
        <f>IF(AND('Riesgos de Gestión'!$AI$32="Baja",'Riesgos de Gestión'!$AK$32="Catastrófico"),CONCATENATE("R4C",'Riesgos de Gestión'!$V$32),"")</f>
        <v/>
      </c>
      <c r="AJ39" s="39" t="str">
        <f>IF(AND('Riesgos de Gestión'!$AI$33="Baja",'Riesgos de Gestión'!$AK$33="Catastrófico"),CONCATENATE("R4C",'Riesgos de Gestión'!$V$33),"")</f>
        <v/>
      </c>
      <c r="AK39" s="39" t="str">
        <f>IF(AND('Riesgos de Gestión'!$AI$34="Baja",'Riesgos de Gestión'!$AK$34="Catastrófico"),CONCATENATE("R4C",'Riesgos de Gestión'!$V$34),"")</f>
        <v/>
      </c>
      <c r="AL39" s="39" t="str">
        <f>IF(AND('Riesgos de Gestión'!$AI$35="Baja",'Riesgos de Gestión'!$AK$35="Catastrófico"),CONCATENATE("R4C",'Riesgos de Gestión'!$V$35),"")</f>
        <v/>
      </c>
      <c r="AM39" s="40" t="str">
        <f>IF(AND('Riesgos de Gestión'!$AI$36="Baja",'Riesgos de Gestión'!$AK$36="Catastrófico"),CONCATENATE("R4C",'Riesgos de Gestión'!$V$36),"")</f>
        <v/>
      </c>
      <c r="AN39" s="66"/>
      <c r="AO39" s="560"/>
      <c r="AP39" s="561"/>
      <c r="AQ39" s="561"/>
      <c r="AR39" s="561"/>
      <c r="AS39" s="561"/>
      <c r="AT39" s="562"/>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41"/>
      <c r="C40" s="441"/>
      <c r="D40" s="442"/>
      <c r="E40" s="540"/>
      <c r="F40" s="539"/>
      <c r="G40" s="539"/>
      <c r="H40" s="539"/>
      <c r="I40" s="539"/>
      <c r="J40" s="59" t="str">
        <f>IF(AND('Riesgos de Gestión'!$AI$37="Baja",'Riesgos de Gestión'!$AK$37="Leve"),CONCATENATE("R5C",'Riesgos de Gestión'!$V$37),"")</f>
        <v/>
      </c>
      <c r="K40" s="60" t="str">
        <f>IF(AND('Riesgos de Gestión'!$AI$38="Baja",'Riesgos de Gestión'!$AK$38="Leve"),CONCATENATE("R5C",'Riesgos de Gestión'!$V$38),"")</f>
        <v/>
      </c>
      <c r="L40" s="60" t="str">
        <f>IF(AND('Riesgos de Gestión'!$AI$39="Baja",'Riesgos de Gestión'!$AK$39="Leve"),CONCATENATE("R5C",'Riesgos de Gestión'!$V$39),"")</f>
        <v/>
      </c>
      <c r="M40" s="60" t="str">
        <f>IF(AND('Riesgos de Gestión'!$AI$40="Baja",'Riesgos de Gestión'!$AK$40="Leve"),CONCATENATE("R5C",'Riesgos de Gestión'!$V$40),"")</f>
        <v/>
      </c>
      <c r="N40" s="60" t="str">
        <f>IF(AND('Riesgos de Gestión'!$AI$41="Baja",'Riesgos de Gestión'!$AK$41="Leve"),CONCATENATE("R5C",'Riesgos de Gestión'!$V$41),"")</f>
        <v/>
      </c>
      <c r="O40" s="61" t="str">
        <f>IF(AND('Riesgos de Gestión'!$AI$42="Baja",'Riesgos de Gestión'!$AK$42="Leve"),CONCATENATE("R5C",'Riesgos de Gestión'!$V$42),"")</f>
        <v/>
      </c>
      <c r="P40" s="50" t="str">
        <f>IF(AND('Riesgos de Gestión'!$AI$37="Baja",'Riesgos de Gestión'!$AK$37="Menor"),CONCATENATE("R5C",'Riesgos de Gestión'!$V$37),"")</f>
        <v/>
      </c>
      <c r="Q40" s="51" t="str">
        <f>IF(AND('Riesgos de Gestión'!$AI$38="Baja",'Riesgos de Gestión'!$AK$38="Menor"),CONCATENATE("R5C",'Riesgos de Gestión'!$V$38),"")</f>
        <v/>
      </c>
      <c r="R40" s="51" t="str">
        <f>IF(AND('Riesgos de Gestión'!$AI$39="Baja",'Riesgos de Gestión'!$AK$39="Menor"),CONCATENATE("R5C",'Riesgos de Gestión'!$V$39),"")</f>
        <v/>
      </c>
      <c r="S40" s="51" t="str">
        <f>IF(AND('Riesgos de Gestión'!$AI$40="Baja",'Riesgos de Gestión'!$AK$40="Menor"),CONCATENATE("R5C",'Riesgos de Gestión'!$V$40),"")</f>
        <v/>
      </c>
      <c r="T40" s="51" t="str">
        <f>IF(AND('Riesgos de Gestión'!$AI$41="Baja",'Riesgos de Gestión'!$AK$41="Menor"),CONCATENATE("R5C",'Riesgos de Gestión'!$V$41),"")</f>
        <v/>
      </c>
      <c r="U40" s="52" t="str">
        <f>IF(AND('Riesgos de Gestión'!$AI$42="Baja",'Riesgos de Gestión'!$AK$42="Menor"),CONCATENATE("R5C",'Riesgos de Gestión'!$V$42),"")</f>
        <v/>
      </c>
      <c r="V40" s="50" t="str">
        <f>IF(AND('Riesgos de Gestión'!$AI$37="Baja",'Riesgos de Gestión'!$AK$37="Moderado"),CONCATENATE("R5C",'Riesgos de Gestión'!$V$37),"")</f>
        <v/>
      </c>
      <c r="W40" s="51" t="str">
        <f>IF(AND('Riesgos de Gestión'!$AI$38="Baja",'Riesgos de Gestión'!$AK$38="Moderado"),CONCATENATE("R5C",'Riesgos de Gestión'!$V$38),"")</f>
        <v/>
      </c>
      <c r="X40" s="51" t="str">
        <f>IF(AND('Riesgos de Gestión'!$AI$39="Baja",'Riesgos de Gestión'!$AK$39="Moderado"),CONCATENATE("R5C",'Riesgos de Gestión'!$V$39),"")</f>
        <v/>
      </c>
      <c r="Y40" s="51" t="str">
        <f>IF(AND('Riesgos de Gestión'!$AI$40="Baja",'Riesgos de Gestión'!$AK$40="Moderado"),CONCATENATE("R5C",'Riesgos de Gestión'!$V$40),"")</f>
        <v/>
      </c>
      <c r="Z40" s="51" t="str">
        <f>IF(AND('Riesgos de Gestión'!$AI$41="Baja",'Riesgos de Gestión'!$AK$41="Moderado"),CONCATENATE("R5C",'Riesgos de Gestión'!$V$41),"")</f>
        <v/>
      </c>
      <c r="AA40" s="52" t="str">
        <f>IF(AND('Riesgos de Gestión'!$AI$42="Baja",'Riesgos de Gestión'!$AK$42="Moderado"),CONCATENATE("R5C",'Riesgos de Gestión'!$V$42),"")</f>
        <v/>
      </c>
      <c r="AB40" s="35" t="str">
        <f>IF(AND('Riesgos de Gestión'!$AI$37="Baja",'Riesgos de Gestión'!$AK$37="Mayor"),CONCATENATE("R5C",'Riesgos de Gestión'!$V$37),"")</f>
        <v/>
      </c>
      <c r="AC40" s="36" t="str">
        <f>IF(AND('Riesgos de Gestión'!$AI$38="Baja",'Riesgos de Gestión'!$AK$38="Mayor"),CONCATENATE("R5C",'Riesgos de Gestión'!$V$38),"")</f>
        <v/>
      </c>
      <c r="AD40" s="36" t="str">
        <f>IF(AND('Riesgos de Gestión'!$AI$39="Baja",'Riesgos de Gestión'!$AK$39="Mayor"),CONCATENATE("R5C",'Riesgos de Gestión'!$V$39),"")</f>
        <v/>
      </c>
      <c r="AE40" s="36" t="str">
        <f>IF(AND('Riesgos de Gestión'!$AI$40="Baja",'Riesgos de Gestión'!$AK$40="Mayor"),CONCATENATE("R5C",'Riesgos de Gestión'!$V$40),"")</f>
        <v/>
      </c>
      <c r="AF40" s="36" t="str">
        <f>IF(AND('Riesgos de Gestión'!$AI$41="Baja",'Riesgos de Gestión'!$AK$41="Mayor"),CONCATENATE("R5C",'Riesgos de Gestión'!$V$41),"")</f>
        <v/>
      </c>
      <c r="AG40" s="37" t="str">
        <f>IF(AND('Riesgos de Gestión'!$AI$42="Baja",'Riesgos de Gestión'!$AK$42="Mayor"),CONCATENATE("R5C",'Riesgos de Gestión'!$V$42),"")</f>
        <v/>
      </c>
      <c r="AH40" s="38" t="str">
        <f>IF(AND('Riesgos de Gestión'!$AI$37="Baja",'Riesgos de Gestión'!$AK$37="Catastrófico"),CONCATENATE("R5C",'Riesgos de Gestión'!$V$37),"")</f>
        <v/>
      </c>
      <c r="AI40" s="39" t="str">
        <f>IF(AND('Riesgos de Gestión'!$AI$38="Baja",'Riesgos de Gestión'!$AK$38="Catastrófico"),CONCATENATE("R5C",'Riesgos de Gestión'!$V$38),"")</f>
        <v/>
      </c>
      <c r="AJ40" s="39" t="str">
        <f>IF(AND('Riesgos de Gestión'!$AI$39="Baja",'Riesgos de Gestión'!$AK$39="Catastrófico"),CONCATENATE("R5C",'Riesgos de Gestión'!$V$39),"")</f>
        <v/>
      </c>
      <c r="AK40" s="39" t="str">
        <f>IF(AND('Riesgos de Gestión'!$AI$40="Baja",'Riesgos de Gestión'!$AK$40="Catastrófico"),CONCATENATE("R5C",'Riesgos de Gestión'!$V$40),"")</f>
        <v/>
      </c>
      <c r="AL40" s="39" t="str">
        <f>IF(AND('Riesgos de Gestión'!$AI$41="Baja",'Riesgos de Gestión'!$AK$41="Catastrófico"),CONCATENATE("R5C",'Riesgos de Gestión'!$V$41),"")</f>
        <v/>
      </c>
      <c r="AM40" s="40" t="str">
        <f>IF(AND('Riesgos de Gestión'!$AI$42="Baja",'Riesgos de Gestión'!$AK$42="Catastrófico"),CONCATENATE("R5C",'Riesgos de Gestión'!$V$42),"")</f>
        <v/>
      </c>
      <c r="AN40" s="66"/>
      <c r="AO40" s="560"/>
      <c r="AP40" s="561"/>
      <c r="AQ40" s="561"/>
      <c r="AR40" s="561"/>
      <c r="AS40" s="561"/>
      <c r="AT40" s="562"/>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41"/>
      <c r="C41" s="441"/>
      <c r="D41" s="442"/>
      <c r="E41" s="540"/>
      <c r="F41" s="539"/>
      <c r="G41" s="539"/>
      <c r="H41" s="539"/>
      <c r="I41" s="539"/>
      <c r="J41" s="59" t="str">
        <f>IF(AND('Riesgos de Gestión'!$AI$43="Baja",'Riesgos de Gestión'!$AK$43="Leve"),CONCATENATE("R6C",'Riesgos de Gestión'!$V$43),"")</f>
        <v/>
      </c>
      <c r="K41" s="60" t="str">
        <f>IF(AND('Riesgos de Gestión'!$AI$44="Baja",'Riesgos de Gestión'!$AK$44="Leve"),CONCATENATE("R6C",'Riesgos de Gestión'!$V$44),"")</f>
        <v/>
      </c>
      <c r="L41" s="60" t="str">
        <f>IF(AND('Riesgos de Gestión'!$AI$45="Baja",'Riesgos de Gestión'!$AK$45="Leve"),CONCATENATE("R6C",'Riesgos de Gestión'!$V$45),"")</f>
        <v/>
      </c>
      <c r="M41" s="60" t="str">
        <f>IF(AND('Riesgos de Gestión'!$AI$46="Baja",'Riesgos de Gestión'!$AK$46="Leve"),CONCATENATE("R6C",'Riesgos de Gestión'!$V$46),"")</f>
        <v/>
      </c>
      <c r="N41" s="60" t="str">
        <f>IF(AND('Riesgos de Gestión'!$AI$47="Baja",'Riesgos de Gestión'!$AK$47="Leve"),CONCATENATE("R6C",'Riesgos de Gestión'!$V$47),"")</f>
        <v/>
      </c>
      <c r="O41" s="61" t="str">
        <f>IF(AND('Riesgos de Gestión'!$AI$48="Baja",'Riesgos de Gestión'!$AK$48="Leve"),CONCATENATE("R6C",'Riesgos de Gestión'!$V$48),"")</f>
        <v/>
      </c>
      <c r="P41" s="50" t="str">
        <f>IF(AND('Riesgos de Gestión'!$AI$43="Baja",'Riesgos de Gestión'!$AK$43="Menor"),CONCATENATE("R6C",'Riesgos de Gestión'!$V$43),"")</f>
        <v/>
      </c>
      <c r="Q41" s="51" t="str">
        <f>IF(AND('Riesgos de Gestión'!$AI$44="Baja",'Riesgos de Gestión'!$AK$44="Menor"),CONCATENATE("R6C",'Riesgos de Gestión'!$V$44),"")</f>
        <v/>
      </c>
      <c r="R41" s="51" t="str">
        <f>IF(AND('Riesgos de Gestión'!$AI$45="Baja",'Riesgos de Gestión'!$AK$45="Menor"),CONCATENATE("R6C",'Riesgos de Gestión'!$V$45),"")</f>
        <v/>
      </c>
      <c r="S41" s="51" t="str">
        <f>IF(AND('Riesgos de Gestión'!$AI$46="Baja",'Riesgos de Gestión'!$AK$46="Menor"),CONCATENATE("R6C",'Riesgos de Gestión'!$V$46),"")</f>
        <v/>
      </c>
      <c r="T41" s="51" t="str">
        <f>IF(AND('Riesgos de Gestión'!$AI$47="Baja",'Riesgos de Gestión'!$AK$47="Menor"),CONCATENATE("R6C",'Riesgos de Gestión'!$V$47),"")</f>
        <v/>
      </c>
      <c r="U41" s="52" t="str">
        <f>IF(AND('Riesgos de Gestión'!$AI$48="Baja",'Riesgos de Gestión'!$AK$48="Menor"),CONCATENATE("R6C",'Riesgos de Gestión'!$V$48),"")</f>
        <v/>
      </c>
      <c r="V41" s="50" t="str">
        <f>IF(AND('Riesgos de Gestión'!$AI$43="Baja",'Riesgos de Gestión'!$AK$43="Moderado"),CONCATENATE("R6C",'Riesgos de Gestión'!$V$43),"")</f>
        <v/>
      </c>
      <c r="W41" s="51" t="str">
        <f>IF(AND('Riesgos de Gestión'!$AI$44="Baja",'Riesgos de Gestión'!$AK$44="Moderado"),CONCATENATE("R6C",'Riesgos de Gestión'!$V$44),"")</f>
        <v/>
      </c>
      <c r="X41" s="51" t="str">
        <f>IF(AND('Riesgos de Gestión'!$AI$45="Baja",'Riesgos de Gestión'!$AK$45="Moderado"),CONCATENATE("R6C",'Riesgos de Gestión'!$V$45),"")</f>
        <v/>
      </c>
      <c r="Y41" s="51" t="str">
        <f>IF(AND('Riesgos de Gestión'!$AI$46="Baja",'Riesgos de Gestión'!$AK$46="Moderado"),CONCATENATE("R6C",'Riesgos de Gestión'!$V$46),"")</f>
        <v/>
      </c>
      <c r="Z41" s="51" t="str">
        <f>IF(AND('Riesgos de Gestión'!$AI$47="Baja",'Riesgos de Gestión'!$AK$47="Moderado"),CONCATENATE("R6C",'Riesgos de Gestión'!$V$47),"")</f>
        <v/>
      </c>
      <c r="AA41" s="52" t="str">
        <f>IF(AND('Riesgos de Gestión'!$AI$48="Baja",'Riesgos de Gestión'!$AK$48="Moderado"),CONCATENATE("R6C",'Riesgos de Gestión'!$V$48),"")</f>
        <v/>
      </c>
      <c r="AB41" s="35" t="str">
        <f>IF(AND('Riesgos de Gestión'!$AI$43="Baja",'Riesgos de Gestión'!$AK$43="Mayor"),CONCATENATE("R6C",'Riesgos de Gestión'!$V$43),"")</f>
        <v/>
      </c>
      <c r="AC41" s="36" t="str">
        <f>IF(AND('Riesgos de Gestión'!$AI$44="Baja",'Riesgos de Gestión'!$AK$44="Mayor"),CONCATENATE("R6C",'Riesgos de Gestión'!$V$44),"")</f>
        <v/>
      </c>
      <c r="AD41" s="36" t="str">
        <f>IF(AND('Riesgos de Gestión'!$AI$45="Baja",'Riesgos de Gestión'!$AK$45="Mayor"),CONCATENATE("R6C",'Riesgos de Gestión'!$V$45),"")</f>
        <v/>
      </c>
      <c r="AE41" s="36" t="str">
        <f>IF(AND('Riesgos de Gestión'!$AI$46="Baja",'Riesgos de Gestión'!$AK$46="Mayor"),CONCATENATE("R6C",'Riesgos de Gestión'!$V$46),"")</f>
        <v/>
      </c>
      <c r="AF41" s="36" t="str">
        <f>IF(AND('Riesgos de Gestión'!$AI$47="Baja",'Riesgos de Gestión'!$AK$47="Mayor"),CONCATENATE("R6C",'Riesgos de Gestión'!$V$47),"")</f>
        <v/>
      </c>
      <c r="AG41" s="37" t="str">
        <f>IF(AND('Riesgos de Gestión'!$AI$48="Baja",'Riesgos de Gestión'!$AK$48="Mayor"),CONCATENATE("R6C",'Riesgos de Gestión'!$V$48),"")</f>
        <v/>
      </c>
      <c r="AH41" s="38" t="str">
        <f>IF(AND('Riesgos de Gestión'!$AI$43="Baja",'Riesgos de Gestión'!$AK$43="Catastrófico"),CONCATENATE("R6C",'Riesgos de Gestión'!$V$43),"")</f>
        <v/>
      </c>
      <c r="AI41" s="39" t="str">
        <f>IF(AND('Riesgos de Gestión'!$AI$44="Baja",'Riesgos de Gestión'!$AK$44="Catastrófico"),CONCATENATE("R6C",'Riesgos de Gestión'!$V$44),"")</f>
        <v/>
      </c>
      <c r="AJ41" s="39" t="str">
        <f>IF(AND('Riesgos de Gestión'!$AI$45="Baja",'Riesgos de Gestión'!$AK$45="Catastrófico"),CONCATENATE("R6C",'Riesgos de Gestión'!$V$45),"")</f>
        <v/>
      </c>
      <c r="AK41" s="39" t="str">
        <f>IF(AND('Riesgos de Gestión'!$AI$46="Baja",'Riesgos de Gestión'!$AK$46="Catastrófico"),CONCATENATE("R6C",'Riesgos de Gestión'!$V$46),"")</f>
        <v/>
      </c>
      <c r="AL41" s="39" t="str">
        <f>IF(AND('Riesgos de Gestión'!$AI$47="Baja",'Riesgos de Gestión'!$AK$47="Catastrófico"),CONCATENATE("R6C",'Riesgos de Gestión'!$V$47),"")</f>
        <v/>
      </c>
      <c r="AM41" s="40" t="str">
        <f>IF(AND('Riesgos de Gestión'!$AI$48="Baja",'Riesgos de Gestión'!$AK$48="Catastrófico"),CONCATENATE("R6C",'Riesgos de Gestión'!$V$48),"")</f>
        <v/>
      </c>
      <c r="AN41" s="66"/>
      <c r="AO41" s="560"/>
      <c r="AP41" s="561"/>
      <c r="AQ41" s="561"/>
      <c r="AR41" s="561"/>
      <c r="AS41" s="561"/>
      <c r="AT41" s="562"/>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41"/>
      <c r="C42" s="441"/>
      <c r="D42" s="442"/>
      <c r="E42" s="540"/>
      <c r="F42" s="539"/>
      <c r="G42" s="539"/>
      <c r="H42" s="539"/>
      <c r="I42" s="539"/>
      <c r="J42" s="59" t="str">
        <f>IF(AND('Riesgos de Gestión'!$AI$49="Baja",'Riesgos de Gestión'!$AK$49="Leve"),CONCATENATE("R7C",'Riesgos de Gestión'!$V$49),"")</f>
        <v/>
      </c>
      <c r="K42" s="60" t="str">
        <f>IF(AND('Riesgos de Gestión'!$AI$50="Baja",'Riesgos de Gestión'!$AK$50="Leve"),CONCATENATE("R7C",'Riesgos de Gestión'!$V$50),"")</f>
        <v/>
      </c>
      <c r="L42" s="60" t="str">
        <f>IF(AND('Riesgos de Gestión'!$AI$51="Baja",'Riesgos de Gestión'!$AK$51="Leve"),CONCATENATE("R7C",'Riesgos de Gestión'!$V$51),"")</f>
        <v/>
      </c>
      <c r="M42" s="60" t="str">
        <f>IF(AND('Riesgos de Gestión'!$AI$52="Baja",'Riesgos de Gestión'!$AK$52="Leve"),CONCATENATE("R7C",'Riesgos de Gestión'!$V$52),"")</f>
        <v/>
      </c>
      <c r="N42" s="60" t="str">
        <f>IF(AND('Riesgos de Gestión'!$AI$53="Baja",'Riesgos de Gestión'!$AK$53="Leve"),CONCATENATE("R7C",'Riesgos de Gestión'!$V$53),"")</f>
        <v/>
      </c>
      <c r="O42" s="61" t="str">
        <f>IF(AND('Riesgos de Gestión'!$AI$54="Baja",'Riesgos de Gestión'!$AK$54="Leve"),CONCATENATE("R7C",'Riesgos de Gestión'!$V$54),"")</f>
        <v/>
      </c>
      <c r="P42" s="50" t="str">
        <f>IF(AND('Riesgos de Gestión'!$AI$49="Baja",'Riesgos de Gestión'!$AK$49="Menor"),CONCATENATE("R7C",'Riesgos de Gestión'!$V$49),"")</f>
        <v/>
      </c>
      <c r="Q42" s="51" t="str">
        <f>IF(AND('Riesgos de Gestión'!$AI$50="Baja",'Riesgos de Gestión'!$AK$50="Menor"),CONCATENATE("R7C",'Riesgos de Gestión'!$V$50),"")</f>
        <v/>
      </c>
      <c r="R42" s="51" t="str">
        <f>IF(AND('Riesgos de Gestión'!$AI$51="Baja",'Riesgos de Gestión'!$AK$51="Menor"),CONCATENATE("R7C",'Riesgos de Gestión'!$V$51),"")</f>
        <v/>
      </c>
      <c r="S42" s="51" t="str">
        <f>IF(AND('Riesgos de Gestión'!$AI$52="Baja",'Riesgos de Gestión'!$AK$52="Menor"),CONCATENATE("R7C",'Riesgos de Gestión'!$V$52),"")</f>
        <v/>
      </c>
      <c r="T42" s="51" t="str">
        <f>IF(AND('Riesgos de Gestión'!$AI$53="Baja",'Riesgos de Gestión'!$AK$53="Menor"),CONCATENATE("R7C",'Riesgos de Gestión'!$V$53),"")</f>
        <v/>
      </c>
      <c r="U42" s="52" t="str">
        <f>IF(AND('Riesgos de Gestión'!$AI$54="Baja",'Riesgos de Gestión'!$AK$54="Menor"),CONCATENATE("R7C",'Riesgos de Gestión'!$V$54),"")</f>
        <v/>
      </c>
      <c r="V42" s="50" t="str">
        <f>IF(AND('Riesgos de Gestión'!$AI$49="Baja",'Riesgos de Gestión'!$AK$49="Moderado"),CONCATENATE("R7C",'Riesgos de Gestión'!$V$49),"")</f>
        <v/>
      </c>
      <c r="W42" s="51" t="str">
        <f>IF(AND('Riesgos de Gestión'!$AI$50="Baja",'Riesgos de Gestión'!$AK$50="Moderado"),CONCATENATE("R7C",'Riesgos de Gestión'!$V$50),"")</f>
        <v/>
      </c>
      <c r="X42" s="51" t="str">
        <f>IF(AND('Riesgos de Gestión'!$AI$51="Baja",'Riesgos de Gestión'!$AK$51="Moderado"),CONCATENATE("R7C",'Riesgos de Gestión'!$V$51),"")</f>
        <v/>
      </c>
      <c r="Y42" s="51" t="str">
        <f>IF(AND('Riesgos de Gestión'!$AI$52="Baja",'Riesgos de Gestión'!$AK$52="Moderado"),CONCATENATE("R7C",'Riesgos de Gestión'!$V$52),"")</f>
        <v/>
      </c>
      <c r="Z42" s="51" t="str">
        <f>IF(AND('Riesgos de Gestión'!$AI$53="Baja",'Riesgos de Gestión'!$AK$53="Moderado"),CONCATENATE("R7C",'Riesgos de Gestión'!$V$53),"")</f>
        <v/>
      </c>
      <c r="AA42" s="52" t="str">
        <f>IF(AND('Riesgos de Gestión'!$AI$54="Baja",'Riesgos de Gestión'!$AK$54="Moderado"),CONCATENATE("R7C",'Riesgos de Gestión'!$V$54),"")</f>
        <v/>
      </c>
      <c r="AB42" s="35" t="str">
        <f>IF(AND('Riesgos de Gestión'!$AI$49="Baja",'Riesgos de Gestión'!$AK$49="Mayor"),CONCATENATE("R7C",'Riesgos de Gestión'!$V$49),"")</f>
        <v/>
      </c>
      <c r="AC42" s="36" t="str">
        <f>IF(AND('Riesgos de Gestión'!$AI$50="Baja",'Riesgos de Gestión'!$AK$50="Mayor"),CONCATENATE("R7C",'Riesgos de Gestión'!$V$50),"")</f>
        <v/>
      </c>
      <c r="AD42" s="36" t="str">
        <f>IF(AND('Riesgos de Gestión'!$AI$51="Baja",'Riesgos de Gestión'!$AK$51="Mayor"),CONCATENATE("R7C",'Riesgos de Gestión'!$V$51),"")</f>
        <v/>
      </c>
      <c r="AE42" s="36" t="str">
        <f>IF(AND('Riesgos de Gestión'!$AI$52="Baja",'Riesgos de Gestión'!$AK$52="Mayor"),CONCATENATE("R7C",'Riesgos de Gestión'!$V$52),"")</f>
        <v/>
      </c>
      <c r="AF42" s="36" t="str">
        <f>IF(AND('Riesgos de Gestión'!$AI$53="Baja",'Riesgos de Gestión'!$AK$53="Mayor"),CONCATENATE("R7C",'Riesgos de Gestión'!$V$53),"")</f>
        <v/>
      </c>
      <c r="AG42" s="37" t="str">
        <f>IF(AND('Riesgos de Gestión'!$AI$54="Baja",'Riesgos de Gestión'!$AK$54="Mayor"),CONCATENATE("R7C",'Riesgos de Gestión'!$V$54),"")</f>
        <v/>
      </c>
      <c r="AH42" s="38" t="str">
        <f>IF(AND('Riesgos de Gestión'!$AI$49="Baja",'Riesgos de Gestión'!$AK$49="Catastrófico"),CONCATENATE("R7C",'Riesgos de Gestión'!$V$49),"")</f>
        <v/>
      </c>
      <c r="AI42" s="39" t="str">
        <f>IF(AND('Riesgos de Gestión'!$AI$50="Baja",'Riesgos de Gestión'!$AK$50="Catastrófico"),CONCATENATE("R7C",'Riesgos de Gestión'!$V$50),"")</f>
        <v/>
      </c>
      <c r="AJ42" s="39" t="str">
        <f>IF(AND('Riesgos de Gestión'!$AI$51="Baja",'Riesgos de Gestión'!$AK$51="Catastrófico"),CONCATENATE("R7C",'Riesgos de Gestión'!$V$51),"")</f>
        <v/>
      </c>
      <c r="AK42" s="39" t="str">
        <f>IF(AND('Riesgos de Gestión'!$AI$52="Baja",'Riesgos de Gestión'!$AK$52="Catastrófico"),CONCATENATE("R7C",'Riesgos de Gestión'!$V$52),"")</f>
        <v/>
      </c>
      <c r="AL42" s="39" t="str">
        <f>IF(AND('Riesgos de Gestión'!$AI$53="Baja",'Riesgos de Gestión'!$AK$53="Catastrófico"),CONCATENATE("R7C",'Riesgos de Gestión'!$V$53),"")</f>
        <v/>
      </c>
      <c r="AM42" s="40" t="str">
        <f>IF(AND('Riesgos de Gestión'!$AI$54="Baja",'Riesgos de Gestión'!$AK$54="Catastrófico"),CONCATENATE("R7C",'Riesgos de Gestión'!$V$54),"")</f>
        <v/>
      </c>
      <c r="AN42" s="66"/>
      <c r="AO42" s="560"/>
      <c r="AP42" s="561"/>
      <c r="AQ42" s="561"/>
      <c r="AR42" s="561"/>
      <c r="AS42" s="561"/>
      <c r="AT42" s="562"/>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41"/>
      <c r="C43" s="441"/>
      <c r="D43" s="442"/>
      <c r="E43" s="540"/>
      <c r="F43" s="539"/>
      <c r="G43" s="539"/>
      <c r="H43" s="539"/>
      <c r="I43" s="539"/>
      <c r="J43" s="59" t="str">
        <f>IF(AND('Riesgos de Gestión'!$AI$55="Baja",'Riesgos de Gestión'!$AK$55="Leve"),CONCATENATE("R8C",'Riesgos de Gestión'!$V$55),"")</f>
        <v/>
      </c>
      <c r="K43" s="60" t="str">
        <f>IF(AND('Riesgos de Gestión'!$AI$56="Baja",'Riesgos de Gestión'!$AK$56="Leve"),CONCATENATE("R8C",'Riesgos de Gestión'!$V$56),"")</f>
        <v/>
      </c>
      <c r="L43" s="60" t="str">
        <f>IF(AND('Riesgos de Gestión'!$AI$57="Baja",'Riesgos de Gestión'!$AK$57="Leve"),CONCATENATE("R8C",'Riesgos de Gestión'!$V$57),"")</f>
        <v/>
      </c>
      <c r="M43" s="60" t="str">
        <f>IF(AND('Riesgos de Gestión'!$AI$58="Baja",'Riesgos de Gestión'!$AK$58="Leve"),CONCATENATE("R8C",'Riesgos de Gestión'!$V$58),"")</f>
        <v/>
      </c>
      <c r="N43" s="60" t="str">
        <f>IF(AND('Riesgos de Gestión'!$AI$59="Baja",'Riesgos de Gestión'!$AK$59="Leve"),CONCATENATE("R8C",'Riesgos de Gestión'!$V$59),"")</f>
        <v/>
      </c>
      <c r="O43" s="61" t="str">
        <f>IF(AND('Riesgos de Gestión'!$AI$60="Baja",'Riesgos de Gestión'!$AK$60="Leve"),CONCATENATE("R8C",'Riesgos de Gestión'!$V$60),"")</f>
        <v/>
      </c>
      <c r="P43" s="50" t="str">
        <f>IF(AND('Riesgos de Gestión'!$AI$55="Baja",'Riesgos de Gestión'!$AK$55="Menor"),CONCATENATE("R8C",'Riesgos de Gestión'!$V$55),"")</f>
        <v/>
      </c>
      <c r="Q43" s="51" t="str">
        <f>IF(AND('Riesgos de Gestión'!$AI$56="Baja",'Riesgos de Gestión'!$AK$56="Menor"),CONCATENATE("R8C",'Riesgos de Gestión'!$V$56),"")</f>
        <v/>
      </c>
      <c r="R43" s="51" t="str">
        <f>IF(AND('Riesgos de Gestión'!$AI$57="Baja",'Riesgos de Gestión'!$AK$57="Menor"),CONCATENATE("R8C",'Riesgos de Gestión'!$V$57),"")</f>
        <v/>
      </c>
      <c r="S43" s="51" t="str">
        <f>IF(AND('Riesgos de Gestión'!$AI$58="Baja",'Riesgos de Gestión'!$AK$58="Menor"),CONCATENATE("R8C",'Riesgos de Gestión'!$V$58),"")</f>
        <v/>
      </c>
      <c r="T43" s="51" t="str">
        <f>IF(AND('Riesgos de Gestión'!$AI$59="Baja",'Riesgos de Gestión'!$AK$59="Menor"),CONCATENATE("R8C",'Riesgos de Gestión'!$V$59),"")</f>
        <v/>
      </c>
      <c r="U43" s="52" t="str">
        <f>IF(AND('Riesgos de Gestión'!$AI$60="Baja",'Riesgos de Gestión'!$AK$60="Menor"),CONCATENATE("R8C",'Riesgos de Gestión'!$V$60),"")</f>
        <v/>
      </c>
      <c r="V43" s="50" t="str">
        <f>IF(AND('Riesgos de Gestión'!$AI$55="Baja",'Riesgos de Gestión'!$AK$55="Moderado"),CONCATENATE("R8C",'Riesgos de Gestión'!$V$55),"")</f>
        <v/>
      </c>
      <c r="W43" s="51" t="str">
        <f>IF(AND('Riesgos de Gestión'!$AI$56="Baja",'Riesgos de Gestión'!$AK$56="Moderado"),CONCATENATE("R8C",'Riesgos de Gestión'!$V$56),"")</f>
        <v/>
      </c>
      <c r="X43" s="51" t="str">
        <f>IF(AND('Riesgos de Gestión'!$AI$57="Baja",'Riesgos de Gestión'!$AK$57="Moderado"),CONCATENATE("R8C",'Riesgos de Gestión'!$V$57),"")</f>
        <v/>
      </c>
      <c r="Y43" s="51" t="str">
        <f>IF(AND('Riesgos de Gestión'!$AI$58="Baja",'Riesgos de Gestión'!$AK$58="Moderado"),CONCATENATE("R8C",'Riesgos de Gestión'!$V$58),"")</f>
        <v/>
      </c>
      <c r="Z43" s="51" t="str">
        <f>IF(AND('Riesgos de Gestión'!$AI$59="Baja",'Riesgos de Gestión'!$AK$59="Moderado"),CONCATENATE("R8C",'Riesgos de Gestión'!$V$59),"")</f>
        <v/>
      </c>
      <c r="AA43" s="52" t="str">
        <f>IF(AND('Riesgos de Gestión'!$AI$60="Baja",'Riesgos de Gestión'!$AK$60="Moderado"),CONCATENATE("R8C",'Riesgos de Gestión'!$V$60),"")</f>
        <v/>
      </c>
      <c r="AB43" s="35" t="str">
        <f>IF(AND('Riesgos de Gestión'!$AI$55="Baja",'Riesgos de Gestión'!$AK$55="Mayor"),CONCATENATE("R8C",'Riesgos de Gestión'!$V$55),"")</f>
        <v/>
      </c>
      <c r="AC43" s="36" t="str">
        <f>IF(AND('Riesgos de Gestión'!$AI$56="Baja",'Riesgos de Gestión'!$AK$56="Mayor"),CONCATENATE("R8C",'Riesgos de Gestión'!$V$56),"")</f>
        <v/>
      </c>
      <c r="AD43" s="36" t="str">
        <f>IF(AND('Riesgos de Gestión'!$AI$57="Baja",'Riesgos de Gestión'!$AK$57="Mayor"),CONCATENATE("R8C",'Riesgos de Gestión'!$V$57),"")</f>
        <v/>
      </c>
      <c r="AE43" s="36" t="str">
        <f>IF(AND('Riesgos de Gestión'!$AI$58="Baja",'Riesgos de Gestión'!$AK$58="Mayor"),CONCATENATE("R8C",'Riesgos de Gestión'!$V$58),"")</f>
        <v/>
      </c>
      <c r="AF43" s="36" t="str">
        <f>IF(AND('Riesgos de Gestión'!$AI$59="Baja",'Riesgos de Gestión'!$AK$59="Mayor"),CONCATENATE("R8C",'Riesgos de Gestión'!$V$59),"")</f>
        <v/>
      </c>
      <c r="AG43" s="37" t="str">
        <f>IF(AND('Riesgos de Gestión'!$AI$60="Baja",'Riesgos de Gestión'!$AK$60="Mayor"),CONCATENATE("R8C",'Riesgos de Gestión'!$V$60),"")</f>
        <v/>
      </c>
      <c r="AH43" s="38" t="str">
        <f>IF(AND('Riesgos de Gestión'!$AI$55="Baja",'Riesgos de Gestión'!$AK$55="Catastrófico"),CONCATENATE("R8C",'Riesgos de Gestión'!$V$55),"")</f>
        <v/>
      </c>
      <c r="AI43" s="39" t="str">
        <f>IF(AND('Riesgos de Gestión'!$AI$56="Baja",'Riesgos de Gestión'!$AK$56="Catastrófico"),CONCATENATE("R8C",'Riesgos de Gestión'!$V$56),"")</f>
        <v/>
      </c>
      <c r="AJ43" s="39" t="str">
        <f>IF(AND('Riesgos de Gestión'!$AI$57="Baja",'Riesgos de Gestión'!$AK$57="Catastrófico"),CONCATENATE("R8C",'Riesgos de Gestión'!$V$57),"")</f>
        <v/>
      </c>
      <c r="AK43" s="39" t="str">
        <f>IF(AND('Riesgos de Gestión'!$AI$58="Baja",'Riesgos de Gestión'!$AK$58="Catastrófico"),CONCATENATE("R8C",'Riesgos de Gestión'!$V$58),"")</f>
        <v/>
      </c>
      <c r="AL43" s="39" t="str">
        <f>IF(AND('Riesgos de Gestión'!$AI$59="Baja",'Riesgos de Gestión'!$AK$59="Catastrófico"),CONCATENATE("R8C",'Riesgos de Gestión'!$V$59),"")</f>
        <v/>
      </c>
      <c r="AM43" s="40" t="str">
        <f>IF(AND('Riesgos de Gestión'!$AI$60="Baja",'Riesgos de Gestión'!$AK$60="Catastrófico"),CONCATENATE("R8C",'Riesgos de Gestión'!$V$60),"")</f>
        <v/>
      </c>
      <c r="AN43" s="66"/>
      <c r="AO43" s="560"/>
      <c r="AP43" s="561"/>
      <c r="AQ43" s="561"/>
      <c r="AR43" s="561"/>
      <c r="AS43" s="561"/>
      <c r="AT43" s="562"/>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41"/>
      <c r="C44" s="441"/>
      <c r="D44" s="442"/>
      <c r="E44" s="540"/>
      <c r="F44" s="539"/>
      <c r="G44" s="539"/>
      <c r="H44" s="539"/>
      <c r="I44" s="539"/>
      <c r="J44" s="59" t="str">
        <f>IF(AND('Riesgos de Gestión'!$AI$61="Baja",'Riesgos de Gestión'!$AK$61="Leve"),CONCATENATE("R9C",'Riesgos de Gestión'!$V$61),"")</f>
        <v/>
      </c>
      <c r="K44" s="60" t="str">
        <f>IF(AND('Riesgos de Gestión'!$AI$62="Baja",'Riesgos de Gestión'!$AK$62="Leve"),CONCATENATE("R9C",'Riesgos de Gestión'!$V$62),"")</f>
        <v/>
      </c>
      <c r="L44" s="60" t="str">
        <f>IF(AND('Riesgos de Gestión'!$AI$63="Baja",'Riesgos de Gestión'!$AK$63="Leve"),CONCATENATE("R9C",'Riesgos de Gestión'!$V$63),"")</f>
        <v/>
      </c>
      <c r="M44" s="60" t="str">
        <f>IF(AND('Riesgos de Gestión'!$AI$64="Baja",'Riesgos de Gestión'!$AK$64="Leve"),CONCATENATE("R9C",'Riesgos de Gestión'!$V$64),"")</f>
        <v/>
      </c>
      <c r="N44" s="60" t="str">
        <f>IF(AND('Riesgos de Gestión'!$AI$65="Baja",'Riesgos de Gestión'!$AK$65="Leve"),CONCATENATE("R9C",'Riesgos de Gestión'!$V$65),"")</f>
        <v/>
      </c>
      <c r="O44" s="61" t="str">
        <f>IF(AND('Riesgos de Gestión'!$AI$66="Baja",'Riesgos de Gestión'!$AK$66="Leve"),CONCATENATE("R9C",'Riesgos de Gestión'!$V$66),"")</f>
        <v/>
      </c>
      <c r="P44" s="50" t="str">
        <f>IF(AND('Riesgos de Gestión'!$AI$61="Baja",'Riesgos de Gestión'!$AK$61="Menor"),CONCATENATE("R9C",'Riesgos de Gestión'!$V$61),"")</f>
        <v/>
      </c>
      <c r="Q44" s="51" t="str">
        <f>IF(AND('Riesgos de Gestión'!$AI$62="Baja",'Riesgos de Gestión'!$AK$62="Menor"),CONCATENATE("R9C",'Riesgos de Gestión'!$V$62),"")</f>
        <v/>
      </c>
      <c r="R44" s="51" t="str">
        <f>IF(AND('Riesgos de Gestión'!$AI$63="Baja",'Riesgos de Gestión'!$AK$63="Menor"),CONCATENATE("R9C",'Riesgos de Gestión'!$V$63),"")</f>
        <v/>
      </c>
      <c r="S44" s="51" t="str">
        <f>IF(AND('Riesgos de Gestión'!$AI$64="Baja",'Riesgos de Gestión'!$AK$64="Menor"),CONCATENATE("R9C",'Riesgos de Gestión'!$V$64),"")</f>
        <v/>
      </c>
      <c r="T44" s="51" t="str">
        <f>IF(AND('Riesgos de Gestión'!$AI$65="Baja",'Riesgos de Gestión'!$AK$65="Menor"),CONCATENATE("R9C",'Riesgos de Gestión'!$V$65),"")</f>
        <v/>
      </c>
      <c r="U44" s="52" t="str">
        <f>IF(AND('Riesgos de Gestión'!$AI$66="Baja",'Riesgos de Gestión'!$AK$66="Menor"),CONCATENATE("R9C",'Riesgos de Gestión'!$V$66),"")</f>
        <v/>
      </c>
      <c r="V44" s="50" t="str">
        <f>IF(AND('Riesgos de Gestión'!$AI$61="Baja",'Riesgos de Gestión'!$AK$61="Moderado"),CONCATENATE("R9C",'Riesgos de Gestión'!$V$61),"")</f>
        <v/>
      </c>
      <c r="W44" s="51" t="str">
        <f>IF(AND('Riesgos de Gestión'!$AI$62="Baja",'Riesgos de Gestión'!$AK$62="Moderado"),CONCATENATE("R9C",'Riesgos de Gestión'!$V$62),"")</f>
        <v/>
      </c>
      <c r="X44" s="51" t="str">
        <f>IF(AND('Riesgos de Gestión'!$AI$63="Baja",'Riesgos de Gestión'!$AK$63="Moderado"),CONCATENATE("R9C",'Riesgos de Gestión'!$V$63),"")</f>
        <v/>
      </c>
      <c r="Y44" s="51" t="str">
        <f>IF(AND('Riesgos de Gestión'!$AI$64="Baja",'Riesgos de Gestión'!$AK$64="Moderado"),CONCATENATE("R9C",'Riesgos de Gestión'!$V$64),"")</f>
        <v/>
      </c>
      <c r="Z44" s="51" t="str">
        <f>IF(AND('Riesgos de Gestión'!$AI$65="Baja",'Riesgos de Gestión'!$AK$65="Moderado"),CONCATENATE("R9C",'Riesgos de Gestión'!$V$65),"")</f>
        <v/>
      </c>
      <c r="AA44" s="52" t="str">
        <f>IF(AND('Riesgos de Gestión'!$AI$66="Baja",'Riesgos de Gestión'!$AK$66="Moderado"),CONCATENATE("R9C",'Riesgos de Gestión'!$V$66),"")</f>
        <v/>
      </c>
      <c r="AB44" s="35" t="str">
        <f>IF(AND('Riesgos de Gestión'!$AI$61="Baja",'Riesgos de Gestión'!$AK$61="Mayor"),CONCATENATE("R9C",'Riesgos de Gestión'!$V$61),"")</f>
        <v/>
      </c>
      <c r="AC44" s="36" t="str">
        <f>IF(AND('Riesgos de Gestión'!$AI$62="Baja",'Riesgos de Gestión'!$AK$62="Mayor"),CONCATENATE("R9C",'Riesgos de Gestión'!$V$62),"")</f>
        <v/>
      </c>
      <c r="AD44" s="36" t="str">
        <f>IF(AND('Riesgos de Gestión'!$AI$63="Baja",'Riesgos de Gestión'!$AK$63="Mayor"),CONCATENATE("R9C",'Riesgos de Gestión'!$V$63),"")</f>
        <v/>
      </c>
      <c r="AE44" s="36" t="str">
        <f>IF(AND('Riesgos de Gestión'!$AI$64="Baja",'Riesgos de Gestión'!$AK$64="Mayor"),CONCATENATE("R9C",'Riesgos de Gestión'!$V$64),"")</f>
        <v/>
      </c>
      <c r="AF44" s="36" t="str">
        <f>IF(AND('Riesgos de Gestión'!$AI$65="Baja",'Riesgos de Gestión'!$AK$65="Mayor"),CONCATENATE("R9C",'Riesgos de Gestión'!$V$65),"")</f>
        <v/>
      </c>
      <c r="AG44" s="37" t="str">
        <f>IF(AND('Riesgos de Gestión'!$AI$66="Baja",'Riesgos de Gestión'!$AK$66="Mayor"),CONCATENATE("R9C",'Riesgos de Gestión'!$V$66),"")</f>
        <v/>
      </c>
      <c r="AH44" s="38" t="str">
        <f>IF(AND('Riesgos de Gestión'!$AI$61="Baja",'Riesgos de Gestión'!$AK$61="Catastrófico"),CONCATENATE("R9C",'Riesgos de Gestión'!$V$61),"")</f>
        <v/>
      </c>
      <c r="AI44" s="39" t="str">
        <f>IF(AND('Riesgos de Gestión'!$AI$62="Baja",'Riesgos de Gestión'!$AK$62="Catastrófico"),CONCATENATE("R9C",'Riesgos de Gestión'!$V$62),"")</f>
        <v/>
      </c>
      <c r="AJ44" s="39" t="str">
        <f>IF(AND('Riesgos de Gestión'!$AI$63="Baja",'Riesgos de Gestión'!$AK$63="Catastrófico"),CONCATENATE("R9C",'Riesgos de Gestión'!$V$63),"")</f>
        <v/>
      </c>
      <c r="AK44" s="39" t="str">
        <f>IF(AND('Riesgos de Gestión'!$AI$64="Baja",'Riesgos de Gestión'!$AK$64="Catastrófico"),CONCATENATE("R9C",'Riesgos de Gestión'!$V$64),"")</f>
        <v/>
      </c>
      <c r="AL44" s="39" t="str">
        <f>IF(AND('Riesgos de Gestión'!$AI$65="Baja",'Riesgos de Gestión'!$AK$65="Catastrófico"),CONCATENATE("R9C",'Riesgos de Gestión'!$V$65),"")</f>
        <v/>
      </c>
      <c r="AM44" s="40" t="str">
        <f>IF(AND('Riesgos de Gestión'!$AI$66="Baja",'Riesgos de Gestión'!$AK$66="Catastrófico"),CONCATENATE("R9C",'Riesgos de Gestión'!$V$66),"")</f>
        <v/>
      </c>
      <c r="AN44" s="66"/>
      <c r="AO44" s="560"/>
      <c r="AP44" s="561"/>
      <c r="AQ44" s="561"/>
      <c r="AR44" s="561"/>
      <c r="AS44" s="561"/>
      <c r="AT44" s="562"/>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41"/>
      <c r="C45" s="441"/>
      <c r="D45" s="442"/>
      <c r="E45" s="541"/>
      <c r="F45" s="542"/>
      <c r="G45" s="542"/>
      <c r="H45" s="542"/>
      <c r="I45" s="542"/>
      <c r="J45" s="62" t="str">
        <f>IF(AND('Riesgos de Gestión'!$AI$67="Baja",'Riesgos de Gestión'!$AK$67="Leve"),CONCATENATE("R10C",'Riesgos de Gestión'!$V$67),"")</f>
        <v/>
      </c>
      <c r="K45" s="63" t="str">
        <f>IF(AND('Riesgos de Gestión'!$AI$68="Baja",'Riesgos de Gestión'!$AK$68="Leve"),CONCATENATE("R10C",'Riesgos de Gestión'!$V$68),"")</f>
        <v/>
      </c>
      <c r="L45" s="63" t="str">
        <f>IF(AND('Riesgos de Gestión'!$AI$69="Baja",'Riesgos de Gestión'!$AK$69="Leve"),CONCATENATE("R10C",'Riesgos de Gestión'!$V$69),"")</f>
        <v/>
      </c>
      <c r="M45" s="63" t="str">
        <f>IF(AND('Riesgos de Gestión'!$AI$70="Baja",'Riesgos de Gestión'!$AK$70="Leve"),CONCATENATE("R10C",'Riesgos de Gestión'!$V$70),"")</f>
        <v/>
      </c>
      <c r="N45" s="63" t="str">
        <f>IF(AND('Riesgos de Gestión'!$AI$71="Baja",'Riesgos de Gestión'!$AK$71="Leve"),CONCATENATE("R10C",'Riesgos de Gestión'!$V$71),"")</f>
        <v/>
      </c>
      <c r="O45" s="64" t="str">
        <f>IF(AND('Riesgos de Gestión'!$AI$72="Baja",'Riesgos de Gestión'!$AK$72="Leve"),CONCATENATE("R10C",'Riesgos de Gestión'!$V$72),"")</f>
        <v/>
      </c>
      <c r="P45" s="50" t="str">
        <f>IF(AND('Riesgos de Gestión'!$AI$67="Baja",'Riesgos de Gestión'!$AK$67="Menor"),CONCATENATE("R10C",'Riesgos de Gestión'!$V$67),"")</f>
        <v/>
      </c>
      <c r="Q45" s="51" t="str">
        <f>IF(AND('Riesgos de Gestión'!$AI$68="Baja",'Riesgos de Gestión'!$AK$68="Menor"),CONCATENATE("R10C",'Riesgos de Gestión'!$V$68),"")</f>
        <v/>
      </c>
      <c r="R45" s="51" t="str">
        <f>IF(AND('Riesgos de Gestión'!$AI$69="Baja",'Riesgos de Gestión'!$AK$69="Menor"),CONCATENATE("R10C",'Riesgos de Gestión'!$V$69),"")</f>
        <v/>
      </c>
      <c r="S45" s="51" t="str">
        <f>IF(AND('Riesgos de Gestión'!$AI$70="Baja",'Riesgos de Gestión'!$AK$70="Menor"),CONCATENATE("R10C",'Riesgos de Gestión'!$V$70),"")</f>
        <v/>
      </c>
      <c r="T45" s="51" t="str">
        <f>IF(AND('Riesgos de Gestión'!$AI$71="Baja",'Riesgos de Gestión'!$AK$71="Menor"),CONCATENATE("R10C",'Riesgos de Gestión'!$V$71),"")</f>
        <v/>
      </c>
      <c r="U45" s="52" t="str">
        <f>IF(AND('Riesgos de Gestión'!$AI$72="Baja",'Riesgos de Gestión'!$AK$72="Menor"),CONCATENATE("R10C",'Riesgos de Gestión'!$V$72),"")</f>
        <v/>
      </c>
      <c r="V45" s="53" t="str">
        <f>IF(AND('Riesgos de Gestión'!$AI$67="Baja",'Riesgos de Gestión'!$AK$67="Moderado"),CONCATENATE("R10C",'Riesgos de Gestión'!$V$67),"")</f>
        <v/>
      </c>
      <c r="W45" s="54" t="str">
        <f>IF(AND('Riesgos de Gestión'!$AI$68="Baja",'Riesgos de Gestión'!$AK$68="Moderado"),CONCATENATE("R10C",'Riesgos de Gestión'!$V$68),"")</f>
        <v/>
      </c>
      <c r="X45" s="54" t="str">
        <f>IF(AND('Riesgos de Gestión'!$AI$69="Baja",'Riesgos de Gestión'!$AK$69="Moderado"),CONCATENATE("R10C",'Riesgos de Gestión'!$V$69),"")</f>
        <v/>
      </c>
      <c r="Y45" s="54" t="str">
        <f>IF(AND('Riesgos de Gestión'!$AI$70="Baja",'Riesgos de Gestión'!$AK$70="Moderado"),CONCATENATE("R10C",'Riesgos de Gestión'!$V$70),"")</f>
        <v/>
      </c>
      <c r="Z45" s="54" t="str">
        <f>IF(AND('Riesgos de Gestión'!$AI$71="Baja",'Riesgos de Gestión'!$AK$71="Moderado"),CONCATENATE("R10C",'Riesgos de Gestión'!$V$71),"")</f>
        <v/>
      </c>
      <c r="AA45" s="55" t="str">
        <f>IF(AND('Riesgos de Gestión'!$AI$72="Baja",'Riesgos de Gestión'!$AK$72="Moderado"),CONCATENATE("R10C",'Riesgos de Gestión'!$V$72),"")</f>
        <v/>
      </c>
      <c r="AB45" s="41" t="str">
        <f>IF(AND('Riesgos de Gestión'!$AI$67="Baja",'Riesgos de Gestión'!$AK$67="Mayor"),CONCATENATE("R10C",'Riesgos de Gestión'!$V$67),"")</f>
        <v/>
      </c>
      <c r="AC45" s="42" t="str">
        <f>IF(AND('Riesgos de Gestión'!$AI$68="Baja",'Riesgos de Gestión'!$AK$68="Mayor"),CONCATENATE("R10C",'Riesgos de Gestión'!$V$68),"")</f>
        <v/>
      </c>
      <c r="AD45" s="42" t="str">
        <f>IF(AND('Riesgos de Gestión'!$AI$69="Baja",'Riesgos de Gestión'!$AK$69="Mayor"),CONCATENATE("R10C",'Riesgos de Gestión'!$V$69),"")</f>
        <v/>
      </c>
      <c r="AE45" s="42" t="str">
        <f>IF(AND('Riesgos de Gestión'!$AI$70="Baja",'Riesgos de Gestión'!$AK$70="Mayor"),CONCATENATE("R10C",'Riesgos de Gestión'!$V$70),"")</f>
        <v/>
      </c>
      <c r="AF45" s="42" t="str">
        <f>IF(AND('Riesgos de Gestión'!$AI$71="Baja",'Riesgos de Gestión'!$AK$71="Mayor"),CONCATENATE("R10C",'Riesgos de Gestión'!$V$71),"")</f>
        <v/>
      </c>
      <c r="AG45" s="43" t="str">
        <f>IF(AND('Riesgos de Gestión'!$AI$72="Baja",'Riesgos de Gestión'!$AK$72="Mayor"),CONCATENATE("R10C",'Riesgos de Gestión'!$V$72),"")</f>
        <v/>
      </c>
      <c r="AH45" s="44" t="str">
        <f>IF(AND('Riesgos de Gestión'!$AI$67="Baja",'Riesgos de Gestión'!$AK$67="Catastrófico"),CONCATENATE("R10C",'Riesgos de Gestión'!$V$67),"")</f>
        <v/>
      </c>
      <c r="AI45" s="45" t="str">
        <f>IF(AND('Riesgos de Gestión'!$AI$68="Baja",'Riesgos de Gestión'!$AK$68="Catastrófico"),CONCATENATE("R10C",'Riesgos de Gestión'!$V$68),"")</f>
        <v/>
      </c>
      <c r="AJ45" s="45" t="str">
        <f>IF(AND('Riesgos de Gestión'!$AI$69="Baja",'Riesgos de Gestión'!$AK$69="Catastrófico"),CONCATENATE("R10C",'Riesgos de Gestión'!$V$69),"")</f>
        <v/>
      </c>
      <c r="AK45" s="45" t="str">
        <f>IF(AND('Riesgos de Gestión'!$AI$70="Baja",'Riesgos de Gestión'!$AK$70="Catastrófico"),CONCATENATE("R10C",'Riesgos de Gestión'!$V$70),"")</f>
        <v/>
      </c>
      <c r="AL45" s="45" t="str">
        <f>IF(AND('Riesgos de Gestión'!$AI$71="Baja",'Riesgos de Gestión'!$AK$71="Catastrófico"),CONCATENATE("R10C",'Riesgos de Gestión'!$V$71),"")</f>
        <v/>
      </c>
      <c r="AM45" s="46" t="str">
        <f>IF(AND('Riesgos de Gestión'!$AI$72="Baja",'Riesgos de Gestión'!$AK$72="Catastrófico"),CONCATENATE("R10C",'Riesgos de Gestión'!$V$72),"")</f>
        <v/>
      </c>
      <c r="AN45" s="66"/>
      <c r="AO45" s="563"/>
      <c r="AP45" s="564"/>
      <c r="AQ45" s="564"/>
      <c r="AR45" s="564"/>
      <c r="AS45" s="564"/>
      <c r="AT45" s="565"/>
    </row>
    <row r="46" spans="1:80" ht="46.5" customHeight="1" x14ac:dyDescent="0.35">
      <c r="A46" s="66"/>
      <c r="B46" s="441"/>
      <c r="C46" s="441"/>
      <c r="D46" s="442"/>
      <c r="E46" s="536" t="s">
        <v>290</v>
      </c>
      <c r="F46" s="537"/>
      <c r="G46" s="537"/>
      <c r="H46" s="537"/>
      <c r="I46" s="554"/>
      <c r="J46" s="56" t="str">
        <f>IF(AND('Riesgos de Gestión'!$AI$13="Muy Baja",'Riesgos de Gestión'!$AK$13="Leve"),CONCATENATE("R1C",'Riesgos de Gestión'!$V$13),"")</f>
        <v/>
      </c>
      <c r="K46" s="57" t="str">
        <f>IF(AND('Riesgos de Gestión'!$AI$14="Muy Baja",'Riesgos de Gestión'!$AK$14="Leve"),CONCATENATE("R1C",'Riesgos de Gestión'!$V$14),"")</f>
        <v/>
      </c>
      <c r="L46" s="57" t="e">
        <f>IF(AND('Riesgos de Gestión'!#REF!="Muy Baja",'Riesgos de Gestión'!#REF!="Leve"),CONCATENATE("R1C",'Riesgos de Gestión'!#REF!),"")</f>
        <v>#REF!</v>
      </c>
      <c r="M46" s="57" t="e">
        <f>IF(AND('Riesgos de Gestión'!#REF!="Muy Baja",'Riesgos de Gestión'!#REF!="Leve"),CONCATENATE("R1C",'Riesgos de Gestión'!#REF!),"")</f>
        <v>#REF!</v>
      </c>
      <c r="N46" s="57" t="e">
        <f>IF(AND('Riesgos de Gestión'!#REF!="Muy Baja",'Riesgos de Gestión'!#REF!="Leve"),CONCATENATE("R1C",'Riesgos de Gestión'!#REF!),"")</f>
        <v>#REF!</v>
      </c>
      <c r="O46" s="58" t="e">
        <f>IF(AND('Riesgos de Gestión'!#REF!="Muy Baja",'Riesgos de Gestión'!#REF!="Leve"),CONCATENATE("R1C",'Riesgos de Gestión'!#REF!),"")</f>
        <v>#REF!</v>
      </c>
      <c r="P46" s="56" t="str">
        <f>IF(AND('Riesgos de Gestión'!$AI$13="Muy Baja",'Riesgos de Gestión'!$AK$13="Menor"),CONCATENATE("R1C",'Riesgos de Gestión'!$V$13),"")</f>
        <v/>
      </c>
      <c r="Q46" s="57" t="str">
        <f>IF(AND('Riesgos de Gestión'!$AI$14="Muy Baja",'Riesgos de Gestión'!$AK$14="Menor"),CONCATENATE("R1C",'Riesgos de Gestión'!$V$14),"")</f>
        <v>R1C2</v>
      </c>
      <c r="R46" s="57" t="e">
        <f>IF(AND('Riesgos de Gestión'!#REF!="Muy Baja",'Riesgos de Gestión'!#REF!="Menor"),CONCATENATE("R1C",'Riesgos de Gestión'!#REF!),"")</f>
        <v>#REF!</v>
      </c>
      <c r="S46" s="57" t="e">
        <f>IF(AND('Riesgos de Gestión'!#REF!="Muy Baja",'Riesgos de Gestión'!#REF!="Menor"),CONCATENATE("R1C",'Riesgos de Gestión'!#REF!),"")</f>
        <v>#REF!</v>
      </c>
      <c r="T46" s="57" t="e">
        <f>IF(AND('Riesgos de Gestión'!#REF!="Muy Baja",'Riesgos de Gestión'!#REF!="Menor"),CONCATENATE("R1C",'Riesgos de Gestión'!#REF!),"")</f>
        <v>#REF!</v>
      </c>
      <c r="U46" s="58" t="e">
        <f>IF(AND('Riesgos de Gestión'!#REF!="Muy Baja",'Riesgos de Gestión'!#REF!="Menor"),CONCATENATE("R1C",'Riesgos de Gestión'!#REF!),"")</f>
        <v>#REF!</v>
      </c>
      <c r="V46" s="47" t="str">
        <f>IF(AND('Riesgos de Gestión'!$AI$13="Muy Baja",'Riesgos de Gestión'!$AK$13="Moderado"),CONCATENATE("R1C",'Riesgos de Gestión'!$V$13),"")</f>
        <v/>
      </c>
      <c r="W46" s="65" t="str">
        <f>IF(AND('Riesgos de Gestión'!$AI$14="Muy Baja",'Riesgos de Gestión'!$AK$14="Moderado"),CONCATENATE("R1C",'Riesgos de Gestión'!$V$14),"")</f>
        <v/>
      </c>
      <c r="X46" s="48" t="e">
        <f>IF(AND('Riesgos de Gestión'!#REF!="Muy Baja",'Riesgos de Gestión'!#REF!="Moderado"),CONCATENATE("R1C",'Riesgos de Gestión'!#REF!),"")</f>
        <v>#REF!</v>
      </c>
      <c r="Y46" s="48" t="e">
        <f>IF(AND('Riesgos de Gestión'!#REF!="Muy Baja",'Riesgos de Gestión'!#REF!="Moderado"),CONCATENATE("R1C",'Riesgos de Gestión'!#REF!),"")</f>
        <v>#REF!</v>
      </c>
      <c r="Z46" s="48" t="e">
        <f>IF(AND('Riesgos de Gestión'!#REF!="Muy Baja",'Riesgos de Gestión'!#REF!="Moderado"),CONCATENATE("R1C",'Riesgos de Gestión'!#REF!),"")</f>
        <v>#REF!</v>
      </c>
      <c r="AA46" s="49" t="e">
        <f>IF(AND('Riesgos de Gestión'!#REF!="Muy Baja",'Riesgos de Gestión'!#REF!="Moderado"),CONCATENATE("R1C",'Riesgos de Gestión'!#REF!),"")</f>
        <v>#REF!</v>
      </c>
      <c r="AB46" s="29" t="str">
        <f>IF(AND('Riesgos de Gestión'!$AI$13="Muy Baja",'Riesgos de Gestión'!$AK$13="Mayor"),CONCATENATE("R1C",'Riesgos de Gestión'!$V$13),"")</f>
        <v/>
      </c>
      <c r="AC46" s="30" t="str">
        <f>IF(AND('Riesgos de Gestión'!$AI$14="Muy Baja",'Riesgos de Gestión'!$AK$14="Mayor"),CONCATENATE("R1C",'Riesgos de Gestión'!$V$14),"")</f>
        <v/>
      </c>
      <c r="AD46" s="30" t="e">
        <f>IF(AND('Riesgos de Gestión'!#REF!="Muy Baja",'Riesgos de Gestión'!#REF!="Mayor"),CONCATENATE("R1C",'Riesgos de Gestión'!#REF!),"")</f>
        <v>#REF!</v>
      </c>
      <c r="AE46" s="30" t="e">
        <f>IF(AND('Riesgos de Gestión'!#REF!="Muy Baja",'Riesgos de Gestión'!#REF!="Mayor"),CONCATENATE("R1C",'Riesgos de Gestión'!#REF!),"")</f>
        <v>#REF!</v>
      </c>
      <c r="AF46" s="30" t="e">
        <f>IF(AND('Riesgos de Gestión'!#REF!="Muy Baja",'Riesgos de Gestión'!#REF!="Mayor"),CONCATENATE("R1C",'Riesgos de Gestión'!#REF!),"")</f>
        <v>#REF!</v>
      </c>
      <c r="AG46" s="31" t="e">
        <f>IF(AND('Riesgos de Gestión'!#REF!="Muy Baja",'Riesgos de Gestión'!#REF!="Mayor"),CONCATENATE("R1C",'Riesgos de Gestión'!#REF!),"")</f>
        <v>#REF!</v>
      </c>
      <c r="AH46" s="32" t="str">
        <f>IF(AND('Riesgos de Gestión'!$AI$13="Muy Baja",'Riesgos de Gestión'!$AK$13="Catastrófico"),CONCATENATE("R1C",'Riesgos de Gestión'!$V$13),"")</f>
        <v/>
      </c>
      <c r="AI46" s="33" t="str">
        <f>IF(AND('Riesgos de Gestión'!$AI$14="Muy Baja",'Riesgos de Gestión'!$AK$14="Catastrófico"),CONCATENATE("R1C",'Riesgos de Gestión'!$V$14),"")</f>
        <v/>
      </c>
      <c r="AJ46" s="33" t="e">
        <f>IF(AND('Riesgos de Gestión'!#REF!="Muy Baja",'Riesgos de Gestión'!#REF!="Catastrófico"),CONCATENATE("R1C",'Riesgos de Gestión'!#REF!),"")</f>
        <v>#REF!</v>
      </c>
      <c r="AK46" s="33" t="e">
        <f>IF(AND('Riesgos de Gestión'!#REF!="Muy Baja",'Riesgos de Gestión'!#REF!="Catastrófico"),CONCATENATE("R1C",'Riesgos de Gestión'!#REF!),"")</f>
        <v>#REF!</v>
      </c>
      <c r="AL46" s="33" t="e">
        <f>IF(AND('Riesgos de Gestión'!#REF!="Muy Baja",'Riesgos de Gestión'!#REF!="Catastrófico"),CONCATENATE("R1C",'Riesgos de Gestión'!#REF!),"")</f>
        <v>#REF!</v>
      </c>
      <c r="AM46" s="34" t="e">
        <f>IF(AND('Riesgos de Gestión'!#REF!="Muy Baja",'Riesgos de Gestión'!#REF!="Catastrófico"),CONCATENATE("R1C",'Riesgos de Gestión'!#REF!),"")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41"/>
      <c r="C47" s="441"/>
      <c r="D47" s="442"/>
      <c r="E47" s="538"/>
      <c r="F47" s="539"/>
      <c r="G47" s="539"/>
      <c r="H47" s="539"/>
      <c r="I47" s="555"/>
      <c r="J47" s="59" t="str">
        <f>IF(AND('Riesgos de Gestión'!$AI$19="Muy Baja",'Riesgos de Gestión'!$AK$19="Leve"),CONCATENATE("R2C",'Riesgos de Gestión'!$V$19),"")</f>
        <v/>
      </c>
      <c r="K47" s="60" t="str">
        <f>IF(AND('Riesgos de Gestión'!$AI$20="Muy Baja",'Riesgos de Gestión'!$AK$20="Leve"),CONCATENATE("R2C",'Riesgos de Gestión'!$V$20),"")</f>
        <v/>
      </c>
      <c r="L47" s="60" t="str">
        <f>IF(AND('Riesgos de Gestión'!$AI$21="Muy Baja",'Riesgos de Gestión'!$AK$21="Leve"),CONCATENATE("R2C",'Riesgos de Gestión'!$V$21),"")</f>
        <v/>
      </c>
      <c r="M47" s="60" t="str">
        <f>IF(AND('Riesgos de Gestión'!$AI$22="Muy Baja",'Riesgos de Gestión'!$AK$22="Leve"),CONCATENATE("R2C",'Riesgos de Gestión'!$V$22),"")</f>
        <v/>
      </c>
      <c r="N47" s="60" t="str">
        <f>IF(AND('Riesgos de Gestión'!$AI$23="Muy Baja",'Riesgos de Gestión'!$AK$23="Leve"),CONCATENATE("R2C",'Riesgos de Gestión'!$V$23),"")</f>
        <v/>
      </c>
      <c r="O47" s="61" t="str">
        <f>IF(AND('Riesgos de Gestión'!$AI$24="Muy Baja",'Riesgos de Gestión'!$AK$24="Leve"),CONCATENATE("R2C",'Riesgos de Gestión'!$V$24),"")</f>
        <v/>
      </c>
      <c r="P47" s="59" t="str">
        <f>IF(AND('Riesgos de Gestión'!$AI$19="Muy Baja",'Riesgos de Gestión'!$AK$19="Menor"),CONCATENATE("R2C",'Riesgos de Gestión'!$V$19),"")</f>
        <v/>
      </c>
      <c r="Q47" s="60" t="str">
        <f>IF(AND('Riesgos de Gestión'!$AI$20="Muy Baja",'Riesgos de Gestión'!$AK$20="Menor"),CONCATENATE("R2C",'Riesgos de Gestión'!$V$20),"")</f>
        <v/>
      </c>
      <c r="R47" s="60" t="str">
        <f>IF(AND('Riesgos de Gestión'!$AI$21="Muy Baja",'Riesgos de Gestión'!$AK$21="Menor"),CONCATENATE("R2C",'Riesgos de Gestión'!$V$21),"")</f>
        <v/>
      </c>
      <c r="S47" s="60" t="str">
        <f>IF(AND('Riesgos de Gestión'!$AI$22="Muy Baja",'Riesgos de Gestión'!$AK$22="Menor"),CONCATENATE("R2C",'Riesgos de Gestión'!$V$22),"")</f>
        <v/>
      </c>
      <c r="T47" s="60" t="str">
        <f>IF(AND('Riesgos de Gestión'!$AI$23="Muy Baja",'Riesgos de Gestión'!$AK$23="Menor"),CONCATENATE("R2C",'Riesgos de Gestión'!$V$23),"")</f>
        <v/>
      </c>
      <c r="U47" s="61" t="str">
        <f>IF(AND('Riesgos de Gestión'!$AI$24="Muy Baja",'Riesgos de Gestión'!$AK$24="Menor"),CONCATENATE("R2C",'Riesgos de Gestión'!$V$24),"")</f>
        <v/>
      </c>
      <c r="V47" s="50" t="str">
        <f>IF(AND('Riesgos de Gestión'!$AI$19="Muy Baja",'Riesgos de Gestión'!$AK$19="Moderado"),CONCATENATE("R2C",'Riesgos de Gestión'!$V$19),"")</f>
        <v/>
      </c>
      <c r="W47" s="51" t="str">
        <f>IF(AND('Riesgos de Gestión'!$AI$20="Muy Baja",'Riesgos de Gestión'!$AK$20="Moderado"),CONCATENATE("R2C",'Riesgos de Gestión'!$V$20),"")</f>
        <v/>
      </c>
      <c r="X47" s="51" t="str">
        <f>IF(AND('Riesgos de Gestión'!$AI$21="Muy Baja",'Riesgos de Gestión'!$AK$21="Moderado"),CONCATENATE("R2C",'Riesgos de Gestión'!$V$21),"")</f>
        <v/>
      </c>
      <c r="Y47" s="51" t="str">
        <f>IF(AND('Riesgos de Gestión'!$AI$22="Muy Baja",'Riesgos de Gestión'!$AK$22="Moderado"),CONCATENATE("R2C",'Riesgos de Gestión'!$V$22),"")</f>
        <v/>
      </c>
      <c r="Z47" s="51" t="str">
        <f>IF(AND('Riesgos de Gestión'!$AI$23="Muy Baja",'Riesgos de Gestión'!$AK$23="Moderado"),CONCATENATE("R2C",'Riesgos de Gestión'!$V$23),"")</f>
        <v/>
      </c>
      <c r="AA47" s="52" t="str">
        <f>IF(AND('Riesgos de Gestión'!$AI$24="Muy Baja",'Riesgos de Gestión'!$AK$24="Moderado"),CONCATENATE("R2C",'Riesgos de Gestión'!$V$24),"")</f>
        <v/>
      </c>
      <c r="AB47" s="35" t="str">
        <f>IF(AND('Riesgos de Gestión'!$AI$19="Muy Baja",'Riesgos de Gestión'!$AK$19="Mayor"),CONCATENATE("R2C",'Riesgos de Gestión'!$V$19),"")</f>
        <v/>
      </c>
      <c r="AC47" s="36" t="str">
        <f>IF(AND('Riesgos de Gestión'!$AI$20="Muy Baja",'Riesgos de Gestión'!$AK$20="Mayor"),CONCATENATE("R2C",'Riesgos de Gestión'!$V$20),"")</f>
        <v/>
      </c>
      <c r="AD47" s="36" t="str">
        <f>IF(AND('Riesgos de Gestión'!$AI$21="Muy Baja",'Riesgos de Gestión'!$AK$21="Mayor"),CONCATENATE("R2C",'Riesgos de Gestión'!$V$21),"")</f>
        <v/>
      </c>
      <c r="AE47" s="36" t="str">
        <f>IF(AND('Riesgos de Gestión'!$AI$22="Muy Baja",'Riesgos de Gestión'!$AK$22="Mayor"),CONCATENATE("R2C",'Riesgos de Gestión'!$V$22),"")</f>
        <v/>
      </c>
      <c r="AF47" s="36" t="str">
        <f>IF(AND('Riesgos de Gestión'!$AI$23="Muy Baja",'Riesgos de Gestión'!$AK$23="Mayor"),CONCATENATE("R2C",'Riesgos de Gestión'!$V$23),"")</f>
        <v/>
      </c>
      <c r="AG47" s="37" t="str">
        <f>IF(AND('Riesgos de Gestión'!$AI$24="Muy Baja",'Riesgos de Gestión'!$AK$24="Mayor"),CONCATENATE("R2C",'Riesgos de Gestión'!$V$24),"")</f>
        <v/>
      </c>
      <c r="AH47" s="38" t="str">
        <f>IF(AND('Riesgos de Gestión'!$AI$19="Muy Baja",'Riesgos de Gestión'!$AK$19="Catastrófico"),CONCATENATE("R2C",'Riesgos de Gestión'!$V$19),"")</f>
        <v/>
      </c>
      <c r="AI47" s="39" t="str">
        <f>IF(AND('Riesgos de Gestión'!$AI$20="Muy Baja",'Riesgos de Gestión'!$AK$20="Catastrófico"),CONCATENATE("R2C",'Riesgos de Gestión'!$V$20),"")</f>
        <v/>
      </c>
      <c r="AJ47" s="39" t="str">
        <f>IF(AND('Riesgos de Gestión'!$AI$21="Muy Baja",'Riesgos de Gestión'!$AK$21="Catastrófico"),CONCATENATE("R2C",'Riesgos de Gestión'!$V$21),"")</f>
        <v/>
      </c>
      <c r="AK47" s="39" t="str">
        <f>IF(AND('Riesgos de Gestión'!$AI$22="Muy Baja",'Riesgos de Gestión'!$AK$22="Catastrófico"),CONCATENATE("R2C",'Riesgos de Gestión'!$V$22),"")</f>
        <v/>
      </c>
      <c r="AL47" s="39" t="str">
        <f>IF(AND('Riesgos de Gestión'!$AI$23="Muy Baja",'Riesgos de Gestión'!$AK$23="Catastrófico"),CONCATENATE("R2C",'Riesgos de Gestión'!$V$23),"")</f>
        <v/>
      </c>
      <c r="AM47" s="40" t="str">
        <f>IF(AND('Riesgos de Gestión'!$AI$24="Muy Baja",'Riesgos de Gestión'!$AK$24="Catastrófico"),CONCATENATE("R2C",'Riesgos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41"/>
      <c r="C48" s="441"/>
      <c r="D48" s="442"/>
      <c r="E48" s="538"/>
      <c r="F48" s="539"/>
      <c r="G48" s="539"/>
      <c r="H48" s="539"/>
      <c r="I48" s="555"/>
      <c r="J48" s="59" t="str">
        <f>IF(AND('Riesgos de Gestión'!$AI$25="Muy Baja",'Riesgos de Gestión'!$AK$25="Leve"),CONCATENATE("R3C",'Riesgos de Gestión'!$V$25),"")</f>
        <v/>
      </c>
      <c r="K48" s="60" t="str">
        <f>IF(AND('Riesgos de Gestión'!$AI$26="Muy Baja",'Riesgos de Gestión'!$AK$26="Leve"),CONCATENATE("R3C",'Riesgos de Gestión'!$V$26),"")</f>
        <v/>
      </c>
      <c r="L48" s="60" t="str">
        <f>IF(AND('Riesgos de Gestión'!$AI$27="Muy Baja",'Riesgos de Gestión'!$AK$27="Leve"),CONCATENATE("R3C",'Riesgos de Gestión'!$V$27),"")</f>
        <v/>
      </c>
      <c r="M48" s="60" t="str">
        <f>IF(AND('Riesgos de Gestión'!$AI$28="Muy Baja",'Riesgos de Gestión'!$AK$28="Leve"),CONCATENATE("R3C",'Riesgos de Gestión'!$V$28),"")</f>
        <v/>
      </c>
      <c r="N48" s="60" t="str">
        <f>IF(AND('Riesgos de Gestión'!$AI$29="Muy Baja",'Riesgos de Gestión'!$AK$29="Leve"),CONCATENATE("R3C",'Riesgos de Gestión'!$V$29),"")</f>
        <v/>
      </c>
      <c r="O48" s="61" t="str">
        <f>IF(AND('Riesgos de Gestión'!$AI$30="Muy Baja",'Riesgos de Gestión'!$AK$30="Leve"),CONCATENATE("R3C",'Riesgos de Gestión'!$V$30),"")</f>
        <v/>
      </c>
      <c r="P48" s="59" t="str">
        <f>IF(AND('Riesgos de Gestión'!$AI$25="Muy Baja",'Riesgos de Gestión'!$AK$25="Menor"),CONCATENATE("R3C",'Riesgos de Gestión'!$V$25),"")</f>
        <v/>
      </c>
      <c r="Q48" s="60" t="str">
        <f>IF(AND('Riesgos de Gestión'!$AI$26="Muy Baja",'Riesgos de Gestión'!$AK$26="Menor"),CONCATENATE("R3C",'Riesgos de Gestión'!$V$26),"")</f>
        <v/>
      </c>
      <c r="R48" s="60" t="str">
        <f>IF(AND('Riesgos de Gestión'!$AI$27="Muy Baja",'Riesgos de Gestión'!$AK$27="Menor"),CONCATENATE("R3C",'Riesgos de Gestión'!$V$27),"")</f>
        <v/>
      </c>
      <c r="S48" s="60" t="str">
        <f>IF(AND('Riesgos de Gestión'!$AI$28="Muy Baja",'Riesgos de Gestión'!$AK$28="Menor"),CONCATENATE("R3C",'Riesgos de Gestión'!$V$28),"")</f>
        <v/>
      </c>
      <c r="T48" s="60" t="str">
        <f>IF(AND('Riesgos de Gestión'!$AI$29="Muy Baja",'Riesgos de Gestión'!$AK$29="Menor"),CONCATENATE("R3C",'Riesgos de Gestión'!$V$29),"")</f>
        <v/>
      </c>
      <c r="U48" s="61" t="str">
        <f>IF(AND('Riesgos de Gestión'!$AI$30="Muy Baja",'Riesgos de Gestión'!$AK$30="Menor"),CONCATENATE("R3C",'Riesgos de Gestión'!$V$30),"")</f>
        <v/>
      </c>
      <c r="V48" s="50" t="str">
        <f>IF(AND('Riesgos de Gestión'!$AI$25="Muy Baja",'Riesgos de Gestión'!$AK$25="Moderado"),CONCATENATE("R3C",'Riesgos de Gestión'!$V$25),"")</f>
        <v/>
      </c>
      <c r="W48" s="51" t="str">
        <f>IF(AND('Riesgos de Gestión'!$AI$26="Muy Baja",'Riesgos de Gestión'!$AK$26="Moderado"),CONCATENATE("R3C",'Riesgos de Gestión'!$V$26),"")</f>
        <v/>
      </c>
      <c r="X48" s="51" t="str">
        <f>IF(AND('Riesgos de Gestión'!$AI$27="Muy Baja",'Riesgos de Gestión'!$AK$27="Moderado"),CONCATENATE("R3C",'Riesgos de Gestión'!$V$27),"")</f>
        <v/>
      </c>
      <c r="Y48" s="51" t="str">
        <f>IF(AND('Riesgos de Gestión'!$AI$28="Muy Baja",'Riesgos de Gestión'!$AK$28="Moderado"),CONCATENATE("R3C",'Riesgos de Gestión'!$V$28),"")</f>
        <v/>
      </c>
      <c r="Z48" s="51" t="str">
        <f>IF(AND('Riesgos de Gestión'!$AI$29="Muy Baja",'Riesgos de Gestión'!$AK$29="Moderado"),CONCATENATE("R3C",'Riesgos de Gestión'!$V$29),"")</f>
        <v/>
      </c>
      <c r="AA48" s="52" t="str">
        <f>IF(AND('Riesgos de Gestión'!$AI$30="Muy Baja",'Riesgos de Gestión'!$AK$30="Moderado"),CONCATENATE("R3C",'Riesgos de Gestión'!$V$30),"")</f>
        <v/>
      </c>
      <c r="AB48" s="35" t="str">
        <f>IF(AND('Riesgos de Gestión'!$AI$25="Muy Baja",'Riesgos de Gestión'!$AK$25="Mayor"),CONCATENATE("R3C",'Riesgos de Gestión'!$V$25),"")</f>
        <v/>
      </c>
      <c r="AC48" s="36" t="str">
        <f>IF(AND('Riesgos de Gestión'!$AI$26="Muy Baja",'Riesgos de Gestión'!$AK$26="Mayor"),CONCATENATE("R3C",'Riesgos de Gestión'!$V$26),"")</f>
        <v/>
      </c>
      <c r="AD48" s="36" t="str">
        <f>IF(AND('Riesgos de Gestión'!$AI$27="Muy Baja",'Riesgos de Gestión'!$AK$27="Mayor"),CONCATENATE("R3C",'Riesgos de Gestión'!$V$27),"")</f>
        <v/>
      </c>
      <c r="AE48" s="36" t="str">
        <f>IF(AND('Riesgos de Gestión'!$AI$28="Muy Baja",'Riesgos de Gestión'!$AK$28="Mayor"),CONCATENATE("R3C",'Riesgos de Gestión'!$V$28),"")</f>
        <v/>
      </c>
      <c r="AF48" s="36" t="str">
        <f>IF(AND('Riesgos de Gestión'!$AI$29="Muy Baja",'Riesgos de Gestión'!$AK$29="Mayor"),CONCATENATE("R3C",'Riesgos de Gestión'!$V$29),"")</f>
        <v/>
      </c>
      <c r="AG48" s="37" t="str">
        <f>IF(AND('Riesgos de Gestión'!$AI$30="Muy Baja",'Riesgos de Gestión'!$AK$30="Mayor"),CONCATENATE("R3C",'Riesgos de Gestión'!$V$30),"")</f>
        <v/>
      </c>
      <c r="AH48" s="38" t="str">
        <f>IF(AND('Riesgos de Gestión'!$AI$25="Muy Baja",'Riesgos de Gestión'!$AK$25="Catastrófico"),CONCATENATE("R3C",'Riesgos de Gestión'!$V$25),"")</f>
        <v/>
      </c>
      <c r="AI48" s="39" t="str">
        <f>IF(AND('Riesgos de Gestión'!$AI$26="Muy Baja",'Riesgos de Gestión'!$AK$26="Catastrófico"),CONCATENATE("R3C",'Riesgos de Gestión'!$V$26),"")</f>
        <v/>
      </c>
      <c r="AJ48" s="39" t="str">
        <f>IF(AND('Riesgos de Gestión'!$AI$27="Muy Baja",'Riesgos de Gestión'!$AK$27="Catastrófico"),CONCATENATE("R3C",'Riesgos de Gestión'!$V$27),"")</f>
        <v/>
      </c>
      <c r="AK48" s="39" t="str">
        <f>IF(AND('Riesgos de Gestión'!$AI$28="Muy Baja",'Riesgos de Gestión'!$AK$28="Catastrófico"),CONCATENATE("R3C",'Riesgos de Gestión'!$V$28),"")</f>
        <v/>
      </c>
      <c r="AL48" s="39" t="str">
        <f>IF(AND('Riesgos de Gestión'!$AI$29="Muy Baja",'Riesgos de Gestión'!$AK$29="Catastrófico"),CONCATENATE("R3C",'Riesgos de Gestión'!$V$29),"")</f>
        <v/>
      </c>
      <c r="AM48" s="40" t="str">
        <f>IF(AND('Riesgos de Gestión'!$AI$30="Muy Baja",'Riesgos de Gestión'!$AK$30="Catastrófico"),CONCATENATE("R3C",'Riesgos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41"/>
      <c r="C49" s="441"/>
      <c r="D49" s="442"/>
      <c r="E49" s="540"/>
      <c r="F49" s="539"/>
      <c r="G49" s="539"/>
      <c r="H49" s="539"/>
      <c r="I49" s="555"/>
      <c r="J49" s="59" t="str">
        <f>IF(AND('Riesgos de Gestión'!$AI$31="Muy Baja",'Riesgos de Gestión'!$AK$31="Leve"),CONCATENATE("R4C",'Riesgos de Gestión'!$V$31),"")</f>
        <v/>
      </c>
      <c r="K49" s="60" t="str">
        <f>IF(AND('Riesgos de Gestión'!$AI$32="Muy Baja",'Riesgos de Gestión'!$AK$32="Leve"),CONCATENATE("R4C",'Riesgos de Gestión'!$V$32),"")</f>
        <v/>
      </c>
      <c r="L49" s="60" t="str">
        <f>IF(AND('Riesgos de Gestión'!$AI$33="Muy Baja",'Riesgos de Gestión'!$AK$33="Leve"),CONCATENATE("R4C",'Riesgos de Gestión'!$V$33),"")</f>
        <v/>
      </c>
      <c r="M49" s="60" t="str">
        <f>IF(AND('Riesgos de Gestión'!$AI$34="Muy Baja",'Riesgos de Gestión'!$AK$34="Leve"),CONCATENATE("R4C",'Riesgos de Gestión'!$V$34),"")</f>
        <v/>
      </c>
      <c r="N49" s="60" t="str">
        <f>IF(AND('Riesgos de Gestión'!$AI$35="Muy Baja",'Riesgos de Gestión'!$AK$35="Leve"),CONCATENATE("R4C",'Riesgos de Gestión'!$V$35),"")</f>
        <v/>
      </c>
      <c r="O49" s="61" t="str">
        <f>IF(AND('Riesgos de Gestión'!$AI$36="Muy Baja",'Riesgos de Gestión'!$AK$36="Leve"),CONCATENATE("R4C",'Riesgos de Gestión'!$V$36),"")</f>
        <v/>
      </c>
      <c r="P49" s="59" t="str">
        <f>IF(AND('Riesgos de Gestión'!$AI$31="Muy Baja",'Riesgos de Gestión'!$AK$31="Menor"),CONCATENATE("R4C",'Riesgos de Gestión'!$V$31),"")</f>
        <v/>
      </c>
      <c r="Q49" s="60" t="str">
        <f>IF(AND('Riesgos de Gestión'!$AI$32="Muy Baja",'Riesgos de Gestión'!$AK$32="Menor"),CONCATENATE("R4C",'Riesgos de Gestión'!$V$32),"")</f>
        <v/>
      </c>
      <c r="R49" s="60" t="str">
        <f>IF(AND('Riesgos de Gestión'!$AI$33="Muy Baja",'Riesgos de Gestión'!$AK$33="Menor"),CONCATENATE("R4C",'Riesgos de Gestión'!$V$33),"")</f>
        <v/>
      </c>
      <c r="S49" s="60" t="str">
        <f>IF(AND('Riesgos de Gestión'!$AI$34="Muy Baja",'Riesgos de Gestión'!$AK$34="Menor"),CONCATENATE("R4C",'Riesgos de Gestión'!$V$34),"")</f>
        <v/>
      </c>
      <c r="T49" s="60" t="str">
        <f>IF(AND('Riesgos de Gestión'!$AI$35="Muy Baja",'Riesgos de Gestión'!$AK$35="Menor"),CONCATENATE("R4C",'Riesgos de Gestión'!$V$35),"")</f>
        <v/>
      </c>
      <c r="U49" s="61" t="str">
        <f>IF(AND('Riesgos de Gestión'!$AI$36="Muy Baja",'Riesgos de Gestión'!$AK$36="Menor"),CONCATENATE("R4C",'Riesgos de Gestión'!$V$36),"")</f>
        <v/>
      </c>
      <c r="V49" s="50" t="str">
        <f>IF(AND('Riesgos de Gestión'!$AI$31="Muy Baja",'Riesgos de Gestión'!$AK$31="Moderado"),CONCATENATE("R4C",'Riesgos de Gestión'!$V$31),"")</f>
        <v/>
      </c>
      <c r="W49" s="51" t="str">
        <f>IF(AND('Riesgos de Gestión'!$AI$32="Muy Baja",'Riesgos de Gestión'!$AK$32="Moderado"),CONCATENATE("R4C",'Riesgos de Gestión'!$V$32),"")</f>
        <v/>
      </c>
      <c r="X49" s="51" t="str">
        <f>IF(AND('Riesgos de Gestión'!$AI$33="Muy Baja",'Riesgos de Gestión'!$AK$33="Moderado"),CONCATENATE("R4C",'Riesgos de Gestión'!$V$33),"")</f>
        <v/>
      </c>
      <c r="Y49" s="51" t="str">
        <f>IF(AND('Riesgos de Gestión'!$AI$34="Muy Baja",'Riesgos de Gestión'!$AK$34="Moderado"),CONCATENATE("R4C",'Riesgos de Gestión'!$V$34),"")</f>
        <v/>
      </c>
      <c r="Z49" s="51" t="str">
        <f>IF(AND('Riesgos de Gestión'!$AI$35="Muy Baja",'Riesgos de Gestión'!$AK$35="Moderado"),CONCATENATE("R4C",'Riesgos de Gestión'!$V$35),"")</f>
        <v/>
      </c>
      <c r="AA49" s="52" t="str">
        <f>IF(AND('Riesgos de Gestión'!$AI$36="Muy Baja",'Riesgos de Gestión'!$AK$36="Moderado"),CONCATENATE("R4C",'Riesgos de Gestión'!$V$36),"")</f>
        <v/>
      </c>
      <c r="AB49" s="35" t="str">
        <f>IF(AND('Riesgos de Gestión'!$AI$31="Muy Baja",'Riesgos de Gestión'!$AK$31="Mayor"),CONCATENATE("R4C",'Riesgos de Gestión'!$V$31),"")</f>
        <v/>
      </c>
      <c r="AC49" s="36" t="str">
        <f>IF(AND('Riesgos de Gestión'!$AI$32="Muy Baja",'Riesgos de Gestión'!$AK$32="Mayor"),CONCATENATE("R4C",'Riesgos de Gestión'!$V$32),"")</f>
        <v/>
      </c>
      <c r="AD49" s="36" t="str">
        <f>IF(AND('Riesgos de Gestión'!$AI$33="Muy Baja",'Riesgos de Gestión'!$AK$33="Mayor"),CONCATENATE("R4C",'Riesgos de Gestión'!$V$33),"")</f>
        <v/>
      </c>
      <c r="AE49" s="36" t="str">
        <f>IF(AND('Riesgos de Gestión'!$AI$34="Muy Baja",'Riesgos de Gestión'!$AK$34="Mayor"),CONCATENATE("R4C",'Riesgos de Gestión'!$V$34),"")</f>
        <v/>
      </c>
      <c r="AF49" s="36" t="str">
        <f>IF(AND('Riesgos de Gestión'!$AI$35="Muy Baja",'Riesgos de Gestión'!$AK$35="Mayor"),CONCATENATE("R4C",'Riesgos de Gestión'!$V$35),"")</f>
        <v/>
      </c>
      <c r="AG49" s="37" t="str">
        <f>IF(AND('Riesgos de Gestión'!$AI$36="Muy Baja",'Riesgos de Gestión'!$AK$36="Mayor"),CONCATENATE("R4C",'Riesgos de Gestión'!$V$36),"")</f>
        <v/>
      </c>
      <c r="AH49" s="38" t="str">
        <f>IF(AND('Riesgos de Gestión'!$AI$31="Muy Baja",'Riesgos de Gestión'!$AK$31="Catastrófico"),CONCATENATE("R4C",'Riesgos de Gestión'!$V$31),"")</f>
        <v/>
      </c>
      <c r="AI49" s="39" t="str">
        <f>IF(AND('Riesgos de Gestión'!$AI$32="Muy Baja",'Riesgos de Gestión'!$AK$32="Catastrófico"),CONCATENATE("R4C",'Riesgos de Gestión'!$V$32),"")</f>
        <v/>
      </c>
      <c r="AJ49" s="39" t="str">
        <f>IF(AND('Riesgos de Gestión'!$AI$33="Muy Baja",'Riesgos de Gestión'!$AK$33="Catastrófico"),CONCATENATE("R4C",'Riesgos de Gestión'!$V$33),"")</f>
        <v/>
      </c>
      <c r="AK49" s="39" t="str">
        <f>IF(AND('Riesgos de Gestión'!$AI$34="Muy Baja",'Riesgos de Gestión'!$AK$34="Catastrófico"),CONCATENATE("R4C",'Riesgos de Gestión'!$V$34),"")</f>
        <v/>
      </c>
      <c r="AL49" s="39" t="str">
        <f>IF(AND('Riesgos de Gestión'!$AI$35="Muy Baja",'Riesgos de Gestión'!$AK$35="Catastrófico"),CONCATENATE("R4C",'Riesgos de Gestión'!$V$35),"")</f>
        <v/>
      </c>
      <c r="AM49" s="40" t="str">
        <f>IF(AND('Riesgos de Gestión'!$AI$36="Muy Baja",'Riesgos de Gestión'!$AK$36="Catastrófico"),CONCATENATE("R4C",'Riesgos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41"/>
      <c r="C50" s="441"/>
      <c r="D50" s="442"/>
      <c r="E50" s="540"/>
      <c r="F50" s="539"/>
      <c r="G50" s="539"/>
      <c r="H50" s="539"/>
      <c r="I50" s="555"/>
      <c r="J50" s="59" t="str">
        <f>IF(AND('Riesgos de Gestión'!$AI$37="Muy Baja",'Riesgos de Gestión'!$AK$37="Leve"),CONCATENATE("R5C",'Riesgos de Gestión'!$V$37),"")</f>
        <v/>
      </c>
      <c r="K50" s="60" t="str">
        <f>IF(AND('Riesgos de Gestión'!$AI$38="Muy Baja",'Riesgos de Gestión'!$AK$38="Leve"),CONCATENATE("R5C",'Riesgos de Gestión'!$V$38),"")</f>
        <v/>
      </c>
      <c r="L50" s="60" t="str">
        <f>IF(AND('Riesgos de Gestión'!$AI$39="Muy Baja",'Riesgos de Gestión'!$AK$39="Leve"),CONCATENATE("R5C",'Riesgos de Gestión'!$V$39),"")</f>
        <v/>
      </c>
      <c r="M50" s="60" t="str">
        <f>IF(AND('Riesgos de Gestión'!$AI$40="Muy Baja",'Riesgos de Gestión'!$AK$40="Leve"),CONCATENATE("R5C",'Riesgos de Gestión'!$V$40),"")</f>
        <v/>
      </c>
      <c r="N50" s="60" t="str">
        <f>IF(AND('Riesgos de Gestión'!$AI$41="Muy Baja",'Riesgos de Gestión'!$AK$41="Leve"),CONCATENATE("R5C",'Riesgos de Gestión'!$V$41),"")</f>
        <v/>
      </c>
      <c r="O50" s="61" t="str">
        <f>IF(AND('Riesgos de Gestión'!$AI$42="Muy Baja",'Riesgos de Gestión'!$AK$42="Leve"),CONCATENATE("R5C",'Riesgos de Gestión'!$V$42),"")</f>
        <v/>
      </c>
      <c r="P50" s="59" t="str">
        <f>IF(AND('Riesgos de Gestión'!$AI$37="Muy Baja",'Riesgos de Gestión'!$AK$37="Menor"),CONCATENATE("R5C",'Riesgos de Gestión'!$V$37),"")</f>
        <v/>
      </c>
      <c r="Q50" s="60" t="str">
        <f>IF(AND('Riesgos de Gestión'!$AI$38="Muy Baja",'Riesgos de Gestión'!$AK$38="Menor"),CONCATENATE("R5C",'Riesgos de Gestión'!$V$38),"")</f>
        <v/>
      </c>
      <c r="R50" s="60" t="str">
        <f>IF(AND('Riesgos de Gestión'!$AI$39="Muy Baja",'Riesgos de Gestión'!$AK$39="Menor"),CONCATENATE("R5C",'Riesgos de Gestión'!$V$39),"")</f>
        <v/>
      </c>
      <c r="S50" s="60" t="str">
        <f>IF(AND('Riesgos de Gestión'!$AI$40="Muy Baja",'Riesgos de Gestión'!$AK$40="Menor"),CONCATENATE("R5C",'Riesgos de Gestión'!$V$40),"")</f>
        <v/>
      </c>
      <c r="T50" s="60" t="str">
        <f>IF(AND('Riesgos de Gestión'!$AI$41="Muy Baja",'Riesgos de Gestión'!$AK$41="Menor"),CONCATENATE("R5C",'Riesgos de Gestión'!$V$41),"")</f>
        <v/>
      </c>
      <c r="U50" s="61" t="str">
        <f>IF(AND('Riesgos de Gestión'!$AI$42="Muy Baja",'Riesgos de Gestión'!$AK$42="Menor"),CONCATENATE("R5C",'Riesgos de Gestión'!$V$42),"")</f>
        <v/>
      </c>
      <c r="V50" s="50" t="str">
        <f>IF(AND('Riesgos de Gestión'!$AI$37="Muy Baja",'Riesgos de Gestión'!$AK$37="Moderado"),CONCATENATE("R5C",'Riesgos de Gestión'!$V$37),"")</f>
        <v/>
      </c>
      <c r="W50" s="51" t="str">
        <f>IF(AND('Riesgos de Gestión'!$AI$38="Muy Baja",'Riesgos de Gestión'!$AK$38="Moderado"),CONCATENATE("R5C",'Riesgos de Gestión'!$V$38),"")</f>
        <v/>
      </c>
      <c r="X50" s="51" t="str">
        <f>IF(AND('Riesgos de Gestión'!$AI$39="Muy Baja",'Riesgos de Gestión'!$AK$39="Moderado"),CONCATENATE("R5C",'Riesgos de Gestión'!$V$39),"")</f>
        <v/>
      </c>
      <c r="Y50" s="51" t="str">
        <f>IF(AND('Riesgos de Gestión'!$AI$40="Muy Baja",'Riesgos de Gestión'!$AK$40="Moderado"),CONCATENATE("R5C",'Riesgos de Gestión'!$V$40),"")</f>
        <v/>
      </c>
      <c r="Z50" s="51" t="str">
        <f>IF(AND('Riesgos de Gestión'!$AI$41="Muy Baja",'Riesgos de Gestión'!$AK$41="Moderado"),CONCATENATE("R5C",'Riesgos de Gestión'!$V$41),"")</f>
        <v/>
      </c>
      <c r="AA50" s="52" t="str">
        <f>IF(AND('Riesgos de Gestión'!$AI$42="Muy Baja",'Riesgos de Gestión'!$AK$42="Moderado"),CONCATENATE("R5C",'Riesgos de Gestión'!$V$42),"")</f>
        <v/>
      </c>
      <c r="AB50" s="35" t="str">
        <f>IF(AND('Riesgos de Gestión'!$AI$37="Muy Baja",'Riesgos de Gestión'!$AK$37="Mayor"),CONCATENATE("R5C",'Riesgos de Gestión'!$V$37),"")</f>
        <v/>
      </c>
      <c r="AC50" s="36" t="str">
        <f>IF(AND('Riesgos de Gestión'!$AI$38="Muy Baja",'Riesgos de Gestión'!$AK$38="Mayor"),CONCATENATE("R5C",'Riesgos de Gestión'!$V$38),"")</f>
        <v/>
      </c>
      <c r="AD50" s="36" t="str">
        <f>IF(AND('Riesgos de Gestión'!$AI$39="Muy Baja",'Riesgos de Gestión'!$AK$39="Mayor"),CONCATENATE("R5C",'Riesgos de Gestión'!$V$39),"")</f>
        <v/>
      </c>
      <c r="AE50" s="36" t="str">
        <f>IF(AND('Riesgos de Gestión'!$AI$40="Muy Baja",'Riesgos de Gestión'!$AK$40="Mayor"),CONCATENATE("R5C",'Riesgos de Gestión'!$V$40),"")</f>
        <v/>
      </c>
      <c r="AF50" s="36" t="str">
        <f>IF(AND('Riesgos de Gestión'!$AI$41="Muy Baja",'Riesgos de Gestión'!$AK$41="Mayor"),CONCATENATE("R5C",'Riesgos de Gestión'!$V$41),"")</f>
        <v/>
      </c>
      <c r="AG50" s="37" t="str">
        <f>IF(AND('Riesgos de Gestión'!$AI$42="Muy Baja",'Riesgos de Gestión'!$AK$42="Mayor"),CONCATENATE("R5C",'Riesgos de Gestión'!$V$42),"")</f>
        <v/>
      </c>
      <c r="AH50" s="38" t="str">
        <f>IF(AND('Riesgos de Gestión'!$AI$37="Muy Baja",'Riesgos de Gestión'!$AK$37="Catastrófico"),CONCATENATE("R5C",'Riesgos de Gestión'!$V$37),"")</f>
        <v/>
      </c>
      <c r="AI50" s="39" t="str">
        <f>IF(AND('Riesgos de Gestión'!$AI$38="Muy Baja",'Riesgos de Gestión'!$AK$38="Catastrófico"),CONCATENATE("R5C",'Riesgos de Gestión'!$V$38),"")</f>
        <v/>
      </c>
      <c r="AJ50" s="39" t="str">
        <f>IF(AND('Riesgos de Gestión'!$AI$39="Muy Baja",'Riesgos de Gestión'!$AK$39="Catastrófico"),CONCATENATE("R5C",'Riesgos de Gestión'!$V$39),"")</f>
        <v/>
      </c>
      <c r="AK50" s="39" t="str">
        <f>IF(AND('Riesgos de Gestión'!$AI$40="Muy Baja",'Riesgos de Gestión'!$AK$40="Catastrófico"),CONCATENATE("R5C",'Riesgos de Gestión'!$V$40),"")</f>
        <v/>
      </c>
      <c r="AL50" s="39" t="str">
        <f>IF(AND('Riesgos de Gestión'!$AI$41="Muy Baja",'Riesgos de Gestión'!$AK$41="Catastrófico"),CONCATENATE("R5C",'Riesgos de Gestión'!$V$41),"")</f>
        <v/>
      </c>
      <c r="AM50" s="40" t="str">
        <f>IF(AND('Riesgos de Gestión'!$AI$42="Muy Baja",'Riesgos de Gestión'!$AK$42="Catastrófico"),CONCATENATE("R5C",'Riesgos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41"/>
      <c r="C51" s="441"/>
      <c r="D51" s="442"/>
      <c r="E51" s="540"/>
      <c r="F51" s="539"/>
      <c r="G51" s="539"/>
      <c r="H51" s="539"/>
      <c r="I51" s="555"/>
      <c r="J51" s="59" t="str">
        <f>IF(AND('Riesgos de Gestión'!$AI$43="Muy Baja",'Riesgos de Gestión'!$AK$43="Leve"),CONCATENATE("R6C",'Riesgos de Gestión'!$V$43),"")</f>
        <v/>
      </c>
      <c r="K51" s="60" t="str">
        <f>IF(AND('Riesgos de Gestión'!$AI$44="Muy Baja",'Riesgos de Gestión'!$AK$44="Leve"),CONCATENATE("R6C",'Riesgos de Gestión'!$V$44),"")</f>
        <v/>
      </c>
      <c r="L51" s="60" t="str">
        <f>IF(AND('Riesgos de Gestión'!$AI$45="Muy Baja",'Riesgos de Gestión'!$AK$45="Leve"),CONCATENATE("R6C",'Riesgos de Gestión'!$V$45),"")</f>
        <v/>
      </c>
      <c r="M51" s="60" t="str">
        <f>IF(AND('Riesgos de Gestión'!$AI$46="Muy Baja",'Riesgos de Gestión'!$AK$46="Leve"),CONCATENATE("R6C",'Riesgos de Gestión'!$V$46),"")</f>
        <v/>
      </c>
      <c r="N51" s="60" t="str">
        <f>IF(AND('Riesgos de Gestión'!$AI$47="Muy Baja",'Riesgos de Gestión'!$AK$47="Leve"),CONCATENATE("R6C",'Riesgos de Gestión'!$V$47),"")</f>
        <v/>
      </c>
      <c r="O51" s="61" t="str">
        <f>IF(AND('Riesgos de Gestión'!$AI$48="Muy Baja",'Riesgos de Gestión'!$AK$48="Leve"),CONCATENATE("R6C",'Riesgos de Gestión'!$V$48),"")</f>
        <v/>
      </c>
      <c r="P51" s="59" t="str">
        <f>IF(AND('Riesgos de Gestión'!$AI$43="Muy Baja",'Riesgos de Gestión'!$AK$43="Menor"),CONCATENATE("R6C",'Riesgos de Gestión'!$V$43),"")</f>
        <v/>
      </c>
      <c r="Q51" s="60" t="str">
        <f>IF(AND('Riesgos de Gestión'!$AI$44="Muy Baja",'Riesgos de Gestión'!$AK$44="Menor"),CONCATENATE("R6C",'Riesgos de Gestión'!$V$44),"")</f>
        <v/>
      </c>
      <c r="R51" s="60" t="str">
        <f>IF(AND('Riesgos de Gestión'!$AI$45="Muy Baja",'Riesgos de Gestión'!$AK$45="Menor"),CONCATENATE("R6C",'Riesgos de Gestión'!$V$45),"")</f>
        <v/>
      </c>
      <c r="S51" s="60" t="str">
        <f>IF(AND('Riesgos de Gestión'!$AI$46="Muy Baja",'Riesgos de Gestión'!$AK$46="Menor"),CONCATENATE("R6C",'Riesgos de Gestión'!$V$46),"")</f>
        <v/>
      </c>
      <c r="T51" s="60" t="str">
        <f>IF(AND('Riesgos de Gestión'!$AI$47="Muy Baja",'Riesgos de Gestión'!$AK$47="Menor"),CONCATENATE("R6C",'Riesgos de Gestión'!$V$47),"")</f>
        <v/>
      </c>
      <c r="U51" s="61" t="str">
        <f>IF(AND('Riesgos de Gestión'!$AI$48="Muy Baja",'Riesgos de Gestión'!$AK$48="Menor"),CONCATENATE("R6C",'Riesgos de Gestión'!$V$48),"")</f>
        <v/>
      </c>
      <c r="V51" s="50" t="str">
        <f>IF(AND('Riesgos de Gestión'!$AI$43="Muy Baja",'Riesgos de Gestión'!$AK$43="Moderado"),CONCATENATE("R6C",'Riesgos de Gestión'!$V$43),"")</f>
        <v/>
      </c>
      <c r="W51" s="51" t="str">
        <f>IF(AND('Riesgos de Gestión'!$AI$44="Muy Baja",'Riesgos de Gestión'!$AK$44="Moderado"),CONCATENATE("R6C",'Riesgos de Gestión'!$V$44),"")</f>
        <v/>
      </c>
      <c r="X51" s="51" t="str">
        <f>IF(AND('Riesgos de Gestión'!$AI$45="Muy Baja",'Riesgos de Gestión'!$AK$45="Moderado"),CONCATENATE("R6C",'Riesgos de Gestión'!$V$45),"")</f>
        <v/>
      </c>
      <c r="Y51" s="51" t="str">
        <f>IF(AND('Riesgos de Gestión'!$AI$46="Muy Baja",'Riesgos de Gestión'!$AK$46="Moderado"),CONCATENATE("R6C",'Riesgos de Gestión'!$V$46),"")</f>
        <v/>
      </c>
      <c r="Z51" s="51" t="str">
        <f>IF(AND('Riesgos de Gestión'!$AI$47="Muy Baja",'Riesgos de Gestión'!$AK$47="Moderado"),CONCATENATE("R6C",'Riesgos de Gestión'!$V$47),"")</f>
        <v/>
      </c>
      <c r="AA51" s="52" t="str">
        <f>IF(AND('Riesgos de Gestión'!$AI$48="Muy Baja",'Riesgos de Gestión'!$AK$48="Moderado"),CONCATENATE("R6C",'Riesgos de Gestión'!$V$48),"")</f>
        <v/>
      </c>
      <c r="AB51" s="35" t="str">
        <f>IF(AND('Riesgos de Gestión'!$AI$43="Muy Baja",'Riesgos de Gestión'!$AK$43="Mayor"),CONCATENATE("R6C",'Riesgos de Gestión'!$V$43),"")</f>
        <v/>
      </c>
      <c r="AC51" s="36" t="str">
        <f>IF(AND('Riesgos de Gestión'!$AI$44="Muy Baja",'Riesgos de Gestión'!$AK$44="Mayor"),CONCATENATE("R6C",'Riesgos de Gestión'!$V$44),"")</f>
        <v/>
      </c>
      <c r="AD51" s="36" t="str">
        <f>IF(AND('Riesgos de Gestión'!$AI$45="Muy Baja",'Riesgos de Gestión'!$AK$45="Mayor"),CONCATENATE("R6C",'Riesgos de Gestión'!$V$45),"")</f>
        <v/>
      </c>
      <c r="AE51" s="36" t="str">
        <f>IF(AND('Riesgos de Gestión'!$AI$46="Muy Baja",'Riesgos de Gestión'!$AK$46="Mayor"),CONCATENATE("R6C",'Riesgos de Gestión'!$V$46),"")</f>
        <v/>
      </c>
      <c r="AF51" s="36" t="str">
        <f>IF(AND('Riesgos de Gestión'!$AI$47="Muy Baja",'Riesgos de Gestión'!$AK$47="Mayor"),CONCATENATE("R6C",'Riesgos de Gestión'!$V$47),"")</f>
        <v/>
      </c>
      <c r="AG51" s="37" t="str">
        <f>IF(AND('Riesgos de Gestión'!$AI$48="Muy Baja",'Riesgos de Gestión'!$AK$48="Mayor"),CONCATENATE("R6C",'Riesgos de Gestión'!$V$48),"")</f>
        <v/>
      </c>
      <c r="AH51" s="38" t="str">
        <f>IF(AND('Riesgos de Gestión'!$AI$43="Muy Baja",'Riesgos de Gestión'!$AK$43="Catastrófico"),CONCATENATE("R6C",'Riesgos de Gestión'!$V$43),"")</f>
        <v/>
      </c>
      <c r="AI51" s="39" t="str">
        <f>IF(AND('Riesgos de Gestión'!$AI$44="Muy Baja",'Riesgos de Gestión'!$AK$44="Catastrófico"),CONCATENATE("R6C",'Riesgos de Gestión'!$V$44),"")</f>
        <v/>
      </c>
      <c r="AJ51" s="39" t="str">
        <f>IF(AND('Riesgos de Gestión'!$AI$45="Muy Baja",'Riesgos de Gestión'!$AK$45="Catastrófico"),CONCATENATE("R6C",'Riesgos de Gestión'!$V$45),"")</f>
        <v/>
      </c>
      <c r="AK51" s="39" t="str">
        <f>IF(AND('Riesgos de Gestión'!$AI$46="Muy Baja",'Riesgos de Gestión'!$AK$46="Catastrófico"),CONCATENATE("R6C",'Riesgos de Gestión'!$V$46),"")</f>
        <v/>
      </c>
      <c r="AL51" s="39" t="str">
        <f>IF(AND('Riesgos de Gestión'!$AI$47="Muy Baja",'Riesgos de Gestión'!$AK$47="Catastrófico"),CONCATENATE("R6C",'Riesgos de Gestión'!$V$47),"")</f>
        <v/>
      </c>
      <c r="AM51" s="40" t="str">
        <f>IF(AND('Riesgos de Gestión'!$AI$48="Muy Baja",'Riesgos de Gestión'!$AK$48="Catastrófico"),CONCATENATE("R6C",'Riesgos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41"/>
      <c r="C52" s="441"/>
      <c r="D52" s="442"/>
      <c r="E52" s="540"/>
      <c r="F52" s="539"/>
      <c r="G52" s="539"/>
      <c r="H52" s="539"/>
      <c r="I52" s="555"/>
      <c r="J52" s="59" t="str">
        <f>IF(AND('Riesgos de Gestión'!$AI$49="Muy Baja",'Riesgos de Gestión'!$AK$49="Leve"),CONCATENATE("R7C",'Riesgos de Gestión'!$V$49),"")</f>
        <v/>
      </c>
      <c r="K52" s="60" t="str">
        <f>IF(AND('Riesgos de Gestión'!$AI$50="Muy Baja",'Riesgos de Gestión'!$AK$50="Leve"),CONCATENATE("R7C",'Riesgos de Gestión'!$V$50),"")</f>
        <v/>
      </c>
      <c r="L52" s="60" t="str">
        <f>IF(AND('Riesgos de Gestión'!$AI$51="Muy Baja",'Riesgos de Gestión'!$AK$51="Leve"),CONCATENATE("R7C",'Riesgos de Gestión'!$V$51),"")</f>
        <v/>
      </c>
      <c r="M52" s="60" t="str">
        <f>IF(AND('Riesgos de Gestión'!$AI$52="Muy Baja",'Riesgos de Gestión'!$AK$52="Leve"),CONCATENATE("R7C",'Riesgos de Gestión'!$V$52),"")</f>
        <v/>
      </c>
      <c r="N52" s="60" t="str">
        <f>IF(AND('Riesgos de Gestión'!$AI$53="Muy Baja",'Riesgos de Gestión'!$AK$53="Leve"),CONCATENATE("R7C",'Riesgos de Gestión'!$V$53),"")</f>
        <v/>
      </c>
      <c r="O52" s="61" t="str">
        <f>IF(AND('Riesgos de Gestión'!$AI$54="Muy Baja",'Riesgos de Gestión'!$AK$54="Leve"),CONCATENATE("R7C",'Riesgos de Gestión'!$V$54),"")</f>
        <v/>
      </c>
      <c r="P52" s="59" t="str">
        <f>IF(AND('Riesgos de Gestión'!$AI$49="Muy Baja",'Riesgos de Gestión'!$AK$49="Menor"),CONCATENATE("R7C",'Riesgos de Gestión'!$V$49),"")</f>
        <v/>
      </c>
      <c r="Q52" s="60" t="str">
        <f>IF(AND('Riesgos de Gestión'!$AI$50="Muy Baja",'Riesgos de Gestión'!$AK$50="Menor"),CONCATENATE("R7C",'Riesgos de Gestión'!$V$50),"")</f>
        <v/>
      </c>
      <c r="R52" s="60" t="str">
        <f>IF(AND('Riesgos de Gestión'!$AI$51="Muy Baja",'Riesgos de Gestión'!$AK$51="Menor"),CONCATENATE("R7C",'Riesgos de Gestión'!$V$51),"")</f>
        <v/>
      </c>
      <c r="S52" s="60" t="str">
        <f>IF(AND('Riesgos de Gestión'!$AI$52="Muy Baja",'Riesgos de Gestión'!$AK$52="Menor"),CONCATENATE("R7C",'Riesgos de Gestión'!$V$52),"")</f>
        <v/>
      </c>
      <c r="T52" s="60" t="str">
        <f>IF(AND('Riesgos de Gestión'!$AI$53="Muy Baja",'Riesgos de Gestión'!$AK$53="Menor"),CONCATENATE("R7C",'Riesgos de Gestión'!$V$53),"")</f>
        <v/>
      </c>
      <c r="U52" s="61" t="str">
        <f>IF(AND('Riesgos de Gestión'!$AI$54="Muy Baja",'Riesgos de Gestión'!$AK$54="Menor"),CONCATENATE("R7C",'Riesgos de Gestión'!$V$54),"")</f>
        <v/>
      </c>
      <c r="V52" s="50" t="str">
        <f>IF(AND('Riesgos de Gestión'!$AI$49="Muy Baja",'Riesgos de Gestión'!$AK$49="Moderado"),CONCATENATE("R7C",'Riesgos de Gestión'!$V$49),"")</f>
        <v/>
      </c>
      <c r="W52" s="51" t="str">
        <f>IF(AND('Riesgos de Gestión'!$AI$50="Muy Baja",'Riesgos de Gestión'!$AK$50="Moderado"),CONCATENATE("R7C",'Riesgos de Gestión'!$V$50),"")</f>
        <v/>
      </c>
      <c r="X52" s="51" t="str">
        <f>IF(AND('Riesgos de Gestión'!$AI$51="Muy Baja",'Riesgos de Gestión'!$AK$51="Moderado"),CONCATENATE("R7C",'Riesgos de Gestión'!$V$51),"")</f>
        <v/>
      </c>
      <c r="Y52" s="51" t="str">
        <f>IF(AND('Riesgos de Gestión'!$AI$52="Muy Baja",'Riesgos de Gestión'!$AK$52="Moderado"),CONCATENATE("R7C",'Riesgos de Gestión'!$V$52),"")</f>
        <v/>
      </c>
      <c r="Z52" s="51" t="str">
        <f>IF(AND('Riesgos de Gestión'!$AI$53="Muy Baja",'Riesgos de Gestión'!$AK$53="Moderado"),CONCATENATE("R7C",'Riesgos de Gestión'!$V$53),"")</f>
        <v/>
      </c>
      <c r="AA52" s="52" t="str">
        <f>IF(AND('Riesgos de Gestión'!$AI$54="Muy Baja",'Riesgos de Gestión'!$AK$54="Moderado"),CONCATENATE("R7C",'Riesgos de Gestión'!$V$54),"")</f>
        <v/>
      </c>
      <c r="AB52" s="35" t="str">
        <f>IF(AND('Riesgos de Gestión'!$AI$49="Muy Baja",'Riesgos de Gestión'!$AK$49="Mayor"),CONCATENATE("R7C",'Riesgos de Gestión'!$V$49),"")</f>
        <v/>
      </c>
      <c r="AC52" s="36" t="str">
        <f>IF(AND('Riesgos de Gestión'!$AI$50="Muy Baja",'Riesgos de Gestión'!$AK$50="Mayor"),CONCATENATE("R7C",'Riesgos de Gestión'!$V$50),"")</f>
        <v/>
      </c>
      <c r="AD52" s="36" t="str">
        <f>IF(AND('Riesgos de Gestión'!$AI$51="Muy Baja",'Riesgos de Gestión'!$AK$51="Mayor"),CONCATENATE("R7C",'Riesgos de Gestión'!$V$51),"")</f>
        <v/>
      </c>
      <c r="AE52" s="36" t="str">
        <f>IF(AND('Riesgos de Gestión'!$AI$52="Muy Baja",'Riesgos de Gestión'!$AK$52="Mayor"),CONCATENATE("R7C",'Riesgos de Gestión'!$V$52),"")</f>
        <v/>
      </c>
      <c r="AF52" s="36" t="str">
        <f>IF(AND('Riesgos de Gestión'!$AI$53="Muy Baja",'Riesgos de Gestión'!$AK$53="Mayor"),CONCATENATE("R7C",'Riesgos de Gestión'!$V$53),"")</f>
        <v/>
      </c>
      <c r="AG52" s="37" t="str">
        <f>IF(AND('Riesgos de Gestión'!$AI$54="Muy Baja",'Riesgos de Gestión'!$AK$54="Mayor"),CONCATENATE("R7C",'Riesgos de Gestión'!$V$54),"")</f>
        <v/>
      </c>
      <c r="AH52" s="38" t="str">
        <f>IF(AND('Riesgos de Gestión'!$AI$49="Muy Baja",'Riesgos de Gestión'!$AK$49="Catastrófico"),CONCATENATE("R7C",'Riesgos de Gestión'!$V$49),"")</f>
        <v/>
      </c>
      <c r="AI52" s="39" t="str">
        <f>IF(AND('Riesgos de Gestión'!$AI$50="Muy Baja",'Riesgos de Gestión'!$AK$50="Catastrófico"),CONCATENATE("R7C",'Riesgos de Gestión'!$V$50),"")</f>
        <v/>
      </c>
      <c r="AJ52" s="39" t="str">
        <f>IF(AND('Riesgos de Gestión'!$AI$51="Muy Baja",'Riesgos de Gestión'!$AK$51="Catastrófico"),CONCATENATE("R7C",'Riesgos de Gestión'!$V$51),"")</f>
        <v/>
      </c>
      <c r="AK52" s="39" t="str">
        <f>IF(AND('Riesgos de Gestión'!$AI$52="Muy Baja",'Riesgos de Gestión'!$AK$52="Catastrófico"),CONCATENATE("R7C",'Riesgos de Gestión'!$V$52),"")</f>
        <v/>
      </c>
      <c r="AL52" s="39" t="str">
        <f>IF(AND('Riesgos de Gestión'!$AI$53="Muy Baja",'Riesgos de Gestión'!$AK$53="Catastrófico"),CONCATENATE("R7C",'Riesgos de Gestión'!$V$53),"")</f>
        <v/>
      </c>
      <c r="AM52" s="40" t="str">
        <f>IF(AND('Riesgos de Gestión'!$AI$54="Muy Baja",'Riesgos de Gestión'!$AK$54="Catastrófico"),CONCATENATE("R7C",'Riesgos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41"/>
      <c r="C53" s="441"/>
      <c r="D53" s="442"/>
      <c r="E53" s="540"/>
      <c r="F53" s="539"/>
      <c r="G53" s="539"/>
      <c r="H53" s="539"/>
      <c r="I53" s="555"/>
      <c r="J53" s="59" t="str">
        <f>IF(AND('Riesgos de Gestión'!$AI$55="Muy Baja",'Riesgos de Gestión'!$AK$55="Leve"),CONCATENATE("R8C",'Riesgos de Gestión'!$V$55),"")</f>
        <v/>
      </c>
      <c r="K53" s="60" t="str">
        <f>IF(AND('Riesgos de Gestión'!$AI$56="Muy Baja",'Riesgos de Gestión'!$AK$56="Leve"),CONCATENATE("R8C",'Riesgos de Gestión'!$V$56),"")</f>
        <v/>
      </c>
      <c r="L53" s="60" t="str">
        <f>IF(AND('Riesgos de Gestión'!$AI$57="Muy Baja",'Riesgos de Gestión'!$AK$57="Leve"),CONCATENATE("R8C",'Riesgos de Gestión'!$V$57),"")</f>
        <v/>
      </c>
      <c r="M53" s="60" t="str">
        <f>IF(AND('Riesgos de Gestión'!$AI$58="Muy Baja",'Riesgos de Gestión'!$AK$58="Leve"),CONCATENATE("R8C",'Riesgos de Gestión'!$V$58),"")</f>
        <v/>
      </c>
      <c r="N53" s="60" t="str">
        <f>IF(AND('Riesgos de Gestión'!$AI$59="Muy Baja",'Riesgos de Gestión'!$AK$59="Leve"),CONCATENATE("R8C",'Riesgos de Gestión'!$V$59),"")</f>
        <v/>
      </c>
      <c r="O53" s="61" t="str">
        <f>IF(AND('Riesgos de Gestión'!$AI$60="Muy Baja",'Riesgos de Gestión'!$AK$60="Leve"),CONCATENATE("R8C",'Riesgos de Gestión'!$V$60),"")</f>
        <v/>
      </c>
      <c r="P53" s="59" t="str">
        <f>IF(AND('Riesgos de Gestión'!$AI$55="Muy Baja",'Riesgos de Gestión'!$AK$55="Menor"),CONCATENATE("R8C",'Riesgos de Gestión'!$V$55),"")</f>
        <v/>
      </c>
      <c r="Q53" s="60" t="str">
        <f>IF(AND('Riesgos de Gestión'!$AI$56="Muy Baja",'Riesgos de Gestión'!$AK$56="Menor"),CONCATENATE("R8C",'Riesgos de Gestión'!$V$56),"")</f>
        <v/>
      </c>
      <c r="R53" s="60" t="str">
        <f>IF(AND('Riesgos de Gestión'!$AI$57="Muy Baja",'Riesgos de Gestión'!$AK$57="Menor"),CONCATENATE("R8C",'Riesgos de Gestión'!$V$57),"")</f>
        <v/>
      </c>
      <c r="S53" s="60" t="str">
        <f>IF(AND('Riesgos de Gestión'!$AI$58="Muy Baja",'Riesgos de Gestión'!$AK$58="Menor"),CONCATENATE("R8C",'Riesgos de Gestión'!$V$58),"")</f>
        <v/>
      </c>
      <c r="T53" s="60" t="str">
        <f>IF(AND('Riesgos de Gestión'!$AI$59="Muy Baja",'Riesgos de Gestión'!$AK$59="Menor"),CONCATENATE("R8C",'Riesgos de Gestión'!$V$59),"")</f>
        <v/>
      </c>
      <c r="U53" s="61" t="str">
        <f>IF(AND('Riesgos de Gestión'!$AI$60="Muy Baja",'Riesgos de Gestión'!$AK$60="Menor"),CONCATENATE("R8C",'Riesgos de Gestión'!$V$60),"")</f>
        <v/>
      </c>
      <c r="V53" s="50" t="str">
        <f>IF(AND('Riesgos de Gestión'!$AI$55="Muy Baja",'Riesgos de Gestión'!$AK$55="Moderado"),CONCATENATE("R8C",'Riesgos de Gestión'!$V$55),"")</f>
        <v/>
      </c>
      <c r="W53" s="51" t="str">
        <f>IF(AND('Riesgos de Gestión'!$AI$56="Muy Baja",'Riesgos de Gestión'!$AK$56="Moderado"),CONCATENATE("R8C",'Riesgos de Gestión'!$V$56),"")</f>
        <v/>
      </c>
      <c r="X53" s="51" t="str">
        <f>IF(AND('Riesgos de Gestión'!$AI$57="Muy Baja",'Riesgos de Gestión'!$AK$57="Moderado"),CONCATENATE("R8C",'Riesgos de Gestión'!$V$57),"")</f>
        <v/>
      </c>
      <c r="Y53" s="51" t="str">
        <f>IF(AND('Riesgos de Gestión'!$AI$58="Muy Baja",'Riesgos de Gestión'!$AK$58="Moderado"),CONCATENATE("R8C",'Riesgos de Gestión'!$V$58),"")</f>
        <v/>
      </c>
      <c r="Z53" s="51" t="str">
        <f>IF(AND('Riesgos de Gestión'!$AI$59="Muy Baja",'Riesgos de Gestión'!$AK$59="Moderado"),CONCATENATE("R8C",'Riesgos de Gestión'!$V$59),"")</f>
        <v/>
      </c>
      <c r="AA53" s="52" t="str">
        <f>IF(AND('Riesgos de Gestión'!$AI$60="Muy Baja",'Riesgos de Gestión'!$AK$60="Moderado"),CONCATENATE("R8C",'Riesgos de Gestión'!$V$60),"")</f>
        <v/>
      </c>
      <c r="AB53" s="35" t="str">
        <f>IF(AND('Riesgos de Gestión'!$AI$55="Muy Baja",'Riesgos de Gestión'!$AK$55="Mayor"),CONCATENATE("R8C",'Riesgos de Gestión'!$V$55),"")</f>
        <v/>
      </c>
      <c r="AC53" s="36" t="str">
        <f>IF(AND('Riesgos de Gestión'!$AI$56="Muy Baja",'Riesgos de Gestión'!$AK$56="Mayor"),CONCATENATE("R8C",'Riesgos de Gestión'!$V$56),"")</f>
        <v/>
      </c>
      <c r="AD53" s="36" t="str">
        <f>IF(AND('Riesgos de Gestión'!$AI$57="Muy Baja",'Riesgos de Gestión'!$AK$57="Mayor"),CONCATENATE("R8C",'Riesgos de Gestión'!$V$57),"")</f>
        <v/>
      </c>
      <c r="AE53" s="36" t="str">
        <f>IF(AND('Riesgos de Gestión'!$AI$58="Muy Baja",'Riesgos de Gestión'!$AK$58="Mayor"),CONCATENATE("R8C",'Riesgos de Gestión'!$V$58),"")</f>
        <v/>
      </c>
      <c r="AF53" s="36" t="str">
        <f>IF(AND('Riesgos de Gestión'!$AI$59="Muy Baja",'Riesgos de Gestión'!$AK$59="Mayor"),CONCATENATE("R8C",'Riesgos de Gestión'!$V$59),"")</f>
        <v/>
      </c>
      <c r="AG53" s="37" t="str">
        <f>IF(AND('Riesgos de Gestión'!$AI$60="Muy Baja",'Riesgos de Gestión'!$AK$60="Mayor"),CONCATENATE("R8C",'Riesgos de Gestión'!$V$60),"")</f>
        <v/>
      </c>
      <c r="AH53" s="38" t="str">
        <f>IF(AND('Riesgos de Gestión'!$AI$55="Muy Baja",'Riesgos de Gestión'!$AK$55="Catastrófico"),CONCATENATE("R8C",'Riesgos de Gestión'!$V$55),"")</f>
        <v/>
      </c>
      <c r="AI53" s="39" t="str">
        <f>IF(AND('Riesgos de Gestión'!$AI$56="Muy Baja",'Riesgos de Gestión'!$AK$56="Catastrófico"),CONCATENATE("R8C",'Riesgos de Gestión'!$V$56),"")</f>
        <v/>
      </c>
      <c r="AJ53" s="39" t="str">
        <f>IF(AND('Riesgos de Gestión'!$AI$57="Muy Baja",'Riesgos de Gestión'!$AK$57="Catastrófico"),CONCATENATE("R8C",'Riesgos de Gestión'!$V$57),"")</f>
        <v/>
      </c>
      <c r="AK53" s="39" t="str">
        <f>IF(AND('Riesgos de Gestión'!$AI$58="Muy Baja",'Riesgos de Gestión'!$AK$58="Catastrófico"),CONCATENATE("R8C",'Riesgos de Gestión'!$V$58),"")</f>
        <v/>
      </c>
      <c r="AL53" s="39" t="str">
        <f>IF(AND('Riesgos de Gestión'!$AI$59="Muy Baja",'Riesgos de Gestión'!$AK$59="Catastrófico"),CONCATENATE("R8C",'Riesgos de Gestión'!$V$59),"")</f>
        <v/>
      </c>
      <c r="AM53" s="40" t="str">
        <f>IF(AND('Riesgos de Gestión'!$AI$60="Muy Baja",'Riesgos de Gestión'!$AK$60="Catastrófico"),CONCATENATE("R8C",'Riesgos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41"/>
      <c r="C54" s="441"/>
      <c r="D54" s="442"/>
      <c r="E54" s="540"/>
      <c r="F54" s="539"/>
      <c r="G54" s="539"/>
      <c r="H54" s="539"/>
      <c r="I54" s="555"/>
      <c r="J54" s="59" t="str">
        <f>IF(AND('Riesgos de Gestión'!$AI$61="Muy Baja",'Riesgos de Gestión'!$AK$61="Leve"),CONCATENATE("R9C",'Riesgos de Gestión'!$V$61),"")</f>
        <v/>
      </c>
      <c r="K54" s="60" t="str">
        <f>IF(AND('Riesgos de Gestión'!$AI$62="Muy Baja",'Riesgos de Gestión'!$AK$62="Leve"),CONCATENATE("R9C",'Riesgos de Gestión'!$V$62),"")</f>
        <v/>
      </c>
      <c r="L54" s="60" t="str">
        <f>IF(AND('Riesgos de Gestión'!$AI$63="Muy Baja",'Riesgos de Gestión'!$AK$63="Leve"),CONCATENATE("R9C",'Riesgos de Gestión'!$V$63),"")</f>
        <v/>
      </c>
      <c r="M54" s="60" t="str">
        <f>IF(AND('Riesgos de Gestión'!$AI$64="Muy Baja",'Riesgos de Gestión'!$AK$64="Leve"),CONCATENATE("R9C",'Riesgos de Gestión'!$V$64),"")</f>
        <v/>
      </c>
      <c r="N54" s="60" t="str">
        <f>IF(AND('Riesgos de Gestión'!$AI$65="Muy Baja",'Riesgos de Gestión'!$AK$65="Leve"),CONCATENATE("R9C",'Riesgos de Gestión'!$V$65),"")</f>
        <v/>
      </c>
      <c r="O54" s="61" t="str">
        <f>IF(AND('Riesgos de Gestión'!$AI$66="Muy Baja",'Riesgos de Gestión'!$AK$66="Leve"),CONCATENATE("R9C",'Riesgos de Gestión'!$V$66),"")</f>
        <v/>
      </c>
      <c r="P54" s="59" t="str">
        <f>IF(AND('Riesgos de Gestión'!$AI$61="Muy Baja",'Riesgos de Gestión'!$AK$61="Menor"),CONCATENATE("R9C",'Riesgos de Gestión'!$V$61),"")</f>
        <v/>
      </c>
      <c r="Q54" s="60" t="str">
        <f>IF(AND('Riesgos de Gestión'!$AI$62="Muy Baja",'Riesgos de Gestión'!$AK$62="Menor"),CONCATENATE("R9C",'Riesgos de Gestión'!$V$62),"")</f>
        <v/>
      </c>
      <c r="R54" s="60" t="str">
        <f>IF(AND('Riesgos de Gestión'!$AI$63="Muy Baja",'Riesgos de Gestión'!$AK$63="Menor"),CONCATENATE("R9C",'Riesgos de Gestión'!$V$63),"")</f>
        <v/>
      </c>
      <c r="S54" s="60" t="str">
        <f>IF(AND('Riesgos de Gestión'!$AI$64="Muy Baja",'Riesgos de Gestión'!$AK$64="Menor"),CONCATENATE("R9C",'Riesgos de Gestión'!$V$64),"")</f>
        <v/>
      </c>
      <c r="T54" s="60" t="str">
        <f>IF(AND('Riesgos de Gestión'!$AI$65="Muy Baja",'Riesgos de Gestión'!$AK$65="Menor"),CONCATENATE("R9C",'Riesgos de Gestión'!$V$65),"")</f>
        <v/>
      </c>
      <c r="U54" s="61" t="str">
        <f>IF(AND('Riesgos de Gestión'!$AI$66="Muy Baja",'Riesgos de Gestión'!$AK$66="Menor"),CONCATENATE("R9C",'Riesgos de Gestión'!$V$66),"")</f>
        <v/>
      </c>
      <c r="V54" s="50" t="str">
        <f>IF(AND('Riesgos de Gestión'!$AI$61="Muy Baja",'Riesgos de Gestión'!$AK$61="Moderado"),CONCATENATE("R9C",'Riesgos de Gestión'!$V$61),"")</f>
        <v/>
      </c>
      <c r="W54" s="51" t="str">
        <f>IF(AND('Riesgos de Gestión'!$AI$62="Muy Baja",'Riesgos de Gestión'!$AK$62="Moderado"),CONCATENATE("R9C",'Riesgos de Gestión'!$V$62),"")</f>
        <v/>
      </c>
      <c r="X54" s="51" t="str">
        <f>IF(AND('Riesgos de Gestión'!$AI$63="Muy Baja",'Riesgos de Gestión'!$AK$63="Moderado"),CONCATENATE("R9C",'Riesgos de Gestión'!$V$63),"")</f>
        <v/>
      </c>
      <c r="Y54" s="51" t="str">
        <f>IF(AND('Riesgos de Gestión'!$AI$64="Muy Baja",'Riesgos de Gestión'!$AK$64="Moderado"),CONCATENATE("R9C",'Riesgos de Gestión'!$V$64),"")</f>
        <v/>
      </c>
      <c r="Z54" s="51" t="str">
        <f>IF(AND('Riesgos de Gestión'!$AI$65="Muy Baja",'Riesgos de Gestión'!$AK$65="Moderado"),CONCATENATE("R9C",'Riesgos de Gestión'!$V$65),"")</f>
        <v/>
      </c>
      <c r="AA54" s="52" t="str">
        <f>IF(AND('Riesgos de Gestión'!$AI$66="Muy Baja",'Riesgos de Gestión'!$AK$66="Moderado"),CONCATENATE("R9C",'Riesgos de Gestión'!$V$66),"")</f>
        <v/>
      </c>
      <c r="AB54" s="35" t="str">
        <f>IF(AND('Riesgos de Gestión'!$AI$61="Muy Baja",'Riesgos de Gestión'!$AK$61="Mayor"),CONCATENATE("R9C",'Riesgos de Gestión'!$V$61),"")</f>
        <v/>
      </c>
      <c r="AC54" s="36" t="str">
        <f>IF(AND('Riesgos de Gestión'!$AI$62="Muy Baja",'Riesgos de Gestión'!$AK$62="Mayor"),CONCATENATE("R9C",'Riesgos de Gestión'!$V$62),"")</f>
        <v/>
      </c>
      <c r="AD54" s="36" t="str">
        <f>IF(AND('Riesgos de Gestión'!$AI$63="Muy Baja",'Riesgos de Gestión'!$AK$63="Mayor"),CONCATENATE("R9C",'Riesgos de Gestión'!$V$63),"")</f>
        <v/>
      </c>
      <c r="AE54" s="36" t="str">
        <f>IF(AND('Riesgos de Gestión'!$AI$64="Muy Baja",'Riesgos de Gestión'!$AK$64="Mayor"),CONCATENATE("R9C",'Riesgos de Gestión'!$V$64),"")</f>
        <v/>
      </c>
      <c r="AF54" s="36" t="str">
        <f>IF(AND('Riesgos de Gestión'!$AI$65="Muy Baja",'Riesgos de Gestión'!$AK$65="Mayor"),CONCATENATE("R9C",'Riesgos de Gestión'!$V$65),"")</f>
        <v/>
      </c>
      <c r="AG54" s="37" t="str">
        <f>IF(AND('Riesgos de Gestión'!$AI$66="Muy Baja",'Riesgos de Gestión'!$AK$66="Mayor"),CONCATENATE("R9C",'Riesgos de Gestión'!$V$66),"")</f>
        <v/>
      </c>
      <c r="AH54" s="38" t="str">
        <f>IF(AND('Riesgos de Gestión'!$AI$61="Muy Baja",'Riesgos de Gestión'!$AK$61="Catastrófico"),CONCATENATE("R9C",'Riesgos de Gestión'!$V$61),"")</f>
        <v/>
      </c>
      <c r="AI54" s="39" t="str">
        <f>IF(AND('Riesgos de Gestión'!$AI$62="Muy Baja",'Riesgos de Gestión'!$AK$62="Catastrófico"),CONCATENATE("R9C",'Riesgos de Gestión'!$V$62),"")</f>
        <v/>
      </c>
      <c r="AJ54" s="39" t="str">
        <f>IF(AND('Riesgos de Gestión'!$AI$63="Muy Baja",'Riesgos de Gestión'!$AK$63="Catastrófico"),CONCATENATE("R9C",'Riesgos de Gestión'!$V$63),"")</f>
        <v/>
      </c>
      <c r="AK54" s="39" t="str">
        <f>IF(AND('Riesgos de Gestión'!$AI$64="Muy Baja",'Riesgos de Gestión'!$AK$64="Catastrófico"),CONCATENATE("R9C",'Riesgos de Gestión'!$V$64),"")</f>
        <v/>
      </c>
      <c r="AL54" s="39" t="str">
        <f>IF(AND('Riesgos de Gestión'!$AI$65="Muy Baja",'Riesgos de Gestión'!$AK$65="Catastrófico"),CONCATENATE("R9C",'Riesgos de Gestión'!$V$65),"")</f>
        <v/>
      </c>
      <c r="AM54" s="40" t="str">
        <f>IF(AND('Riesgos de Gestión'!$AI$66="Muy Baja",'Riesgos de Gestión'!$AK$66="Catastrófico"),CONCATENATE("R9C",'Riesgos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41"/>
      <c r="C55" s="441"/>
      <c r="D55" s="442"/>
      <c r="E55" s="541"/>
      <c r="F55" s="542"/>
      <c r="G55" s="542"/>
      <c r="H55" s="542"/>
      <c r="I55" s="556"/>
      <c r="J55" s="62" t="str">
        <f>IF(AND('Riesgos de Gestión'!$AI$67="Muy Baja",'Riesgos de Gestión'!$AK$67="Leve"),CONCATENATE("R10C",'Riesgos de Gestión'!$V$67),"")</f>
        <v/>
      </c>
      <c r="K55" s="63" t="str">
        <f>IF(AND('Riesgos de Gestión'!$AI$68="Muy Baja",'Riesgos de Gestión'!$AK$68="Leve"),CONCATENATE("R10C",'Riesgos de Gestión'!$V$68),"")</f>
        <v/>
      </c>
      <c r="L55" s="63" t="str">
        <f>IF(AND('Riesgos de Gestión'!$AI$69="Muy Baja",'Riesgos de Gestión'!$AK$69="Leve"),CONCATENATE("R10C",'Riesgos de Gestión'!$V$69),"")</f>
        <v/>
      </c>
      <c r="M55" s="63" t="str">
        <f>IF(AND('Riesgos de Gestión'!$AI$70="Muy Baja",'Riesgos de Gestión'!$AK$70="Leve"),CONCATENATE("R10C",'Riesgos de Gestión'!$V$70),"")</f>
        <v/>
      </c>
      <c r="N55" s="63" t="str">
        <f>IF(AND('Riesgos de Gestión'!$AI$71="Muy Baja",'Riesgos de Gestión'!$AK$71="Leve"),CONCATENATE("R10C",'Riesgos de Gestión'!$V$71),"")</f>
        <v/>
      </c>
      <c r="O55" s="64" t="str">
        <f>IF(AND('Riesgos de Gestión'!$AI$72="Muy Baja",'Riesgos de Gestión'!$AK$72="Leve"),CONCATENATE("R10C",'Riesgos de Gestión'!$V$72),"")</f>
        <v/>
      </c>
      <c r="P55" s="62" t="str">
        <f>IF(AND('Riesgos de Gestión'!$AI$67="Muy Baja",'Riesgos de Gestión'!$AK$67="Menor"),CONCATENATE("R10C",'Riesgos de Gestión'!$V$67),"")</f>
        <v/>
      </c>
      <c r="Q55" s="63" t="str">
        <f>IF(AND('Riesgos de Gestión'!$AI$68="Muy Baja",'Riesgos de Gestión'!$AK$68="Menor"),CONCATENATE("R10C",'Riesgos de Gestión'!$V$68),"")</f>
        <v/>
      </c>
      <c r="R55" s="63" t="str">
        <f>IF(AND('Riesgos de Gestión'!$AI$69="Muy Baja",'Riesgos de Gestión'!$AK$69="Menor"),CONCATENATE("R10C",'Riesgos de Gestión'!$V$69),"")</f>
        <v/>
      </c>
      <c r="S55" s="63" t="str">
        <f>IF(AND('Riesgos de Gestión'!$AI$70="Muy Baja",'Riesgos de Gestión'!$AK$70="Menor"),CONCATENATE("R10C",'Riesgos de Gestión'!$V$70),"")</f>
        <v/>
      </c>
      <c r="T55" s="63" t="str">
        <f>IF(AND('Riesgos de Gestión'!$AI$71="Muy Baja",'Riesgos de Gestión'!$AK$71="Menor"),CONCATENATE("R10C",'Riesgos de Gestión'!$V$71),"")</f>
        <v/>
      </c>
      <c r="U55" s="64" t="str">
        <f>IF(AND('Riesgos de Gestión'!$AI$72="Muy Baja",'Riesgos de Gestión'!$AK$72="Menor"),CONCATENATE("R10C",'Riesgos de Gestión'!$V$72),"")</f>
        <v/>
      </c>
      <c r="V55" s="53" t="str">
        <f>IF(AND('Riesgos de Gestión'!$AI$67="Muy Baja",'Riesgos de Gestión'!$AK$67="Moderado"),CONCATENATE("R10C",'Riesgos de Gestión'!$V$67),"")</f>
        <v/>
      </c>
      <c r="W55" s="54" t="str">
        <f>IF(AND('Riesgos de Gestión'!$AI$68="Muy Baja",'Riesgos de Gestión'!$AK$68="Moderado"),CONCATENATE("R10C",'Riesgos de Gestión'!$V$68),"")</f>
        <v/>
      </c>
      <c r="X55" s="54" t="str">
        <f>IF(AND('Riesgos de Gestión'!$AI$69="Muy Baja",'Riesgos de Gestión'!$AK$69="Moderado"),CONCATENATE("R10C",'Riesgos de Gestión'!$V$69),"")</f>
        <v/>
      </c>
      <c r="Y55" s="54" t="str">
        <f>IF(AND('Riesgos de Gestión'!$AI$70="Muy Baja",'Riesgos de Gestión'!$AK$70="Moderado"),CONCATENATE("R10C",'Riesgos de Gestión'!$V$70),"")</f>
        <v/>
      </c>
      <c r="Z55" s="54" t="str">
        <f>IF(AND('Riesgos de Gestión'!$AI$71="Muy Baja",'Riesgos de Gestión'!$AK$71="Moderado"),CONCATENATE("R10C",'Riesgos de Gestión'!$V$71),"")</f>
        <v/>
      </c>
      <c r="AA55" s="55" t="str">
        <f>IF(AND('Riesgos de Gestión'!$AI$72="Muy Baja",'Riesgos de Gestión'!$AK$72="Moderado"),CONCATENATE("R10C",'Riesgos de Gestión'!$V$72),"")</f>
        <v/>
      </c>
      <c r="AB55" s="41" t="str">
        <f>IF(AND('Riesgos de Gestión'!$AI$67="Muy Baja",'Riesgos de Gestión'!$AK$67="Mayor"),CONCATENATE("R10C",'Riesgos de Gestión'!$V$67),"")</f>
        <v/>
      </c>
      <c r="AC55" s="42" t="str">
        <f>IF(AND('Riesgos de Gestión'!$AI$68="Muy Baja",'Riesgos de Gestión'!$AK$68="Mayor"),CONCATENATE("R10C",'Riesgos de Gestión'!$V$68),"")</f>
        <v/>
      </c>
      <c r="AD55" s="42" t="str">
        <f>IF(AND('Riesgos de Gestión'!$AI$69="Muy Baja",'Riesgos de Gestión'!$AK$69="Mayor"),CONCATENATE("R10C",'Riesgos de Gestión'!$V$69),"")</f>
        <v/>
      </c>
      <c r="AE55" s="42" t="str">
        <f>IF(AND('Riesgos de Gestión'!$AI$70="Muy Baja",'Riesgos de Gestión'!$AK$70="Mayor"),CONCATENATE("R10C",'Riesgos de Gestión'!$V$70),"")</f>
        <v/>
      </c>
      <c r="AF55" s="42" t="str">
        <f>IF(AND('Riesgos de Gestión'!$AI$71="Muy Baja",'Riesgos de Gestión'!$AK$71="Mayor"),CONCATENATE("R10C",'Riesgos de Gestión'!$V$71),"")</f>
        <v/>
      </c>
      <c r="AG55" s="43" t="str">
        <f>IF(AND('Riesgos de Gestión'!$AI$72="Muy Baja",'Riesgos de Gestión'!$AK$72="Mayor"),CONCATENATE("R10C",'Riesgos de Gestión'!$V$72),"")</f>
        <v/>
      </c>
      <c r="AH55" s="44" t="str">
        <f>IF(AND('Riesgos de Gestión'!$AI$67="Muy Baja",'Riesgos de Gestión'!$AK$67="Catastrófico"),CONCATENATE("R10C",'Riesgos de Gestión'!$V$67),"")</f>
        <v/>
      </c>
      <c r="AI55" s="45" t="str">
        <f>IF(AND('Riesgos de Gestión'!$AI$68="Muy Baja",'Riesgos de Gestión'!$AK$68="Catastrófico"),CONCATENATE("R10C",'Riesgos de Gestión'!$V$68),"")</f>
        <v/>
      </c>
      <c r="AJ55" s="45" t="str">
        <f>IF(AND('Riesgos de Gestión'!$AI$69="Muy Baja",'Riesgos de Gestión'!$AK$69="Catastrófico"),CONCATENATE("R10C",'Riesgos de Gestión'!$V$69),"")</f>
        <v/>
      </c>
      <c r="AK55" s="45" t="str">
        <f>IF(AND('Riesgos de Gestión'!$AI$70="Muy Baja",'Riesgos de Gestión'!$AK$70="Catastrófico"),CONCATENATE("R10C",'Riesgos de Gestión'!$V$70),"")</f>
        <v/>
      </c>
      <c r="AL55" s="45" t="str">
        <f>IF(AND('Riesgos de Gestión'!$AI$71="Muy Baja",'Riesgos de Gestión'!$AK$71="Catastrófico"),CONCATENATE("R10C",'Riesgos de Gestión'!$V$71),"")</f>
        <v/>
      </c>
      <c r="AM55" s="46" t="str">
        <f>IF(AND('Riesgos de Gestión'!$AI$72="Muy Baja",'Riesgos de Gestión'!$AK$72="Catastrófico"),CONCATENATE("R10C",'Riesgos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36" t="s">
        <v>291</v>
      </c>
      <c r="K56" s="537"/>
      <c r="L56" s="537"/>
      <c r="M56" s="537"/>
      <c r="N56" s="537"/>
      <c r="O56" s="554"/>
      <c r="P56" s="536" t="s">
        <v>292</v>
      </c>
      <c r="Q56" s="537"/>
      <c r="R56" s="537"/>
      <c r="S56" s="537"/>
      <c r="T56" s="537"/>
      <c r="U56" s="554"/>
      <c r="V56" s="536" t="s">
        <v>293</v>
      </c>
      <c r="W56" s="537"/>
      <c r="X56" s="537"/>
      <c r="Y56" s="537"/>
      <c r="Z56" s="537"/>
      <c r="AA56" s="554"/>
      <c r="AB56" s="536" t="s">
        <v>294</v>
      </c>
      <c r="AC56" s="575"/>
      <c r="AD56" s="537"/>
      <c r="AE56" s="537"/>
      <c r="AF56" s="537"/>
      <c r="AG56" s="554"/>
      <c r="AH56" s="536" t="s">
        <v>295</v>
      </c>
      <c r="AI56" s="537"/>
      <c r="AJ56" s="537"/>
      <c r="AK56" s="537"/>
      <c r="AL56" s="537"/>
      <c r="AM56" s="554"/>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40"/>
      <c r="K57" s="539"/>
      <c r="L57" s="539"/>
      <c r="M57" s="539"/>
      <c r="N57" s="539"/>
      <c r="O57" s="555"/>
      <c r="P57" s="540"/>
      <c r="Q57" s="539"/>
      <c r="R57" s="539"/>
      <c r="S57" s="539"/>
      <c r="T57" s="539"/>
      <c r="U57" s="555"/>
      <c r="V57" s="540"/>
      <c r="W57" s="539"/>
      <c r="X57" s="539"/>
      <c r="Y57" s="539"/>
      <c r="Z57" s="539"/>
      <c r="AA57" s="555"/>
      <c r="AB57" s="540"/>
      <c r="AC57" s="539"/>
      <c r="AD57" s="539"/>
      <c r="AE57" s="539"/>
      <c r="AF57" s="539"/>
      <c r="AG57" s="555"/>
      <c r="AH57" s="540"/>
      <c r="AI57" s="539"/>
      <c r="AJ57" s="539"/>
      <c r="AK57" s="539"/>
      <c r="AL57" s="539"/>
      <c r="AM57" s="555"/>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40"/>
      <c r="K58" s="539"/>
      <c r="L58" s="539"/>
      <c r="M58" s="539"/>
      <c r="N58" s="539"/>
      <c r="O58" s="555"/>
      <c r="P58" s="540"/>
      <c r="Q58" s="539"/>
      <c r="R58" s="539"/>
      <c r="S58" s="539"/>
      <c r="T58" s="539"/>
      <c r="U58" s="555"/>
      <c r="V58" s="540"/>
      <c r="W58" s="539"/>
      <c r="X58" s="539"/>
      <c r="Y58" s="539"/>
      <c r="Z58" s="539"/>
      <c r="AA58" s="555"/>
      <c r="AB58" s="540"/>
      <c r="AC58" s="539"/>
      <c r="AD58" s="539"/>
      <c r="AE58" s="539"/>
      <c r="AF58" s="539"/>
      <c r="AG58" s="555"/>
      <c r="AH58" s="540"/>
      <c r="AI58" s="539"/>
      <c r="AJ58" s="539"/>
      <c r="AK58" s="539"/>
      <c r="AL58" s="539"/>
      <c r="AM58" s="555"/>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40"/>
      <c r="K59" s="539"/>
      <c r="L59" s="539"/>
      <c r="M59" s="539"/>
      <c r="N59" s="539"/>
      <c r="O59" s="555"/>
      <c r="P59" s="540"/>
      <c r="Q59" s="539"/>
      <c r="R59" s="539"/>
      <c r="S59" s="539"/>
      <c r="T59" s="539"/>
      <c r="U59" s="555"/>
      <c r="V59" s="540"/>
      <c r="W59" s="539"/>
      <c r="X59" s="539"/>
      <c r="Y59" s="539"/>
      <c r="Z59" s="539"/>
      <c r="AA59" s="555"/>
      <c r="AB59" s="540"/>
      <c r="AC59" s="539"/>
      <c r="AD59" s="539"/>
      <c r="AE59" s="539"/>
      <c r="AF59" s="539"/>
      <c r="AG59" s="555"/>
      <c r="AH59" s="540"/>
      <c r="AI59" s="539"/>
      <c r="AJ59" s="539"/>
      <c r="AK59" s="539"/>
      <c r="AL59" s="539"/>
      <c r="AM59" s="555"/>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40"/>
      <c r="K60" s="539"/>
      <c r="L60" s="539"/>
      <c r="M60" s="539"/>
      <c r="N60" s="539"/>
      <c r="O60" s="555"/>
      <c r="P60" s="540"/>
      <c r="Q60" s="539"/>
      <c r="R60" s="539"/>
      <c r="S60" s="539"/>
      <c r="T60" s="539"/>
      <c r="U60" s="555"/>
      <c r="V60" s="540"/>
      <c r="W60" s="539"/>
      <c r="X60" s="539"/>
      <c r="Y60" s="539"/>
      <c r="Z60" s="539"/>
      <c r="AA60" s="555"/>
      <c r="AB60" s="540"/>
      <c r="AC60" s="539"/>
      <c r="AD60" s="539"/>
      <c r="AE60" s="539"/>
      <c r="AF60" s="539"/>
      <c r="AG60" s="555"/>
      <c r="AH60" s="540"/>
      <c r="AI60" s="539"/>
      <c r="AJ60" s="539"/>
      <c r="AK60" s="539"/>
      <c r="AL60" s="539"/>
      <c r="AM60" s="555"/>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41"/>
      <c r="K61" s="542"/>
      <c r="L61" s="542"/>
      <c r="M61" s="542"/>
      <c r="N61" s="542"/>
      <c r="O61" s="556"/>
      <c r="P61" s="541"/>
      <c r="Q61" s="542"/>
      <c r="R61" s="542"/>
      <c r="S61" s="542"/>
      <c r="T61" s="542"/>
      <c r="U61" s="556"/>
      <c r="V61" s="541"/>
      <c r="W61" s="542"/>
      <c r="X61" s="542"/>
      <c r="Y61" s="542"/>
      <c r="Z61" s="542"/>
      <c r="AA61" s="556"/>
      <c r="AB61" s="541"/>
      <c r="AC61" s="542"/>
      <c r="AD61" s="542"/>
      <c r="AE61" s="542"/>
      <c r="AF61" s="542"/>
      <c r="AG61" s="556"/>
      <c r="AH61" s="541"/>
      <c r="AI61" s="542"/>
      <c r="AJ61" s="542"/>
      <c r="AK61" s="542"/>
      <c r="AL61" s="542"/>
      <c r="AM61" s="55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JO88"/>
  <sheetViews>
    <sheetView zoomScale="70" zoomScaleNormal="70" zoomScaleSheetLayoutView="50" zoomScalePageLayoutView="60" workbookViewId="0">
      <selection sqref="A1:C4"/>
    </sheetView>
  </sheetViews>
  <sheetFormatPr baseColWidth="10" defaultColWidth="11.42578125" defaultRowHeight="15" x14ac:dyDescent="0.2"/>
  <cols>
    <col min="1" max="1" width="6.42578125" style="203" customWidth="1"/>
    <col min="2" max="2" width="22.7109375" style="203" customWidth="1"/>
    <col min="3" max="3" width="32" style="203" customWidth="1"/>
    <col min="4" max="5" width="25.28515625" style="203" customWidth="1"/>
    <col min="6" max="6" width="51.140625" style="203" customWidth="1"/>
    <col min="7" max="7" width="21" style="185" customWidth="1"/>
    <col min="8" max="8" width="17.7109375" style="185" customWidth="1"/>
    <col min="9" max="10" width="18.85546875" style="185" customWidth="1"/>
    <col min="11" max="11" width="24.28515625" style="185" customWidth="1"/>
    <col min="12" max="12" width="19.42578125" style="185" customWidth="1"/>
    <col min="13" max="13" width="20.42578125" style="185" customWidth="1"/>
    <col min="14" max="14" width="16.7109375" style="204" customWidth="1"/>
    <col min="15" max="15" width="16.7109375" style="185" customWidth="1"/>
    <col min="16" max="16" width="20.42578125" style="185" hidden="1" customWidth="1"/>
    <col min="17" max="17" width="12.85546875" style="185" customWidth="1"/>
    <col min="18" max="18" width="35.85546875" style="185" hidden="1" customWidth="1"/>
    <col min="19" max="19" width="19" style="185" customWidth="1"/>
    <col min="20" max="20" width="17.42578125" style="185" hidden="1" customWidth="1"/>
    <col min="21" max="21" width="15" style="185" customWidth="1"/>
    <col min="22" max="22" width="5.140625" style="185" customWidth="1"/>
    <col min="23" max="23" width="29.85546875" style="185" customWidth="1"/>
    <col min="24" max="24" width="11.7109375" style="185" customWidth="1"/>
    <col min="25" max="25" width="33.42578125" style="185" customWidth="1"/>
    <col min="26" max="26" width="32.7109375" style="185" customWidth="1"/>
    <col min="27" max="27" width="19.7109375" style="185" hidden="1" customWidth="1"/>
    <col min="28" max="28" width="5.85546875" style="185" customWidth="1"/>
    <col min="29" max="29" width="6.85546875" style="185" customWidth="1"/>
    <col min="30" max="30" width="5" style="185" hidden="1" customWidth="1"/>
    <col min="31" max="31" width="5.42578125" style="185" customWidth="1"/>
    <col min="32" max="32" width="7.140625" style="185" customWidth="1"/>
    <col min="33" max="33" width="6.7109375" style="185" customWidth="1"/>
    <col min="34" max="34" width="7.42578125" style="185" hidden="1" customWidth="1"/>
    <col min="35" max="35" width="8.42578125" style="185" customWidth="1"/>
    <col min="36" max="40" width="10.85546875" style="185" customWidth="1"/>
    <col min="41" max="41" width="33.28515625" style="202" customWidth="1"/>
    <col min="42" max="42" width="23" style="185" customWidth="1"/>
    <col min="43" max="43" width="18.85546875" style="185" customWidth="1"/>
    <col min="44" max="44" width="23.7109375" style="185" customWidth="1"/>
    <col min="45" max="45" width="22.42578125" style="185" customWidth="1"/>
    <col min="46" max="46" width="16.42578125" style="185" customWidth="1"/>
    <col min="47" max="47" width="20.42578125" style="185" customWidth="1"/>
    <col min="48" max="16384" width="11.42578125" style="185"/>
  </cols>
  <sheetData>
    <row r="1" spans="1:275" s="187" customFormat="1" ht="20.25" x14ac:dyDescent="0.3">
      <c r="A1" s="373"/>
      <c r="B1" s="374"/>
      <c r="C1" s="375"/>
      <c r="D1" s="382" t="s">
        <v>218</v>
      </c>
      <c r="E1" s="383"/>
      <c r="F1" s="383"/>
      <c r="G1" s="383"/>
      <c r="H1" s="383"/>
      <c r="I1" s="383"/>
      <c r="J1" s="383"/>
      <c r="K1" s="383"/>
      <c r="L1" s="383"/>
      <c r="M1" s="383"/>
      <c r="N1" s="383"/>
      <c r="O1" s="383"/>
      <c r="P1" s="383"/>
      <c r="Q1" s="383"/>
      <c r="R1" s="383"/>
      <c r="S1" s="383"/>
      <c r="T1" s="384"/>
      <c r="U1" s="234"/>
      <c r="V1" s="234"/>
      <c r="W1" s="234"/>
      <c r="X1" s="234"/>
      <c r="Y1" s="234"/>
      <c r="Z1" s="234"/>
      <c r="AA1" s="358"/>
      <c r="AB1" s="358"/>
      <c r="AC1" s="358"/>
      <c r="AD1" s="358"/>
      <c r="AE1" s="358"/>
      <c r="AF1" s="358"/>
      <c r="AG1" s="358"/>
      <c r="AH1" s="358"/>
      <c r="AI1" s="358"/>
      <c r="AJ1" s="358"/>
      <c r="AK1" s="358"/>
      <c r="AL1" s="358"/>
      <c r="AM1" s="358"/>
      <c r="AN1" s="358"/>
      <c r="AO1" s="358"/>
      <c r="AP1" s="358"/>
      <c r="AQ1" s="358"/>
      <c r="AR1" s="358"/>
      <c r="AS1" s="358"/>
      <c r="AT1" s="358"/>
      <c r="AU1" s="358"/>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275" s="187" customFormat="1" ht="21" thickBot="1" x14ac:dyDescent="0.35">
      <c r="A2" s="376"/>
      <c r="B2" s="377"/>
      <c r="C2" s="378"/>
      <c r="D2" s="385"/>
      <c r="E2" s="386"/>
      <c r="F2" s="386"/>
      <c r="G2" s="386"/>
      <c r="H2" s="386"/>
      <c r="I2" s="386"/>
      <c r="J2" s="386"/>
      <c r="K2" s="386"/>
      <c r="L2" s="386"/>
      <c r="M2" s="386"/>
      <c r="N2" s="386"/>
      <c r="O2" s="386"/>
      <c r="P2" s="386"/>
      <c r="Q2" s="386"/>
      <c r="R2" s="386"/>
      <c r="S2" s="386"/>
      <c r="T2" s="387"/>
      <c r="U2" s="234"/>
      <c r="V2" s="234"/>
      <c r="W2" s="234"/>
      <c r="X2" s="234"/>
      <c r="Y2" s="234"/>
      <c r="Z2" s="234"/>
      <c r="AA2" s="358"/>
      <c r="AB2" s="358"/>
      <c r="AC2" s="358"/>
      <c r="AD2" s="358"/>
      <c r="AE2" s="358"/>
      <c r="AF2" s="358"/>
      <c r="AG2" s="358"/>
      <c r="AH2" s="358"/>
      <c r="AI2" s="358"/>
      <c r="AJ2" s="358"/>
      <c r="AK2" s="358"/>
      <c r="AL2" s="358"/>
      <c r="AM2" s="358"/>
      <c r="AN2" s="358"/>
      <c r="AO2" s="358"/>
      <c r="AP2" s="358"/>
      <c r="AQ2" s="358"/>
      <c r="AR2" s="358"/>
      <c r="AS2" s="358"/>
      <c r="AT2" s="358"/>
      <c r="AU2" s="358"/>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row>
    <row r="3" spans="1:275" s="187" customFormat="1" ht="27.75" customHeight="1" thickBot="1" x14ac:dyDescent="0.35">
      <c r="A3" s="376"/>
      <c r="B3" s="377"/>
      <c r="C3" s="378"/>
      <c r="D3" s="388" t="s">
        <v>219</v>
      </c>
      <c r="E3" s="389"/>
      <c r="F3" s="389"/>
      <c r="G3" s="389"/>
      <c r="H3" s="389"/>
      <c r="I3" s="390"/>
      <c r="J3" s="388" t="s">
        <v>220</v>
      </c>
      <c r="K3" s="389"/>
      <c r="L3" s="389"/>
      <c r="M3" s="389"/>
      <c r="N3" s="389"/>
      <c r="O3" s="389"/>
      <c r="P3" s="389"/>
      <c r="Q3" s="389"/>
      <c r="R3" s="389"/>
      <c r="S3" s="389"/>
      <c r="T3" s="390"/>
      <c r="U3" s="235"/>
      <c r="V3" s="235"/>
      <c r="W3" s="235"/>
      <c r="X3" s="235"/>
      <c r="Y3" s="235"/>
      <c r="Z3" s="234"/>
      <c r="AA3" s="359"/>
      <c r="AB3" s="359"/>
      <c r="AC3" s="359"/>
      <c r="AD3" s="359"/>
      <c r="AE3" s="359"/>
      <c r="AF3" s="359"/>
      <c r="AG3" s="359"/>
      <c r="AH3" s="359"/>
      <c r="AI3" s="359"/>
      <c r="AJ3" s="359"/>
      <c r="AK3" s="359"/>
      <c r="AL3" s="359"/>
      <c r="AM3" s="359"/>
      <c r="AN3" s="359"/>
      <c r="AO3" s="359"/>
      <c r="AP3" s="359"/>
      <c r="AQ3" s="359"/>
      <c r="AR3" s="359"/>
      <c r="AS3" s="359"/>
      <c r="AT3" s="359"/>
      <c r="AU3" s="359"/>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row>
    <row r="4" spans="1:275" s="187" customFormat="1" ht="27.75" customHeight="1" thickBot="1" x14ac:dyDescent="0.35">
      <c r="A4" s="379"/>
      <c r="B4" s="380"/>
      <c r="C4" s="381"/>
      <c r="D4" s="388" t="s">
        <v>221</v>
      </c>
      <c r="E4" s="389"/>
      <c r="F4" s="389"/>
      <c r="G4" s="389"/>
      <c r="H4" s="389"/>
      <c r="I4" s="389"/>
      <c r="J4" s="389"/>
      <c r="K4" s="389"/>
      <c r="L4" s="389"/>
      <c r="M4" s="389"/>
      <c r="N4" s="389"/>
      <c r="O4" s="389"/>
      <c r="P4" s="389"/>
      <c r="Q4" s="389"/>
      <c r="R4" s="389"/>
      <c r="S4" s="389"/>
      <c r="T4" s="390"/>
      <c r="U4" s="234"/>
      <c r="V4" s="234"/>
      <c r="W4" s="234"/>
      <c r="X4" s="234"/>
      <c r="Y4" s="234"/>
      <c r="Z4" s="234"/>
      <c r="AA4" s="359"/>
      <c r="AB4" s="359"/>
      <c r="AC4" s="359"/>
      <c r="AD4" s="359"/>
      <c r="AE4" s="359"/>
      <c r="AF4" s="359"/>
      <c r="AG4" s="359"/>
      <c r="AH4" s="359"/>
      <c r="AI4" s="359"/>
      <c r="AJ4" s="359"/>
      <c r="AK4" s="359"/>
      <c r="AL4" s="359"/>
      <c r="AM4" s="359"/>
      <c r="AN4" s="359"/>
      <c r="AO4" s="359"/>
      <c r="AP4" s="359"/>
      <c r="AQ4" s="359"/>
      <c r="AR4" s="359"/>
      <c r="AS4" s="359"/>
      <c r="AT4" s="359"/>
      <c r="AU4" s="359"/>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row>
    <row r="5" spans="1:275" ht="15.75" thickBot="1" x14ac:dyDescent="0.25">
      <c r="A5" s="188"/>
      <c r="B5" s="189"/>
      <c r="C5" s="188"/>
      <c r="D5" s="188"/>
      <c r="E5" s="188"/>
      <c r="F5" s="188"/>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236"/>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row>
    <row r="6" spans="1:275" ht="27" customHeight="1" thickBot="1" x14ac:dyDescent="0.25">
      <c r="A6" s="360" t="s">
        <v>222</v>
      </c>
      <c r="B6" s="361"/>
      <c r="C6" s="367" t="s">
        <v>66</v>
      </c>
      <c r="D6" s="368"/>
      <c r="E6" s="368"/>
      <c r="F6" s="368"/>
      <c r="G6" s="368"/>
      <c r="H6" s="368"/>
      <c r="I6" s="368"/>
      <c r="J6" s="368"/>
      <c r="K6" s="368"/>
      <c r="L6" s="368"/>
      <c r="M6" s="368"/>
      <c r="N6" s="368"/>
      <c r="O6" s="368"/>
      <c r="P6" s="368"/>
      <c r="Q6" s="368"/>
      <c r="R6" s="368"/>
      <c r="S6" s="368"/>
      <c r="T6" s="368"/>
      <c r="U6" s="369"/>
      <c r="V6" s="237"/>
      <c r="W6" s="237"/>
      <c r="X6" s="237"/>
      <c r="Y6" s="237"/>
      <c r="Z6" s="366"/>
      <c r="AA6" s="366"/>
      <c r="AB6" s="366"/>
      <c r="AC6" s="357"/>
      <c r="AD6" s="357"/>
      <c r="AE6" s="357"/>
      <c r="AF6" s="357"/>
      <c r="AG6" s="357"/>
      <c r="AH6" s="357"/>
      <c r="AI6" s="357"/>
      <c r="AJ6" s="357"/>
      <c r="AK6" s="357"/>
      <c r="AL6" s="357"/>
      <c r="AM6" s="357"/>
      <c r="AN6" s="357"/>
      <c r="AO6" s="357"/>
      <c r="AP6" s="357"/>
      <c r="AQ6" s="357"/>
      <c r="AR6" s="357"/>
      <c r="AS6" s="357"/>
      <c r="AT6" s="357"/>
      <c r="AU6" s="357"/>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row>
    <row r="7" spans="1:275" ht="27" customHeight="1" thickBot="1" x14ac:dyDescent="0.3">
      <c r="A7" s="362" t="s">
        <v>223</v>
      </c>
      <c r="B7" s="363"/>
      <c r="C7" s="370"/>
      <c r="D7" s="371"/>
      <c r="E7" s="371"/>
      <c r="F7" s="371"/>
      <c r="G7" s="371"/>
      <c r="H7" s="371"/>
      <c r="I7" s="371"/>
      <c r="J7" s="371"/>
      <c r="K7" s="371"/>
      <c r="L7" s="371"/>
      <c r="M7" s="371"/>
      <c r="N7" s="371"/>
      <c r="O7" s="371"/>
      <c r="P7" s="371"/>
      <c r="Q7" s="371"/>
      <c r="R7" s="371"/>
      <c r="S7" s="371"/>
      <c r="T7" s="372"/>
      <c r="U7" s="238"/>
      <c r="V7" s="238"/>
      <c r="W7" s="238"/>
      <c r="X7" s="238"/>
      <c r="Y7" s="238"/>
      <c r="Z7" s="239"/>
      <c r="AA7" s="239"/>
      <c r="AB7" s="239"/>
      <c r="AC7" s="357"/>
      <c r="AD7" s="357"/>
      <c r="AE7" s="357"/>
      <c r="AF7" s="357"/>
      <c r="AG7" s="357"/>
      <c r="AH7" s="357"/>
      <c r="AI7" s="357"/>
      <c r="AJ7" s="357"/>
      <c r="AK7" s="357"/>
      <c r="AL7" s="357"/>
      <c r="AM7" s="357"/>
      <c r="AN7" s="357"/>
      <c r="AO7" s="357"/>
      <c r="AP7" s="357"/>
      <c r="AQ7" s="357"/>
      <c r="AR7" s="357"/>
      <c r="AS7" s="357"/>
      <c r="AT7" s="357"/>
      <c r="AU7" s="357"/>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row>
    <row r="8" spans="1:275" ht="27" customHeight="1" thickBot="1" x14ac:dyDescent="0.3">
      <c r="A8" s="364" t="s">
        <v>224</v>
      </c>
      <c r="B8" s="365"/>
      <c r="C8" s="370"/>
      <c r="D8" s="371"/>
      <c r="E8" s="371"/>
      <c r="F8" s="371"/>
      <c r="G8" s="371"/>
      <c r="H8" s="371"/>
      <c r="I8" s="371"/>
      <c r="J8" s="371"/>
      <c r="K8" s="371"/>
      <c r="L8" s="371"/>
      <c r="M8" s="371"/>
      <c r="N8" s="371"/>
      <c r="O8" s="371"/>
      <c r="P8" s="371"/>
      <c r="Q8" s="371"/>
      <c r="R8" s="371"/>
      <c r="S8" s="371"/>
      <c r="T8" s="372"/>
      <c r="U8" s="238"/>
      <c r="V8" s="238"/>
      <c r="W8" s="238"/>
      <c r="X8" s="238"/>
      <c r="Y8" s="238"/>
      <c r="Z8" s="239"/>
      <c r="AA8" s="239"/>
      <c r="AB8" s="239"/>
      <c r="AC8" s="357"/>
      <c r="AD8" s="357"/>
      <c r="AE8" s="357"/>
      <c r="AF8" s="357"/>
      <c r="AG8" s="357"/>
      <c r="AH8" s="357"/>
      <c r="AI8" s="357"/>
      <c r="AJ8" s="357"/>
      <c r="AK8" s="357"/>
      <c r="AL8" s="357"/>
      <c r="AM8" s="357"/>
      <c r="AN8" s="357"/>
      <c r="AO8" s="357"/>
      <c r="AP8" s="357"/>
      <c r="AQ8" s="357"/>
      <c r="AR8" s="357"/>
      <c r="AS8" s="357"/>
      <c r="AT8" s="357"/>
      <c r="AU8" s="357"/>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row>
    <row r="9" spans="1:275"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4"/>
      <c r="AA9" s="194"/>
      <c r="AB9" s="194"/>
      <c r="AC9" s="195"/>
      <c r="AD9" s="195"/>
      <c r="AE9" s="195"/>
      <c r="AF9" s="195"/>
      <c r="AG9" s="195"/>
      <c r="AH9" s="195"/>
      <c r="AI9" s="195"/>
      <c r="AJ9" s="195"/>
      <c r="AK9" s="195"/>
      <c r="AL9" s="195"/>
      <c r="AM9" s="195"/>
      <c r="AN9" s="195"/>
      <c r="AO9" s="195"/>
      <c r="AP9" s="195"/>
      <c r="AQ9" s="195"/>
      <c r="AR9" s="195"/>
      <c r="AS9" s="195"/>
      <c r="AT9" s="195"/>
      <c r="AU9" s="195"/>
    </row>
    <row r="10" spans="1:275" ht="27.75" customHeight="1" x14ac:dyDescent="0.2">
      <c r="A10" s="576" t="s">
        <v>225</v>
      </c>
      <c r="B10" s="577"/>
      <c r="C10" s="577"/>
      <c r="D10" s="577"/>
      <c r="E10" s="577"/>
      <c r="F10" s="577"/>
      <c r="G10" s="578"/>
      <c r="H10" s="432" t="s">
        <v>226</v>
      </c>
      <c r="I10" s="433"/>
      <c r="J10" s="433"/>
      <c r="K10" s="434"/>
      <c r="L10" s="579" t="s">
        <v>227</v>
      </c>
      <c r="M10" s="580"/>
      <c r="N10" s="432" t="s">
        <v>228</v>
      </c>
      <c r="O10" s="433"/>
      <c r="P10" s="433"/>
      <c r="Q10" s="433"/>
      <c r="R10" s="433"/>
      <c r="S10" s="433"/>
      <c r="T10" s="433"/>
      <c r="U10" s="433"/>
      <c r="V10" s="577" t="s">
        <v>229</v>
      </c>
      <c r="W10" s="577"/>
      <c r="X10" s="577"/>
      <c r="Y10" s="577"/>
      <c r="Z10" s="577"/>
      <c r="AA10" s="577"/>
      <c r="AB10" s="577"/>
      <c r="AC10" s="577"/>
      <c r="AD10" s="577"/>
      <c r="AE10" s="577"/>
      <c r="AF10" s="577"/>
      <c r="AG10" s="577"/>
      <c r="AH10" s="578"/>
      <c r="AI10" s="435" t="s">
        <v>230</v>
      </c>
      <c r="AJ10" s="436"/>
      <c r="AK10" s="436"/>
      <c r="AL10" s="436"/>
      <c r="AM10" s="437"/>
      <c r="AN10" s="576" t="s">
        <v>231</v>
      </c>
      <c r="AO10" s="577"/>
      <c r="AP10" s="577"/>
      <c r="AQ10" s="577"/>
      <c r="AR10" s="578"/>
      <c r="AS10" s="432" t="s">
        <v>232</v>
      </c>
      <c r="AT10" s="433"/>
      <c r="AU10" s="434"/>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row>
    <row r="11" spans="1:275" ht="15.75" customHeight="1" x14ac:dyDescent="0.2">
      <c r="A11" s="581" t="s">
        <v>233</v>
      </c>
      <c r="B11" s="582" t="s">
        <v>234</v>
      </c>
      <c r="C11" s="582" t="s">
        <v>297</v>
      </c>
      <c r="D11" s="582" t="s">
        <v>298</v>
      </c>
      <c r="E11" s="582" t="s">
        <v>237</v>
      </c>
      <c r="F11" s="582" t="s">
        <v>238</v>
      </c>
      <c r="G11" s="582" t="s">
        <v>23</v>
      </c>
      <c r="H11" s="409" t="s">
        <v>130</v>
      </c>
      <c r="I11" s="409" t="s">
        <v>239</v>
      </c>
      <c r="J11" s="409" t="s">
        <v>240</v>
      </c>
      <c r="K11" s="409" t="s">
        <v>241</v>
      </c>
      <c r="L11" s="579"/>
      <c r="M11" s="580"/>
      <c r="N11" s="430" t="s">
        <v>242</v>
      </c>
      <c r="O11" s="430" t="s">
        <v>243</v>
      </c>
      <c r="P11" s="585" t="s">
        <v>244</v>
      </c>
      <c r="Q11" s="430" t="s">
        <v>245</v>
      </c>
      <c r="R11" s="430" t="s">
        <v>246</v>
      </c>
      <c r="S11" s="430" t="s">
        <v>247</v>
      </c>
      <c r="T11" s="585" t="s">
        <v>244</v>
      </c>
      <c r="U11" s="430" t="s">
        <v>248</v>
      </c>
      <c r="V11" s="584" t="s">
        <v>249</v>
      </c>
      <c r="W11" s="256"/>
      <c r="X11" s="256"/>
      <c r="Y11" s="256"/>
      <c r="Z11" s="582" t="s">
        <v>31</v>
      </c>
      <c r="AA11" s="582" t="s">
        <v>33</v>
      </c>
      <c r="AB11" s="582" t="s">
        <v>250</v>
      </c>
      <c r="AC11" s="582"/>
      <c r="AD11" s="582"/>
      <c r="AE11" s="582"/>
      <c r="AF11" s="582"/>
      <c r="AG11" s="582"/>
      <c r="AH11" s="584" t="s">
        <v>251</v>
      </c>
      <c r="AI11" s="429" t="s">
        <v>252</v>
      </c>
      <c r="AJ11" s="429" t="s">
        <v>244</v>
      </c>
      <c r="AK11" s="429" t="s">
        <v>253</v>
      </c>
      <c r="AL11" s="429" t="s">
        <v>244</v>
      </c>
      <c r="AM11" s="429" t="s">
        <v>254</v>
      </c>
      <c r="AN11" s="584" t="s">
        <v>49</v>
      </c>
      <c r="AO11" s="582" t="s">
        <v>255</v>
      </c>
      <c r="AP11" s="582" t="s">
        <v>256</v>
      </c>
      <c r="AQ11" s="582" t="s">
        <v>257</v>
      </c>
      <c r="AR11" s="582" t="s">
        <v>258</v>
      </c>
      <c r="AS11" s="430" t="s">
        <v>259</v>
      </c>
      <c r="AT11" s="430" t="s">
        <v>257</v>
      </c>
      <c r="AU11" s="430" t="s">
        <v>260</v>
      </c>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row>
    <row r="12" spans="1:275" s="198" customFormat="1" ht="116.25" customHeight="1" x14ac:dyDescent="0.25">
      <c r="A12" s="581"/>
      <c r="B12" s="583"/>
      <c r="C12" s="582"/>
      <c r="D12" s="582"/>
      <c r="E12" s="582"/>
      <c r="F12" s="583"/>
      <c r="G12" s="582"/>
      <c r="H12" s="410"/>
      <c r="I12" s="410"/>
      <c r="J12" s="410"/>
      <c r="K12" s="410"/>
      <c r="L12" s="255" t="s">
        <v>261</v>
      </c>
      <c r="M12" s="255" t="s">
        <v>262</v>
      </c>
      <c r="N12" s="430"/>
      <c r="O12" s="430"/>
      <c r="P12" s="585"/>
      <c r="Q12" s="430"/>
      <c r="R12" s="430"/>
      <c r="S12" s="585"/>
      <c r="T12" s="585"/>
      <c r="U12" s="430"/>
      <c r="V12" s="584"/>
      <c r="W12" s="254" t="s">
        <v>260</v>
      </c>
      <c r="X12" s="254" t="s">
        <v>259</v>
      </c>
      <c r="Y12" s="254" t="s">
        <v>263</v>
      </c>
      <c r="Z12" s="582"/>
      <c r="AA12" s="582"/>
      <c r="AB12" s="253" t="s">
        <v>264</v>
      </c>
      <c r="AC12" s="253" t="s">
        <v>265</v>
      </c>
      <c r="AD12" s="253" t="s">
        <v>266</v>
      </c>
      <c r="AE12" s="253" t="s">
        <v>267</v>
      </c>
      <c r="AF12" s="253" t="s">
        <v>268</v>
      </c>
      <c r="AG12" s="253" t="s">
        <v>269</v>
      </c>
      <c r="AH12" s="584"/>
      <c r="AI12" s="429"/>
      <c r="AJ12" s="429"/>
      <c r="AK12" s="429"/>
      <c r="AL12" s="429"/>
      <c r="AM12" s="429"/>
      <c r="AN12" s="584"/>
      <c r="AO12" s="582"/>
      <c r="AP12" s="582"/>
      <c r="AQ12" s="582"/>
      <c r="AR12" s="582"/>
      <c r="AS12" s="430"/>
      <c r="AT12" s="430"/>
      <c r="AU12" s="430"/>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row>
    <row r="13" spans="1:275" s="200" customFormat="1" x14ac:dyDescent="0.25">
      <c r="A13" s="411">
        <v>1</v>
      </c>
      <c r="B13" s="353"/>
      <c r="C13" s="353"/>
      <c r="D13" s="353"/>
      <c r="E13" s="353"/>
      <c r="F13" s="413" t="str">
        <f>+CONCATENATE(B13," ",C13," ",D13)</f>
        <v xml:space="preserve">  </v>
      </c>
      <c r="G13" s="353"/>
      <c r="H13" s="354"/>
      <c r="I13" s="354"/>
      <c r="J13" s="354"/>
      <c r="K13" s="354"/>
      <c r="L13" s="354"/>
      <c r="M13" s="354"/>
      <c r="N13" s="414"/>
      <c r="O13" s="415" t="str">
        <f>IF(N13&lt;=0,"",IF(N13&lt;=2,"Muy Baja",IF(N13&lt;=24,"Baja",IF(N13&lt;=500,"Media",IF(N13&lt;=5000,"Alta","Muy Alta")))))</f>
        <v/>
      </c>
      <c r="P13" s="416" t="str">
        <f>IF(O13="","",IF(O13="Muy Baja",0.2,IF(O13="Baja",0.4,IF(O13="Media",0.6,IF(O13="Alta",0.8,IF(O13="Muy Alta",1,))))))</f>
        <v/>
      </c>
      <c r="Q13" s="417"/>
      <c r="R13" s="416">
        <f>IF(NOT(ISERROR(MATCH(Q13,'Tabla Impacto'!$B$245:$B$247,0))),'Tabla Impacto'!$F$224&amp;"Por favor no seleccionar los criterios de impacto(Afectación Económica o presupuestal y Pérdida Reputacional)",Q13)</f>
        <v>0</v>
      </c>
      <c r="S13" s="415" t="str">
        <f>IF(OR(R13='Tabla Impacto'!$C$12,R13='Tabla Impacto'!$D$12),"Leve",IF(OR(R13='Tabla Impacto'!$C$13,R13='Tabla Impacto'!$D$13),"Menor",IF(OR(R13='Tabla Impacto'!$C$14,R13='Tabla Impacto'!$D$14),"Moderado",IF(OR(R13='Tabla Impacto'!$C$15,R13='Tabla Impacto'!$D$15),"Mayor",IF(OR(R13='Tabla Impacto'!$C$16,R13='Tabla Impacto'!$D$16),"Catastrófico","")))))</f>
        <v/>
      </c>
      <c r="T13" s="416" t="str">
        <f>IF(S13="","",IF(S13="Leve",0.2,IF(S13="Menor",0.4,IF(S13="Moderado",0.6,IF(S13="Mayor",0.8,IF(S13="Catastrófico",1,))))))</f>
        <v/>
      </c>
      <c r="U13" s="420"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199">
        <v>1</v>
      </c>
      <c r="W13" s="244"/>
      <c r="X13" s="244"/>
      <c r="Y13" s="244"/>
      <c r="Z13" s="224" t="str">
        <f>+CONCATENATE(W13," ",X13," ",Y13)</f>
        <v xml:space="preserve">  </v>
      </c>
      <c r="AA13" s="176" t="str">
        <f t="shared" ref="AA13:AA18" si="0">IF(OR(AB13="Preventivo",AB13="Detectivo"),"Probabilidad",IF(AB13="Correctivo","Impacto",""))</f>
        <v/>
      </c>
      <c r="AB13" s="177"/>
      <c r="AC13" s="177"/>
      <c r="AD13" s="178" t="str">
        <f>IF(AND(AB13="Preventivo",AC13="Automático"),"50%",IF(AND(AB13="Preventivo",AC13="Manual"),"40%",IF(AND(AB13="Detectivo",AC13="Automático"),"40%",IF(AND(AB13="Detectivo",AC13="Manual"),"30%",IF(AND(AB13="Correctivo",AC13="Automático"),"35%",IF(AND(AB13="Correctivo",AC13="Manual"),"25%",""))))))</f>
        <v/>
      </c>
      <c r="AE13" s="177"/>
      <c r="AF13" s="177"/>
      <c r="AG13" s="177"/>
      <c r="AH13" s="179" t="str">
        <f>IFERROR(IF(AA13="Probabilidad",(P13-(+P13*AD13)),IF(AA13="Impacto",P13,"")),"")</f>
        <v/>
      </c>
      <c r="AI13" s="180" t="str">
        <f>IFERROR(IF(AH13="","",IF(AH13&lt;=0.2,"Muy Baja",IF(AH13&lt;=0.4,"Baja",IF(AH13&lt;=0.6,"Media",IF(AH13&lt;=0.8,"Alta","Muy Alta"))))),"")</f>
        <v/>
      </c>
      <c r="AJ13" s="178" t="str">
        <f>+AH13</f>
        <v/>
      </c>
      <c r="AK13" s="180" t="str">
        <f>IFERROR(IF(AL13="","",IF(AL13&lt;=0.2,"Leve",IF(AL13&lt;=0.4,"Menor",IF(AL13&lt;=0.6,"Moderado",IF(AL13&lt;=0.8,"Mayor","Catastrófico"))))),"")</f>
        <v/>
      </c>
      <c r="AL13" s="178" t="str">
        <f>IFERROR(IF(AA13="Impacto",(T13-(+T13*AD13)),IF(AA13="Probabilidad",T13,"")),"")</f>
        <v/>
      </c>
      <c r="AM13" s="181"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
      </c>
      <c r="AN13" s="182"/>
      <c r="AO13" s="175"/>
      <c r="AP13" s="183"/>
      <c r="AQ13" s="183"/>
      <c r="AR13" s="184"/>
      <c r="AS13" s="353"/>
      <c r="AT13" s="353"/>
      <c r="AU13" s="353"/>
    </row>
    <row r="14" spans="1:275" ht="19.5" customHeight="1" x14ac:dyDescent="0.2">
      <c r="A14" s="411"/>
      <c r="B14" s="353"/>
      <c r="C14" s="353"/>
      <c r="D14" s="353"/>
      <c r="E14" s="353"/>
      <c r="F14" s="413"/>
      <c r="G14" s="353"/>
      <c r="H14" s="355"/>
      <c r="I14" s="355"/>
      <c r="J14" s="355"/>
      <c r="K14" s="355"/>
      <c r="L14" s="355"/>
      <c r="M14" s="355"/>
      <c r="N14" s="414"/>
      <c r="O14" s="415"/>
      <c r="P14" s="416"/>
      <c r="Q14" s="417"/>
      <c r="R14" s="416">
        <f>IF(NOT(ISERROR(MATCH(Q14,_xlfn.ANCHORARRAY(F25),0))),P27&amp;"Por favor no seleccionar los criterios de impacto",Q14)</f>
        <v>0</v>
      </c>
      <c r="S14" s="415"/>
      <c r="T14" s="416"/>
      <c r="U14" s="420"/>
      <c r="V14" s="199">
        <v>2</v>
      </c>
      <c r="W14" s="244"/>
      <c r="X14" s="199"/>
      <c r="Y14" s="199"/>
      <c r="Z14" s="224" t="str">
        <f t="shared" ref="Z14:Z72" si="1">+CONCATENATE(W14," ",X14," ",Y14)</f>
        <v xml:space="preserve">  </v>
      </c>
      <c r="AA14" s="176" t="str">
        <f t="shared" si="0"/>
        <v/>
      </c>
      <c r="AB14" s="177"/>
      <c r="AC14" s="177"/>
      <c r="AD14" s="178" t="str">
        <f t="shared" ref="AD14:AD18" si="2">IF(AND(AB14="Preventivo",AC14="Automático"),"50%",IF(AND(AB14="Preventivo",AC14="Manual"),"40%",IF(AND(AB14="Detectivo",AC14="Automático"),"40%",IF(AND(AB14="Detectivo",AC14="Manual"),"30%",IF(AND(AB14="Correctivo",AC14="Automático"),"35%",IF(AND(AB14="Correctivo",AC14="Manual"),"25%",""))))))</f>
        <v/>
      </c>
      <c r="AE14" s="177"/>
      <c r="AF14" s="177"/>
      <c r="AG14" s="177"/>
      <c r="AH14" s="179" t="str">
        <f>IFERROR(IF(AND(AA13="Probabilidad",AA14="Probabilidad"),(AJ13-(+AJ13*AD14)),IF(AA14="Probabilidad",(P13-(+P13*AD14)),IF(AA14="Impacto",AJ13,""))),"")</f>
        <v/>
      </c>
      <c r="AI14" s="180" t="str">
        <f t="shared" ref="AI14:AI72" si="3">IFERROR(IF(AH14="","",IF(AH14&lt;=0.2,"Muy Baja",IF(AH14&lt;=0.4,"Baja",IF(AH14&lt;=0.6,"Media",IF(AH14&lt;=0.8,"Alta","Muy Alta"))))),"")</f>
        <v/>
      </c>
      <c r="AJ14" s="178" t="str">
        <f t="shared" ref="AJ14:AJ18" si="4">+AH14</f>
        <v/>
      </c>
      <c r="AK14" s="180" t="str">
        <f t="shared" ref="AK14:AK72" si="5">IFERROR(IF(AL14="","",IF(AL14&lt;=0.2,"Leve",IF(AL14&lt;=0.4,"Menor",IF(AL14&lt;=0.6,"Moderado",IF(AL14&lt;=0.8,"Mayor","Catastrófico"))))),"")</f>
        <v/>
      </c>
      <c r="AL14" s="178" t="str">
        <f>IFERROR(IF(AND(AA13="Impacto",AA14="Impacto"),(AL13-(+AL13*AD14)),IF(AA14="Impacto",($T$13-(+$T$13*AD14)),IF(AA14="Probabilidad",AL13,""))),"")</f>
        <v/>
      </c>
      <c r="AM14" s="181"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182"/>
      <c r="AO14" s="175"/>
      <c r="AP14" s="183"/>
      <c r="AQ14" s="175"/>
      <c r="AR14" s="184"/>
      <c r="AS14" s="353"/>
      <c r="AT14" s="353"/>
      <c r="AU14" s="353"/>
    </row>
    <row r="15" spans="1:275" x14ac:dyDescent="0.2">
      <c r="A15" s="411"/>
      <c r="B15" s="353"/>
      <c r="C15" s="353"/>
      <c r="D15" s="353"/>
      <c r="E15" s="353"/>
      <c r="F15" s="413"/>
      <c r="G15" s="353"/>
      <c r="H15" s="355"/>
      <c r="I15" s="355"/>
      <c r="J15" s="355"/>
      <c r="K15" s="355"/>
      <c r="L15" s="355"/>
      <c r="M15" s="355"/>
      <c r="N15" s="414"/>
      <c r="O15" s="415"/>
      <c r="P15" s="416"/>
      <c r="Q15" s="417"/>
      <c r="R15" s="416">
        <f>IF(NOT(ISERROR(MATCH(Q15,_xlfn.ANCHORARRAY(F26),0))),P28&amp;"Por favor no seleccionar los criterios de impacto",Q15)</f>
        <v>0</v>
      </c>
      <c r="S15" s="415"/>
      <c r="T15" s="416"/>
      <c r="U15" s="420"/>
      <c r="V15" s="199">
        <v>3</v>
      </c>
      <c r="W15" s="244"/>
      <c r="X15" s="199"/>
      <c r="Y15" s="199"/>
      <c r="Z15" s="224" t="str">
        <f t="shared" si="1"/>
        <v xml:space="preserve">  </v>
      </c>
      <c r="AA15" s="176" t="str">
        <f t="shared" si="0"/>
        <v/>
      </c>
      <c r="AB15" s="177"/>
      <c r="AC15" s="177"/>
      <c r="AD15" s="178" t="str">
        <f t="shared" si="2"/>
        <v/>
      </c>
      <c r="AE15" s="177"/>
      <c r="AF15" s="177"/>
      <c r="AG15" s="177"/>
      <c r="AH15" s="179" t="str">
        <f>IFERROR(IF(AND(AA14="Probabilidad",AA15="Probabilidad"),(AJ14-(+AJ14*AD15)),IF(AND(AA14="Impacto",AA15="Probabilidad"),(AJ13-(+AJ13*AD15)),IF(AA15="Impacto",AJ14,""))),"")</f>
        <v/>
      </c>
      <c r="AI15" s="180" t="str">
        <f t="shared" si="3"/>
        <v/>
      </c>
      <c r="AJ15" s="178" t="str">
        <f t="shared" si="4"/>
        <v/>
      </c>
      <c r="AK15" s="180" t="str">
        <f t="shared" si="5"/>
        <v/>
      </c>
      <c r="AL15" s="178" t="str">
        <f>IFERROR(IF(AND(AA14="Impacto",AA15="Impacto"),(AL14-(+AL14*AD15)),IF(AND(AA14="Probabilidad",AA15="Impacto"),(AL13-(+AL13*AD15)),IF(AA15="Probabilidad",AL14,""))),"")</f>
        <v/>
      </c>
      <c r="AM15" s="181" t="str">
        <f t="shared" si="6"/>
        <v/>
      </c>
      <c r="AN15" s="182"/>
      <c r="AO15" s="175"/>
      <c r="AP15" s="183"/>
      <c r="AQ15" s="183"/>
      <c r="AR15" s="184"/>
      <c r="AS15" s="353"/>
      <c r="AT15" s="353"/>
      <c r="AU15" s="353"/>
    </row>
    <row r="16" spans="1:275" x14ac:dyDescent="0.2">
      <c r="A16" s="411"/>
      <c r="B16" s="353"/>
      <c r="C16" s="353"/>
      <c r="D16" s="353"/>
      <c r="E16" s="353"/>
      <c r="F16" s="413"/>
      <c r="G16" s="353"/>
      <c r="H16" s="355"/>
      <c r="I16" s="355"/>
      <c r="J16" s="355"/>
      <c r="K16" s="355"/>
      <c r="L16" s="355"/>
      <c r="M16" s="355"/>
      <c r="N16" s="414"/>
      <c r="O16" s="415"/>
      <c r="P16" s="416"/>
      <c r="Q16" s="417"/>
      <c r="R16" s="416">
        <f>IF(NOT(ISERROR(MATCH(Q16,_xlfn.ANCHORARRAY(F27),0))),P29&amp;"Por favor no seleccionar los criterios de impacto",Q16)</f>
        <v>0</v>
      </c>
      <c r="S16" s="415"/>
      <c r="T16" s="416"/>
      <c r="U16" s="420"/>
      <c r="V16" s="199">
        <v>4</v>
      </c>
      <c r="W16" s="244"/>
      <c r="X16" s="199"/>
      <c r="Y16" s="199"/>
      <c r="Z16" s="224" t="str">
        <f t="shared" si="1"/>
        <v xml:space="preserve">  </v>
      </c>
      <c r="AA16" s="176" t="str">
        <f t="shared" si="0"/>
        <v/>
      </c>
      <c r="AB16" s="177"/>
      <c r="AC16" s="177"/>
      <c r="AD16" s="178" t="str">
        <f t="shared" si="2"/>
        <v/>
      </c>
      <c r="AE16" s="177"/>
      <c r="AF16" s="177"/>
      <c r="AG16" s="177"/>
      <c r="AH16" s="179" t="str">
        <f t="shared" ref="AH16:AH18" si="7">IFERROR(IF(AND(AA15="Probabilidad",AA16="Probabilidad"),(AJ15-(+AJ15*AD16)),IF(AND(AA15="Impacto",AA16="Probabilidad"),(AJ14-(+AJ14*AD16)),IF(AA16="Impacto",AJ15,""))),"")</f>
        <v/>
      </c>
      <c r="AI16" s="180" t="str">
        <f t="shared" si="3"/>
        <v/>
      </c>
      <c r="AJ16" s="178" t="str">
        <f t="shared" si="4"/>
        <v/>
      </c>
      <c r="AK16" s="180" t="str">
        <f t="shared" si="5"/>
        <v/>
      </c>
      <c r="AL16" s="178" t="str">
        <f t="shared" ref="AL16:AL18" si="8">IFERROR(IF(AND(AA15="Impacto",AA16="Impacto"),(AL15-(+AL15*AD16)),IF(AND(AA15="Probabilidad",AA16="Impacto"),(AL14-(+AL14*AD16)),IF(AA16="Probabilidad",AL15,""))),"")</f>
        <v/>
      </c>
      <c r="AM16" s="181"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182"/>
      <c r="AO16" s="175"/>
      <c r="AP16" s="183"/>
      <c r="AQ16" s="183"/>
      <c r="AR16" s="184"/>
      <c r="AS16" s="353"/>
      <c r="AT16" s="353"/>
      <c r="AU16" s="353"/>
    </row>
    <row r="17" spans="1:47" x14ac:dyDescent="0.2">
      <c r="A17" s="411"/>
      <c r="B17" s="353"/>
      <c r="C17" s="353"/>
      <c r="D17" s="353"/>
      <c r="E17" s="353"/>
      <c r="F17" s="413"/>
      <c r="G17" s="353"/>
      <c r="H17" s="355"/>
      <c r="I17" s="355"/>
      <c r="J17" s="355"/>
      <c r="K17" s="355"/>
      <c r="L17" s="355"/>
      <c r="M17" s="355"/>
      <c r="N17" s="414"/>
      <c r="O17" s="415"/>
      <c r="P17" s="416"/>
      <c r="Q17" s="417"/>
      <c r="R17" s="416">
        <f>IF(NOT(ISERROR(MATCH(Q17,_xlfn.ANCHORARRAY(F28),0))),P30&amp;"Por favor no seleccionar los criterios de impacto",Q17)</f>
        <v>0</v>
      </c>
      <c r="S17" s="415"/>
      <c r="T17" s="416"/>
      <c r="U17" s="420"/>
      <c r="V17" s="199">
        <v>5</v>
      </c>
      <c r="W17" s="244"/>
      <c r="X17" s="199"/>
      <c r="Y17" s="199"/>
      <c r="Z17" s="224" t="str">
        <f t="shared" si="1"/>
        <v xml:space="preserve">  </v>
      </c>
      <c r="AA17" s="176" t="str">
        <f t="shared" si="0"/>
        <v/>
      </c>
      <c r="AB17" s="177"/>
      <c r="AC17" s="177"/>
      <c r="AD17" s="178" t="str">
        <f t="shared" si="2"/>
        <v/>
      </c>
      <c r="AE17" s="177"/>
      <c r="AF17" s="177"/>
      <c r="AG17" s="177"/>
      <c r="AH17" s="179" t="str">
        <f t="shared" si="7"/>
        <v/>
      </c>
      <c r="AI17" s="180" t="str">
        <f t="shared" si="3"/>
        <v/>
      </c>
      <c r="AJ17" s="178" t="str">
        <f t="shared" si="4"/>
        <v/>
      </c>
      <c r="AK17" s="180" t="str">
        <f t="shared" si="5"/>
        <v/>
      </c>
      <c r="AL17" s="178" t="str">
        <f t="shared" si="8"/>
        <v/>
      </c>
      <c r="AM17" s="181" t="str">
        <f t="shared" si="6"/>
        <v/>
      </c>
      <c r="AN17" s="182"/>
      <c r="AO17" s="175"/>
      <c r="AP17" s="183"/>
      <c r="AQ17" s="183"/>
      <c r="AR17" s="184"/>
      <c r="AS17" s="353"/>
      <c r="AT17" s="353"/>
      <c r="AU17" s="353"/>
    </row>
    <row r="18" spans="1:47" x14ac:dyDescent="0.2">
      <c r="A18" s="411"/>
      <c r="B18" s="353"/>
      <c r="C18" s="353"/>
      <c r="D18" s="353"/>
      <c r="E18" s="353"/>
      <c r="F18" s="413"/>
      <c r="G18" s="353"/>
      <c r="H18" s="356"/>
      <c r="I18" s="356"/>
      <c r="J18" s="356"/>
      <c r="K18" s="356"/>
      <c r="L18" s="356"/>
      <c r="M18" s="356"/>
      <c r="N18" s="414"/>
      <c r="O18" s="415"/>
      <c r="P18" s="416"/>
      <c r="Q18" s="417"/>
      <c r="R18" s="416">
        <f>IF(NOT(ISERROR(MATCH(Q18,_xlfn.ANCHORARRAY(F29),0))),P31&amp;"Por favor no seleccionar los criterios de impacto",Q18)</f>
        <v>0</v>
      </c>
      <c r="S18" s="415"/>
      <c r="T18" s="416"/>
      <c r="U18" s="420"/>
      <c r="V18" s="199">
        <v>6</v>
      </c>
      <c r="W18" s="244"/>
      <c r="X18" s="199"/>
      <c r="Y18" s="199"/>
      <c r="Z18" s="224" t="str">
        <f t="shared" si="1"/>
        <v xml:space="preserve">  </v>
      </c>
      <c r="AA18" s="176" t="str">
        <f t="shared" si="0"/>
        <v/>
      </c>
      <c r="AB18" s="177"/>
      <c r="AC18" s="177"/>
      <c r="AD18" s="178" t="str">
        <f t="shared" si="2"/>
        <v/>
      </c>
      <c r="AE18" s="177"/>
      <c r="AF18" s="177"/>
      <c r="AG18" s="177"/>
      <c r="AH18" s="179" t="str">
        <f t="shared" si="7"/>
        <v/>
      </c>
      <c r="AI18" s="180" t="str">
        <f t="shared" si="3"/>
        <v/>
      </c>
      <c r="AJ18" s="178" t="str">
        <f t="shared" si="4"/>
        <v/>
      </c>
      <c r="AK18" s="180" t="str">
        <f t="shared" si="5"/>
        <v/>
      </c>
      <c r="AL18" s="178" t="str">
        <f t="shared" si="8"/>
        <v/>
      </c>
      <c r="AM18" s="181" t="str">
        <f t="shared" si="6"/>
        <v/>
      </c>
      <c r="AN18" s="182"/>
      <c r="AO18" s="175"/>
      <c r="AP18" s="183"/>
      <c r="AQ18" s="183"/>
      <c r="AR18" s="184"/>
      <c r="AS18" s="353"/>
      <c r="AT18" s="353"/>
      <c r="AU18" s="353"/>
    </row>
    <row r="19" spans="1:47" x14ac:dyDescent="0.2">
      <c r="A19" s="411">
        <v>2</v>
      </c>
      <c r="B19" s="353"/>
      <c r="C19" s="353"/>
      <c r="D19" s="353"/>
      <c r="E19" s="353"/>
      <c r="F19" s="413" t="str">
        <f t="shared" ref="F19" si="9">+CONCATENATE(B19," ",C19," ",D19)</f>
        <v xml:space="preserve">  </v>
      </c>
      <c r="G19" s="353"/>
      <c r="H19" s="354"/>
      <c r="I19" s="354"/>
      <c r="J19" s="354"/>
      <c r="K19" s="354"/>
      <c r="L19" s="354"/>
      <c r="M19" s="354"/>
      <c r="N19" s="414"/>
      <c r="O19" s="415" t="str">
        <f>IF(N19&lt;=0,"",IF(N19&lt;=2,"Muy Baja",IF(N19&lt;=24,"Baja",IF(N19&lt;=500,"Media",IF(N19&lt;=5000,"Alta","Muy Alta")))))</f>
        <v/>
      </c>
      <c r="P19" s="416" t="str">
        <f>IF(O19="","",IF(O19="Muy Baja",0.2,IF(O19="Baja",0.4,IF(O19="Media",0.6,IF(O19="Alta",0.8,IF(O19="Muy Alta",1,))))))</f>
        <v/>
      </c>
      <c r="Q19" s="417"/>
      <c r="R19" s="416">
        <f>IF(NOT(ISERROR(MATCH(Q19,'Tabla Impacto'!$B$245:$B$247,0))),'Tabla Impacto'!$F$224&amp;"Por favor no seleccionar los criterios de impacto(Afectación Económica o presupuestal y Pérdida Reputacional)",Q19)</f>
        <v>0</v>
      </c>
      <c r="S19" s="415" t="str">
        <f>IF(OR(R19='Tabla Impacto'!$C$12,R19='Tabla Impacto'!$D$12),"Leve",IF(OR(R19='Tabla Impacto'!$C$13,R19='Tabla Impacto'!$D$13),"Menor",IF(OR(R19='Tabla Impacto'!$C$14,R19='Tabla Impacto'!$D$14),"Moderado",IF(OR(R19='Tabla Impacto'!$C$15,R19='Tabla Impacto'!$D$15),"Mayor",IF(OR(R19='Tabla Impacto'!$C$16,R19='Tabla Impacto'!$D$16),"Catastrófico","")))))</f>
        <v/>
      </c>
      <c r="T19" s="416" t="str">
        <f>IF(S19="","",IF(S19="Leve",0.2,IF(S19="Menor",0.4,IF(S19="Moderado",0.6,IF(S19="Mayor",0.8,IF(S19="Catastrófico",1,))))))</f>
        <v/>
      </c>
      <c r="U19" s="420"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199">
        <v>1</v>
      </c>
      <c r="W19" s="244"/>
      <c r="X19" s="199"/>
      <c r="Y19" s="199"/>
      <c r="Z19" s="224" t="str">
        <f t="shared" si="1"/>
        <v xml:space="preserve">  </v>
      </c>
      <c r="AA19" s="176" t="str">
        <f>IF(OR(AB19="Preventivo",AB19="Detectivo"),"Probabilidad",IF(AB19="Correctivo","Impacto",""))</f>
        <v/>
      </c>
      <c r="AB19" s="177"/>
      <c r="AC19" s="177"/>
      <c r="AD19" s="178" t="str">
        <f>IF(AND(AB19="Preventivo",AC19="Automático"),"50%",IF(AND(AB19="Preventivo",AC19="Manual"),"40%",IF(AND(AB19="Detectivo",AC19="Automático"),"40%",IF(AND(AB19="Detectivo",AC19="Manual"),"30%",IF(AND(AB19="Correctivo",AC19="Automático"),"35%",IF(AND(AB19="Correctivo",AC19="Manual"),"25%",""))))))</f>
        <v/>
      </c>
      <c r="AE19" s="177"/>
      <c r="AF19" s="177"/>
      <c r="AG19" s="177"/>
      <c r="AH19" s="179" t="str">
        <f>IFERROR(IF(AA19="Probabilidad",(P19-(+P19*AD19)),IF(AA19="Impacto",P19,"")),"")</f>
        <v/>
      </c>
      <c r="AI19" s="180" t="str">
        <f>IFERROR(IF(AH19="","",IF(AH19&lt;=0.2,"Muy Baja",IF(AH19&lt;=0.4,"Baja",IF(AH19&lt;=0.6,"Media",IF(AH19&lt;=0.8,"Alta","Muy Alta"))))),"")</f>
        <v/>
      </c>
      <c r="AJ19" s="178" t="str">
        <f>+AH19</f>
        <v/>
      </c>
      <c r="AK19" s="180" t="str">
        <f>IFERROR(IF(AL19="","",IF(AL19&lt;=0.2,"Leve",IF(AL19&lt;=0.4,"Menor",IF(AL19&lt;=0.6,"Moderado",IF(AL19&lt;=0.8,"Mayor","Catastrófico"))))),"")</f>
        <v/>
      </c>
      <c r="AL19" s="178" t="str">
        <f t="shared" ref="AL19" si="10">IFERROR(IF(AA19="Impacto",(T19-(+T19*AD19)),IF(AA19="Probabilidad",T19,"")),"")</f>
        <v/>
      </c>
      <c r="AM19" s="181"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82"/>
      <c r="AO19" s="175"/>
      <c r="AP19" s="183"/>
      <c r="AQ19" s="183"/>
      <c r="AR19" s="184"/>
      <c r="AS19" s="414"/>
      <c r="AT19" s="414"/>
      <c r="AU19" s="414"/>
    </row>
    <row r="20" spans="1:47" x14ac:dyDescent="0.2">
      <c r="A20" s="411"/>
      <c r="B20" s="353"/>
      <c r="C20" s="353"/>
      <c r="D20" s="353"/>
      <c r="E20" s="353"/>
      <c r="F20" s="413"/>
      <c r="G20" s="353"/>
      <c r="H20" s="355"/>
      <c r="I20" s="355"/>
      <c r="J20" s="355"/>
      <c r="K20" s="355"/>
      <c r="L20" s="355"/>
      <c r="M20" s="355"/>
      <c r="N20" s="414"/>
      <c r="O20" s="415"/>
      <c r="P20" s="416"/>
      <c r="Q20" s="417"/>
      <c r="R20" s="416">
        <f>IF(NOT(ISERROR(MATCH(Q20,_xlfn.ANCHORARRAY(F31),0))),P33&amp;"Por favor no seleccionar los criterios de impacto",Q20)</f>
        <v>0</v>
      </c>
      <c r="S20" s="415"/>
      <c r="T20" s="416"/>
      <c r="U20" s="420"/>
      <c r="V20" s="199">
        <v>2</v>
      </c>
      <c r="W20" s="244"/>
      <c r="X20" s="199"/>
      <c r="Y20" s="199"/>
      <c r="Z20" s="224" t="str">
        <f t="shared" si="1"/>
        <v xml:space="preserve">  </v>
      </c>
      <c r="AA20" s="176" t="str">
        <f>IF(OR(AB20="Preventivo",AB20="Detectivo"),"Probabilidad",IF(AB20="Correctivo","Impacto",""))</f>
        <v/>
      </c>
      <c r="AB20" s="177"/>
      <c r="AC20" s="177"/>
      <c r="AD20" s="178" t="str">
        <f t="shared" ref="AD20:AD24" si="11">IF(AND(AB20="Preventivo",AC20="Automático"),"50%",IF(AND(AB20="Preventivo",AC20="Manual"),"40%",IF(AND(AB20="Detectivo",AC20="Automático"),"40%",IF(AND(AB20="Detectivo",AC20="Manual"),"30%",IF(AND(AB20="Correctivo",AC20="Automático"),"35%",IF(AND(AB20="Correctivo",AC20="Manual"),"25%",""))))))</f>
        <v/>
      </c>
      <c r="AE20" s="177"/>
      <c r="AF20" s="177"/>
      <c r="AG20" s="177"/>
      <c r="AH20" s="179" t="str">
        <f>IFERROR(IF(AND(AA19="Probabilidad",AA20="Probabilidad"),(AJ19-(+AJ19*AD20)),IF(AA20="Probabilidad",(P19-(+P19*AD20)),IF(AA20="Impacto",AJ19,""))),"")</f>
        <v/>
      </c>
      <c r="AI20" s="180" t="str">
        <f t="shared" si="3"/>
        <v/>
      </c>
      <c r="AJ20" s="178" t="str">
        <f t="shared" ref="AJ20:AJ24" si="12">+AH20</f>
        <v/>
      </c>
      <c r="AK20" s="180" t="str">
        <f t="shared" si="5"/>
        <v/>
      </c>
      <c r="AL20" s="178" t="str">
        <f t="shared" ref="AL20" si="13">IFERROR(IF(AND(AA19="Impacto",AA20="Impacto"),(AL19-(+AL19*AD20)),IF(AA20="Impacto",($T$13-(+$T$13*AD20)),IF(AA20="Probabilidad",AL19,""))),"")</f>
        <v/>
      </c>
      <c r="AM20" s="181" t="str">
        <f t="shared" ref="AM20:AM21" si="14">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82"/>
      <c r="AO20" s="175"/>
      <c r="AP20" s="183"/>
      <c r="AQ20" s="175"/>
      <c r="AR20" s="184"/>
      <c r="AS20" s="414"/>
      <c r="AT20" s="414"/>
      <c r="AU20" s="414"/>
    </row>
    <row r="21" spans="1:47" x14ac:dyDescent="0.2">
      <c r="A21" s="411"/>
      <c r="B21" s="353"/>
      <c r="C21" s="353"/>
      <c r="D21" s="353"/>
      <c r="E21" s="353"/>
      <c r="F21" s="413"/>
      <c r="G21" s="353"/>
      <c r="H21" s="355"/>
      <c r="I21" s="355"/>
      <c r="J21" s="355"/>
      <c r="K21" s="355"/>
      <c r="L21" s="355"/>
      <c r="M21" s="355"/>
      <c r="N21" s="414"/>
      <c r="O21" s="415"/>
      <c r="P21" s="416"/>
      <c r="Q21" s="417"/>
      <c r="R21" s="416">
        <f>IF(NOT(ISERROR(MATCH(Q21,_xlfn.ANCHORARRAY(F32),0))),P34&amp;"Por favor no seleccionar los criterios de impacto",Q21)</f>
        <v>0</v>
      </c>
      <c r="S21" s="415"/>
      <c r="T21" s="416"/>
      <c r="U21" s="420"/>
      <c r="V21" s="199">
        <v>3</v>
      </c>
      <c r="W21" s="244"/>
      <c r="X21" s="199"/>
      <c r="Y21" s="199"/>
      <c r="Z21" s="224" t="str">
        <f t="shared" si="1"/>
        <v xml:space="preserve">  </v>
      </c>
      <c r="AA21" s="176" t="str">
        <f>IF(OR(AB21="Preventivo",AB21="Detectivo"),"Probabilidad",IF(AB21="Correctivo","Impacto",""))</f>
        <v/>
      </c>
      <c r="AB21" s="177"/>
      <c r="AC21" s="177"/>
      <c r="AD21" s="178" t="str">
        <f t="shared" si="11"/>
        <v/>
      </c>
      <c r="AE21" s="177"/>
      <c r="AF21" s="177"/>
      <c r="AG21" s="177"/>
      <c r="AH21" s="179" t="str">
        <f>IFERROR(IF(AND(AA20="Probabilidad",AA21="Probabilidad"),(AJ20-(+AJ20*AD21)),IF(AND(AA20="Impacto",AA21="Probabilidad"),(AJ19-(+AJ19*AD21)),IF(AA21="Impacto",AJ20,""))),"")</f>
        <v/>
      </c>
      <c r="AI21" s="180" t="str">
        <f t="shared" si="3"/>
        <v/>
      </c>
      <c r="AJ21" s="178" t="str">
        <f t="shared" si="12"/>
        <v/>
      </c>
      <c r="AK21" s="180" t="str">
        <f t="shared" si="5"/>
        <v/>
      </c>
      <c r="AL21" s="178" t="str">
        <f t="shared" ref="AL21:AL72" si="15">IFERROR(IF(AND(AA20="Impacto",AA21="Impacto"),(AL20-(+AL20*AD21)),IF(AND(AA20="Probabilidad",AA21="Impacto"),(AL19-(+AL19*AD21)),IF(AA21="Probabilidad",AL20,""))),"")</f>
        <v/>
      </c>
      <c r="AM21" s="181" t="str">
        <f t="shared" si="14"/>
        <v/>
      </c>
      <c r="AN21" s="182"/>
      <c r="AO21" s="175"/>
      <c r="AP21" s="183"/>
      <c r="AQ21" s="183"/>
      <c r="AR21" s="184"/>
      <c r="AS21" s="414"/>
      <c r="AT21" s="414"/>
      <c r="AU21" s="414"/>
    </row>
    <row r="22" spans="1:47" x14ac:dyDescent="0.2">
      <c r="A22" s="411"/>
      <c r="B22" s="353"/>
      <c r="C22" s="353"/>
      <c r="D22" s="353"/>
      <c r="E22" s="353"/>
      <c r="F22" s="413"/>
      <c r="G22" s="353"/>
      <c r="H22" s="355"/>
      <c r="I22" s="355"/>
      <c r="J22" s="355"/>
      <c r="K22" s="355"/>
      <c r="L22" s="355"/>
      <c r="M22" s="355"/>
      <c r="N22" s="414"/>
      <c r="O22" s="415"/>
      <c r="P22" s="416"/>
      <c r="Q22" s="417"/>
      <c r="R22" s="416">
        <f>IF(NOT(ISERROR(MATCH(Q22,_xlfn.ANCHORARRAY(F33),0))),P35&amp;"Por favor no seleccionar los criterios de impacto",Q22)</f>
        <v>0</v>
      </c>
      <c r="S22" s="415"/>
      <c r="T22" s="416"/>
      <c r="U22" s="420"/>
      <c r="V22" s="199">
        <v>4</v>
      </c>
      <c r="W22" s="244"/>
      <c r="X22" s="199"/>
      <c r="Y22" s="199"/>
      <c r="Z22" s="224" t="str">
        <f t="shared" si="1"/>
        <v xml:space="preserve">  </v>
      </c>
      <c r="AA22" s="176" t="str">
        <f t="shared" ref="AA22:AA24" si="16">IF(OR(AB22="Preventivo",AB22="Detectivo"),"Probabilidad",IF(AB22="Correctivo","Impacto",""))</f>
        <v/>
      </c>
      <c r="AB22" s="177"/>
      <c r="AC22" s="177"/>
      <c r="AD22" s="178" t="str">
        <f t="shared" si="11"/>
        <v/>
      </c>
      <c r="AE22" s="177"/>
      <c r="AF22" s="177"/>
      <c r="AG22" s="177"/>
      <c r="AH22" s="179" t="str">
        <f t="shared" ref="AH22:AH24" si="17">IFERROR(IF(AND(AA21="Probabilidad",AA22="Probabilidad"),(AJ21-(+AJ21*AD22)),IF(AND(AA21="Impacto",AA22="Probabilidad"),(AJ20-(+AJ20*AD22)),IF(AA22="Impacto",AJ21,""))),"")</f>
        <v/>
      </c>
      <c r="AI22" s="180" t="str">
        <f t="shared" si="3"/>
        <v/>
      </c>
      <c r="AJ22" s="178" t="str">
        <f t="shared" si="12"/>
        <v/>
      </c>
      <c r="AK22" s="180" t="str">
        <f t="shared" si="5"/>
        <v/>
      </c>
      <c r="AL22" s="178" t="str">
        <f t="shared" si="15"/>
        <v/>
      </c>
      <c r="AM22" s="181"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82"/>
      <c r="AO22" s="175"/>
      <c r="AP22" s="183"/>
      <c r="AQ22" s="183"/>
      <c r="AR22" s="184"/>
      <c r="AS22" s="414"/>
      <c r="AT22" s="414"/>
      <c r="AU22" s="414"/>
    </row>
    <row r="23" spans="1:47" x14ac:dyDescent="0.2">
      <c r="A23" s="411"/>
      <c r="B23" s="353"/>
      <c r="C23" s="353"/>
      <c r="D23" s="353"/>
      <c r="E23" s="353"/>
      <c r="F23" s="413"/>
      <c r="G23" s="353"/>
      <c r="H23" s="355"/>
      <c r="I23" s="355"/>
      <c r="J23" s="355"/>
      <c r="K23" s="355"/>
      <c r="L23" s="355"/>
      <c r="M23" s="355"/>
      <c r="N23" s="414"/>
      <c r="O23" s="415"/>
      <c r="P23" s="416"/>
      <c r="Q23" s="417"/>
      <c r="R23" s="416">
        <f>IF(NOT(ISERROR(MATCH(Q23,_xlfn.ANCHORARRAY(F34),0))),P36&amp;"Por favor no seleccionar los criterios de impacto",Q23)</f>
        <v>0</v>
      </c>
      <c r="S23" s="415"/>
      <c r="T23" s="416"/>
      <c r="U23" s="420"/>
      <c r="V23" s="199">
        <v>5</v>
      </c>
      <c r="W23" s="244"/>
      <c r="X23" s="199"/>
      <c r="Y23" s="199"/>
      <c r="Z23" s="224" t="str">
        <f t="shared" si="1"/>
        <v xml:space="preserve">  </v>
      </c>
      <c r="AA23" s="176" t="str">
        <f t="shared" si="16"/>
        <v/>
      </c>
      <c r="AB23" s="177"/>
      <c r="AC23" s="177"/>
      <c r="AD23" s="178" t="str">
        <f t="shared" si="11"/>
        <v/>
      </c>
      <c r="AE23" s="177"/>
      <c r="AF23" s="177"/>
      <c r="AG23" s="177"/>
      <c r="AH23" s="179" t="str">
        <f t="shared" si="17"/>
        <v/>
      </c>
      <c r="AI23" s="180" t="str">
        <f t="shared" si="3"/>
        <v/>
      </c>
      <c r="AJ23" s="178" t="str">
        <f t="shared" si="12"/>
        <v/>
      </c>
      <c r="AK23" s="180" t="str">
        <f t="shared" si="5"/>
        <v/>
      </c>
      <c r="AL23" s="178" t="str">
        <f t="shared" si="15"/>
        <v/>
      </c>
      <c r="AM23" s="181" t="str">
        <f t="shared" ref="AM23:AM24" si="18">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82"/>
      <c r="AO23" s="175"/>
      <c r="AP23" s="183"/>
      <c r="AQ23" s="183"/>
      <c r="AR23" s="184"/>
      <c r="AS23" s="414"/>
      <c r="AT23" s="414"/>
      <c r="AU23" s="414"/>
    </row>
    <row r="24" spans="1:47" x14ac:dyDescent="0.2">
      <c r="A24" s="411"/>
      <c r="B24" s="353"/>
      <c r="C24" s="353"/>
      <c r="D24" s="353"/>
      <c r="E24" s="353"/>
      <c r="F24" s="413"/>
      <c r="G24" s="353"/>
      <c r="H24" s="356"/>
      <c r="I24" s="356"/>
      <c r="J24" s="356"/>
      <c r="K24" s="356"/>
      <c r="L24" s="356"/>
      <c r="M24" s="356"/>
      <c r="N24" s="414"/>
      <c r="O24" s="415"/>
      <c r="P24" s="416"/>
      <c r="Q24" s="417"/>
      <c r="R24" s="416">
        <f>IF(NOT(ISERROR(MATCH(Q24,_xlfn.ANCHORARRAY(F35),0))),P37&amp;"Por favor no seleccionar los criterios de impacto",Q24)</f>
        <v>0</v>
      </c>
      <c r="S24" s="415"/>
      <c r="T24" s="416"/>
      <c r="U24" s="420"/>
      <c r="V24" s="199">
        <v>6</v>
      </c>
      <c r="W24" s="199"/>
      <c r="X24" s="199"/>
      <c r="Y24" s="199"/>
      <c r="Z24" s="224" t="str">
        <f t="shared" si="1"/>
        <v xml:space="preserve">  </v>
      </c>
      <c r="AA24" s="176" t="str">
        <f t="shared" si="16"/>
        <v/>
      </c>
      <c r="AB24" s="177"/>
      <c r="AC24" s="177"/>
      <c r="AD24" s="178" t="str">
        <f t="shared" si="11"/>
        <v/>
      </c>
      <c r="AE24" s="177"/>
      <c r="AF24" s="177"/>
      <c r="AG24" s="177"/>
      <c r="AH24" s="179" t="str">
        <f t="shared" si="17"/>
        <v/>
      </c>
      <c r="AI24" s="180" t="str">
        <f t="shared" si="3"/>
        <v/>
      </c>
      <c r="AJ24" s="178" t="str">
        <f t="shared" si="12"/>
        <v/>
      </c>
      <c r="AK24" s="180" t="str">
        <f t="shared" si="5"/>
        <v/>
      </c>
      <c r="AL24" s="178" t="str">
        <f t="shared" si="15"/>
        <v/>
      </c>
      <c r="AM24" s="181" t="str">
        <f t="shared" si="18"/>
        <v/>
      </c>
      <c r="AN24" s="182"/>
      <c r="AO24" s="175"/>
      <c r="AP24" s="183"/>
      <c r="AQ24" s="183"/>
      <c r="AR24" s="184"/>
      <c r="AS24" s="414"/>
      <c r="AT24" s="414"/>
      <c r="AU24" s="414"/>
    </row>
    <row r="25" spans="1:47" x14ac:dyDescent="0.2">
      <c r="A25" s="411">
        <v>3</v>
      </c>
      <c r="B25" s="353"/>
      <c r="C25" s="353"/>
      <c r="D25" s="353"/>
      <c r="E25" s="353"/>
      <c r="F25" s="413" t="str">
        <f t="shared" ref="F25" si="19">+CONCATENATE(B25," ",C25," ",D25)</f>
        <v xml:space="preserve">  </v>
      </c>
      <c r="G25" s="353"/>
      <c r="H25" s="354"/>
      <c r="I25" s="354"/>
      <c r="J25" s="354"/>
      <c r="K25" s="354"/>
      <c r="L25" s="354"/>
      <c r="M25" s="354"/>
      <c r="N25" s="414"/>
      <c r="O25" s="415" t="str">
        <f>IF(N25&lt;=0,"",IF(N25&lt;=2,"Muy Baja",IF(N25&lt;=24,"Baja",IF(N25&lt;=500,"Media",IF(N25&lt;=5000,"Alta","Muy Alta")))))</f>
        <v/>
      </c>
      <c r="P25" s="416" t="str">
        <f>IF(O25="","",IF(O25="Muy Baja",0.2,IF(O25="Baja",0.4,IF(O25="Media",0.6,IF(O25="Alta",0.8,IF(O25="Muy Alta",1,))))))</f>
        <v/>
      </c>
      <c r="Q25" s="417"/>
      <c r="R25" s="416">
        <f>IF(NOT(ISERROR(MATCH(Q25,'Tabla Impacto'!$B$245:$B$247,0))),'Tabla Impacto'!$F$224&amp;"Por favor no seleccionar los criterios de impacto(Afectación Económica o presupuestal y Pérdida Reputacional)",Q25)</f>
        <v>0</v>
      </c>
      <c r="S25" s="415" t="str">
        <f>IF(OR(R25='Tabla Impacto'!$C$12,R25='Tabla Impacto'!$D$12),"Leve",IF(OR(R25='Tabla Impacto'!$C$13,R25='Tabla Impacto'!$D$13),"Menor",IF(OR(R25='Tabla Impacto'!$C$14,R25='Tabla Impacto'!$D$14),"Moderado",IF(OR(R25='Tabla Impacto'!$C$15,R25='Tabla Impacto'!$D$15),"Mayor",IF(OR(R25='Tabla Impacto'!$C$16,R25='Tabla Impacto'!$D$16),"Catastrófico","")))))</f>
        <v/>
      </c>
      <c r="T25" s="416" t="str">
        <f>IF(S25="","",IF(S25="Leve",0.2,IF(S25="Menor",0.4,IF(S25="Moderado",0.6,IF(S25="Mayor",0.8,IF(S25="Catastrófico",1,))))))</f>
        <v/>
      </c>
      <c r="U25" s="420"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9">
        <v>1</v>
      </c>
      <c r="W25" s="199"/>
      <c r="X25" s="199"/>
      <c r="Y25" s="199"/>
      <c r="Z25" s="224" t="str">
        <f t="shared" si="1"/>
        <v xml:space="preserve">  </v>
      </c>
      <c r="AA25" s="176" t="str">
        <f>IF(OR(AB25="Preventivo",AB25="Detectivo"),"Probabilidad",IF(AB25="Correctivo","Impacto",""))</f>
        <v/>
      </c>
      <c r="AB25" s="177"/>
      <c r="AC25" s="177"/>
      <c r="AD25" s="178" t="str">
        <f>IF(AND(AB25="Preventivo",AC25="Automático"),"50%",IF(AND(AB25="Preventivo",AC25="Manual"),"40%",IF(AND(AB25="Detectivo",AC25="Automático"),"40%",IF(AND(AB25="Detectivo",AC25="Manual"),"30%",IF(AND(AB25="Correctivo",AC25="Automático"),"35%",IF(AND(AB25="Correctivo",AC25="Manual"),"25%",""))))))</f>
        <v/>
      </c>
      <c r="AE25" s="177"/>
      <c r="AF25" s="177"/>
      <c r="AG25" s="177"/>
      <c r="AH25" s="179" t="str">
        <f>IFERROR(IF(AA25="Probabilidad",(P25-(+P25*AD25)),IF(AA25="Impacto",P25,"")),"")</f>
        <v/>
      </c>
      <c r="AI25" s="180" t="str">
        <f>IFERROR(IF(AH25="","",IF(AH25&lt;=0.2,"Muy Baja",IF(AH25&lt;=0.4,"Baja",IF(AH25&lt;=0.6,"Media",IF(AH25&lt;=0.8,"Alta","Muy Alta"))))),"")</f>
        <v/>
      </c>
      <c r="AJ25" s="178" t="str">
        <f>+AH25</f>
        <v/>
      </c>
      <c r="AK25" s="180" t="str">
        <f>IFERROR(IF(AL25="","",IF(AL25&lt;=0.2,"Leve",IF(AL25&lt;=0.4,"Menor",IF(AL25&lt;=0.6,"Moderado",IF(AL25&lt;=0.8,"Mayor","Catastrófico"))))),"")</f>
        <v/>
      </c>
      <c r="AL25" s="178" t="str">
        <f t="shared" ref="AL25" si="20">IFERROR(IF(AA25="Impacto",(T25-(+T25*AD25)),IF(AA25="Probabilidad",T25,"")),"")</f>
        <v/>
      </c>
      <c r="AM25" s="181"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82"/>
      <c r="AO25" s="175"/>
      <c r="AP25" s="183"/>
      <c r="AQ25" s="183"/>
      <c r="AR25" s="184"/>
      <c r="AS25" s="414"/>
      <c r="AT25" s="414"/>
      <c r="AU25" s="414"/>
    </row>
    <row r="26" spans="1:47" x14ac:dyDescent="0.2">
      <c r="A26" s="411"/>
      <c r="B26" s="353"/>
      <c r="C26" s="353"/>
      <c r="D26" s="353"/>
      <c r="E26" s="353"/>
      <c r="F26" s="413"/>
      <c r="G26" s="353"/>
      <c r="H26" s="355"/>
      <c r="I26" s="355"/>
      <c r="J26" s="355"/>
      <c r="K26" s="355"/>
      <c r="L26" s="355"/>
      <c r="M26" s="355"/>
      <c r="N26" s="414"/>
      <c r="O26" s="415"/>
      <c r="P26" s="416"/>
      <c r="Q26" s="417"/>
      <c r="R26" s="416">
        <f>IF(NOT(ISERROR(MATCH(Q26,_xlfn.ANCHORARRAY(F37),0))),P39&amp;"Por favor no seleccionar los criterios de impacto",Q26)</f>
        <v>0</v>
      </c>
      <c r="S26" s="415"/>
      <c r="T26" s="416"/>
      <c r="U26" s="420"/>
      <c r="V26" s="199">
        <v>2</v>
      </c>
      <c r="W26" s="199"/>
      <c r="X26" s="199"/>
      <c r="Y26" s="199"/>
      <c r="Z26" s="224" t="str">
        <f t="shared" si="1"/>
        <v xml:space="preserve">  </v>
      </c>
      <c r="AA26" s="176" t="str">
        <f>IF(OR(AB26="Preventivo",AB26="Detectivo"),"Probabilidad",IF(AB26="Correctivo","Impacto",""))</f>
        <v/>
      </c>
      <c r="AB26" s="177"/>
      <c r="AC26" s="177"/>
      <c r="AD26" s="178" t="str">
        <f t="shared" ref="AD26:AD30" si="21">IF(AND(AB26="Preventivo",AC26="Automático"),"50%",IF(AND(AB26="Preventivo",AC26="Manual"),"40%",IF(AND(AB26="Detectivo",AC26="Automático"),"40%",IF(AND(AB26="Detectivo",AC26="Manual"),"30%",IF(AND(AB26="Correctivo",AC26="Automático"),"35%",IF(AND(AB26="Correctivo",AC26="Manual"),"25%",""))))))</f>
        <v/>
      </c>
      <c r="AE26" s="177"/>
      <c r="AF26" s="177"/>
      <c r="AG26" s="177"/>
      <c r="AH26" s="179" t="str">
        <f>IFERROR(IF(AND(AA25="Probabilidad",AA26="Probabilidad"),(AJ25-(+AJ25*AD26)),IF(AA26="Probabilidad",(P25-(+P25*AD26)),IF(AA26="Impacto",AJ25,""))),"")</f>
        <v/>
      </c>
      <c r="AI26" s="180" t="str">
        <f t="shared" si="3"/>
        <v/>
      </c>
      <c r="AJ26" s="178" t="str">
        <f t="shared" ref="AJ26:AJ30" si="22">+AH26</f>
        <v/>
      </c>
      <c r="AK26" s="180" t="str">
        <f t="shared" si="5"/>
        <v/>
      </c>
      <c r="AL26" s="178" t="str">
        <f t="shared" ref="AL26" si="23">IFERROR(IF(AND(AA25="Impacto",AA26="Impacto"),(AL25-(+AL25*AD26)),IF(AA26="Impacto",($T$13-(+$T$13*AD26)),IF(AA26="Probabilidad",AL25,""))),"")</f>
        <v/>
      </c>
      <c r="AM26" s="181" t="str">
        <f t="shared" ref="AM26:AM27" si="24">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82"/>
      <c r="AO26" s="175"/>
      <c r="AP26" s="183"/>
      <c r="AQ26" s="183"/>
      <c r="AR26" s="184"/>
      <c r="AS26" s="414"/>
      <c r="AT26" s="414"/>
      <c r="AU26" s="414"/>
    </row>
    <row r="27" spans="1:47" x14ac:dyDescent="0.2">
      <c r="A27" s="411"/>
      <c r="B27" s="353"/>
      <c r="C27" s="353"/>
      <c r="D27" s="353"/>
      <c r="E27" s="353"/>
      <c r="F27" s="413"/>
      <c r="G27" s="353"/>
      <c r="H27" s="355"/>
      <c r="I27" s="355"/>
      <c r="J27" s="355"/>
      <c r="K27" s="355"/>
      <c r="L27" s="355"/>
      <c r="M27" s="355"/>
      <c r="N27" s="414"/>
      <c r="O27" s="415"/>
      <c r="P27" s="416"/>
      <c r="Q27" s="417"/>
      <c r="R27" s="416">
        <f>IF(NOT(ISERROR(MATCH(Q27,_xlfn.ANCHORARRAY(F38),0))),P40&amp;"Por favor no seleccionar los criterios de impacto",Q27)</f>
        <v>0</v>
      </c>
      <c r="S27" s="415"/>
      <c r="T27" s="416"/>
      <c r="U27" s="420"/>
      <c r="V27" s="199">
        <v>3</v>
      </c>
      <c r="W27" s="199"/>
      <c r="X27" s="199"/>
      <c r="Y27" s="199"/>
      <c r="Z27" s="224" t="str">
        <f t="shared" si="1"/>
        <v xml:space="preserve">  </v>
      </c>
      <c r="AA27" s="176" t="str">
        <f>IF(OR(AB27="Preventivo",AB27="Detectivo"),"Probabilidad",IF(AB27="Correctivo","Impacto",""))</f>
        <v/>
      </c>
      <c r="AB27" s="177"/>
      <c r="AC27" s="177"/>
      <c r="AD27" s="178" t="str">
        <f t="shared" si="21"/>
        <v/>
      </c>
      <c r="AE27" s="177"/>
      <c r="AF27" s="177"/>
      <c r="AG27" s="177"/>
      <c r="AH27" s="179" t="str">
        <f>IFERROR(IF(AND(AA26="Probabilidad",AA27="Probabilidad"),(AJ26-(+AJ26*AD27)),IF(AND(AA26="Impacto",AA27="Probabilidad"),(AJ25-(+AJ25*AD27)),IF(AA27="Impacto",AJ26,""))),"")</f>
        <v/>
      </c>
      <c r="AI27" s="180" t="str">
        <f t="shared" si="3"/>
        <v/>
      </c>
      <c r="AJ27" s="178" t="str">
        <f t="shared" si="22"/>
        <v/>
      </c>
      <c r="AK27" s="180" t="str">
        <f t="shared" si="5"/>
        <v/>
      </c>
      <c r="AL27" s="178" t="str">
        <f t="shared" ref="AL27" si="25">IFERROR(IF(AND(AA26="Impacto",AA27="Impacto"),(AL26-(+AL26*AD27)),IF(AND(AA26="Probabilidad",AA27="Impacto"),(AL25-(+AL25*AD27)),IF(AA27="Probabilidad",AL26,""))),"")</f>
        <v/>
      </c>
      <c r="AM27" s="181" t="str">
        <f t="shared" si="24"/>
        <v/>
      </c>
      <c r="AN27" s="182"/>
      <c r="AO27" s="175"/>
      <c r="AP27" s="183"/>
      <c r="AQ27" s="183"/>
      <c r="AR27" s="184"/>
      <c r="AS27" s="414"/>
      <c r="AT27" s="414"/>
      <c r="AU27" s="414"/>
    </row>
    <row r="28" spans="1:47" x14ac:dyDescent="0.2">
      <c r="A28" s="411"/>
      <c r="B28" s="353"/>
      <c r="C28" s="353"/>
      <c r="D28" s="353"/>
      <c r="E28" s="353"/>
      <c r="F28" s="413"/>
      <c r="G28" s="353"/>
      <c r="H28" s="355"/>
      <c r="I28" s="355"/>
      <c r="J28" s="355"/>
      <c r="K28" s="355"/>
      <c r="L28" s="355"/>
      <c r="M28" s="355"/>
      <c r="N28" s="414"/>
      <c r="O28" s="415"/>
      <c r="P28" s="416"/>
      <c r="Q28" s="417"/>
      <c r="R28" s="416">
        <f>IF(NOT(ISERROR(MATCH(Q28,_xlfn.ANCHORARRAY(F39),0))),P41&amp;"Por favor no seleccionar los criterios de impacto",Q28)</f>
        <v>0</v>
      </c>
      <c r="S28" s="415"/>
      <c r="T28" s="416"/>
      <c r="U28" s="420"/>
      <c r="V28" s="199">
        <v>4</v>
      </c>
      <c r="W28" s="199"/>
      <c r="X28" s="199"/>
      <c r="Y28" s="199"/>
      <c r="Z28" s="224" t="str">
        <f t="shared" si="1"/>
        <v xml:space="preserve">  </v>
      </c>
      <c r="AA28" s="176" t="str">
        <f t="shared" ref="AA28:AA30" si="26">IF(OR(AB28="Preventivo",AB28="Detectivo"),"Probabilidad",IF(AB28="Correctivo","Impacto",""))</f>
        <v/>
      </c>
      <c r="AB28" s="177"/>
      <c r="AC28" s="177"/>
      <c r="AD28" s="178" t="str">
        <f t="shared" si="21"/>
        <v/>
      </c>
      <c r="AE28" s="177"/>
      <c r="AF28" s="177"/>
      <c r="AG28" s="177"/>
      <c r="AH28" s="179" t="str">
        <f t="shared" ref="AH28:AH30" si="27">IFERROR(IF(AND(AA27="Probabilidad",AA28="Probabilidad"),(AJ27-(+AJ27*AD28)),IF(AND(AA27="Impacto",AA28="Probabilidad"),(AJ26-(+AJ26*AD28)),IF(AA28="Impacto",AJ27,""))),"")</f>
        <v/>
      </c>
      <c r="AI28" s="180" t="str">
        <f t="shared" si="3"/>
        <v/>
      </c>
      <c r="AJ28" s="178" t="str">
        <f t="shared" si="22"/>
        <v/>
      </c>
      <c r="AK28" s="180" t="str">
        <f t="shared" si="5"/>
        <v/>
      </c>
      <c r="AL28" s="178" t="str">
        <f t="shared" si="15"/>
        <v/>
      </c>
      <c r="AM28" s="181"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82"/>
      <c r="AO28" s="175"/>
      <c r="AP28" s="183"/>
      <c r="AQ28" s="183"/>
      <c r="AR28" s="184"/>
      <c r="AS28" s="414"/>
      <c r="AT28" s="414"/>
      <c r="AU28" s="414"/>
    </row>
    <row r="29" spans="1:47" x14ac:dyDescent="0.2">
      <c r="A29" s="411"/>
      <c r="B29" s="353"/>
      <c r="C29" s="353"/>
      <c r="D29" s="353"/>
      <c r="E29" s="353"/>
      <c r="F29" s="413"/>
      <c r="G29" s="353"/>
      <c r="H29" s="355"/>
      <c r="I29" s="355"/>
      <c r="J29" s="355"/>
      <c r="K29" s="355"/>
      <c r="L29" s="355"/>
      <c r="M29" s="355"/>
      <c r="N29" s="414"/>
      <c r="O29" s="415"/>
      <c r="P29" s="416"/>
      <c r="Q29" s="417"/>
      <c r="R29" s="416">
        <f>IF(NOT(ISERROR(MATCH(Q29,_xlfn.ANCHORARRAY(F40),0))),P42&amp;"Por favor no seleccionar los criterios de impacto",Q29)</f>
        <v>0</v>
      </c>
      <c r="S29" s="415"/>
      <c r="T29" s="416"/>
      <c r="U29" s="420"/>
      <c r="V29" s="199">
        <v>5</v>
      </c>
      <c r="W29" s="199"/>
      <c r="X29" s="199"/>
      <c r="Y29" s="199"/>
      <c r="Z29" s="224" t="str">
        <f t="shared" si="1"/>
        <v xml:space="preserve">  </v>
      </c>
      <c r="AA29" s="176" t="str">
        <f t="shared" si="26"/>
        <v/>
      </c>
      <c r="AB29" s="177"/>
      <c r="AC29" s="177"/>
      <c r="AD29" s="178" t="str">
        <f t="shared" si="21"/>
        <v/>
      </c>
      <c r="AE29" s="177"/>
      <c r="AF29" s="177"/>
      <c r="AG29" s="177"/>
      <c r="AH29" s="179" t="str">
        <f t="shared" si="27"/>
        <v/>
      </c>
      <c r="AI29" s="180" t="str">
        <f t="shared" si="3"/>
        <v/>
      </c>
      <c r="AJ29" s="178" t="str">
        <f t="shared" si="22"/>
        <v/>
      </c>
      <c r="AK29" s="180" t="str">
        <f t="shared" si="5"/>
        <v/>
      </c>
      <c r="AL29" s="178" t="str">
        <f t="shared" si="15"/>
        <v/>
      </c>
      <c r="AM29" s="181" t="str">
        <f t="shared" ref="AM29:AM30" si="28">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82"/>
      <c r="AO29" s="175"/>
      <c r="AP29" s="183"/>
      <c r="AQ29" s="183"/>
      <c r="AR29" s="184"/>
      <c r="AS29" s="414"/>
      <c r="AT29" s="414"/>
      <c r="AU29" s="414"/>
    </row>
    <row r="30" spans="1:47" x14ac:dyDescent="0.2">
      <c r="A30" s="411"/>
      <c r="B30" s="353"/>
      <c r="C30" s="353"/>
      <c r="D30" s="353"/>
      <c r="E30" s="353"/>
      <c r="F30" s="413"/>
      <c r="G30" s="353"/>
      <c r="H30" s="356"/>
      <c r="I30" s="356"/>
      <c r="J30" s="356"/>
      <c r="K30" s="356"/>
      <c r="L30" s="356"/>
      <c r="M30" s="356"/>
      <c r="N30" s="414"/>
      <c r="O30" s="415"/>
      <c r="P30" s="416"/>
      <c r="Q30" s="417"/>
      <c r="R30" s="416">
        <f>IF(NOT(ISERROR(MATCH(Q30,_xlfn.ANCHORARRAY(F41),0))),P43&amp;"Por favor no seleccionar los criterios de impacto",Q30)</f>
        <v>0</v>
      </c>
      <c r="S30" s="415"/>
      <c r="T30" s="416"/>
      <c r="U30" s="420"/>
      <c r="V30" s="199">
        <v>6</v>
      </c>
      <c r="W30" s="199"/>
      <c r="X30" s="199"/>
      <c r="Y30" s="199"/>
      <c r="Z30" s="224" t="str">
        <f t="shared" si="1"/>
        <v xml:space="preserve">  </v>
      </c>
      <c r="AA30" s="176" t="str">
        <f t="shared" si="26"/>
        <v/>
      </c>
      <c r="AB30" s="177"/>
      <c r="AC30" s="177"/>
      <c r="AD30" s="178" t="str">
        <f t="shared" si="21"/>
        <v/>
      </c>
      <c r="AE30" s="177"/>
      <c r="AF30" s="177"/>
      <c r="AG30" s="177"/>
      <c r="AH30" s="179" t="str">
        <f t="shared" si="27"/>
        <v/>
      </c>
      <c r="AI30" s="180" t="str">
        <f t="shared" si="3"/>
        <v/>
      </c>
      <c r="AJ30" s="178" t="str">
        <f t="shared" si="22"/>
        <v/>
      </c>
      <c r="AK30" s="180" t="str">
        <f t="shared" si="5"/>
        <v/>
      </c>
      <c r="AL30" s="178" t="str">
        <f t="shared" si="15"/>
        <v/>
      </c>
      <c r="AM30" s="181" t="str">
        <f t="shared" si="28"/>
        <v/>
      </c>
      <c r="AN30" s="182"/>
      <c r="AO30" s="175"/>
      <c r="AP30" s="183"/>
      <c r="AQ30" s="183"/>
      <c r="AR30" s="184"/>
      <c r="AS30" s="414"/>
      <c r="AT30" s="414"/>
      <c r="AU30" s="414"/>
    </row>
    <row r="31" spans="1:47" x14ac:dyDescent="0.2">
      <c r="A31" s="411">
        <v>4</v>
      </c>
      <c r="B31" s="353"/>
      <c r="C31" s="353"/>
      <c r="D31" s="353"/>
      <c r="E31" s="353"/>
      <c r="F31" s="413" t="str">
        <f t="shared" ref="F31" si="29">+CONCATENATE(B31," ",C31," ",D31)</f>
        <v xml:space="preserve">  </v>
      </c>
      <c r="G31" s="353"/>
      <c r="H31" s="354"/>
      <c r="I31" s="354"/>
      <c r="J31" s="354"/>
      <c r="K31" s="354"/>
      <c r="L31" s="354"/>
      <c r="M31" s="354"/>
      <c r="N31" s="414"/>
      <c r="O31" s="415" t="str">
        <f>IF(N31&lt;=0,"",IF(N31&lt;=2,"Muy Baja",IF(N31&lt;=24,"Baja",IF(N31&lt;=500,"Media",IF(N31&lt;=5000,"Alta","Muy Alta")))))</f>
        <v/>
      </c>
      <c r="P31" s="416" t="str">
        <f>IF(O31="","",IF(O31="Muy Baja",0.2,IF(O31="Baja",0.4,IF(O31="Media",0.6,IF(O31="Alta",0.8,IF(O31="Muy Alta",1,))))))</f>
        <v/>
      </c>
      <c r="Q31" s="417"/>
      <c r="R31" s="416">
        <f>IF(NOT(ISERROR(MATCH(Q31,'Tabla Impacto'!$B$245:$B$247,0))),'Tabla Impacto'!$F$224&amp;"Por favor no seleccionar los criterios de impacto(Afectación Económica o presupuestal y Pérdida Reputacional)",Q31)</f>
        <v>0</v>
      </c>
      <c r="S31" s="415" t="str">
        <f>IF(OR(R31='Tabla Impacto'!$C$12,R31='Tabla Impacto'!$D$12),"Leve",IF(OR(R31='Tabla Impacto'!$C$13,R31='Tabla Impacto'!$D$13),"Menor",IF(OR(R31='Tabla Impacto'!$C$14,R31='Tabla Impacto'!$D$14),"Moderado",IF(OR(R31='Tabla Impacto'!$C$15,R31='Tabla Impacto'!$D$15),"Mayor",IF(OR(R31='Tabla Impacto'!$C$16,R31='Tabla Impacto'!$D$16),"Catastrófico","")))))</f>
        <v/>
      </c>
      <c r="T31" s="416" t="str">
        <f>IF(S31="","",IF(S31="Leve",0.2,IF(S31="Menor",0.4,IF(S31="Moderado",0.6,IF(S31="Mayor",0.8,IF(S31="Catastrófico",1,))))))</f>
        <v/>
      </c>
      <c r="U31" s="420"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9">
        <v>1</v>
      </c>
      <c r="W31" s="199"/>
      <c r="X31" s="199"/>
      <c r="Y31" s="199"/>
      <c r="Z31" s="224" t="str">
        <f t="shared" si="1"/>
        <v xml:space="preserve">  </v>
      </c>
      <c r="AA31" s="176" t="str">
        <f>IF(OR(AB31="Preventivo",AB31="Detectivo"),"Probabilidad",IF(AB31="Correctivo","Impacto",""))</f>
        <v/>
      </c>
      <c r="AB31" s="177"/>
      <c r="AC31" s="177"/>
      <c r="AD31" s="178" t="str">
        <f>IF(AND(AB31="Preventivo",AC31="Automático"),"50%",IF(AND(AB31="Preventivo",AC31="Manual"),"40%",IF(AND(AB31="Detectivo",AC31="Automático"),"40%",IF(AND(AB31="Detectivo",AC31="Manual"),"30%",IF(AND(AB31="Correctivo",AC31="Automático"),"35%",IF(AND(AB31="Correctivo",AC31="Manual"),"25%",""))))))</f>
        <v/>
      </c>
      <c r="AE31" s="177"/>
      <c r="AF31" s="177"/>
      <c r="AG31" s="177"/>
      <c r="AH31" s="179" t="str">
        <f>IFERROR(IF(AA31="Probabilidad",(P31-(+P31*AD31)),IF(AA31="Impacto",P31,"")),"")</f>
        <v/>
      </c>
      <c r="AI31" s="180" t="str">
        <f>IFERROR(IF(AH31="","",IF(AH31&lt;=0.2,"Muy Baja",IF(AH31&lt;=0.4,"Baja",IF(AH31&lt;=0.6,"Media",IF(AH31&lt;=0.8,"Alta","Muy Alta"))))),"")</f>
        <v/>
      </c>
      <c r="AJ31" s="178" t="str">
        <f>+AH31</f>
        <v/>
      </c>
      <c r="AK31" s="180" t="str">
        <f>IFERROR(IF(AL31="","",IF(AL31&lt;=0.2,"Leve",IF(AL31&lt;=0.4,"Menor",IF(AL31&lt;=0.6,"Moderado",IF(AL31&lt;=0.8,"Mayor","Catastrófico"))))),"")</f>
        <v/>
      </c>
      <c r="AL31" s="178" t="str">
        <f t="shared" ref="AL31" si="30">IFERROR(IF(AA31="Impacto",(T31-(+T31*AD31)),IF(AA31="Probabilidad",T31,"")),"")</f>
        <v/>
      </c>
      <c r="AM31" s="181"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82"/>
      <c r="AO31" s="175"/>
      <c r="AP31" s="183"/>
      <c r="AQ31" s="183"/>
      <c r="AR31" s="184"/>
      <c r="AS31" s="414"/>
      <c r="AT31" s="414"/>
      <c r="AU31" s="414"/>
    </row>
    <row r="32" spans="1:47" x14ac:dyDescent="0.2">
      <c r="A32" s="411"/>
      <c r="B32" s="353"/>
      <c r="C32" s="353"/>
      <c r="D32" s="353"/>
      <c r="E32" s="353"/>
      <c r="F32" s="413"/>
      <c r="G32" s="353"/>
      <c r="H32" s="355"/>
      <c r="I32" s="355"/>
      <c r="J32" s="355"/>
      <c r="K32" s="355"/>
      <c r="L32" s="355"/>
      <c r="M32" s="355"/>
      <c r="N32" s="414"/>
      <c r="O32" s="415"/>
      <c r="P32" s="416"/>
      <c r="Q32" s="417"/>
      <c r="R32" s="416">
        <f>IF(NOT(ISERROR(MATCH(Q32,_xlfn.ANCHORARRAY(F43),0))),P45&amp;"Por favor no seleccionar los criterios de impacto",Q32)</f>
        <v>0</v>
      </c>
      <c r="S32" s="415"/>
      <c r="T32" s="416"/>
      <c r="U32" s="420"/>
      <c r="V32" s="199">
        <v>2</v>
      </c>
      <c r="W32" s="199"/>
      <c r="X32" s="199"/>
      <c r="Y32" s="199"/>
      <c r="Z32" s="224" t="str">
        <f t="shared" si="1"/>
        <v xml:space="preserve">  </v>
      </c>
      <c r="AA32" s="176" t="str">
        <f>IF(OR(AB32="Preventivo",AB32="Detectivo"),"Probabilidad",IF(AB32="Correctivo","Impacto",""))</f>
        <v/>
      </c>
      <c r="AB32" s="177"/>
      <c r="AC32" s="177"/>
      <c r="AD32" s="178" t="str">
        <f t="shared" ref="AD32:AD36" si="31">IF(AND(AB32="Preventivo",AC32="Automático"),"50%",IF(AND(AB32="Preventivo",AC32="Manual"),"40%",IF(AND(AB32="Detectivo",AC32="Automático"),"40%",IF(AND(AB32="Detectivo",AC32="Manual"),"30%",IF(AND(AB32="Correctivo",AC32="Automático"),"35%",IF(AND(AB32="Correctivo",AC32="Manual"),"25%",""))))))</f>
        <v/>
      </c>
      <c r="AE32" s="177"/>
      <c r="AF32" s="177"/>
      <c r="AG32" s="177"/>
      <c r="AH32" s="179" t="str">
        <f>IFERROR(IF(AND(AA31="Probabilidad",AA32="Probabilidad"),(AJ31-(+AJ31*AD32)),IF(AA32="Probabilidad",(P31-(+P31*AD32)),IF(AA32="Impacto",AJ31,""))),"")</f>
        <v/>
      </c>
      <c r="AI32" s="180" t="str">
        <f t="shared" si="3"/>
        <v/>
      </c>
      <c r="AJ32" s="178" t="str">
        <f t="shared" ref="AJ32:AJ36" si="32">+AH32</f>
        <v/>
      </c>
      <c r="AK32" s="180" t="str">
        <f t="shared" si="5"/>
        <v/>
      </c>
      <c r="AL32" s="178" t="str">
        <f t="shared" ref="AL32" si="33">IFERROR(IF(AND(AA31="Impacto",AA32="Impacto"),(AL31-(+AL31*AD32)),IF(AA32="Impacto",($T$13-(+$T$13*AD32)),IF(AA32="Probabilidad",AL31,""))),"")</f>
        <v/>
      </c>
      <c r="AM32" s="181" t="str">
        <f t="shared" ref="AM32:AM33" si="34">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82"/>
      <c r="AO32" s="175"/>
      <c r="AP32" s="183"/>
      <c r="AQ32" s="183"/>
      <c r="AR32" s="184"/>
      <c r="AS32" s="414"/>
      <c r="AT32" s="414"/>
      <c r="AU32" s="414"/>
    </row>
    <row r="33" spans="1:47" x14ac:dyDescent="0.2">
      <c r="A33" s="411"/>
      <c r="B33" s="353"/>
      <c r="C33" s="353"/>
      <c r="D33" s="353"/>
      <c r="E33" s="353"/>
      <c r="F33" s="413"/>
      <c r="G33" s="353"/>
      <c r="H33" s="355"/>
      <c r="I33" s="355"/>
      <c r="J33" s="355"/>
      <c r="K33" s="355"/>
      <c r="L33" s="355"/>
      <c r="M33" s="355"/>
      <c r="N33" s="414"/>
      <c r="O33" s="415"/>
      <c r="P33" s="416"/>
      <c r="Q33" s="417"/>
      <c r="R33" s="416">
        <f>IF(NOT(ISERROR(MATCH(Q33,_xlfn.ANCHORARRAY(F44),0))),P46&amp;"Por favor no seleccionar los criterios de impacto",Q33)</f>
        <v>0</v>
      </c>
      <c r="S33" s="415"/>
      <c r="T33" s="416"/>
      <c r="U33" s="420"/>
      <c r="V33" s="199">
        <v>3</v>
      </c>
      <c r="W33" s="199"/>
      <c r="X33" s="199"/>
      <c r="Y33" s="199"/>
      <c r="Z33" s="224" t="str">
        <f t="shared" si="1"/>
        <v xml:space="preserve">  </v>
      </c>
      <c r="AA33" s="176" t="str">
        <f>IF(OR(AB33="Preventivo",AB33="Detectivo"),"Probabilidad",IF(AB33="Correctivo","Impacto",""))</f>
        <v/>
      </c>
      <c r="AB33" s="177"/>
      <c r="AC33" s="177"/>
      <c r="AD33" s="178" t="str">
        <f t="shared" si="31"/>
        <v/>
      </c>
      <c r="AE33" s="177"/>
      <c r="AF33" s="177"/>
      <c r="AG33" s="177"/>
      <c r="AH33" s="179" t="str">
        <f>IFERROR(IF(AND(AA32="Probabilidad",AA33="Probabilidad"),(AJ32-(+AJ32*AD33)),IF(AND(AA32="Impacto",AA33="Probabilidad"),(AJ31-(+AJ31*AD33)),IF(AA33="Impacto",AJ32,""))),"")</f>
        <v/>
      </c>
      <c r="AI33" s="180" t="str">
        <f t="shared" si="3"/>
        <v/>
      </c>
      <c r="AJ33" s="178" t="str">
        <f t="shared" si="32"/>
        <v/>
      </c>
      <c r="AK33" s="180" t="str">
        <f t="shared" si="5"/>
        <v/>
      </c>
      <c r="AL33" s="178" t="str">
        <f t="shared" ref="AL33" si="35">IFERROR(IF(AND(AA32="Impacto",AA33="Impacto"),(AL32-(+AL32*AD33)),IF(AND(AA32="Probabilidad",AA33="Impacto"),(AL31-(+AL31*AD33)),IF(AA33="Probabilidad",AL32,""))),"")</f>
        <v/>
      </c>
      <c r="AM33" s="181" t="str">
        <f t="shared" si="34"/>
        <v/>
      </c>
      <c r="AN33" s="182"/>
      <c r="AO33" s="175"/>
      <c r="AP33" s="183"/>
      <c r="AQ33" s="183"/>
      <c r="AR33" s="184"/>
      <c r="AS33" s="414"/>
      <c r="AT33" s="414"/>
      <c r="AU33" s="414"/>
    </row>
    <row r="34" spans="1:47" x14ac:dyDescent="0.2">
      <c r="A34" s="411"/>
      <c r="B34" s="353"/>
      <c r="C34" s="353"/>
      <c r="D34" s="353"/>
      <c r="E34" s="353"/>
      <c r="F34" s="413"/>
      <c r="G34" s="353"/>
      <c r="H34" s="355"/>
      <c r="I34" s="355"/>
      <c r="J34" s="355"/>
      <c r="K34" s="355"/>
      <c r="L34" s="355"/>
      <c r="M34" s="355"/>
      <c r="N34" s="414"/>
      <c r="O34" s="415"/>
      <c r="P34" s="416"/>
      <c r="Q34" s="417"/>
      <c r="R34" s="416">
        <f>IF(NOT(ISERROR(MATCH(Q34,_xlfn.ANCHORARRAY(F45),0))),P47&amp;"Por favor no seleccionar los criterios de impacto",Q34)</f>
        <v>0</v>
      </c>
      <c r="S34" s="415"/>
      <c r="T34" s="416"/>
      <c r="U34" s="420"/>
      <c r="V34" s="199">
        <v>4</v>
      </c>
      <c r="W34" s="199"/>
      <c r="X34" s="199"/>
      <c r="Y34" s="199"/>
      <c r="Z34" s="224" t="str">
        <f t="shared" si="1"/>
        <v xml:space="preserve">  </v>
      </c>
      <c r="AA34" s="176" t="str">
        <f t="shared" ref="AA34:AA36" si="36">IF(OR(AB34="Preventivo",AB34="Detectivo"),"Probabilidad",IF(AB34="Correctivo","Impacto",""))</f>
        <v/>
      </c>
      <c r="AB34" s="177"/>
      <c r="AC34" s="177"/>
      <c r="AD34" s="178" t="str">
        <f t="shared" si="31"/>
        <v/>
      </c>
      <c r="AE34" s="177"/>
      <c r="AF34" s="177"/>
      <c r="AG34" s="177"/>
      <c r="AH34" s="179" t="str">
        <f t="shared" ref="AH34:AH36" si="37">IFERROR(IF(AND(AA33="Probabilidad",AA34="Probabilidad"),(AJ33-(+AJ33*AD34)),IF(AND(AA33="Impacto",AA34="Probabilidad"),(AJ32-(+AJ32*AD34)),IF(AA34="Impacto",AJ33,""))),"")</f>
        <v/>
      </c>
      <c r="AI34" s="180" t="str">
        <f t="shared" si="3"/>
        <v/>
      </c>
      <c r="AJ34" s="178" t="str">
        <f t="shared" si="32"/>
        <v/>
      </c>
      <c r="AK34" s="180" t="str">
        <f t="shared" si="5"/>
        <v/>
      </c>
      <c r="AL34" s="178" t="str">
        <f t="shared" si="15"/>
        <v/>
      </c>
      <c r="AM34" s="181"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82"/>
      <c r="AO34" s="175"/>
      <c r="AP34" s="183"/>
      <c r="AQ34" s="183"/>
      <c r="AR34" s="184"/>
      <c r="AS34" s="414"/>
      <c r="AT34" s="414"/>
      <c r="AU34" s="414"/>
    </row>
    <row r="35" spans="1:47" x14ac:dyDescent="0.2">
      <c r="A35" s="411"/>
      <c r="B35" s="353"/>
      <c r="C35" s="353"/>
      <c r="D35" s="353"/>
      <c r="E35" s="353"/>
      <c r="F35" s="413"/>
      <c r="G35" s="353"/>
      <c r="H35" s="355"/>
      <c r="I35" s="355"/>
      <c r="J35" s="355"/>
      <c r="K35" s="355"/>
      <c r="L35" s="355"/>
      <c r="M35" s="355"/>
      <c r="N35" s="414"/>
      <c r="O35" s="415"/>
      <c r="P35" s="416"/>
      <c r="Q35" s="417"/>
      <c r="R35" s="416">
        <f>IF(NOT(ISERROR(MATCH(Q35,_xlfn.ANCHORARRAY(F46),0))),P48&amp;"Por favor no seleccionar los criterios de impacto",Q35)</f>
        <v>0</v>
      </c>
      <c r="S35" s="415"/>
      <c r="T35" s="416"/>
      <c r="U35" s="420"/>
      <c r="V35" s="199">
        <v>5</v>
      </c>
      <c r="W35" s="199"/>
      <c r="X35" s="199"/>
      <c r="Y35" s="199"/>
      <c r="Z35" s="224" t="str">
        <f t="shared" si="1"/>
        <v xml:space="preserve">  </v>
      </c>
      <c r="AA35" s="176" t="str">
        <f t="shared" si="36"/>
        <v/>
      </c>
      <c r="AB35" s="177"/>
      <c r="AC35" s="177"/>
      <c r="AD35" s="178" t="str">
        <f t="shared" si="31"/>
        <v/>
      </c>
      <c r="AE35" s="177"/>
      <c r="AF35" s="177"/>
      <c r="AG35" s="177"/>
      <c r="AH35" s="179" t="str">
        <f t="shared" si="37"/>
        <v/>
      </c>
      <c r="AI35" s="180" t="str">
        <f>IFERROR(IF(AH35="","",IF(AH35&lt;=0.2,"Muy Baja",IF(AH35&lt;=0.4,"Baja",IF(AH35&lt;=0.6,"Media",IF(AH35&lt;=0.8,"Alta","Muy Alta"))))),"")</f>
        <v/>
      </c>
      <c r="AJ35" s="178" t="str">
        <f t="shared" si="32"/>
        <v/>
      </c>
      <c r="AK35" s="180" t="str">
        <f t="shared" si="5"/>
        <v/>
      </c>
      <c r="AL35" s="178" t="str">
        <f t="shared" si="15"/>
        <v/>
      </c>
      <c r="AM35" s="181" t="str">
        <f t="shared" ref="AM35:AM36" si="38">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82"/>
      <c r="AO35" s="175"/>
      <c r="AP35" s="183"/>
      <c r="AQ35" s="183"/>
      <c r="AR35" s="184"/>
      <c r="AS35" s="414"/>
      <c r="AT35" s="414"/>
      <c r="AU35" s="414"/>
    </row>
    <row r="36" spans="1:47" x14ac:dyDescent="0.2">
      <c r="A36" s="411"/>
      <c r="B36" s="353"/>
      <c r="C36" s="353"/>
      <c r="D36" s="353"/>
      <c r="E36" s="353"/>
      <c r="F36" s="413"/>
      <c r="G36" s="353"/>
      <c r="H36" s="356"/>
      <c r="I36" s="356"/>
      <c r="J36" s="356"/>
      <c r="K36" s="356"/>
      <c r="L36" s="356"/>
      <c r="M36" s="356"/>
      <c r="N36" s="414"/>
      <c r="O36" s="415"/>
      <c r="P36" s="416"/>
      <c r="Q36" s="417"/>
      <c r="R36" s="416">
        <f>IF(NOT(ISERROR(MATCH(Q36,_xlfn.ANCHORARRAY(F47),0))),P49&amp;"Por favor no seleccionar los criterios de impacto",Q36)</f>
        <v>0</v>
      </c>
      <c r="S36" s="415"/>
      <c r="T36" s="416"/>
      <c r="U36" s="420"/>
      <c r="V36" s="199">
        <v>6</v>
      </c>
      <c r="W36" s="199"/>
      <c r="X36" s="199"/>
      <c r="Y36" s="199"/>
      <c r="Z36" s="224" t="str">
        <f t="shared" si="1"/>
        <v xml:space="preserve">  </v>
      </c>
      <c r="AA36" s="176" t="str">
        <f t="shared" si="36"/>
        <v/>
      </c>
      <c r="AB36" s="177"/>
      <c r="AC36" s="177"/>
      <c r="AD36" s="178" t="str">
        <f t="shared" si="31"/>
        <v/>
      </c>
      <c r="AE36" s="177"/>
      <c r="AF36" s="177"/>
      <c r="AG36" s="177"/>
      <c r="AH36" s="179" t="str">
        <f t="shared" si="37"/>
        <v/>
      </c>
      <c r="AI36" s="180" t="str">
        <f t="shared" si="3"/>
        <v/>
      </c>
      <c r="AJ36" s="178" t="str">
        <f t="shared" si="32"/>
        <v/>
      </c>
      <c r="AK36" s="180" t="str">
        <f t="shared" si="5"/>
        <v/>
      </c>
      <c r="AL36" s="178" t="str">
        <f t="shared" si="15"/>
        <v/>
      </c>
      <c r="AM36" s="181" t="str">
        <f t="shared" si="38"/>
        <v/>
      </c>
      <c r="AN36" s="182"/>
      <c r="AO36" s="175"/>
      <c r="AP36" s="183"/>
      <c r="AQ36" s="183"/>
      <c r="AR36" s="184"/>
      <c r="AS36" s="414"/>
      <c r="AT36" s="414"/>
      <c r="AU36" s="414"/>
    </row>
    <row r="37" spans="1:47" x14ac:dyDescent="0.2">
      <c r="A37" s="411">
        <v>5</v>
      </c>
      <c r="B37" s="353"/>
      <c r="C37" s="353"/>
      <c r="D37" s="353"/>
      <c r="E37" s="353"/>
      <c r="F37" s="413" t="str">
        <f t="shared" ref="F37" si="39">+CONCATENATE(B37," ",C37," ",D37)</f>
        <v xml:space="preserve">  </v>
      </c>
      <c r="G37" s="353"/>
      <c r="H37" s="354"/>
      <c r="I37" s="354"/>
      <c r="J37" s="354"/>
      <c r="K37" s="354"/>
      <c r="L37" s="354"/>
      <c r="M37" s="354"/>
      <c r="N37" s="414"/>
      <c r="O37" s="415" t="str">
        <f>IF(N37&lt;=0,"",IF(N37&lt;=2,"Muy Baja",IF(N37&lt;=24,"Baja",IF(N37&lt;=500,"Media",IF(N37&lt;=5000,"Alta","Muy Alta")))))</f>
        <v/>
      </c>
      <c r="P37" s="416" t="str">
        <f>IF(O37="","",IF(O37="Muy Baja",0.2,IF(O37="Baja",0.4,IF(O37="Media",0.6,IF(O37="Alta",0.8,IF(O37="Muy Alta",1,))))))</f>
        <v/>
      </c>
      <c r="Q37" s="417"/>
      <c r="R37" s="416">
        <f>IF(NOT(ISERROR(MATCH(Q37,'Tabla Impacto'!$B$245:$B$247,0))),'Tabla Impacto'!$F$224&amp;"Por favor no seleccionar los criterios de impacto(Afectación Económica o presupuestal y Pérdida Reputacional)",Q37)</f>
        <v>0</v>
      </c>
      <c r="S37" s="415" t="str">
        <f>IF(OR(R37='Tabla Impacto'!$C$12,R37='Tabla Impacto'!$D$12),"Leve",IF(OR(R37='Tabla Impacto'!$C$13,R37='Tabla Impacto'!$D$13),"Menor",IF(OR(R37='Tabla Impacto'!$C$14,R37='Tabla Impacto'!$D$14),"Moderado",IF(OR(R37='Tabla Impacto'!$C$15,R37='Tabla Impacto'!$D$15),"Mayor",IF(OR(R37='Tabla Impacto'!$C$16,R37='Tabla Impacto'!$D$16),"Catastrófico","")))))</f>
        <v/>
      </c>
      <c r="T37" s="416" t="str">
        <f>IF(S37="","",IF(S37="Leve",0.2,IF(S37="Menor",0.4,IF(S37="Moderado",0.6,IF(S37="Mayor",0.8,IF(S37="Catastrófico",1,))))))</f>
        <v/>
      </c>
      <c r="U37" s="420"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9">
        <v>1</v>
      </c>
      <c r="W37" s="199"/>
      <c r="X37" s="199"/>
      <c r="Y37" s="199"/>
      <c r="Z37" s="224" t="str">
        <f t="shared" si="1"/>
        <v xml:space="preserve">  </v>
      </c>
      <c r="AA37" s="176" t="str">
        <f>IF(OR(AB37="Preventivo",AB37="Detectivo"),"Probabilidad",IF(AB37="Correctivo","Impacto",""))</f>
        <v/>
      </c>
      <c r="AB37" s="177"/>
      <c r="AC37" s="177"/>
      <c r="AD37" s="178" t="str">
        <f>IF(AND(AB37="Preventivo",AC37="Automático"),"50%",IF(AND(AB37="Preventivo",AC37="Manual"),"40%",IF(AND(AB37="Detectivo",AC37="Automático"),"40%",IF(AND(AB37="Detectivo",AC37="Manual"),"30%",IF(AND(AB37="Correctivo",AC37="Automático"),"35%",IF(AND(AB37="Correctivo",AC37="Manual"),"25%",""))))))</f>
        <v/>
      </c>
      <c r="AE37" s="177"/>
      <c r="AF37" s="177"/>
      <c r="AG37" s="177"/>
      <c r="AH37" s="179" t="str">
        <f>IFERROR(IF(AA37="Probabilidad",(P37-(+P37*AD37)),IF(AA37="Impacto",P37,"")),"")</f>
        <v/>
      </c>
      <c r="AI37" s="180" t="str">
        <f>IFERROR(IF(AH37="","",IF(AH37&lt;=0.2,"Muy Baja",IF(AH37&lt;=0.4,"Baja",IF(AH37&lt;=0.6,"Media",IF(AH37&lt;=0.8,"Alta","Muy Alta"))))),"")</f>
        <v/>
      </c>
      <c r="AJ37" s="178" t="str">
        <f>+AH37</f>
        <v/>
      </c>
      <c r="AK37" s="180" t="str">
        <f>IFERROR(IF(AL37="","",IF(AL37&lt;=0.2,"Leve",IF(AL37&lt;=0.4,"Menor",IF(AL37&lt;=0.6,"Moderado",IF(AL37&lt;=0.8,"Mayor","Catastrófico"))))),"")</f>
        <v/>
      </c>
      <c r="AL37" s="178" t="str">
        <f t="shared" ref="AL37" si="40">IFERROR(IF(AA37="Impacto",(T37-(+T37*AD37)),IF(AA37="Probabilidad",T37,"")),"")</f>
        <v/>
      </c>
      <c r="AM37" s="181"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82"/>
      <c r="AO37" s="175"/>
      <c r="AP37" s="183"/>
      <c r="AQ37" s="183"/>
      <c r="AR37" s="184"/>
      <c r="AS37" s="414"/>
      <c r="AT37" s="414"/>
      <c r="AU37" s="414"/>
    </row>
    <row r="38" spans="1:47" x14ac:dyDescent="0.2">
      <c r="A38" s="411"/>
      <c r="B38" s="353"/>
      <c r="C38" s="353"/>
      <c r="D38" s="353"/>
      <c r="E38" s="353"/>
      <c r="F38" s="413"/>
      <c r="G38" s="353"/>
      <c r="H38" s="355"/>
      <c r="I38" s="355"/>
      <c r="J38" s="355"/>
      <c r="K38" s="355"/>
      <c r="L38" s="355"/>
      <c r="M38" s="355"/>
      <c r="N38" s="414"/>
      <c r="O38" s="415"/>
      <c r="P38" s="416"/>
      <c r="Q38" s="417"/>
      <c r="R38" s="416">
        <f>IF(NOT(ISERROR(MATCH(Q38,_xlfn.ANCHORARRAY(F49),0))),P51&amp;"Por favor no seleccionar los criterios de impacto",Q38)</f>
        <v>0</v>
      </c>
      <c r="S38" s="415"/>
      <c r="T38" s="416"/>
      <c r="U38" s="420"/>
      <c r="V38" s="199">
        <v>2</v>
      </c>
      <c r="W38" s="199"/>
      <c r="X38" s="199"/>
      <c r="Y38" s="199"/>
      <c r="Z38" s="224" t="str">
        <f t="shared" si="1"/>
        <v xml:space="preserve">  </v>
      </c>
      <c r="AA38" s="176" t="str">
        <f>IF(OR(AB38="Preventivo",AB38="Detectivo"),"Probabilidad",IF(AB38="Correctivo","Impacto",""))</f>
        <v/>
      </c>
      <c r="AB38" s="177"/>
      <c r="AC38" s="177"/>
      <c r="AD38" s="178" t="str">
        <f t="shared" ref="AD38:AD42" si="41">IF(AND(AB38="Preventivo",AC38="Automático"),"50%",IF(AND(AB38="Preventivo",AC38="Manual"),"40%",IF(AND(AB38="Detectivo",AC38="Automático"),"40%",IF(AND(AB38="Detectivo",AC38="Manual"),"30%",IF(AND(AB38="Correctivo",AC38="Automático"),"35%",IF(AND(AB38="Correctivo",AC38="Manual"),"25%",""))))))</f>
        <v/>
      </c>
      <c r="AE38" s="177"/>
      <c r="AF38" s="177"/>
      <c r="AG38" s="177"/>
      <c r="AH38" s="179" t="str">
        <f>IFERROR(IF(AND(AA37="Probabilidad",AA38="Probabilidad"),(AJ37-(+AJ37*AD38)),IF(AA38="Probabilidad",(P37-(+P37*AD38)),IF(AA38="Impacto",AJ37,""))),"")</f>
        <v/>
      </c>
      <c r="AI38" s="180" t="str">
        <f t="shared" si="3"/>
        <v/>
      </c>
      <c r="AJ38" s="178" t="str">
        <f t="shared" ref="AJ38:AJ42" si="42">+AH38</f>
        <v/>
      </c>
      <c r="AK38" s="180" t="str">
        <f t="shared" si="5"/>
        <v/>
      </c>
      <c r="AL38" s="178" t="str">
        <f t="shared" ref="AL38" si="43">IFERROR(IF(AND(AA37="Impacto",AA38="Impacto"),(AL37-(+AL37*AD38)),IF(AA38="Impacto",($T$13-(+$T$13*AD38)),IF(AA38="Probabilidad",AL37,""))),"")</f>
        <v/>
      </c>
      <c r="AM38" s="181" t="str">
        <f t="shared" ref="AM38:AM39" si="44">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82"/>
      <c r="AO38" s="175"/>
      <c r="AP38" s="183"/>
      <c r="AQ38" s="183"/>
      <c r="AR38" s="184"/>
      <c r="AS38" s="414"/>
      <c r="AT38" s="414"/>
      <c r="AU38" s="414"/>
    </row>
    <row r="39" spans="1:47" x14ac:dyDescent="0.2">
      <c r="A39" s="411"/>
      <c r="B39" s="353"/>
      <c r="C39" s="353"/>
      <c r="D39" s="353"/>
      <c r="E39" s="353"/>
      <c r="F39" s="413"/>
      <c r="G39" s="353"/>
      <c r="H39" s="355"/>
      <c r="I39" s="355"/>
      <c r="J39" s="355"/>
      <c r="K39" s="355"/>
      <c r="L39" s="355"/>
      <c r="M39" s="355"/>
      <c r="N39" s="414"/>
      <c r="O39" s="415"/>
      <c r="P39" s="416"/>
      <c r="Q39" s="417"/>
      <c r="R39" s="416">
        <f>IF(NOT(ISERROR(MATCH(Q39,_xlfn.ANCHORARRAY(F50),0))),P52&amp;"Por favor no seleccionar los criterios de impacto",Q39)</f>
        <v>0</v>
      </c>
      <c r="S39" s="415"/>
      <c r="T39" s="416"/>
      <c r="U39" s="420"/>
      <c r="V39" s="199">
        <v>3</v>
      </c>
      <c r="W39" s="199"/>
      <c r="X39" s="199"/>
      <c r="Y39" s="199"/>
      <c r="Z39" s="224" t="str">
        <f t="shared" si="1"/>
        <v xml:space="preserve">  </v>
      </c>
      <c r="AA39" s="176" t="str">
        <f>IF(OR(AB39="Preventivo",AB39="Detectivo"),"Probabilidad",IF(AB39="Correctivo","Impacto",""))</f>
        <v/>
      </c>
      <c r="AB39" s="177"/>
      <c r="AC39" s="177"/>
      <c r="AD39" s="178" t="str">
        <f t="shared" si="41"/>
        <v/>
      </c>
      <c r="AE39" s="177"/>
      <c r="AF39" s="177"/>
      <c r="AG39" s="177"/>
      <c r="AH39" s="179" t="str">
        <f>IFERROR(IF(AND(AA38="Probabilidad",AA39="Probabilidad"),(AJ38-(+AJ38*AD39)),IF(AND(AA38="Impacto",AA39="Probabilidad"),(AJ37-(+AJ37*AD39)),IF(AA39="Impacto",AJ38,""))),"")</f>
        <v/>
      </c>
      <c r="AI39" s="180" t="str">
        <f t="shared" si="3"/>
        <v/>
      </c>
      <c r="AJ39" s="178" t="str">
        <f t="shared" si="42"/>
        <v/>
      </c>
      <c r="AK39" s="180" t="str">
        <f t="shared" si="5"/>
        <v/>
      </c>
      <c r="AL39" s="178" t="str">
        <f t="shared" ref="AL39" si="45">IFERROR(IF(AND(AA38="Impacto",AA39="Impacto"),(AL38-(+AL38*AD39)),IF(AND(AA38="Probabilidad",AA39="Impacto"),(AL37-(+AL37*AD39)),IF(AA39="Probabilidad",AL38,""))),"")</f>
        <v/>
      </c>
      <c r="AM39" s="181" t="str">
        <f t="shared" si="44"/>
        <v/>
      </c>
      <c r="AN39" s="182"/>
      <c r="AO39" s="175"/>
      <c r="AP39" s="183"/>
      <c r="AQ39" s="183"/>
      <c r="AR39" s="184"/>
      <c r="AS39" s="414"/>
      <c r="AT39" s="414"/>
      <c r="AU39" s="414"/>
    </row>
    <row r="40" spans="1:47" x14ac:dyDescent="0.2">
      <c r="A40" s="411"/>
      <c r="B40" s="353"/>
      <c r="C40" s="353"/>
      <c r="D40" s="353"/>
      <c r="E40" s="353"/>
      <c r="F40" s="413"/>
      <c r="G40" s="353"/>
      <c r="H40" s="355"/>
      <c r="I40" s="355"/>
      <c r="J40" s="355"/>
      <c r="K40" s="355"/>
      <c r="L40" s="355"/>
      <c r="M40" s="355"/>
      <c r="N40" s="414"/>
      <c r="O40" s="415"/>
      <c r="P40" s="416"/>
      <c r="Q40" s="417"/>
      <c r="R40" s="416">
        <f>IF(NOT(ISERROR(MATCH(Q40,_xlfn.ANCHORARRAY(F51),0))),P53&amp;"Por favor no seleccionar los criterios de impacto",Q40)</f>
        <v>0</v>
      </c>
      <c r="S40" s="415"/>
      <c r="T40" s="416"/>
      <c r="U40" s="420"/>
      <c r="V40" s="199">
        <v>4</v>
      </c>
      <c r="W40" s="199"/>
      <c r="X40" s="199"/>
      <c r="Y40" s="199"/>
      <c r="Z40" s="224" t="str">
        <f t="shared" si="1"/>
        <v xml:space="preserve">  </v>
      </c>
      <c r="AA40" s="176" t="str">
        <f t="shared" ref="AA40:AA42" si="46">IF(OR(AB40="Preventivo",AB40="Detectivo"),"Probabilidad",IF(AB40="Correctivo","Impacto",""))</f>
        <v/>
      </c>
      <c r="AB40" s="177"/>
      <c r="AC40" s="177"/>
      <c r="AD40" s="178" t="str">
        <f t="shared" si="41"/>
        <v/>
      </c>
      <c r="AE40" s="177"/>
      <c r="AF40" s="177"/>
      <c r="AG40" s="177"/>
      <c r="AH40" s="179" t="str">
        <f t="shared" ref="AH40:AH42" si="47">IFERROR(IF(AND(AA39="Probabilidad",AA40="Probabilidad"),(AJ39-(+AJ39*AD40)),IF(AND(AA39="Impacto",AA40="Probabilidad"),(AJ38-(+AJ38*AD40)),IF(AA40="Impacto",AJ39,""))),"")</f>
        <v/>
      </c>
      <c r="AI40" s="180" t="str">
        <f t="shared" si="3"/>
        <v/>
      </c>
      <c r="AJ40" s="178" t="str">
        <f t="shared" si="42"/>
        <v/>
      </c>
      <c r="AK40" s="180" t="str">
        <f t="shared" si="5"/>
        <v/>
      </c>
      <c r="AL40" s="178" t="str">
        <f t="shared" si="15"/>
        <v/>
      </c>
      <c r="AM40" s="181"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82"/>
      <c r="AO40" s="175"/>
      <c r="AP40" s="183"/>
      <c r="AQ40" s="183"/>
      <c r="AR40" s="184"/>
      <c r="AS40" s="414"/>
      <c r="AT40" s="414"/>
      <c r="AU40" s="414"/>
    </row>
    <row r="41" spans="1:47" x14ac:dyDescent="0.2">
      <c r="A41" s="411"/>
      <c r="B41" s="353"/>
      <c r="C41" s="353"/>
      <c r="D41" s="353"/>
      <c r="E41" s="353"/>
      <c r="F41" s="413"/>
      <c r="G41" s="353"/>
      <c r="H41" s="355"/>
      <c r="I41" s="355"/>
      <c r="J41" s="355"/>
      <c r="K41" s="355"/>
      <c r="L41" s="355"/>
      <c r="M41" s="355"/>
      <c r="N41" s="414"/>
      <c r="O41" s="415"/>
      <c r="P41" s="416"/>
      <c r="Q41" s="417"/>
      <c r="R41" s="416">
        <f>IF(NOT(ISERROR(MATCH(Q41,_xlfn.ANCHORARRAY(F52),0))),P54&amp;"Por favor no seleccionar los criterios de impacto",Q41)</f>
        <v>0</v>
      </c>
      <c r="S41" s="415"/>
      <c r="T41" s="416"/>
      <c r="U41" s="420"/>
      <c r="V41" s="199">
        <v>5</v>
      </c>
      <c r="W41" s="199"/>
      <c r="X41" s="199"/>
      <c r="Y41" s="199"/>
      <c r="Z41" s="224" t="str">
        <f t="shared" si="1"/>
        <v xml:space="preserve">  </v>
      </c>
      <c r="AA41" s="176" t="str">
        <f t="shared" si="46"/>
        <v/>
      </c>
      <c r="AB41" s="177"/>
      <c r="AC41" s="177"/>
      <c r="AD41" s="178" t="str">
        <f t="shared" si="41"/>
        <v/>
      </c>
      <c r="AE41" s="177"/>
      <c r="AF41" s="177"/>
      <c r="AG41" s="177"/>
      <c r="AH41" s="179" t="str">
        <f t="shared" si="47"/>
        <v/>
      </c>
      <c r="AI41" s="180" t="str">
        <f t="shared" si="3"/>
        <v/>
      </c>
      <c r="AJ41" s="178" t="str">
        <f t="shared" si="42"/>
        <v/>
      </c>
      <c r="AK41" s="180" t="str">
        <f t="shared" si="5"/>
        <v/>
      </c>
      <c r="AL41" s="178" t="str">
        <f t="shared" si="15"/>
        <v/>
      </c>
      <c r="AM41" s="181" t="str">
        <f t="shared" ref="AM41:AM42" si="48">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82"/>
      <c r="AO41" s="175"/>
      <c r="AP41" s="183"/>
      <c r="AQ41" s="183"/>
      <c r="AR41" s="184"/>
      <c r="AS41" s="414"/>
      <c r="AT41" s="414"/>
      <c r="AU41" s="414"/>
    </row>
    <row r="42" spans="1:47" x14ac:dyDescent="0.2">
      <c r="A42" s="411"/>
      <c r="B42" s="353"/>
      <c r="C42" s="353"/>
      <c r="D42" s="353"/>
      <c r="E42" s="353"/>
      <c r="F42" s="413"/>
      <c r="G42" s="353"/>
      <c r="H42" s="356"/>
      <c r="I42" s="356"/>
      <c r="J42" s="356"/>
      <c r="K42" s="356"/>
      <c r="L42" s="356"/>
      <c r="M42" s="356"/>
      <c r="N42" s="414"/>
      <c r="O42" s="415"/>
      <c r="P42" s="416"/>
      <c r="Q42" s="417"/>
      <c r="R42" s="416">
        <f>IF(NOT(ISERROR(MATCH(Q42,_xlfn.ANCHORARRAY(F53),0))),P55&amp;"Por favor no seleccionar los criterios de impacto",Q42)</f>
        <v>0</v>
      </c>
      <c r="S42" s="415"/>
      <c r="T42" s="416"/>
      <c r="U42" s="420"/>
      <c r="V42" s="199">
        <v>6</v>
      </c>
      <c r="W42" s="199"/>
      <c r="X42" s="199"/>
      <c r="Y42" s="199"/>
      <c r="Z42" s="224" t="str">
        <f t="shared" si="1"/>
        <v xml:space="preserve">  </v>
      </c>
      <c r="AA42" s="176" t="str">
        <f t="shared" si="46"/>
        <v/>
      </c>
      <c r="AB42" s="177"/>
      <c r="AC42" s="177"/>
      <c r="AD42" s="178" t="str">
        <f t="shared" si="41"/>
        <v/>
      </c>
      <c r="AE42" s="177"/>
      <c r="AF42" s="177"/>
      <c r="AG42" s="177"/>
      <c r="AH42" s="179" t="str">
        <f t="shared" si="47"/>
        <v/>
      </c>
      <c r="AI42" s="180" t="str">
        <f t="shared" si="3"/>
        <v/>
      </c>
      <c r="AJ42" s="178" t="str">
        <f t="shared" si="42"/>
        <v/>
      </c>
      <c r="AK42" s="180" t="str">
        <f t="shared" si="5"/>
        <v/>
      </c>
      <c r="AL42" s="178" t="str">
        <f t="shared" si="15"/>
        <v/>
      </c>
      <c r="AM42" s="181" t="str">
        <f t="shared" si="48"/>
        <v/>
      </c>
      <c r="AN42" s="182"/>
      <c r="AO42" s="175"/>
      <c r="AP42" s="183"/>
      <c r="AQ42" s="183"/>
      <c r="AR42" s="184"/>
      <c r="AS42" s="414"/>
      <c r="AT42" s="414"/>
      <c r="AU42" s="414"/>
    </row>
    <row r="43" spans="1:47" x14ac:dyDescent="0.2">
      <c r="A43" s="411">
        <v>6</v>
      </c>
      <c r="B43" s="353"/>
      <c r="C43" s="353"/>
      <c r="D43" s="353"/>
      <c r="E43" s="353"/>
      <c r="F43" s="413" t="str">
        <f t="shared" ref="F43" si="49">+CONCATENATE(B43," ",C43," ",D43)</f>
        <v xml:space="preserve">  </v>
      </c>
      <c r="G43" s="353"/>
      <c r="H43" s="354"/>
      <c r="I43" s="354"/>
      <c r="J43" s="354"/>
      <c r="K43" s="354"/>
      <c r="L43" s="354"/>
      <c r="M43" s="354"/>
      <c r="N43" s="414"/>
      <c r="O43" s="415" t="str">
        <f>IF(N43&lt;=0,"",IF(N43&lt;=2,"Muy Baja",IF(N43&lt;=24,"Baja",IF(N43&lt;=500,"Media",IF(N43&lt;=5000,"Alta","Muy Alta")))))</f>
        <v/>
      </c>
      <c r="P43" s="416" t="str">
        <f>IF(O43="","",IF(O43="Muy Baja",0.2,IF(O43="Baja",0.4,IF(O43="Media",0.6,IF(O43="Alta",0.8,IF(O43="Muy Alta",1,))))))</f>
        <v/>
      </c>
      <c r="Q43" s="417"/>
      <c r="R43" s="416">
        <f>IF(NOT(ISERROR(MATCH(Q43,'Tabla Impacto'!$B$245:$B$247,0))),'Tabla Impacto'!$F$224&amp;"Por favor no seleccionar los criterios de impacto(Afectación Económica o presupuestal y Pérdida Reputacional)",Q43)</f>
        <v>0</v>
      </c>
      <c r="S43" s="415" t="str">
        <f>IF(OR(R43='Tabla Impacto'!$C$12,R43='Tabla Impacto'!$D$12),"Leve",IF(OR(R43='Tabla Impacto'!$C$13,R43='Tabla Impacto'!$D$13),"Menor",IF(OR(R43='Tabla Impacto'!$C$14,R43='Tabla Impacto'!$D$14),"Moderado",IF(OR(R43='Tabla Impacto'!$C$15,R43='Tabla Impacto'!$D$15),"Mayor",IF(OR(R43='Tabla Impacto'!$C$16,R43='Tabla Impacto'!$D$16),"Catastrófico","")))))</f>
        <v/>
      </c>
      <c r="T43" s="416" t="str">
        <f>IF(S43="","",IF(S43="Leve",0.2,IF(S43="Menor",0.4,IF(S43="Moderado",0.6,IF(S43="Mayor",0.8,IF(S43="Catastrófico",1,))))))</f>
        <v/>
      </c>
      <c r="U43" s="420"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9">
        <v>1</v>
      </c>
      <c r="W43" s="199"/>
      <c r="X43" s="199"/>
      <c r="Y43" s="199"/>
      <c r="Z43" s="224" t="str">
        <f t="shared" si="1"/>
        <v xml:space="preserve">  </v>
      </c>
      <c r="AA43" s="176" t="str">
        <f>IF(OR(AB43="Preventivo",AB43="Detectivo"),"Probabilidad",IF(AB43="Correctivo","Impacto",""))</f>
        <v/>
      </c>
      <c r="AB43" s="177"/>
      <c r="AC43" s="177"/>
      <c r="AD43" s="178" t="str">
        <f>IF(AND(AB43="Preventivo",AC43="Automático"),"50%",IF(AND(AB43="Preventivo",AC43="Manual"),"40%",IF(AND(AB43="Detectivo",AC43="Automático"),"40%",IF(AND(AB43="Detectivo",AC43="Manual"),"30%",IF(AND(AB43="Correctivo",AC43="Automático"),"35%",IF(AND(AB43="Correctivo",AC43="Manual"),"25%",""))))))</f>
        <v/>
      </c>
      <c r="AE43" s="177"/>
      <c r="AF43" s="177"/>
      <c r="AG43" s="177"/>
      <c r="AH43" s="179" t="str">
        <f>IFERROR(IF(AA43="Probabilidad",(P43-(+P43*AD43)),IF(AA43="Impacto",P43,"")),"")</f>
        <v/>
      </c>
      <c r="AI43" s="180" t="str">
        <f>IFERROR(IF(AH43="","",IF(AH43&lt;=0.2,"Muy Baja",IF(AH43&lt;=0.4,"Baja",IF(AH43&lt;=0.6,"Media",IF(AH43&lt;=0.8,"Alta","Muy Alta"))))),"")</f>
        <v/>
      </c>
      <c r="AJ43" s="178" t="str">
        <f>+AH43</f>
        <v/>
      </c>
      <c r="AK43" s="180" t="str">
        <f>IFERROR(IF(AL43="","",IF(AL43&lt;=0.2,"Leve",IF(AL43&lt;=0.4,"Menor",IF(AL43&lt;=0.6,"Moderado",IF(AL43&lt;=0.8,"Mayor","Catastrófico"))))),"")</f>
        <v/>
      </c>
      <c r="AL43" s="178" t="str">
        <f t="shared" ref="AL43" si="50">IFERROR(IF(AA43="Impacto",(T43-(+T43*AD43)),IF(AA43="Probabilidad",T43,"")),"")</f>
        <v/>
      </c>
      <c r="AM43" s="181"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7"/>
      <c r="AO43" s="175"/>
      <c r="AP43" s="183"/>
      <c r="AQ43" s="183"/>
      <c r="AR43" s="184"/>
      <c r="AS43" s="414"/>
      <c r="AT43" s="414"/>
      <c r="AU43" s="414"/>
    </row>
    <row r="44" spans="1:47" x14ac:dyDescent="0.2">
      <c r="A44" s="411"/>
      <c r="B44" s="353"/>
      <c r="C44" s="353"/>
      <c r="D44" s="353"/>
      <c r="E44" s="353"/>
      <c r="F44" s="413"/>
      <c r="G44" s="353"/>
      <c r="H44" s="355"/>
      <c r="I44" s="355"/>
      <c r="J44" s="355"/>
      <c r="K44" s="355"/>
      <c r="L44" s="355"/>
      <c r="M44" s="355"/>
      <c r="N44" s="414"/>
      <c r="O44" s="415"/>
      <c r="P44" s="416"/>
      <c r="Q44" s="417"/>
      <c r="R44" s="416">
        <f>IF(NOT(ISERROR(MATCH(Q44,_xlfn.ANCHORARRAY(F55),0))),P57&amp;"Por favor no seleccionar los criterios de impacto",Q44)</f>
        <v>0</v>
      </c>
      <c r="S44" s="415"/>
      <c r="T44" s="416"/>
      <c r="U44" s="420"/>
      <c r="V44" s="199">
        <v>2</v>
      </c>
      <c r="W44" s="199"/>
      <c r="X44" s="199"/>
      <c r="Y44" s="199"/>
      <c r="Z44" s="224" t="str">
        <f t="shared" si="1"/>
        <v xml:space="preserve">  </v>
      </c>
      <c r="AA44" s="176" t="str">
        <f>IF(OR(AB44="Preventivo",AB44="Detectivo"),"Probabilidad",IF(AB44="Correctivo","Impacto",""))</f>
        <v/>
      </c>
      <c r="AB44" s="177"/>
      <c r="AC44" s="177"/>
      <c r="AD44" s="178" t="str">
        <f t="shared" ref="AD44:AD48" si="51">IF(AND(AB44="Preventivo",AC44="Automático"),"50%",IF(AND(AB44="Preventivo",AC44="Manual"),"40%",IF(AND(AB44="Detectivo",AC44="Automático"),"40%",IF(AND(AB44="Detectivo",AC44="Manual"),"30%",IF(AND(AB44="Correctivo",AC44="Automático"),"35%",IF(AND(AB44="Correctivo",AC44="Manual"),"25%",""))))))</f>
        <v/>
      </c>
      <c r="AE44" s="177"/>
      <c r="AF44" s="177"/>
      <c r="AG44" s="177"/>
      <c r="AH44" s="179" t="str">
        <f>IFERROR(IF(AND(AA43="Probabilidad",AA44="Probabilidad"),(AJ43-(+AJ43*AD44)),IF(AA44="Probabilidad",(P43-(+P43*AD44)),IF(AA44="Impacto",AJ43,""))),"")</f>
        <v/>
      </c>
      <c r="AI44" s="180" t="str">
        <f t="shared" si="3"/>
        <v/>
      </c>
      <c r="AJ44" s="178" t="str">
        <f t="shared" ref="AJ44:AJ48" si="52">+AH44</f>
        <v/>
      </c>
      <c r="AK44" s="180" t="str">
        <f t="shared" si="5"/>
        <v/>
      </c>
      <c r="AL44" s="178" t="str">
        <f t="shared" ref="AL44" si="53">IFERROR(IF(AND(AA43="Impacto",AA44="Impacto"),(AL43-(+AL43*AD44)),IF(AA44="Impacto",($T$13-(+$T$13*AD44)),IF(AA44="Probabilidad",AL43,""))),"")</f>
        <v/>
      </c>
      <c r="AM44" s="181" t="str">
        <f t="shared" ref="AM44:AM45" si="54">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82"/>
      <c r="AO44" s="175"/>
      <c r="AP44" s="183"/>
      <c r="AQ44" s="183"/>
      <c r="AR44" s="184"/>
      <c r="AS44" s="414"/>
      <c r="AT44" s="414"/>
      <c r="AU44" s="414"/>
    </row>
    <row r="45" spans="1:47" x14ac:dyDescent="0.2">
      <c r="A45" s="411"/>
      <c r="B45" s="353"/>
      <c r="C45" s="353"/>
      <c r="D45" s="353"/>
      <c r="E45" s="353"/>
      <c r="F45" s="413"/>
      <c r="G45" s="353"/>
      <c r="H45" s="355"/>
      <c r="I45" s="355"/>
      <c r="J45" s="355"/>
      <c r="K45" s="355"/>
      <c r="L45" s="355"/>
      <c r="M45" s="355"/>
      <c r="N45" s="414"/>
      <c r="O45" s="415"/>
      <c r="P45" s="416"/>
      <c r="Q45" s="417"/>
      <c r="R45" s="416">
        <f>IF(NOT(ISERROR(MATCH(Q45,_xlfn.ANCHORARRAY(F56),0))),P58&amp;"Por favor no seleccionar los criterios de impacto",Q45)</f>
        <v>0</v>
      </c>
      <c r="S45" s="415"/>
      <c r="T45" s="416"/>
      <c r="U45" s="420"/>
      <c r="V45" s="199">
        <v>3</v>
      </c>
      <c r="W45" s="199"/>
      <c r="X45" s="199"/>
      <c r="Y45" s="199"/>
      <c r="Z45" s="224" t="str">
        <f t="shared" si="1"/>
        <v xml:space="preserve">  </v>
      </c>
      <c r="AA45" s="176" t="str">
        <f>IF(OR(AB45="Preventivo",AB45="Detectivo"),"Probabilidad",IF(AB45="Correctivo","Impacto",""))</f>
        <v/>
      </c>
      <c r="AB45" s="177"/>
      <c r="AC45" s="177"/>
      <c r="AD45" s="178" t="str">
        <f t="shared" si="51"/>
        <v/>
      </c>
      <c r="AE45" s="177"/>
      <c r="AF45" s="177"/>
      <c r="AG45" s="177"/>
      <c r="AH45" s="179" t="str">
        <f>IFERROR(IF(AND(AA44="Probabilidad",AA45="Probabilidad"),(AJ44-(+AJ44*AD45)),IF(AND(AA44="Impacto",AA45="Probabilidad"),(AJ43-(+AJ43*AD45)),IF(AA45="Impacto",AJ44,""))),"")</f>
        <v/>
      </c>
      <c r="AI45" s="180" t="str">
        <f t="shared" si="3"/>
        <v/>
      </c>
      <c r="AJ45" s="178" t="str">
        <f t="shared" si="52"/>
        <v/>
      </c>
      <c r="AK45" s="180" t="str">
        <f t="shared" si="5"/>
        <v/>
      </c>
      <c r="AL45" s="178" t="str">
        <f t="shared" ref="AL45" si="55">IFERROR(IF(AND(AA44="Impacto",AA45="Impacto"),(AL44-(+AL44*AD45)),IF(AND(AA44="Probabilidad",AA45="Impacto"),(AL43-(+AL43*AD45)),IF(AA45="Probabilidad",AL44,""))),"")</f>
        <v/>
      </c>
      <c r="AM45" s="181" t="str">
        <f t="shared" si="54"/>
        <v/>
      </c>
      <c r="AN45" s="182"/>
      <c r="AO45" s="175"/>
      <c r="AP45" s="183"/>
      <c r="AQ45" s="183"/>
      <c r="AR45" s="184"/>
      <c r="AS45" s="414"/>
      <c r="AT45" s="414"/>
      <c r="AU45" s="414"/>
    </row>
    <row r="46" spans="1:47" x14ac:dyDescent="0.2">
      <c r="A46" s="411"/>
      <c r="B46" s="353"/>
      <c r="C46" s="353"/>
      <c r="D46" s="353"/>
      <c r="E46" s="353"/>
      <c r="F46" s="413"/>
      <c r="G46" s="353"/>
      <c r="H46" s="355"/>
      <c r="I46" s="355"/>
      <c r="J46" s="355"/>
      <c r="K46" s="355"/>
      <c r="L46" s="355"/>
      <c r="M46" s="355"/>
      <c r="N46" s="414"/>
      <c r="O46" s="415"/>
      <c r="P46" s="416"/>
      <c r="Q46" s="417"/>
      <c r="R46" s="416">
        <f>IF(NOT(ISERROR(MATCH(Q46,_xlfn.ANCHORARRAY(F57),0))),P59&amp;"Por favor no seleccionar los criterios de impacto",Q46)</f>
        <v>0</v>
      </c>
      <c r="S46" s="415"/>
      <c r="T46" s="416"/>
      <c r="U46" s="420"/>
      <c r="V46" s="199">
        <v>4</v>
      </c>
      <c r="W46" s="199"/>
      <c r="X46" s="199"/>
      <c r="Y46" s="199"/>
      <c r="Z46" s="224" t="str">
        <f t="shared" si="1"/>
        <v xml:space="preserve">  </v>
      </c>
      <c r="AA46" s="176" t="str">
        <f t="shared" ref="AA46:AA48" si="56">IF(OR(AB46="Preventivo",AB46="Detectivo"),"Probabilidad",IF(AB46="Correctivo","Impacto",""))</f>
        <v/>
      </c>
      <c r="AB46" s="177"/>
      <c r="AC46" s="177"/>
      <c r="AD46" s="178" t="str">
        <f t="shared" si="51"/>
        <v/>
      </c>
      <c r="AE46" s="177"/>
      <c r="AF46" s="177"/>
      <c r="AG46" s="177"/>
      <c r="AH46" s="179" t="str">
        <f t="shared" ref="AH46:AH48" si="57">IFERROR(IF(AND(AA45="Probabilidad",AA46="Probabilidad"),(AJ45-(+AJ45*AD46)),IF(AND(AA45="Impacto",AA46="Probabilidad"),(AJ44-(+AJ44*AD46)),IF(AA46="Impacto",AJ45,""))),"")</f>
        <v/>
      </c>
      <c r="AI46" s="180" t="str">
        <f t="shared" si="3"/>
        <v/>
      </c>
      <c r="AJ46" s="178" t="str">
        <f t="shared" si="52"/>
        <v/>
      </c>
      <c r="AK46" s="180" t="str">
        <f t="shared" si="5"/>
        <v/>
      </c>
      <c r="AL46" s="178" t="str">
        <f t="shared" si="15"/>
        <v/>
      </c>
      <c r="AM46" s="181"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82"/>
      <c r="AO46" s="175"/>
      <c r="AP46" s="183"/>
      <c r="AQ46" s="183"/>
      <c r="AR46" s="184"/>
      <c r="AS46" s="414"/>
      <c r="AT46" s="414"/>
      <c r="AU46" s="414"/>
    </row>
    <row r="47" spans="1:47" x14ac:dyDescent="0.2">
      <c r="A47" s="411"/>
      <c r="B47" s="353"/>
      <c r="C47" s="353"/>
      <c r="D47" s="353"/>
      <c r="E47" s="353"/>
      <c r="F47" s="413"/>
      <c r="G47" s="353"/>
      <c r="H47" s="355"/>
      <c r="I47" s="355"/>
      <c r="J47" s="355"/>
      <c r="K47" s="355"/>
      <c r="L47" s="355"/>
      <c r="M47" s="355"/>
      <c r="N47" s="414"/>
      <c r="O47" s="415"/>
      <c r="P47" s="416"/>
      <c r="Q47" s="417"/>
      <c r="R47" s="416">
        <f>IF(NOT(ISERROR(MATCH(Q47,_xlfn.ANCHORARRAY(F58),0))),P60&amp;"Por favor no seleccionar los criterios de impacto",Q47)</f>
        <v>0</v>
      </c>
      <c r="S47" s="415"/>
      <c r="T47" s="416"/>
      <c r="U47" s="420"/>
      <c r="V47" s="199">
        <v>5</v>
      </c>
      <c r="W47" s="199"/>
      <c r="X47" s="199"/>
      <c r="Y47" s="199"/>
      <c r="Z47" s="224" t="str">
        <f t="shared" si="1"/>
        <v xml:space="preserve">  </v>
      </c>
      <c r="AA47" s="176" t="str">
        <f t="shared" si="56"/>
        <v/>
      </c>
      <c r="AB47" s="177"/>
      <c r="AC47" s="177"/>
      <c r="AD47" s="178" t="str">
        <f t="shared" si="51"/>
        <v/>
      </c>
      <c r="AE47" s="177"/>
      <c r="AF47" s="177"/>
      <c r="AG47" s="177"/>
      <c r="AH47" s="179" t="str">
        <f t="shared" si="57"/>
        <v/>
      </c>
      <c r="AI47" s="180" t="str">
        <f t="shared" si="3"/>
        <v/>
      </c>
      <c r="AJ47" s="178" t="str">
        <f t="shared" si="52"/>
        <v/>
      </c>
      <c r="AK47" s="180" t="str">
        <f t="shared" si="5"/>
        <v/>
      </c>
      <c r="AL47" s="178" t="str">
        <f t="shared" si="15"/>
        <v/>
      </c>
      <c r="AM47" s="181" t="str">
        <f t="shared" ref="AM47" si="58">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82"/>
      <c r="AO47" s="175"/>
      <c r="AP47" s="183"/>
      <c r="AQ47" s="183"/>
      <c r="AR47" s="184"/>
      <c r="AS47" s="414"/>
      <c r="AT47" s="414"/>
      <c r="AU47" s="414"/>
    </row>
    <row r="48" spans="1:47" x14ac:dyDescent="0.2">
      <c r="A48" s="411"/>
      <c r="B48" s="353"/>
      <c r="C48" s="353"/>
      <c r="D48" s="353"/>
      <c r="E48" s="353"/>
      <c r="F48" s="413"/>
      <c r="G48" s="353"/>
      <c r="H48" s="356"/>
      <c r="I48" s="356"/>
      <c r="J48" s="356"/>
      <c r="K48" s="356"/>
      <c r="L48" s="356"/>
      <c r="M48" s="356"/>
      <c r="N48" s="414"/>
      <c r="O48" s="415"/>
      <c r="P48" s="416"/>
      <c r="Q48" s="417"/>
      <c r="R48" s="416">
        <f>IF(NOT(ISERROR(MATCH(Q48,_xlfn.ANCHORARRAY(F59),0))),P61&amp;"Por favor no seleccionar los criterios de impacto",Q48)</f>
        <v>0</v>
      </c>
      <c r="S48" s="415"/>
      <c r="T48" s="416"/>
      <c r="U48" s="420"/>
      <c r="V48" s="199">
        <v>6</v>
      </c>
      <c r="W48" s="199"/>
      <c r="X48" s="199"/>
      <c r="Y48" s="199"/>
      <c r="Z48" s="224" t="str">
        <f t="shared" si="1"/>
        <v xml:space="preserve">  </v>
      </c>
      <c r="AA48" s="176" t="str">
        <f t="shared" si="56"/>
        <v/>
      </c>
      <c r="AB48" s="177"/>
      <c r="AC48" s="177"/>
      <c r="AD48" s="178" t="str">
        <f t="shared" si="51"/>
        <v/>
      </c>
      <c r="AE48" s="177"/>
      <c r="AF48" s="177"/>
      <c r="AG48" s="177"/>
      <c r="AH48" s="179" t="str">
        <f t="shared" si="57"/>
        <v/>
      </c>
      <c r="AI48" s="180" t="str">
        <f t="shared" si="3"/>
        <v/>
      </c>
      <c r="AJ48" s="178" t="str">
        <f t="shared" si="52"/>
        <v/>
      </c>
      <c r="AK48" s="180" t="str">
        <f>IFERROR(IF(AL48="","",IF(AL48&lt;=0.2,"Leve",IF(AL48&lt;=0.4,"Menor",IF(AL48&lt;=0.6,"Moderado",IF(AL48&lt;=0.8,"Mayor","Catastrófico"))))),"")</f>
        <v/>
      </c>
      <c r="AL48" s="178" t="str">
        <f t="shared" si="15"/>
        <v/>
      </c>
      <c r="AM48" s="181"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82"/>
      <c r="AO48" s="175"/>
      <c r="AP48" s="183"/>
      <c r="AQ48" s="183"/>
      <c r="AR48" s="184"/>
      <c r="AS48" s="414"/>
      <c r="AT48" s="414"/>
      <c r="AU48" s="414"/>
    </row>
    <row r="49" spans="1:47" x14ac:dyDescent="0.2">
      <c r="A49" s="411">
        <v>7</v>
      </c>
      <c r="B49" s="353"/>
      <c r="C49" s="353"/>
      <c r="D49" s="412"/>
      <c r="E49" s="412"/>
      <c r="F49" s="413" t="str">
        <f t="shared" ref="F49" si="59">+CONCATENATE(B49," ",C49," ",D49)</f>
        <v xml:space="preserve">  </v>
      </c>
      <c r="G49" s="353"/>
      <c r="H49" s="354"/>
      <c r="I49" s="354"/>
      <c r="J49" s="354"/>
      <c r="K49" s="354"/>
      <c r="L49" s="354"/>
      <c r="M49" s="354"/>
      <c r="N49" s="414"/>
      <c r="O49" s="415" t="str">
        <f>IF(N49&lt;=0,"",IF(N49&lt;=2,"Muy Baja",IF(N49&lt;=24,"Baja",IF(N49&lt;=500,"Media",IF(N49&lt;=5000,"Alta","Muy Alta")))))</f>
        <v/>
      </c>
      <c r="P49" s="416" t="str">
        <f>IF(O49="","",IF(O49="Muy Baja",0.2,IF(O49="Baja",0.4,IF(O49="Media",0.6,IF(O49="Alta",0.8,IF(O49="Muy Alta",1,))))))</f>
        <v/>
      </c>
      <c r="Q49" s="417"/>
      <c r="R49" s="416">
        <f>IF(NOT(ISERROR(MATCH(Q49,'Tabla Impacto'!$B$245:$B$247,0))),'Tabla Impacto'!$F$224&amp;"Por favor no seleccionar los criterios de impacto(Afectación Económica o presupuestal y Pérdida Reputacional)",Q49)</f>
        <v>0</v>
      </c>
      <c r="S49" s="415" t="str">
        <f>IF(OR(R49='Tabla Impacto'!$C$12,R49='Tabla Impacto'!$D$12),"Leve",IF(OR(R49='Tabla Impacto'!$C$13,R49='Tabla Impacto'!$D$13),"Menor",IF(OR(R49='Tabla Impacto'!$C$14,R49='Tabla Impacto'!$D$14),"Moderado",IF(OR(R49='Tabla Impacto'!$C$15,R49='Tabla Impacto'!$D$15),"Mayor",IF(OR(R49='Tabla Impacto'!$C$16,R49='Tabla Impacto'!$D$16),"Catastrófico","")))))</f>
        <v/>
      </c>
      <c r="T49" s="416" t="str">
        <f>IF(S49="","",IF(S49="Leve",0.2,IF(S49="Menor",0.4,IF(S49="Moderado",0.6,IF(S49="Mayor",0.8,IF(S49="Catastrófico",1,))))))</f>
        <v/>
      </c>
      <c r="U49" s="420"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9">
        <v>1</v>
      </c>
      <c r="W49" s="199"/>
      <c r="X49" s="199"/>
      <c r="Y49" s="199"/>
      <c r="Z49" s="224" t="str">
        <f t="shared" si="1"/>
        <v xml:space="preserve">  </v>
      </c>
      <c r="AA49" s="176" t="str">
        <f>IF(OR(AB49="Preventivo",AB49="Detectivo"),"Probabilidad",IF(AB49="Correctivo","Impacto",""))</f>
        <v/>
      </c>
      <c r="AB49" s="177"/>
      <c r="AC49" s="177"/>
      <c r="AD49" s="178" t="str">
        <f>IF(AND(AB49="Preventivo",AC49="Automático"),"50%",IF(AND(AB49="Preventivo",AC49="Manual"),"40%",IF(AND(AB49="Detectivo",AC49="Automático"),"40%",IF(AND(AB49="Detectivo",AC49="Manual"),"30%",IF(AND(AB49="Correctivo",AC49="Automático"),"35%",IF(AND(AB49="Correctivo",AC49="Manual"),"25%",""))))))</f>
        <v/>
      </c>
      <c r="AE49" s="177"/>
      <c r="AF49" s="177"/>
      <c r="AG49" s="177"/>
      <c r="AH49" s="179" t="str">
        <f>IFERROR(IF(AA49="Probabilidad",(P49-(+P49*AD49)),IF(AA49="Impacto",P49,"")),"")</f>
        <v/>
      </c>
      <c r="AI49" s="180" t="str">
        <f>IFERROR(IF(AH49="","",IF(AH49&lt;=0.2,"Muy Baja",IF(AH49&lt;=0.4,"Baja",IF(AH49&lt;=0.6,"Media",IF(AH49&lt;=0.8,"Alta","Muy Alta"))))),"")</f>
        <v/>
      </c>
      <c r="AJ49" s="178" t="str">
        <f>+AH49</f>
        <v/>
      </c>
      <c r="AK49" s="180" t="str">
        <f>IFERROR(IF(AL49="","",IF(AL49&lt;=0.2,"Leve",IF(AL49&lt;=0.4,"Menor",IF(AL49&lt;=0.6,"Moderado",IF(AL49&lt;=0.8,"Mayor","Catastrófico"))))),"")</f>
        <v/>
      </c>
      <c r="AL49" s="178" t="str">
        <f t="shared" ref="AL49" si="60">IFERROR(IF(AA49="Impacto",(T49-(+T49*AD49)),IF(AA49="Probabilidad",T49,"")),"")</f>
        <v/>
      </c>
      <c r="AM49" s="181"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82"/>
      <c r="AO49" s="175"/>
      <c r="AP49" s="183"/>
      <c r="AQ49" s="183"/>
      <c r="AR49" s="184"/>
      <c r="AS49" s="414"/>
      <c r="AT49" s="414"/>
      <c r="AU49" s="414"/>
    </row>
    <row r="50" spans="1:47" x14ac:dyDescent="0.2">
      <c r="A50" s="411"/>
      <c r="B50" s="353"/>
      <c r="C50" s="353"/>
      <c r="D50" s="412"/>
      <c r="E50" s="412"/>
      <c r="F50" s="413"/>
      <c r="G50" s="353"/>
      <c r="H50" s="355"/>
      <c r="I50" s="355"/>
      <c r="J50" s="355"/>
      <c r="K50" s="355"/>
      <c r="L50" s="355"/>
      <c r="M50" s="355"/>
      <c r="N50" s="414"/>
      <c r="O50" s="415"/>
      <c r="P50" s="416"/>
      <c r="Q50" s="417"/>
      <c r="R50" s="416">
        <f>IF(NOT(ISERROR(MATCH(Q50,_xlfn.ANCHORARRAY(F61),0))),P63&amp;"Por favor no seleccionar los criterios de impacto",Q50)</f>
        <v>0</v>
      </c>
      <c r="S50" s="415"/>
      <c r="T50" s="416"/>
      <c r="U50" s="420"/>
      <c r="V50" s="199">
        <v>2</v>
      </c>
      <c r="W50" s="199"/>
      <c r="X50" s="199"/>
      <c r="Y50" s="199"/>
      <c r="Z50" s="224" t="str">
        <f t="shared" si="1"/>
        <v xml:space="preserve">  </v>
      </c>
      <c r="AA50" s="176" t="str">
        <f>IF(OR(AB50="Preventivo",AB50="Detectivo"),"Probabilidad",IF(AB50="Correctivo","Impacto",""))</f>
        <v/>
      </c>
      <c r="AB50" s="177"/>
      <c r="AC50" s="177"/>
      <c r="AD50" s="178" t="str">
        <f t="shared" ref="AD50:AD54" si="61">IF(AND(AB50="Preventivo",AC50="Automático"),"50%",IF(AND(AB50="Preventivo",AC50="Manual"),"40%",IF(AND(AB50="Detectivo",AC50="Automático"),"40%",IF(AND(AB50="Detectivo",AC50="Manual"),"30%",IF(AND(AB50="Correctivo",AC50="Automático"),"35%",IF(AND(AB50="Correctivo",AC50="Manual"),"25%",""))))))</f>
        <v/>
      </c>
      <c r="AE50" s="177"/>
      <c r="AF50" s="177"/>
      <c r="AG50" s="177"/>
      <c r="AH50" s="179" t="str">
        <f>IFERROR(IF(AND(AA49="Probabilidad",AA50="Probabilidad"),(AJ49-(+AJ49*AD50)),IF(AA50="Probabilidad",(P49-(+P49*AD50)),IF(AA50="Impacto",AJ49,""))),"")</f>
        <v/>
      </c>
      <c r="AI50" s="180" t="str">
        <f t="shared" si="3"/>
        <v/>
      </c>
      <c r="AJ50" s="178" t="str">
        <f t="shared" ref="AJ50:AJ54" si="62">+AH50</f>
        <v/>
      </c>
      <c r="AK50" s="180" t="str">
        <f t="shared" si="5"/>
        <v/>
      </c>
      <c r="AL50" s="178" t="str">
        <f t="shared" ref="AL50" si="63">IFERROR(IF(AND(AA49="Impacto",AA50="Impacto"),(AL49-(+AL49*AD50)),IF(AA50="Impacto",($T$13-(+$T$13*AD50)),IF(AA50="Probabilidad",AL49,""))),"")</f>
        <v/>
      </c>
      <c r="AM50" s="181" t="str">
        <f t="shared" ref="AM50:AM51" si="64">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82"/>
      <c r="AO50" s="175"/>
      <c r="AP50" s="183"/>
      <c r="AQ50" s="183"/>
      <c r="AR50" s="184"/>
      <c r="AS50" s="414"/>
      <c r="AT50" s="414"/>
      <c r="AU50" s="414"/>
    </row>
    <row r="51" spans="1:47" x14ac:dyDescent="0.2">
      <c r="A51" s="411"/>
      <c r="B51" s="353"/>
      <c r="C51" s="353"/>
      <c r="D51" s="412"/>
      <c r="E51" s="412"/>
      <c r="F51" s="413"/>
      <c r="G51" s="353"/>
      <c r="H51" s="355"/>
      <c r="I51" s="355"/>
      <c r="J51" s="355"/>
      <c r="K51" s="355"/>
      <c r="L51" s="355"/>
      <c r="M51" s="355"/>
      <c r="N51" s="414"/>
      <c r="O51" s="415"/>
      <c r="P51" s="416"/>
      <c r="Q51" s="417"/>
      <c r="R51" s="416">
        <f>IF(NOT(ISERROR(MATCH(Q51,_xlfn.ANCHORARRAY(F62),0))),P64&amp;"Por favor no seleccionar los criterios de impacto",Q51)</f>
        <v>0</v>
      </c>
      <c r="S51" s="415"/>
      <c r="T51" s="416"/>
      <c r="U51" s="420"/>
      <c r="V51" s="199">
        <v>3</v>
      </c>
      <c r="W51" s="199"/>
      <c r="X51" s="199"/>
      <c r="Y51" s="199"/>
      <c r="Z51" s="224" t="str">
        <f t="shared" si="1"/>
        <v xml:space="preserve">  </v>
      </c>
      <c r="AA51" s="176" t="str">
        <f>IF(OR(AB51="Preventivo",AB51="Detectivo"),"Probabilidad",IF(AB51="Correctivo","Impacto",""))</f>
        <v/>
      </c>
      <c r="AB51" s="177"/>
      <c r="AC51" s="177"/>
      <c r="AD51" s="178" t="str">
        <f t="shared" si="61"/>
        <v/>
      </c>
      <c r="AE51" s="177"/>
      <c r="AF51" s="177"/>
      <c r="AG51" s="177"/>
      <c r="AH51" s="179" t="str">
        <f>IFERROR(IF(AND(AA50="Probabilidad",AA51="Probabilidad"),(AJ50-(+AJ50*AD51)),IF(AND(AA50="Impacto",AA51="Probabilidad"),(AJ49-(+AJ49*AD51)),IF(AA51="Impacto",AJ50,""))),"")</f>
        <v/>
      </c>
      <c r="AI51" s="180" t="str">
        <f t="shared" si="3"/>
        <v/>
      </c>
      <c r="AJ51" s="178" t="str">
        <f t="shared" si="62"/>
        <v/>
      </c>
      <c r="AK51" s="180" t="str">
        <f t="shared" si="5"/>
        <v/>
      </c>
      <c r="AL51" s="178" t="str">
        <f t="shared" ref="AL51" si="65">IFERROR(IF(AND(AA50="Impacto",AA51="Impacto"),(AL50-(+AL50*AD51)),IF(AND(AA50="Probabilidad",AA51="Impacto"),(AL49-(+AL49*AD51)),IF(AA51="Probabilidad",AL50,""))),"")</f>
        <v/>
      </c>
      <c r="AM51" s="181" t="str">
        <f t="shared" si="64"/>
        <v/>
      </c>
      <c r="AN51" s="182"/>
      <c r="AO51" s="175"/>
      <c r="AP51" s="183"/>
      <c r="AQ51" s="183"/>
      <c r="AR51" s="184"/>
      <c r="AS51" s="414"/>
      <c r="AT51" s="414"/>
      <c r="AU51" s="414"/>
    </row>
    <row r="52" spans="1:47" x14ac:dyDescent="0.2">
      <c r="A52" s="411"/>
      <c r="B52" s="353"/>
      <c r="C52" s="353"/>
      <c r="D52" s="412"/>
      <c r="E52" s="412"/>
      <c r="F52" s="413"/>
      <c r="G52" s="353"/>
      <c r="H52" s="355"/>
      <c r="I52" s="355"/>
      <c r="J52" s="355"/>
      <c r="K52" s="355"/>
      <c r="L52" s="355"/>
      <c r="M52" s="355"/>
      <c r="N52" s="414"/>
      <c r="O52" s="415"/>
      <c r="P52" s="416"/>
      <c r="Q52" s="417"/>
      <c r="R52" s="416">
        <f>IF(NOT(ISERROR(MATCH(Q52,_xlfn.ANCHORARRAY(F63),0))),P65&amp;"Por favor no seleccionar los criterios de impacto",Q52)</f>
        <v>0</v>
      </c>
      <c r="S52" s="415"/>
      <c r="T52" s="416"/>
      <c r="U52" s="420"/>
      <c r="V52" s="199">
        <v>4</v>
      </c>
      <c r="W52" s="199"/>
      <c r="X52" s="199"/>
      <c r="Y52" s="199"/>
      <c r="Z52" s="224" t="str">
        <f t="shared" si="1"/>
        <v xml:space="preserve">  </v>
      </c>
      <c r="AA52" s="176" t="str">
        <f t="shared" ref="AA52:AA54" si="66">IF(OR(AB52="Preventivo",AB52="Detectivo"),"Probabilidad",IF(AB52="Correctivo","Impacto",""))</f>
        <v/>
      </c>
      <c r="AB52" s="177"/>
      <c r="AC52" s="177"/>
      <c r="AD52" s="178" t="str">
        <f t="shared" si="61"/>
        <v/>
      </c>
      <c r="AE52" s="177"/>
      <c r="AF52" s="177"/>
      <c r="AG52" s="177"/>
      <c r="AH52" s="179" t="str">
        <f t="shared" ref="AH52:AH54" si="67">IFERROR(IF(AND(AA51="Probabilidad",AA52="Probabilidad"),(AJ51-(+AJ51*AD52)),IF(AND(AA51="Impacto",AA52="Probabilidad"),(AJ50-(+AJ50*AD52)),IF(AA52="Impacto",AJ51,""))),"")</f>
        <v/>
      </c>
      <c r="AI52" s="180" t="str">
        <f t="shared" si="3"/>
        <v/>
      </c>
      <c r="AJ52" s="178" t="str">
        <f t="shared" si="62"/>
        <v/>
      </c>
      <c r="AK52" s="180" t="str">
        <f t="shared" si="5"/>
        <v/>
      </c>
      <c r="AL52" s="178" t="str">
        <f t="shared" si="15"/>
        <v/>
      </c>
      <c r="AM52" s="181"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82"/>
      <c r="AO52" s="175"/>
      <c r="AP52" s="183"/>
      <c r="AQ52" s="183"/>
      <c r="AR52" s="184"/>
      <c r="AS52" s="414"/>
      <c r="AT52" s="414"/>
      <c r="AU52" s="414"/>
    </row>
    <row r="53" spans="1:47" x14ac:dyDescent="0.2">
      <c r="A53" s="411"/>
      <c r="B53" s="353"/>
      <c r="C53" s="353"/>
      <c r="D53" s="412"/>
      <c r="E53" s="412"/>
      <c r="F53" s="413"/>
      <c r="G53" s="353"/>
      <c r="H53" s="355"/>
      <c r="I53" s="355"/>
      <c r="J53" s="355"/>
      <c r="K53" s="355"/>
      <c r="L53" s="355"/>
      <c r="M53" s="355"/>
      <c r="N53" s="414"/>
      <c r="O53" s="415"/>
      <c r="P53" s="416"/>
      <c r="Q53" s="417"/>
      <c r="R53" s="416">
        <f>IF(NOT(ISERROR(MATCH(Q53,_xlfn.ANCHORARRAY(F64),0))),P66&amp;"Por favor no seleccionar los criterios de impacto",Q53)</f>
        <v>0</v>
      </c>
      <c r="S53" s="415"/>
      <c r="T53" s="416"/>
      <c r="U53" s="420"/>
      <c r="V53" s="199">
        <v>5</v>
      </c>
      <c r="W53" s="199"/>
      <c r="X53" s="199"/>
      <c r="Y53" s="199"/>
      <c r="Z53" s="224" t="str">
        <f t="shared" si="1"/>
        <v xml:space="preserve">  </v>
      </c>
      <c r="AA53" s="176" t="str">
        <f t="shared" si="66"/>
        <v/>
      </c>
      <c r="AB53" s="177"/>
      <c r="AC53" s="177"/>
      <c r="AD53" s="178" t="str">
        <f t="shared" si="61"/>
        <v/>
      </c>
      <c r="AE53" s="177"/>
      <c r="AF53" s="177"/>
      <c r="AG53" s="177"/>
      <c r="AH53" s="179" t="str">
        <f t="shared" si="67"/>
        <v/>
      </c>
      <c r="AI53" s="180" t="str">
        <f t="shared" si="3"/>
        <v/>
      </c>
      <c r="AJ53" s="178" t="str">
        <f t="shared" si="62"/>
        <v/>
      </c>
      <c r="AK53" s="180" t="str">
        <f t="shared" si="5"/>
        <v/>
      </c>
      <c r="AL53" s="178" t="str">
        <f t="shared" si="15"/>
        <v/>
      </c>
      <c r="AM53" s="181" t="str">
        <f t="shared" ref="AM53:AM54" si="68">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82"/>
      <c r="AO53" s="175"/>
      <c r="AP53" s="183"/>
      <c r="AQ53" s="183"/>
      <c r="AR53" s="184"/>
      <c r="AS53" s="414"/>
      <c r="AT53" s="414"/>
      <c r="AU53" s="414"/>
    </row>
    <row r="54" spans="1:47" x14ac:dyDescent="0.2">
      <c r="A54" s="411"/>
      <c r="B54" s="353"/>
      <c r="C54" s="353"/>
      <c r="D54" s="412"/>
      <c r="E54" s="412"/>
      <c r="F54" s="413"/>
      <c r="G54" s="353"/>
      <c r="H54" s="356"/>
      <c r="I54" s="356"/>
      <c r="J54" s="356"/>
      <c r="K54" s="356"/>
      <c r="L54" s="356"/>
      <c r="M54" s="356"/>
      <c r="N54" s="414"/>
      <c r="O54" s="415"/>
      <c r="P54" s="416"/>
      <c r="Q54" s="417"/>
      <c r="R54" s="416">
        <f>IF(NOT(ISERROR(MATCH(Q54,_xlfn.ANCHORARRAY(F65),0))),P67&amp;"Por favor no seleccionar los criterios de impacto",Q54)</f>
        <v>0</v>
      </c>
      <c r="S54" s="415"/>
      <c r="T54" s="416"/>
      <c r="U54" s="420"/>
      <c r="V54" s="199">
        <v>6</v>
      </c>
      <c r="W54" s="199"/>
      <c r="X54" s="199"/>
      <c r="Y54" s="199"/>
      <c r="Z54" s="224" t="str">
        <f t="shared" si="1"/>
        <v xml:space="preserve">  </v>
      </c>
      <c r="AA54" s="176" t="str">
        <f t="shared" si="66"/>
        <v/>
      </c>
      <c r="AB54" s="177"/>
      <c r="AC54" s="177"/>
      <c r="AD54" s="178" t="str">
        <f t="shared" si="61"/>
        <v/>
      </c>
      <c r="AE54" s="177"/>
      <c r="AF54" s="177"/>
      <c r="AG54" s="177"/>
      <c r="AH54" s="179" t="str">
        <f t="shared" si="67"/>
        <v/>
      </c>
      <c r="AI54" s="180" t="str">
        <f t="shared" si="3"/>
        <v/>
      </c>
      <c r="AJ54" s="178" t="str">
        <f t="shared" si="62"/>
        <v/>
      </c>
      <c r="AK54" s="180" t="str">
        <f t="shared" si="5"/>
        <v/>
      </c>
      <c r="AL54" s="178" t="str">
        <f t="shared" si="15"/>
        <v/>
      </c>
      <c r="AM54" s="181" t="str">
        <f t="shared" si="68"/>
        <v/>
      </c>
      <c r="AN54" s="182"/>
      <c r="AO54" s="175"/>
      <c r="AP54" s="183"/>
      <c r="AQ54" s="183"/>
      <c r="AR54" s="184"/>
      <c r="AS54" s="414"/>
      <c r="AT54" s="414"/>
      <c r="AU54" s="414"/>
    </row>
    <row r="55" spans="1:47" x14ac:dyDescent="0.2">
      <c r="A55" s="411">
        <v>8</v>
      </c>
      <c r="B55" s="353"/>
      <c r="C55" s="353"/>
      <c r="D55" s="353"/>
      <c r="E55" s="353"/>
      <c r="F55" s="413" t="str">
        <f t="shared" ref="F55" si="69">+CONCATENATE(B55," ",C55," ",D55)</f>
        <v xml:space="preserve">  </v>
      </c>
      <c r="G55" s="353"/>
      <c r="H55" s="354"/>
      <c r="I55" s="354"/>
      <c r="J55" s="354"/>
      <c r="K55" s="354"/>
      <c r="L55" s="354"/>
      <c r="M55" s="354"/>
      <c r="N55" s="414"/>
      <c r="O55" s="415" t="str">
        <f>IF(N55&lt;=0,"",IF(N55&lt;=2,"Muy Baja",IF(N55&lt;=24,"Baja",IF(N55&lt;=500,"Media",IF(N55&lt;=5000,"Alta","Muy Alta")))))</f>
        <v/>
      </c>
      <c r="P55" s="416" t="str">
        <f>IF(O55="","",IF(O55="Muy Baja",0.2,IF(O55="Baja",0.4,IF(O55="Media",0.6,IF(O55="Alta",0.8,IF(O55="Muy Alta",1,))))))</f>
        <v/>
      </c>
      <c r="Q55" s="417"/>
      <c r="R55" s="416">
        <f>IF(NOT(ISERROR(MATCH(Q55,'Tabla Impacto'!$B$245:$B$247,0))),'Tabla Impacto'!$F$224&amp;"Por favor no seleccionar los criterios de impacto(Afectación Económica o presupuestal y Pérdida Reputacional)",Q55)</f>
        <v>0</v>
      </c>
      <c r="S55" s="415" t="str">
        <f>IF(OR(R55='Tabla Impacto'!$C$12,R55='Tabla Impacto'!$D$12),"Leve",IF(OR(R55='Tabla Impacto'!$C$13,R55='Tabla Impacto'!$D$13),"Menor",IF(OR(R55='Tabla Impacto'!$C$14,R55='Tabla Impacto'!$D$14),"Moderado",IF(OR(R55='Tabla Impacto'!$C$15,R55='Tabla Impacto'!$D$15),"Mayor",IF(OR(R55='Tabla Impacto'!$C$16,R55='Tabla Impacto'!$D$16),"Catastrófico","")))))</f>
        <v/>
      </c>
      <c r="T55" s="416" t="str">
        <f>IF(S55="","",IF(S55="Leve",0.2,IF(S55="Menor",0.4,IF(S55="Moderado",0.6,IF(S55="Mayor",0.8,IF(S55="Catastrófico",1,))))))</f>
        <v/>
      </c>
      <c r="U55" s="420"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9">
        <v>1</v>
      </c>
      <c r="W55" s="199"/>
      <c r="X55" s="199"/>
      <c r="Y55" s="199"/>
      <c r="Z55" s="224" t="str">
        <f t="shared" si="1"/>
        <v xml:space="preserve">  </v>
      </c>
      <c r="AA55" s="176" t="str">
        <f>IF(OR(AB55="Preventivo",AB55="Detectivo"),"Probabilidad",IF(AB55="Correctivo","Impacto",""))</f>
        <v/>
      </c>
      <c r="AB55" s="177"/>
      <c r="AC55" s="177"/>
      <c r="AD55" s="178" t="str">
        <f>IF(AND(AB55="Preventivo",AC55="Automático"),"50%",IF(AND(AB55="Preventivo",AC55="Manual"),"40%",IF(AND(AB55="Detectivo",AC55="Automático"),"40%",IF(AND(AB55="Detectivo",AC55="Manual"),"30%",IF(AND(AB55="Correctivo",AC55="Automático"),"35%",IF(AND(AB55="Correctivo",AC55="Manual"),"25%",""))))))</f>
        <v/>
      </c>
      <c r="AE55" s="177"/>
      <c r="AF55" s="177"/>
      <c r="AG55" s="177"/>
      <c r="AH55" s="179" t="str">
        <f>IFERROR(IF(AA55="Probabilidad",(P55-(+P55*AD55)),IF(AA55="Impacto",P55,"")),"")</f>
        <v/>
      </c>
      <c r="AI55" s="180" t="str">
        <f>IFERROR(IF(AH55="","",IF(AH55&lt;=0.2,"Muy Baja",IF(AH55&lt;=0.4,"Baja",IF(AH55&lt;=0.6,"Media",IF(AH55&lt;=0.8,"Alta","Muy Alta"))))),"")</f>
        <v/>
      </c>
      <c r="AJ55" s="178" t="str">
        <f>+AH55</f>
        <v/>
      </c>
      <c r="AK55" s="180" t="str">
        <f>IFERROR(IF(AL55="","",IF(AL55&lt;=0.2,"Leve",IF(AL55&lt;=0.4,"Menor",IF(AL55&lt;=0.6,"Moderado",IF(AL55&lt;=0.8,"Mayor","Catastrófico"))))),"")</f>
        <v/>
      </c>
      <c r="AL55" s="178" t="str">
        <f t="shared" ref="AL55" si="70">IFERROR(IF(AA55="Impacto",(T55-(+T55*AD55)),IF(AA55="Probabilidad",T55,"")),"")</f>
        <v/>
      </c>
      <c r="AM55" s="181"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82"/>
      <c r="AO55" s="175"/>
      <c r="AP55" s="183"/>
      <c r="AQ55" s="183"/>
      <c r="AR55" s="184"/>
      <c r="AS55" s="414"/>
      <c r="AT55" s="414"/>
      <c r="AU55" s="414"/>
    </row>
    <row r="56" spans="1:47" x14ac:dyDescent="0.2">
      <c r="A56" s="411"/>
      <c r="B56" s="353"/>
      <c r="C56" s="353"/>
      <c r="D56" s="353"/>
      <c r="E56" s="353"/>
      <c r="F56" s="413"/>
      <c r="G56" s="353"/>
      <c r="H56" s="355"/>
      <c r="I56" s="355"/>
      <c r="J56" s="355"/>
      <c r="K56" s="355"/>
      <c r="L56" s="355"/>
      <c r="M56" s="355"/>
      <c r="N56" s="414"/>
      <c r="O56" s="415"/>
      <c r="P56" s="416"/>
      <c r="Q56" s="417"/>
      <c r="R56" s="416">
        <f>IF(NOT(ISERROR(MATCH(Q56,_xlfn.ANCHORARRAY(F67),0))),P69&amp;"Por favor no seleccionar los criterios de impacto",Q56)</f>
        <v>0</v>
      </c>
      <c r="S56" s="415"/>
      <c r="T56" s="416"/>
      <c r="U56" s="420"/>
      <c r="V56" s="199">
        <v>2</v>
      </c>
      <c r="W56" s="199"/>
      <c r="X56" s="199"/>
      <c r="Y56" s="199"/>
      <c r="Z56" s="224" t="str">
        <f t="shared" si="1"/>
        <v xml:space="preserve">  </v>
      </c>
      <c r="AA56" s="176" t="str">
        <f>IF(OR(AB56="Preventivo",AB56="Detectivo"),"Probabilidad",IF(AB56="Correctivo","Impacto",""))</f>
        <v/>
      </c>
      <c r="AB56" s="177"/>
      <c r="AC56" s="177"/>
      <c r="AD56" s="178" t="str">
        <f t="shared" ref="AD56:AD60" si="71">IF(AND(AB56="Preventivo",AC56="Automático"),"50%",IF(AND(AB56="Preventivo",AC56="Manual"),"40%",IF(AND(AB56="Detectivo",AC56="Automático"),"40%",IF(AND(AB56="Detectivo",AC56="Manual"),"30%",IF(AND(AB56="Correctivo",AC56="Automático"),"35%",IF(AND(AB56="Correctivo",AC56="Manual"),"25%",""))))))</f>
        <v/>
      </c>
      <c r="AE56" s="177"/>
      <c r="AF56" s="177"/>
      <c r="AG56" s="177"/>
      <c r="AH56" s="179" t="str">
        <f>IFERROR(IF(AND(AA55="Probabilidad",AA56="Probabilidad"),(AJ55-(+AJ55*AD56)),IF(AA56="Probabilidad",(P55-(+P55*AD56)),IF(AA56="Impacto",AJ55,""))),"")</f>
        <v/>
      </c>
      <c r="AI56" s="180" t="str">
        <f t="shared" si="3"/>
        <v/>
      </c>
      <c r="AJ56" s="178" t="str">
        <f t="shared" ref="AJ56:AJ60" si="72">+AH56</f>
        <v/>
      </c>
      <c r="AK56" s="180" t="str">
        <f t="shared" si="5"/>
        <v/>
      </c>
      <c r="AL56" s="178" t="str">
        <f t="shared" ref="AL56" si="73">IFERROR(IF(AND(AA55="Impacto",AA56="Impacto"),(AL55-(+AL55*AD56)),IF(AA56="Impacto",($T$13-(+$T$13*AD56)),IF(AA56="Probabilidad",AL55,""))),"")</f>
        <v/>
      </c>
      <c r="AM56" s="181" t="str">
        <f t="shared" ref="AM56:AM57" si="74">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82"/>
      <c r="AO56" s="175"/>
      <c r="AP56" s="183"/>
      <c r="AQ56" s="183"/>
      <c r="AR56" s="184"/>
      <c r="AS56" s="414"/>
      <c r="AT56" s="414"/>
      <c r="AU56" s="414"/>
    </row>
    <row r="57" spans="1:47" x14ac:dyDescent="0.2">
      <c r="A57" s="411"/>
      <c r="B57" s="353"/>
      <c r="C57" s="353"/>
      <c r="D57" s="353"/>
      <c r="E57" s="353"/>
      <c r="F57" s="413"/>
      <c r="G57" s="353"/>
      <c r="H57" s="355"/>
      <c r="I57" s="355"/>
      <c r="J57" s="355"/>
      <c r="K57" s="355"/>
      <c r="L57" s="355"/>
      <c r="M57" s="355"/>
      <c r="N57" s="414"/>
      <c r="O57" s="415"/>
      <c r="P57" s="416"/>
      <c r="Q57" s="417"/>
      <c r="R57" s="416">
        <f>IF(NOT(ISERROR(MATCH(Q57,_xlfn.ANCHORARRAY(F68),0))),P70&amp;"Por favor no seleccionar los criterios de impacto",Q57)</f>
        <v>0</v>
      </c>
      <c r="S57" s="415"/>
      <c r="T57" s="416"/>
      <c r="U57" s="420"/>
      <c r="V57" s="199">
        <v>3</v>
      </c>
      <c r="W57" s="199"/>
      <c r="X57" s="199"/>
      <c r="Y57" s="199"/>
      <c r="Z57" s="224" t="str">
        <f t="shared" si="1"/>
        <v xml:space="preserve">  </v>
      </c>
      <c r="AA57" s="176" t="str">
        <f>IF(OR(AB57="Preventivo",AB57="Detectivo"),"Probabilidad",IF(AB57="Correctivo","Impacto",""))</f>
        <v/>
      </c>
      <c r="AB57" s="177"/>
      <c r="AC57" s="177"/>
      <c r="AD57" s="178" t="str">
        <f t="shared" si="71"/>
        <v/>
      </c>
      <c r="AE57" s="177"/>
      <c r="AF57" s="177"/>
      <c r="AG57" s="177"/>
      <c r="AH57" s="179" t="str">
        <f>IFERROR(IF(AND(AA56="Probabilidad",AA57="Probabilidad"),(AJ56-(+AJ56*AD57)),IF(AND(AA56="Impacto",AA57="Probabilidad"),(AJ55-(+AJ55*AD57)),IF(AA57="Impacto",AJ56,""))),"")</f>
        <v/>
      </c>
      <c r="AI57" s="180" t="str">
        <f t="shared" si="3"/>
        <v/>
      </c>
      <c r="AJ57" s="178" t="str">
        <f t="shared" si="72"/>
        <v/>
      </c>
      <c r="AK57" s="180" t="str">
        <f t="shared" si="5"/>
        <v/>
      </c>
      <c r="AL57" s="178" t="str">
        <f t="shared" ref="AL57" si="75">IFERROR(IF(AND(AA56="Impacto",AA57="Impacto"),(AL56-(+AL56*AD57)),IF(AND(AA56="Probabilidad",AA57="Impacto"),(AL55-(+AL55*AD57)),IF(AA57="Probabilidad",AL56,""))),"")</f>
        <v/>
      </c>
      <c r="AM57" s="181" t="str">
        <f t="shared" si="74"/>
        <v/>
      </c>
      <c r="AN57" s="182"/>
      <c r="AO57" s="175"/>
      <c r="AP57" s="183"/>
      <c r="AQ57" s="183"/>
      <c r="AR57" s="184"/>
      <c r="AS57" s="414"/>
      <c r="AT57" s="414"/>
      <c r="AU57" s="414"/>
    </row>
    <row r="58" spans="1:47" x14ac:dyDescent="0.2">
      <c r="A58" s="411"/>
      <c r="B58" s="353"/>
      <c r="C58" s="353"/>
      <c r="D58" s="353"/>
      <c r="E58" s="353"/>
      <c r="F58" s="413"/>
      <c r="G58" s="353"/>
      <c r="H58" s="355"/>
      <c r="I58" s="355"/>
      <c r="J58" s="355"/>
      <c r="K58" s="355"/>
      <c r="L58" s="355"/>
      <c r="M58" s="355"/>
      <c r="N58" s="414"/>
      <c r="O58" s="415"/>
      <c r="P58" s="416"/>
      <c r="Q58" s="417"/>
      <c r="R58" s="416">
        <f>IF(NOT(ISERROR(MATCH(Q58,_xlfn.ANCHORARRAY(F69),0))),P71&amp;"Por favor no seleccionar los criterios de impacto",Q58)</f>
        <v>0</v>
      </c>
      <c r="S58" s="415"/>
      <c r="T58" s="416"/>
      <c r="U58" s="420"/>
      <c r="V58" s="199">
        <v>4</v>
      </c>
      <c r="W58" s="199"/>
      <c r="X58" s="199"/>
      <c r="Y58" s="199"/>
      <c r="Z58" s="224" t="str">
        <f t="shared" si="1"/>
        <v xml:space="preserve">  </v>
      </c>
      <c r="AA58" s="176" t="str">
        <f t="shared" ref="AA58:AA60" si="76">IF(OR(AB58="Preventivo",AB58="Detectivo"),"Probabilidad",IF(AB58="Correctivo","Impacto",""))</f>
        <v/>
      </c>
      <c r="AB58" s="177"/>
      <c r="AC58" s="177"/>
      <c r="AD58" s="178" t="str">
        <f t="shared" si="71"/>
        <v/>
      </c>
      <c r="AE58" s="177"/>
      <c r="AF58" s="177"/>
      <c r="AG58" s="177"/>
      <c r="AH58" s="179" t="str">
        <f t="shared" ref="AH58:AH60" si="77">IFERROR(IF(AND(AA57="Probabilidad",AA58="Probabilidad"),(AJ57-(+AJ57*AD58)),IF(AND(AA57="Impacto",AA58="Probabilidad"),(AJ56-(+AJ56*AD58)),IF(AA58="Impacto",AJ57,""))),"")</f>
        <v/>
      </c>
      <c r="AI58" s="180" t="str">
        <f t="shared" si="3"/>
        <v/>
      </c>
      <c r="AJ58" s="178" t="str">
        <f t="shared" si="72"/>
        <v/>
      </c>
      <c r="AK58" s="180" t="str">
        <f t="shared" si="5"/>
        <v/>
      </c>
      <c r="AL58" s="178" t="str">
        <f t="shared" si="15"/>
        <v/>
      </c>
      <c r="AM58" s="181"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82"/>
      <c r="AO58" s="175"/>
      <c r="AP58" s="183"/>
      <c r="AQ58" s="183"/>
      <c r="AR58" s="184"/>
      <c r="AS58" s="414"/>
      <c r="AT58" s="414"/>
      <c r="AU58" s="414"/>
    </row>
    <row r="59" spans="1:47" x14ac:dyDescent="0.2">
      <c r="A59" s="411"/>
      <c r="B59" s="353"/>
      <c r="C59" s="353"/>
      <c r="D59" s="353"/>
      <c r="E59" s="353"/>
      <c r="F59" s="413"/>
      <c r="G59" s="353"/>
      <c r="H59" s="355"/>
      <c r="I59" s="355"/>
      <c r="J59" s="355"/>
      <c r="K59" s="355"/>
      <c r="L59" s="355"/>
      <c r="M59" s="355"/>
      <c r="N59" s="414"/>
      <c r="O59" s="415"/>
      <c r="P59" s="416"/>
      <c r="Q59" s="417"/>
      <c r="R59" s="416">
        <f>IF(NOT(ISERROR(MATCH(Q59,_xlfn.ANCHORARRAY(F70),0))),P72&amp;"Por favor no seleccionar los criterios de impacto",Q59)</f>
        <v>0</v>
      </c>
      <c r="S59" s="415"/>
      <c r="T59" s="416"/>
      <c r="U59" s="420"/>
      <c r="V59" s="199">
        <v>5</v>
      </c>
      <c r="W59" s="199"/>
      <c r="X59" s="199"/>
      <c r="Y59" s="199"/>
      <c r="Z59" s="224" t="str">
        <f t="shared" si="1"/>
        <v xml:space="preserve">  </v>
      </c>
      <c r="AA59" s="176" t="str">
        <f t="shared" si="76"/>
        <v/>
      </c>
      <c r="AB59" s="177"/>
      <c r="AC59" s="177"/>
      <c r="AD59" s="178" t="str">
        <f t="shared" si="71"/>
        <v/>
      </c>
      <c r="AE59" s="177"/>
      <c r="AF59" s="177"/>
      <c r="AG59" s="177"/>
      <c r="AH59" s="179" t="str">
        <f t="shared" si="77"/>
        <v/>
      </c>
      <c r="AI59" s="180" t="str">
        <f t="shared" si="3"/>
        <v/>
      </c>
      <c r="AJ59" s="178" t="str">
        <f t="shared" si="72"/>
        <v/>
      </c>
      <c r="AK59" s="180" t="str">
        <f t="shared" si="5"/>
        <v/>
      </c>
      <c r="AL59" s="178" t="str">
        <f t="shared" si="15"/>
        <v/>
      </c>
      <c r="AM59" s="181" t="str">
        <f t="shared" ref="AM59:AM60" si="78">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82"/>
      <c r="AO59" s="175"/>
      <c r="AP59" s="183"/>
      <c r="AQ59" s="183"/>
      <c r="AR59" s="184"/>
      <c r="AS59" s="414"/>
      <c r="AT59" s="414"/>
      <c r="AU59" s="414"/>
    </row>
    <row r="60" spans="1:47" x14ac:dyDescent="0.2">
      <c r="A60" s="411"/>
      <c r="B60" s="353"/>
      <c r="C60" s="353"/>
      <c r="D60" s="353"/>
      <c r="E60" s="353"/>
      <c r="F60" s="413"/>
      <c r="G60" s="353"/>
      <c r="H60" s="356"/>
      <c r="I60" s="356"/>
      <c r="J60" s="356"/>
      <c r="K60" s="356"/>
      <c r="L60" s="356"/>
      <c r="M60" s="356"/>
      <c r="N60" s="414"/>
      <c r="O60" s="415"/>
      <c r="P60" s="416"/>
      <c r="Q60" s="417"/>
      <c r="R60" s="416">
        <f>IF(NOT(ISERROR(MATCH(Q60,_xlfn.ANCHORARRAY(F71),0))),Q73&amp;"Por favor no seleccionar los criterios de impacto",Q60)</f>
        <v>0</v>
      </c>
      <c r="S60" s="415"/>
      <c r="T60" s="416"/>
      <c r="U60" s="420"/>
      <c r="V60" s="199">
        <v>6</v>
      </c>
      <c r="W60" s="199"/>
      <c r="X60" s="199"/>
      <c r="Y60" s="199"/>
      <c r="Z60" s="224" t="str">
        <f t="shared" si="1"/>
        <v xml:space="preserve">  </v>
      </c>
      <c r="AA60" s="176" t="str">
        <f t="shared" si="76"/>
        <v/>
      </c>
      <c r="AB60" s="177"/>
      <c r="AC60" s="177"/>
      <c r="AD60" s="178" t="str">
        <f t="shared" si="71"/>
        <v/>
      </c>
      <c r="AE60" s="177"/>
      <c r="AF60" s="177"/>
      <c r="AG60" s="177"/>
      <c r="AH60" s="179" t="str">
        <f t="shared" si="77"/>
        <v/>
      </c>
      <c r="AI60" s="180" t="str">
        <f t="shared" si="3"/>
        <v/>
      </c>
      <c r="AJ60" s="178" t="str">
        <f t="shared" si="72"/>
        <v/>
      </c>
      <c r="AK60" s="180" t="str">
        <f t="shared" si="5"/>
        <v/>
      </c>
      <c r="AL60" s="178" t="str">
        <f t="shared" si="15"/>
        <v/>
      </c>
      <c r="AM60" s="181" t="str">
        <f t="shared" si="78"/>
        <v/>
      </c>
      <c r="AN60" s="182"/>
      <c r="AO60" s="175"/>
      <c r="AP60" s="183"/>
      <c r="AQ60" s="183"/>
      <c r="AR60" s="184"/>
      <c r="AS60" s="414"/>
      <c r="AT60" s="414"/>
      <c r="AU60" s="414"/>
    </row>
    <row r="61" spans="1:47" x14ac:dyDescent="0.2">
      <c r="A61" s="411">
        <v>9</v>
      </c>
      <c r="B61" s="353"/>
      <c r="C61" s="353"/>
      <c r="D61" s="353"/>
      <c r="E61" s="353"/>
      <c r="F61" s="413" t="str">
        <f t="shared" ref="F61" si="79">+CONCATENATE(B61," ",C61," ",D61)</f>
        <v xml:space="preserve">  </v>
      </c>
      <c r="G61" s="353"/>
      <c r="H61" s="354"/>
      <c r="I61" s="206"/>
      <c r="J61" s="206"/>
      <c r="K61" s="206"/>
      <c r="L61" s="354"/>
      <c r="M61" s="354"/>
      <c r="N61" s="414"/>
      <c r="O61" s="415" t="str">
        <f>IF(N61&lt;=0,"",IF(N61&lt;=2,"Muy Baja",IF(N61&lt;=24,"Baja",IF(N61&lt;=500,"Media",IF(N61&lt;=5000,"Alta","Muy Alta")))))</f>
        <v/>
      </c>
      <c r="P61" s="416" t="str">
        <f>IF(O61="","",IF(O61="Muy Baja",0.2,IF(O61="Baja",0.4,IF(O61="Media",0.6,IF(O61="Alta",0.8,IF(O61="Muy Alta",1,))))))</f>
        <v/>
      </c>
      <c r="Q61" s="417"/>
      <c r="R61" s="416">
        <f>IF(NOT(ISERROR(MATCH(Q61,'Tabla Impacto'!$B$245:$B$247,0))),'Tabla Impacto'!$F$224&amp;"Por favor no seleccionar los criterios de impacto(Afectación Económica o presupuestal y Pérdida Reputacional)",Q61)</f>
        <v>0</v>
      </c>
      <c r="S61" s="415" t="str">
        <f>IF(OR(R61='Tabla Impacto'!$C$12,R61='Tabla Impacto'!$D$12),"Leve",IF(OR(R61='Tabla Impacto'!$C$13,R61='Tabla Impacto'!$D$13),"Menor",IF(OR(R61='Tabla Impacto'!$C$14,R61='Tabla Impacto'!$D$14),"Moderado",IF(OR(R61='Tabla Impacto'!$C$15,R61='Tabla Impacto'!$D$15),"Mayor",IF(OR(R61='Tabla Impacto'!$C$16,R61='Tabla Impacto'!$D$16),"Catastrófico","")))))</f>
        <v/>
      </c>
      <c r="T61" s="416" t="str">
        <f>IF(S61="","",IF(S61="Leve",0.2,IF(S61="Menor",0.4,IF(S61="Moderado",0.6,IF(S61="Mayor",0.8,IF(S61="Catastrófico",1,))))))</f>
        <v/>
      </c>
      <c r="U61" s="420"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9">
        <v>1</v>
      </c>
      <c r="W61" s="199"/>
      <c r="X61" s="199"/>
      <c r="Y61" s="199"/>
      <c r="Z61" s="224" t="str">
        <f t="shared" si="1"/>
        <v xml:space="preserve">  </v>
      </c>
      <c r="AA61" s="176" t="str">
        <f>IF(OR(AB61="Preventivo",AB61="Detectivo"),"Probabilidad",IF(AB61="Correctivo","Impacto",""))</f>
        <v/>
      </c>
      <c r="AB61" s="177"/>
      <c r="AC61" s="177"/>
      <c r="AD61" s="178" t="str">
        <f>IF(AND(AB61="Preventivo",AC61="Automático"),"50%",IF(AND(AB61="Preventivo",AC61="Manual"),"40%",IF(AND(AB61="Detectivo",AC61="Automático"),"40%",IF(AND(AB61="Detectivo",AC61="Manual"),"30%",IF(AND(AB61="Correctivo",AC61="Automático"),"35%",IF(AND(AB61="Correctivo",AC61="Manual"),"25%",""))))))</f>
        <v/>
      </c>
      <c r="AE61" s="177"/>
      <c r="AF61" s="177"/>
      <c r="AG61" s="177"/>
      <c r="AH61" s="179" t="str">
        <f>IFERROR(IF(AA61="Probabilidad",(P61-(+P61*AD61)),IF(AA61="Impacto",P61,"")),"")</f>
        <v/>
      </c>
      <c r="AI61" s="180" t="str">
        <f>IFERROR(IF(AH61="","",IF(AH61&lt;=0.2,"Muy Baja",IF(AH61&lt;=0.4,"Baja",IF(AH61&lt;=0.6,"Media",IF(AH61&lt;=0.8,"Alta","Muy Alta"))))),"")</f>
        <v/>
      </c>
      <c r="AJ61" s="178" t="str">
        <f>+AH61</f>
        <v/>
      </c>
      <c r="AK61" s="180" t="str">
        <f>IFERROR(IF(AL61="","",IF(AL61&lt;=0.2,"Leve",IF(AL61&lt;=0.4,"Menor",IF(AL61&lt;=0.6,"Moderado",IF(AL61&lt;=0.8,"Mayor","Catastrófico"))))),"")</f>
        <v/>
      </c>
      <c r="AL61" s="178" t="str">
        <f t="shared" ref="AL61" si="80">IFERROR(IF(AA61="Impacto",(T61-(+T61*AD61)),IF(AA61="Probabilidad",T61,"")),"")</f>
        <v/>
      </c>
      <c r="AM61" s="181"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82"/>
      <c r="AO61" s="175"/>
      <c r="AP61" s="183"/>
      <c r="AQ61" s="183"/>
      <c r="AR61" s="184"/>
      <c r="AS61" s="414"/>
      <c r="AT61" s="414"/>
      <c r="AU61" s="414"/>
    </row>
    <row r="62" spans="1:47" x14ac:dyDescent="0.2">
      <c r="A62" s="411"/>
      <c r="B62" s="353"/>
      <c r="C62" s="353"/>
      <c r="D62" s="353"/>
      <c r="E62" s="353"/>
      <c r="F62" s="413"/>
      <c r="G62" s="353"/>
      <c r="H62" s="355"/>
      <c r="I62" s="207"/>
      <c r="J62" s="207"/>
      <c r="K62" s="207"/>
      <c r="L62" s="355"/>
      <c r="M62" s="355"/>
      <c r="N62" s="414"/>
      <c r="O62" s="415"/>
      <c r="P62" s="416"/>
      <c r="Q62" s="417"/>
      <c r="R62" s="416">
        <f>IF(NOT(ISERROR(MATCH(Q62,_xlfn.ANCHORARRAY(G73),0))),Q75&amp;"Por favor no seleccionar los criterios de impacto",Q62)</f>
        <v>0</v>
      </c>
      <c r="S62" s="415"/>
      <c r="T62" s="416"/>
      <c r="U62" s="420"/>
      <c r="V62" s="199">
        <v>2</v>
      </c>
      <c r="W62" s="199"/>
      <c r="X62" s="199"/>
      <c r="Y62" s="199"/>
      <c r="Z62" s="224" t="str">
        <f t="shared" si="1"/>
        <v xml:space="preserve">  </v>
      </c>
      <c r="AA62" s="176" t="str">
        <f>IF(OR(AB62="Preventivo",AB62="Detectivo"),"Probabilidad",IF(AB62="Correctivo","Impacto",""))</f>
        <v/>
      </c>
      <c r="AB62" s="177"/>
      <c r="AC62" s="177"/>
      <c r="AD62" s="178" t="str">
        <f t="shared" ref="AD62:AD66" si="81">IF(AND(AB62="Preventivo",AC62="Automático"),"50%",IF(AND(AB62="Preventivo",AC62="Manual"),"40%",IF(AND(AB62="Detectivo",AC62="Automático"),"40%",IF(AND(AB62="Detectivo",AC62="Manual"),"30%",IF(AND(AB62="Correctivo",AC62="Automático"),"35%",IF(AND(AB62="Correctivo",AC62="Manual"),"25%",""))))))</f>
        <v/>
      </c>
      <c r="AE62" s="177"/>
      <c r="AF62" s="177"/>
      <c r="AG62" s="177"/>
      <c r="AH62" s="179" t="str">
        <f>IFERROR(IF(AND(AA61="Probabilidad",AA62="Probabilidad"),(AJ61-(+AJ61*AD62)),IF(AA62="Probabilidad",(P61-(+P61*AD62)),IF(AA62="Impacto",AJ61,""))),"")</f>
        <v/>
      </c>
      <c r="AI62" s="180" t="str">
        <f t="shared" si="3"/>
        <v/>
      </c>
      <c r="AJ62" s="178" t="str">
        <f t="shared" ref="AJ62:AJ66" si="82">+AH62</f>
        <v/>
      </c>
      <c r="AK62" s="180" t="str">
        <f t="shared" si="5"/>
        <v/>
      </c>
      <c r="AL62" s="178" t="str">
        <f t="shared" ref="AL62" si="83">IFERROR(IF(AND(AA61="Impacto",AA62="Impacto"),(AL61-(+AL61*AD62)),IF(AA62="Impacto",($T$13-(+$T$13*AD62)),IF(AA62="Probabilidad",AL61,""))),"")</f>
        <v/>
      </c>
      <c r="AM62" s="181" t="str">
        <f t="shared" ref="AM62:AM63" si="84">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82"/>
      <c r="AO62" s="175"/>
      <c r="AP62" s="183"/>
      <c r="AQ62" s="183"/>
      <c r="AR62" s="184"/>
      <c r="AS62" s="414"/>
      <c r="AT62" s="414"/>
      <c r="AU62" s="414"/>
    </row>
    <row r="63" spans="1:47" x14ac:dyDescent="0.2">
      <c r="A63" s="411"/>
      <c r="B63" s="353"/>
      <c r="C63" s="353"/>
      <c r="D63" s="353"/>
      <c r="E63" s="353"/>
      <c r="F63" s="413"/>
      <c r="G63" s="353"/>
      <c r="H63" s="355"/>
      <c r="I63" s="207"/>
      <c r="J63" s="207"/>
      <c r="K63" s="207"/>
      <c r="L63" s="355"/>
      <c r="M63" s="355"/>
      <c r="N63" s="414"/>
      <c r="O63" s="415"/>
      <c r="P63" s="416"/>
      <c r="Q63" s="417"/>
      <c r="R63" s="416">
        <f>IF(NOT(ISERROR(MATCH(Q63,_xlfn.ANCHORARRAY(G74),0))),Q76&amp;"Por favor no seleccionar los criterios de impacto",Q63)</f>
        <v>0</v>
      </c>
      <c r="S63" s="415"/>
      <c r="T63" s="416"/>
      <c r="U63" s="420"/>
      <c r="V63" s="199">
        <v>3</v>
      </c>
      <c r="W63" s="199"/>
      <c r="X63" s="199"/>
      <c r="Y63" s="199"/>
      <c r="Z63" s="224" t="str">
        <f t="shared" si="1"/>
        <v xml:space="preserve">  </v>
      </c>
      <c r="AA63" s="176" t="str">
        <f>IF(OR(AB63="Preventivo",AB63="Detectivo"),"Probabilidad",IF(AB63="Correctivo","Impacto",""))</f>
        <v/>
      </c>
      <c r="AB63" s="177"/>
      <c r="AC63" s="177"/>
      <c r="AD63" s="178" t="str">
        <f t="shared" si="81"/>
        <v/>
      </c>
      <c r="AE63" s="177"/>
      <c r="AF63" s="177"/>
      <c r="AG63" s="177"/>
      <c r="AH63" s="179" t="str">
        <f>IFERROR(IF(AND(AA62="Probabilidad",AA63="Probabilidad"),(AJ62-(+AJ62*AD63)),IF(AND(AA62="Impacto",AA63="Probabilidad"),(AJ61-(+AJ61*AD63)),IF(AA63="Impacto",AJ62,""))),"")</f>
        <v/>
      </c>
      <c r="AI63" s="180" t="str">
        <f t="shared" si="3"/>
        <v/>
      </c>
      <c r="AJ63" s="178" t="str">
        <f t="shared" si="82"/>
        <v/>
      </c>
      <c r="AK63" s="180" t="str">
        <f t="shared" si="5"/>
        <v/>
      </c>
      <c r="AL63" s="178" t="str">
        <f t="shared" ref="AL63" si="85">IFERROR(IF(AND(AA62="Impacto",AA63="Impacto"),(AL62-(+AL62*AD63)),IF(AND(AA62="Probabilidad",AA63="Impacto"),(AL61-(+AL61*AD63)),IF(AA63="Probabilidad",AL62,""))),"")</f>
        <v/>
      </c>
      <c r="AM63" s="181" t="str">
        <f t="shared" si="84"/>
        <v/>
      </c>
      <c r="AN63" s="182"/>
      <c r="AO63" s="175"/>
      <c r="AP63" s="183"/>
      <c r="AQ63" s="183"/>
      <c r="AR63" s="184"/>
      <c r="AS63" s="414"/>
      <c r="AT63" s="414"/>
      <c r="AU63" s="414"/>
    </row>
    <row r="64" spans="1:47" x14ac:dyDescent="0.2">
      <c r="A64" s="411"/>
      <c r="B64" s="353"/>
      <c r="C64" s="353"/>
      <c r="D64" s="353"/>
      <c r="E64" s="353"/>
      <c r="F64" s="413"/>
      <c r="G64" s="353"/>
      <c r="H64" s="355"/>
      <c r="I64" s="207"/>
      <c r="J64" s="207"/>
      <c r="K64" s="207"/>
      <c r="L64" s="355"/>
      <c r="M64" s="355"/>
      <c r="N64" s="414"/>
      <c r="O64" s="415"/>
      <c r="P64" s="416"/>
      <c r="Q64" s="417"/>
      <c r="R64" s="416">
        <f>IF(NOT(ISERROR(MATCH(Q64,_xlfn.ANCHORARRAY(G75),0))),Q77&amp;"Por favor no seleccionar los criterios de impacto",Q64)</f>
        <v>0</v>
      </c>
      <c r="S64" s="415"/>
      <c r="T64" s="416"/>
      <c r="U64" s="420"/>
      <c r="V64" s="199">
        <v>4</v>
      </c>
      <c r="W64" s="199"/>
      <c r="X64" s="199"/>
      <c r="Y64" s="199"/>
      <c r="Z64" s="224" t="str">
        <f t="shared" si="1"/>
        <v xml:space="preserve">  </v>
      </c>
      <c r="AA64" s="176" t="str">
        <f t="shared" ref="AA64:AA66" si="86">IF(OR(AB64="Preventivo",AB64="Detectivo"),"Probabilidad",IF(AB64="Correctivo","Impacto",""))</f>
        <v/>
      </c>
      <c r="AB64" s="177"/>
      <c r="AC64" s="177"/>
      <c r="AD64" s="178" t="str">
        <f t="shared" si="81"/>
        <v/>
      </c>
      <c r="AE64" s="177"/>
      <c r="AF64" s="177"/>
      <c r="AG64" s="177"/>
      <c r="AH64" s="179" t="str">
        <f t="shared" ref="AH64:AH66" si="87">IFERROR(IF(AND(AA63="Probabilidad",AA64="Probabilidad"),(AJ63-(+AJ63*AD64)),IF(AND(AA63="Impacto",AA64="Probabilidad"),(AJ62-(+AJ62*AD64)),IF(AA64="Impacto",AJ63,""))),"")</f>
        <v/>
      </c>
      <c r="AI64" s="180" t="str">
        <f t="shared" si="3"/>
        <v/>
      </c>
      <c r="AJ64" s="178" t="str">
        <f t="shared" si="82"/>
        <v/>
      </c>
      <c r="AK64" s="180" t="str">
        <f t="shared" si="5"/>
        <v/>
      </c>
      <c r="AL64" s="178" t="str">
        <f t="shared" si="15"/>
        <v/>
      </c>
      <c r="AM64" s="181"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82"/>
      <c r="AO64" s="175"/>
      <c r="AP64" s="183"/>
      <c r="AQ64" s="183"/>
      <c r="AR64" s="184"/>
      <c r="AS64" s="414"/>
      <c r="AT64" s="414"/>
      <c r="AU64" s="414"/>
    </row>
    <row r="65" spans="1:47" x14ac:dyDescent="0.2">
      <c r="A65" s="411"/>
      <c r="B65" s="353"/>
      <c r="C65" s="353"/>
      <c r="D65" s="353"/>
      <c r="E65" s="353"/>
      <c r="F65" s="413"/>
      <c r="G65" s="353"/>
      <c r="H65" s="355"/>
      <c r="I65" s="207"/>
      <c r="J65" s="207"/>
      <c r="K65" s="207"/>
      <c r="L65" s="355"/>
      <c r="M65" s="355"/>
      <c r="N65" s="414"/>
      <c r="O65" s="415"/>
      <c r="P65" s="416"/>
      <c r="Q65" s="417"/>
      <c r="R65" s="416">
        <f>IF(NOT(ISERROR(MATCH(Q65,_xlfn.ANCHORARRAY(G76),0))),Q78&amp;"Por favor no seleccionar los criterios de impacto",Q65)</f>
        <v>0</v>
      </c>
      <c r="S65" s="415"/>
      <c r="T65" s="416"/>
      <c r="U65" s="420"/>
      <c r="V65" s="199">
        <v>5</v>
      </c>
      <c r="W65" s="199"/>
      <c r="X65" s="199"/>
      <c r="Y65" s="199"/>
      <c r="Z65" s="224" t="str">
        <f t="shared" si="1"/>
        <v xml:space="preserve">  </v>
      </c>
      <c r="AA65" s="176" t="str">
        <f t="shared" si="86"/>
        <v/>
      </c>
      <c r="AB65" s="177"/>
      <c r="AC65" s="177"/>
      <c r="AD65" s="178" t="str">
        <f t="shared" si="81"/>
        <v/>
      </c>
      <c r="AE65" s="177"/>
      <c r="AF65" s="177"/>
      <c r="AG65" s="177"/>
      <c r="AH65" s="179" t="str">
        <f t="shared" si="87"/>
        <v/>
      </c>
      <c r="AI65" s="180" t="str">
        <f t="shared" si="3"/>
        <v/>
      </c>
      <c r="AJ65" s="178" t="str">
        <f t="shared" si="82"/>
        <v/>
      </c>
      <c r="AK65" s="180" t="str">
        <f t="shared" si="5"/>
        <v/>
      </c>
      <c r="AL65" s="178" t="str">
        <f t="shared" si="15"/>
        <v/>
      </c>
      <c r="AM65" s="181" t="str">
        <f t="shared" ref="AM65:AM66" si="88">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82"/>
      <c r="AO65" s="175"/>
      <c r="AP65" s="183"/>
      <c r="AQ65" s="183"/>
      <c r="AR65" s="184"/>
      <c r="AS65" s="414"/>
      <c r="AT65" s="414"/>
      <c r="AU65" s="414"/>
    </row>
    <row r="66" spans="1:47" x14ac:dyDescent="0.2">
      <c r="A66" s="411"/>
      <c r="B66" s="353"/>
      <c r="C66" s="353"/>
      <c r="D66" s="353"/>
      <c r="E66" s="353"/>
      <c r="F66" s="413"/>
      <c r="G66" s="353"/>
      <c r="H66" s="356"/>
      <c r="I66" s="208"/>
      <c r="J66" s="208"/>
      <c r="K66" s="208"/>
      <c r="L66" s="356"/>
      <c r="M66" s="356"/>
      <c r="N66" s="414"/>
      <c r="O66" s="415"/>
      <c r="P66" s="416"/>
      <c r="Q66" s="417"/>
      <c r="R66" s="416">
        <f>IF(NOT(ISERROR(MATCH(Q66,_xlfn.ANCHORARRAY(G77),0))),Q79&amp;"Por favor no seleccionar los criterios de impacto",Q66)</f>
        <v>0</v>
      </c>
      <c r="S66" s="415"/>
      <c r="T66" s="416"/>
      <c r="U66" s="420"/>
      <c r="V66" s="199">
        <v>6</v>
      </c>
      <c r="W66" s="199"/>
      <c r="X66" s="199"/>
      <c r="Y66" s="199"/>
      <c r="Z66" s="224" t="str">
        <f t="shared" si="1"/>
        <v xml:space="preserve">  </v>
      </c>
      <c r="AA66" s="176" t="str">
        <f t="shared" si="86"/>
        <v/>
      </c>
      <c r="AB66" s="177"/>
      <c r="AC66" s="177"/>
      <c r="AD66" s="178" t="str">
        <f t="shared" si="81"/>
        <v/>
      </c>
      <c r="AE66" s="177"/>
      <c r="AF66" s="177"/>
      <c r="AG66" s="177"/>
      <c r="AH66" s="179" t="str">
        <f t="shared" si="87"/>
        <v/>
      </c>
      <c r="AI66" s="180" t="str">
        <f t="shared" si="3"/>
        <v/>
      </c>
      <c r="AJ66" s="178" t="str">
        <f t="shared" si="82"/>
        <v/>
      </c>
      <c r="AK66" s="180" t="str">
        <f t="shared" si="5"/>
        <v/>
      </c>
      <c r="AL66" s="178" t="str">
        <f t="shared" si="15"/>
        <v/>
      </c>
      <c r="AM66" s="181" t="str">
        <f t="shared" si="88"/>
        <v/>
      </c>
      <c r="AN66" s="182"/>
      <c r="AO66" s="175"/>
      <c r="AP66" s="183"/>
      <c r="AQ66" s="183"/>
      <c r="AR66" s="184"/>
      <c r="AS66" s="414"/>
      <c r="AT66" s="414"/>
      <c r="AU66" s="414"/>
    </row>
    <row r="67" spans="1:47" x14ac:dyDescent="0.2">
      <c r="A67" s="411">
        <v>10</v>
      </c>
      <c r="B67" s="353"/>
      <c r="C67" s="353"/>
      <c r="D67" s="353"/>
      <c r="E67" s="353"/>
      <c r="F67" s="413" t="str">
        <f t="shared" ref="F67" si="89">+CONCATENATE(B67," ",C67," ",D67)</f>
        <v xml:space="preserve">  </v>
      </c>
      <c r="G67" s="353"/>
      <c r="H67" s="354"/>
      <c r="I67" s="206"/>
      <c r="J67" s="206"/>
      <c r="K67" s="206"/>
      <c r="L67" s="354"/>
      <c r="M67" s="354"/>
      <c r="N67" s="414"/>
      <c r="O67" s="415" t="str">
        <f>IF(N67&lt;=0,"",IF(N67&lt;=2,"Muy Baja",IF(N67&lt;=24,"Baja",IF(N67&lt;=500,"Media",IF(N67&lt;=5000,"Alta","Muy Alta")))))</f>
        <v/>
      </c>
      <c r="P67" s="416" t="str">
        <f>IF(O67="","",IF(O67="Muy Baja",0.2,IF(O67="Baja",0.4,IF(O67="Media",0.6,IF(O67="Alta",0.8,IF(O67="Muy Alta",1,))))))</f>
        <v/>
      </c>
      <c r="Q67" s="417"/>
      <c r="R67" s="416">
        <f>IF(NOT(ISERROR(MATCH(Q67,'Tabla Impacto'!$B$245:$B$247,0))),'Tabla Impacto'!$F$224&amp;"Por favor no seleccionar los criterios de impacto(Afectación Económica o presupuestal y Pérdida Reputacional)",Q67)</f>
        <v>0</v>
      </c>
      <c r="S67" s="415" t="str">
        <f>IF(OR(R67='Tabla Impacto'!$C$12,R67='Tabla Impacto'!$D$12),"Leve",IF(OR(R67='Tabla Impacto'!$C$13,R67='Tabla Impacto'!$D$13),"Menor",IF(OR(R67='Tabla Impacto'!$C$14,R67='Tabla Impacto'!$D$14),"Moderado",IF(OR(R67='Tabla Impacto'!$C$15,R67='Tabla Impacto'!$D$15),"Mayor",IF(OR(R67='Tabla Impacto'!$C$16,R67='Tabla Impacto'!$D$16),"Catastrófico","")))))</f>
        <v/>
      </c>
      <c r="T67" s="416" t="str">
        <f>IF(S67="","",IF(S67="Leve",0.2,IF(S67="Menor",0.4,IF(S67="Moderado",0.6,IF(S67="Mayor",0.8,IF(S67="Catastrófico",1,))))))</f>
        <v/>
      </c>
      <c r="U67" s="420"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9">
        <v>1</v>
      </c>
      <c r="W67" s="199"/>
      <c r="X67" s="199"/>
      <c r="Y67" s="199"/>
      <c r="Z67" s="224" t="str">
        <f t="shared" si="1"/>
        <v xml:space="preserve">  </v>
      </c>
      <c r="AA67" s="176" t="str">
        <f>IF(OR(AB67="Preventivo",AB67="Detectivo"),"Probabilidad",IF(AB67="Correctivo","Impacto",""))</f>
        <v/>
      </c>
      <c r="AB67" s="177"/>
      <c r="AC67" s="177"/>
      <c r="AD67" s="178" t="str">
        <f>IF(AND(AB67="Preventivo",AC67="Automático"),"50%",IF(AND(AB67="Preventivo",AC67="Manual"),"40%",IF(AND(AB67="Detectivo",AC67="Automático"),"40%",IF(AND(AB67="Detectivo",AC67="Manual"),"30%",IF(AND(AB67="Correctivo",AC67="Automático"),"35%",IF(AND(AB67="Correctivo",AC67="Manual"),"25%",""))))))</f>
        <v/>
      </c>
      <c r="AE67" s="177"/>
      <c r="AF67" s="177"/>
      <c r="AG67" s="177"/>
      <c r="AH67" s="179" t="str">
        <f>IFERROR(IF(AA67="Probabilidad",(P67-(+P67*AD67)),IF(AA67="Impacto",P67,"")),"")</f>
        <v/>
      </c>
      <c r="AI67" s="180" t="str">
        <f>IFERROR(IF(AH67="","",IF(AH67&lt;=0.2,"Muy Baja",IF(AH67&lt;=0.4,"Baja",IF(AH67&lt;=0.6,"Media",IF(AH67&lt;=0.8,"Alta","Muy Alta"))))),"")</f>
        <v/>
      </c>
      <c r="AJ67" s="178" t="str">
        <f>+AH67</f>
        <v/>
      </c>
      <c r="AK67" s="180" t="str">
        <f>IFERROR(IF(AL67="","",IF(AL67&lt;=0.2,"Leve",IF(AL67&lt;=0.4,"Menor",IF(AL67&lt;=0.6,"Moderado",IF(AL67&lt;=0.8,"Mayor","Catastrófico"))))),"")</f>
        <v/>
      </c>
      <c r="AL67" s="178" t="str">
        <f t="shared" ref="AL67" si="90">IFERROR(IF(AA67="Impacto",(T67-(+T67*AD67)),IF(AA67="Probabilidad",T67,"")),"")</f>
        <v/>
      </c>
      <c r="AM67" s="181"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82"/>
      <c r="AO67" s="175"/>
      <c r="AP67" s="183"/>
      <c r="AQ67" s="183"/>
      <c r="AR67" s="184"/>
      <c r="AS67" s="414"/>
      <c r="AT67" s="414"/>
      <c r="AU67" s="414"/>
    </row>
    <row r="68" spans="1:47" x14ac:dyDescent="0.2">
      <c r="A68" s="411"/>
      <c r="B68" s="353"/>
      <c r="C68" s="353"/>
      <c r="D68" s="353"/>
      <c r="E68" s="353"/>
      <c r="F68" s="413"/>
      <c r="G68" s="353"/>
      <c r="H68" s="355"/>
      <c r="I68" s="207"/>
      <c r="J68" s="207"/>
      <c r="K68" s="207"/>
      <c r="L68" s="355"/>
      <c r="M68" s="355"/>
      <c r="N68" s="414"/>
      <c r="O68" s="415"/>
      <c r="P68" s="416"/>
      <c r="Q68" s="417"/>
      <c r="R68" s="416">
        <f>IF(NOT(ISERROR(MATCH(Q68,_xlfn.ANCHORARRAY(G79),0))),Q81&amp;"Por favor no seleccionar los criterios de impacto",Q68)</f>
        <v>0</v>
      </c>
      <c r="S68" s="415"/>
      <c r="T68" s="416"/>
      <c r="U68" s="420"/>
      <c r="V68" s="199">
        <v>2</v>
      </c>
      <c r="W68" s="199"/>
      <c r="X68" s="199"/>
      <c r="Y68" s="199"/>
      <c r="Z68" s="224" t="str">
        <f t="shared" si="1"/>
        <v xml:space="preserve">  </v>
      </c>
      <c r="AA68" s="176" t="str">
        <f>IF(OR(AB68="Preventivo",AB68="Detectivo"),"Probabilidad",IF(AB68="Correctivo","Impacto",""))</f>
        <v/>
      </c>
      <c r="AB68" s="177"/>
      <c r="AC68" s="177"/>
      <c r="AD68" s="178" t="str">
        <f t="shared" ref="AD68:AD72" si="91">IF(AND(AB68="Preventivo",AC68="Automático"),"50%",IF(AND(AB68="Preventivo",AC68="Manual"),"40%",IF(AND(AB68="Detectivo",AC68="Automático"),"40%",IF(AND(AB68="Detectivo",AC68="Manual"),"30%",IF(AND(AB68="Correctivo",AC68="Automático"),"35%",IF(AND(AB68="Correctivo",AC68="Manual"),"25%",""))))))</f>
        <v/>
      </c>
      <c r="AE68" s="177"/>
      <c r="AF68" s="177"/>
      <c r="AG68" s="177"/>
      <c r="AH68" s="179" t="str">
        <f>IFERROR(IF(AND(AA67="Probabilidad",AA68="Probabilidad"),(AJ67-(+AJ67*AD68)),IF(AA68="Probabilidad",(P67-(+P67*AD68)),IF(AA68="Impacto",AJ67,""))),"")</f>
        <v/>
      </c>
      <c r="AI68" s="180" t="str">
        <f t="shared" si="3"/>
        <v/>
      </c>
      <c r="AJ68" s="178" t="str">
        <f t="shared" ref="AJ68:AJ72" si="92">+AH68</f>
        <v/>
      </c>
      <c r="AK68" s="180" t="str">
        <f t="shared" si="5"/>
        <v/>
      </c>
      <c r="AL68" s="178" t="str">
        <f t="shared" ref="AL68" si="93">IFERROR(IF(AND(AA67="Impacto",AA68="Impacto"),(AL67-(+AL67*AD68)),IF(AA68="Impacto",($T$13-(+$T$13*AD68)),IF(AA68="Probabilidad",AL67,""))),"")</f>
        <v/>
      </c>
      <c r="AM68" s="181" t="str">
        <f t="shared" ref="AM68:AM69" si="94">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82"/>
      <c r="AO68" s="175"/>
      <c r="AP68" s="183"/>
      <c r="AQ68" s="183"/>
      <c r="AR68" s="184"/>
      <c r="AS68" s="414"/>
      <c r="AT68" s="414"/>
      <c r="AU68" s="414"/>
    </row>
    <row r="69" spans="1:47" x14ac:dyDescent="0.2">
      <c r="A69" s="411"/>
      <c r="B69" s="353"/>
      <c r="C69" s="353"/>
      <c r="D69" s="353"/>
      <c r="E69" s="353"/>
      <c r="F69" s="413"/>
      <c r="G69" s="353"/>
      <c r="H69" s="355"/>
      <c r="I69" s="207"/>
      <c r="J69" s="207"/>
      <c r="K69" s="207"/>
      <c r="L69" s="355"/>
      <c r="M69" s="355"/>
      <c r="N69" s="414"/>
      <c r="O69" s="415"/>
      <c r="P69" s="416"/>
      <c r="Q69" s="417"/>
      <c r="R69" s="416">
        <f>IF(NOT(ISERROR(MATCH(Q69,_xlfn.ANCHORARRAY(G80),0))),Q82&amp;"Por favor no seleccionar los criterios de impacto",Q69)</f>
        <v>0</v>
      </c>
      <c r="S69" s="415"/>
      <c r="T69" s="416"/>
      <c r="U69" s="420"/>
      <c r="V69" s="199">
        <v>3</v>
      </c>
      <c r="W69" s="199"/>
      <c r="X69" s="199"/>
      <c r="Y69" s="199"/>
      <c r="Z69" s="224" t="str">
        <f t="shared" si="1"/>
        <v xml:space="preserve">  </v>
      </c>
      <c r="AA69" s="176" t="str">
        <f>IF(OR(AB69="Preventivo",AB69="Detectivo"),"Probabilidad",IF(AB69="Correctivo","Impacto",""))</f>
        <v/>
      </c>
      <c r="AB69" s="177"/>
      <c r="AC69" s="177"/>
      <c r="AD69" s="178" t="str">
        <f t="shared" si="91"/>
        <v/>
      </c>
      <c r="AE69" s="177"/>
      <c r="AF69" s="177"/>
      <c r="AG69" s="177"/>
      <c r="AH69" s="179" t="str">
        <f>IFERROR(IF(AND(AA68="Probabilidad",AA69="Probabilidad"),(AJ68-(+AJ68*AD69)),IF(AND(AA68="Impacto",AA69="Probabilidad"),(AJ67-(+AJ67*AD69)),IF(AA69="Impacto",AJ68,""))),"")</f>
        <v/>
      </c>
      <c r="AI69" s="180" t="str">
        <f t="shared" si="3"/>
        <v/>
      </c>
      <c r="AJ69" s="178" t="str">
        <f t="shared" si="92"/>
        <v/>
      </c>
      <c r="AK69" s="180" t="str">
        <f t="shared" si="5"/>
        <v/>
      </c>
      <c r="AL69" s="178" t="str">
        <f t="shared" ref="AL69" si="95">IFERROR(IF(AND(AA68="Impacto",AA69="Impacto"),(AL68-(+AL68*AD69)),IF(AND(AA68="Probabilidad",AA69="Impacto"),(AL67-(+AL67*AD69)),IF(AA69="Probabilidad",AL68,""))),"")</f>
        <v/>
      </c>
      <c r="AM69" s="181" t="str">
        <f t="shared" si="94"/>
        <v/>
      </c>
      <c r="AN69" s="182"/>
      <c r="AO69" s="175"/>
      <c r="AP69" s="183"/>
      <c r="AQ69" s="183"/>
      <c r="AR69" s="184"/>
      <c r="AS69" s="414"/>
      <c r="AT69" s="414"/>
      <c r="AU69" s="414"/>
    </row>
    <row r="70" spans="1:47" x14ac:dyDescent="0.2">
      <c r="A70" s="411"/>
      <c r="B70" s="353"/>
      <c r="C70" s="353"/>
      <c r="D70" s="353"/>
      <c r="E70" s="353"/>
      <c r="F70" s="413"/>
      <c r="G70" s="353"/>
      <c r="H70" s="355"/>
      <c r="I70" s="207"/>
      <c r="J70" s="207"/>
      <c r="K70" s="207"/>
      <c r="L70" s="355"/>
      <c r="M70" s="355"/>
      <c r="N70" s="414"/>
      <c r="O70" s="415"/>
      <c r="P70" s="416"/>
      <c r="Q70" s="417"/>
      <c r="R70" s="416">
        <f>IF(NOT(ISERROR(MATCH(Q70,_xlfn.ANCHORARRAY(G81),0))),Q83&amp;"Por favor no seleccionar los criterios de impacto",Q70)</f>
        <v>0</v>
      </c>
      <c r="S70" s="415"/>
      <c r="T70" s="416"/>
      <c r="U70" s="420"/>
      <c r="V70" s="199">
        <v>4</v>
      </c>
      <c r="W70" s="199"/>
      <c r="X70" s="199"/>
      <c r="Y70" s="199"/>
      <c r="Z70" s="224" t="str">
        <f t="shared" si="1"/>
        <v xml:space="preserve">  </v>
      </c>
      <c r="AA70" s="176" t="str">
        <f t="shared" ref="AA70:AA72" si="96">IF(OR(AB70="Preventivo",AB70="Detectivo"),"Probabilidad",IF(AB70="Correctivo","Impacto",""))</f>
        <v/>
      </c>
      <c r="AB70" s="177"/>
      <c r="AC70" s="177"/>
      <c r="AD70" s="178" t="str">
        <f t="shared" si="91"/>
        <v/>
      </c>
      <c r="AE70" s="177"/>
      <c r="AF70" s="177"/>
      <c r="AG70" s="177"/>
      <c r="AH70" s="179" t="str">
        <f t="shared" ref="AH70:AH72" si="97">IFERROR(IF(AND(AA69="Probabilidad",AA70="Probabilidad"),(AJ69-(+AJ69*AD70)),IF(AND(AA69="Impacto",AA70="Probabilidad"),(AJ68-(+AJ68*AD70)),IF(AA70="Impacto",AJ69,""))),"")</f>
        <v/>
      </c>
      <c r="AI70" s="180" t="str">
        <f t="shared" si="3"/>
        <v/>
      </c>
      <c r="AJ70" s="178" t="str">
        <f t="shared" si="92"/>
        <v/>
      </c>
      <c r="AK70" s="180" t="str">
        <f t="shared" si="5"/>
        <v/>
      </c>
      <c r="AL70" s="178" t="str">
        <f t="shared" si="15"/>
        <v/>
      </c>
      <c r="AM70" s="181"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82"/>
      <c r="AO70" s="175"/>
      <c r="AP70" s="183"/>
      <c r="AQ70" s="183"/>
      <c r="AR70" s="184"/>
      <c r="AS70" s="414"/>
      <c r="AT70" s="414"/>
      <c r="AU70" s="414"/>
    </row>
    <row r="71" spans="1:47" x14ac:dyDescent="0.2">
      <c r="A71" s="411"/>
      <c r="B71" s="353"/>
      <c r="C71" s="353"/>
      <c r="D71" s="353"/>
      <c r="E71" s="353"/>
      <c r="F71" s="413"/>
      <c r="G71" s="353"/>
      <c r="H71" s="355"/>
      <c r="I71" s="207"/>
      <c r="J71" s="207"/>
      <c r="K71" s="207"/>
      <c r="L71" s="355"/>
      <c r="M71" s="355"/>
      <c r="N71" s="414"/>
      <c r="O71" s="415"/>
      <c r="P71" s="416"/>
      <c r="Q71" s="417"/>
      <c r="R71" s="416">
        <f>IF(NOT(ISERROR(MATCH(Q71,_xlfn.ANCHORARRAY(G82),0))),Q84&amp;"Por favor no seleccionar los criterios de impacto",Q71)</f>
        <v>0</v>
      </c>
      <c r="S71" s="415"/>
      <c r="T71" s="416"/>
      <c r="U71" s="420"/>
      <c r="V71" s="199">
        <v>5</v>
      </c>
      <c r="W71" s="199"/>
      <c r="X71" s="199"/>
      <c r="Y71" s="199"/>
      <c r="Z71" s="224" t="str">
        <f t="shared" si="1"/>
        <v xml:space="preserve">  </v>
      </c>
      <c r="AA71" s="176" t="str">
        <f t="shared" si="96"/>
        <v/>
      </c>
      <c r="AB71" s="177"/>
      <c r="AC71" s="177"/>
      <c r="AD71" s="178" t="str">
        <f t="shared" si="91"/>
        <v/>
      </c>
      <c r="AE71" s="177"/>
      <c r="AF71" s="177"/>
      <c r="AG71" s="177"/>
      <c r="AH71" s="179" t="str">
        <f t="shared" si="97"/>
        <v/>
      </c>
      <c r="AI71" s="180" t="str">
        <f t="shared" si="3"/>
        <v/>
      </c>
      <c r="AJ71" s="178" t="str">
        <f t="shared" si="92"/>
        <v/>
      </c>
      <c r="AK71" s="180" t="str">
        <f t="shared" si="5"/>
        <v/>
      </c>
      <c r="AL71" s="178" t="str">
        <f t="shared" si="15"/>
        <v/>
      </c>
      <c r="AM71" s="181" t="str">
        <f t="shared" ref="AM71:AM72" si="98">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82"/>
      <c r="AO71" s="175"/>
      <c r="AP71" s="183"/>
      <c r="AQ71" s="183"/>
      <c r="AR71" s="184"/>
      <c r="AS71" s="414"/>
      <c r="AT71" s="414"/>
      <c r="AU71" s="414"/>
    </row>
    <row r="72" spans="1:47" x14ac:dyDescent="0.2">
      <c r="A72" s="411"/>
      <c r="B72" s="353"/>
      <c r="C72" s="353"/>
      <c r="D72" s="353"/>
      <c r="E72" s="353"/>
      <c r="F72" s="413"/>
      <c r="G72" s="353"/>
      <c r="H72" s="356"/>
      <c r="I72" s="208"/>
      <c r="J72" s="208"/>
      <c r="K72" s="208"/>
      <c r="L72" s="356"/>
      <c r="M72" s="356"/>
      <c r="N72" s="414"/>
      <c r="O72" s="415"/>
      <c r="P72" s="416"/>
      <c r="Q72" s="417"/>
      <c r="R72" s="416">
        <f>IF(NOT(ISERROR(MATCH(Q72,_xlfn.ANCHORARRAY(G83),0))),Q85&amp;"Por favor no seleccionar los criterios de impacto",Q72)</f>
        <v>0</v>
      </c>
      <c r="S72" s="415"/>
      <c r="T72" s="416"/>
      <c r="U72" s="420"/>
      <c r="V72" s="199">
        <v>6</v>
      </c>
      <c r="W72" s="199"/>
      <c r="X72" s="199"/>
      <c r="Y72" s="199"/>
      <c r="Z72" s="224" t="str">
        <f t="shared" si="1"/>
        <v xml:space="preserve">  </v>
      </c>
      <c r="AA72" s="176" t="str">
        <f t="shared" si="96"/>
        <v/>
      </c>
      <c r="AB72" s="177"/>
      <c r="AC72" s="177"/>
      <c r="AD72" s="178" t="str">
        <f t="shared" si="91"/>
        <v/>
      </c>
      <c r="AE72" s="177"/>
      <c r="AF72" s="177"/>
      <c r="AG72" s="177"/>
      <c r="AH72" s="179" t="str">
        <f t="shared" si="97"/>
        <v/>
      </c>
      <c r="AI72" s="180" t="str">
        <f t="shared" si="3"/>
        <v/>
      </c>
      <c r="AJ72" s="178" t="str">
        <f t="shared" si="92"/>
        <v/>
      </c>
      <c r="AK72" s="180" t="str">
        <f t="shared" si="5"/>
        <v/>
      </c>
      <c r="AL72" s="178" t="str">
        <f t="shared" si="15"/>
        <v/>
      </c>
      <c r="AM72" s="181" t="str">
        <f t="shared" si="98"/>
        <v/>
      </c>
      <c r="AN72" s="182"/>
      <c r="AO72" s="175"/>
      <c r="AP72" s="183"/>
      <c r="AQ72" s="183"/>
      <c r="AR72" s="184"/>
      <c r="AS72" s="414"/>
      <c r="AT72" s="414"/>
      <c r="AU72" s="414"/>
    </row>
    <row r="73" spans="1:47" x14ac:dyDescent="0.2">
      <c r="A73" s="201"/>
      <c r="B73" s="418"/>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row>
    <row r="75" spans="1:47" ht="15.75" x14ac:dyDescent="0.2">
      <c r="A75" s="185"/>
      <c r="B75" s="192"/>
      <c r="C75" s="185"/>
      <c r="D75" s="185"/>
      <c r="E75" s="185"/>
      <c r="F75" s="185"/>
      <c r="N75" s="185"/>
    </row>
    <row r="76" spans="1:47" s="241" customFormat="1" x14ac:dyDescent="0.2">
      <c r="A76" s="240"/>
      <c r="B76" s="240"/>
      <c r="C76" s="240"/>
      <c r="D76" s="240"/>
      <c r="E76" s="240"/>
      <c r="F76" s="240"/>
      <c r="N76" s="242"/>
      <c r="AO76" s="243"/>
    </row>
    <row r="87" spans="23:23" x14ac:dyDescent="0.2">
      <c r="W87" s="185">
        <f>35/2</f>
        <v>17.5</v>
      </c>
    </row>
    <row r="88" spans="23:23" x14ac:dyDescent="0.2">
      <c r="W88" s="185">
        <f>70/4</f>
        <v>17.5</v>
      </c>
    </row>
  </sheetData>
  <dataConsolidate/>
  <mergeCells count="299">
    <mergeCell ref="A55:A60"/>
    <mergeCell ref="B55:B60"/>
    <mergeCell ref="AT67:AT72"/>
    <mergeCell ref="AU67:AU72"/>
    <mergeCell ref="B73:AS73"/>
    <mergeCell ref="Q67:Q72"/>
    <mergeCell ref="R67:R72"/>
    <mergeCell ref="S67:S72"/>
    <mergeCell ref="T67:T72"/>
    <mergeCell ref="U67:U72"/>
    <mergeCell ref="AS67:AS72"/>
    <mergeCell ref="H67:H72"/>
    <mergeCell ref="L67:L72"/>
    <mergeCell ref="M67:M72"/>
    <mergeCell ref="N67:N72"/>
    <mergeCell ref="O67:O72"/>
    <mergeCell ref="P67:P72"/>
    <mergeCell ref="A67:A72"/>
    <mergeCell ref="B67:B72"/>
    <mergeCell ref="C67:C72"/>
    <mergeCell ref="D67:D72"/>
    <mergeCell ref="F67:F72"/>
    <mergeCell ref="G67:G72"/>
    <mergeCell ref="P61:P66"/>
    <mergeCell ref="K55:K60"/>
    <mergeCell ref="L55:L60"/>
    <mergeCell ref="Q61:Q66"/>
    <mergeCell ref="R61:R66"/>
    <mergeCell ref="D61:D66"/>
    <mergeCell ref="F61:F66"/>
    <mergeCell ref="E67:E72"/>
    <mergeCell ref="G61:G66"/>
    <mergeCell ref="H61:H66"/>
    <mergeCell ref="L61:L66"/>
    <mergeCell ref="M61:M66"/>
    <mergeCell ref="N61:N66"/>
    <mergeCell ref="O61:O66"/>
    <mergeCell ref="M55:M60"/>
    <mergeCell ref="N55:N60"/>
    <mergeCell ref="O55:O60"/>
    <mergeCell ref="P55:P60"/>
    <mergeCell ref="Q55:Q60"/>
    <mergeCell ref="R55:R60"/>
    <mergeCell ref="K49:K54"/>
    <mergeCell ref="L49:L54"/>
    <mergeCell ref="A61:A66"/>
    <mergeCell ref="B61:B66"/>
    <mergeCell ref="C61:C66"/>
    <mergeCell ref="AS61:AS66"/>
    <mergeCell ref="AT61:AT66"/>
    <mergeCell ref="AU61:AU66"/>
    <mergeCell ref="S61:S66"/>
    <mergeCell ref="S55:S60"/>
    <mergeCell ref="T55:T60"/>
    <mergeCell ref="U55:U60"/>
    <mergeCell ref="AS55:AS60"/>
    <mergeCell ref="AT55:AT60"/>
    <mergeCell ref="AU55:AU60"/>
    <mergeCell ref="T61:T66"/>
    <mergeCell ref="U61:U66"/>
    <mergeCell ref="C55:C60"/>
    <mergeCell ref="D55:D60"/>
    <mergeCell ref="F55:F60"/>
    <mergeCell ref="G55:G60"/>
    <mergeCell ref="H55:H60"/>
    <mergeCell ref="I55:I60"/>
    <mergeCell ref="J55:J60"/>
    <mergeCell ref="A49:A54"/>
    <mergeCell ref="B49:B54"/>
    <mergeCell ref="C49:C54"/>
    <mergeCell ref="D49:D54"/>
    <mergeCell ref="F49:F54"/>
    <mergeCell ref="G49:G54"/>
    <mergeCell ref="H49:H54"/>
    <mergeCell ref="I49:I54"/>
    <mergeCell ref="J49:J54"/>
    <mergeCell ref="AT49:AT54"/>
    <mergeCell ref="AU49:AU54"/>
    <mergeCell ref="M49:M54"/>
    <mergeCell ref="N49:N54"/>
    <mergeCell ref="O49:O54"/>
    <mergeCell ref="P49:P54"/>
    <mergeCell ref="Q49:Q54"/>
    <mergeCell ref="R49:R54"/>
    <mergeCell ref="S49:S54"/>
    <mergeCell ref="T49:T54"/>
    <mergeCell ref="U49:U54"/>
    <mergeCell ref="AS49:AS54"/>
    <mergeCell ref="S43:S48"/>
    <mergeCell ref="T43:T48"/>
    <mergeCell ref="U43:U48"/>
    <mergeCell ref="AS43:AS48"/>
    <mergeCell ref="AT43:AT48"/>
    <mergeCell ref="AU43:AU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F43:F48"/>
    <mergeCell ref="S37:S42"/>
    <mergeCell ref="T37:T42"/>
    <mergeCell ref="U37:U42"/>
    <mergeCell ref="AS37:AS42"/>
    <mergeCell ref="AT37:AT42"/>
    <mergeCell ref="AU37:AU42"/>
    <mergeCell ref="M37:M42"/>
    <mergeCell ref="N37:N42"/>
    <mergeCell ref="O37:O42"/>
    <mergeCell ref="P37:P42"/>
    <mergeCell ref="Q37:Q42"/>
    <mergeCell ref="R37:R42"/>
    <mergeCell ref="G37:G42"/>
    <mergeCell ref="H37:H42"/>
    <mergeCell ref="I37:I42"/>
    <mergeCell ref="J37:J42"/>
    <mergeCell ref="K37:K42"/>
    <mergeCell ref="L37:L42"/>
    <mergeCell ref="A37:A42"/>
    <mergeCell ref="B37:B42"/>
    <mergeCell ref="C37:C42"/>
    <mergeCell ref="D37:D42"/>
    <mergeCell ref="F37:F42"/>
    <mergeCell ref="S31:S36"/>
    <mergeCell ref="T31:T36"/>
    <mergeCell ref="U31:U36"/>
    <mergeCell ref="AS31:AS36"/>
    <mergeCell ref="AT31:AT36"/>
    <mergeCell ref="AU31:AU36"/>
    <mergeCell ref="M31:M36"/>
    <mergeCell ref="N31:N36"/>
    <mergeCell ref="O31:O36"/>
    <mergeCell ref="P31:P36"/>
    <mergeCell ref="Q31:Q36"/>
    <mergeCell ref="R31:R36"/>
    <mergeCell ref="G31:G36"/>
    <mergeCell ref="H31:H36"/>
    <mergeCell ref="I31:I36"/>
    <mergeCell ref="J31:J36"/>
    <mergeCell ref="K31:K36"/>
    <mergeCell ref="L31:L36"/>
    <mergeCell ref="A31:A36"/>
    <mergeCell ref="B31:B36"/>
    <mergeCell ref="C31:C36"/>
    <mergeCell ref="D31:D36"/>
    <mergeCell ref="F31:F36"/>
    <mergeCell ref="S25:S30"/>
    <mergeCell ref="T25:T30"/>
    <mergeCell ref="U25:U30"/>
    <mergeCell ref="AS25:AS30"/>
    <mergeCell ref="AT25:AT30"/>
    <mergeCell ref="AU25:AU30"/>
    <mergeCell ref="M25:M30"/>
    <mergeCell ref="N25:N30"/>
    <mergeCell ref="O25:O30"/>
    <mergeCell ref="P25:P30"/>
    <mergeCell ref="Q25:Q30"/>
    <mergeCell ref="R25:R30"/>
    <mergeCell ref="G25:G30"/>
    <mergeCell ref="H25:H30"/>
    <mergeCell ref="I25:I30"/>
    <mergeCell ref="J25:J30"/>
    <mergeCell ref="K25:K30"/>
    <mergeCell ref="L25:L30"/>
    <mergeCell ref="A25:A30"/>
    <mergeCell ref="B25:B30"/>
    <mergeCell ref="C25:C30"/>
    <mergeCell ref="D25:D30"/>
    <mergeCell ref="F25:F30"/>
    <mergeCell ref="A19:A24"/>
    <mergeCell ref="B19:B24"/>
    <mergeCell ref="C19:C24"/>
    <mergeCell ref="D19:D24"/>
    <mergeCell ref="F19:F24"/>
    <mergeCell ref="S19:S24"/>
    <mergeCell ref="T19:T24"/>
    <mergeCell ref="U19:U24"/>
    <mergeCell ref="AS19:AS24"/>
    <mergeCell ref="M19:M24"/>
    <mergeCell ref="N19:N24"/>
    <mergeCell ref="O19:O24"/>
    <mergeCell ref="P19:P24"/>
    <mergeCell ref="Q19:Q24"/>
    <mergeCell ref="R19:R24"/>
    <mergeCell ref="G19:G24"/>
    <mergeCell ref="H19:H24"/>
    <mergeCell ref="I19:I24"/>
    <mergeCell ref="J19:J24"/>
    <mergeCell ref="K19:K24"/>
    <mergeCell ref="L19:L24"/>
    <mergeCell ref="AT19:AT24"/>
    <mergeCell ref="AU19:AU24"/>
    <mergeCell ref="J13:J18"/>
    <mergeCell ref="K13:K18"/>
    <mergeCell ref="L13:L18"/>
    <mergeCell ref="S13:S18"/>
    <mergeCell ref="T13:T18"/>
    <mergeCell ref="U13:U18"/>
    <mergeCell ref="AS13:AS18"/>
    <mergeCell ref="AT13:AT18"/>
    <mergeCell ref="AS11:AS12"/>
    <mergeCell ref="AT11:AT12"/>
    <mergeCell ref="J11:J12"/>
    <mergeCell ref="K11:K12"/>
    <mergeCell ref="N11:N12"/>
    <mergeCell ref="O11:O12"/>
    <mergeCell ref="P11:P12"/>
    <mergeCell ref="Q11:Q12"/>
    <mergeCell ref="AU13:AU18"/>
    <mergeCell ref="M13:M18"/>
    <mergeCell ref="N13:N18"/>
    <mergeCell ref="O13:O18"/>
    <mergeCell ref="P13:P18"/>
    <mergeCell ref="Q13:Q18"/>
    <mergeCell ref="R13:R18"/>
    <mergeCell ref="A13:A18"/>
    <mergeCell ref="B13:B18"/>
    <mergeCell ref="C13:C18"/>
    <mergeCell ref="D13:D18"/>
    <mergeCell ref="F13:F18"/>
    <mergeCell ref="AL11:AL12"/>
    <mergeCell ref="AM11:AM12"/>
    <mergeCell ref="AN11:AN12"/>
    <mergeCell ref="AO11:AO12"/>
    <mergeCell ref="AA11:AA12"/>
    <mergeCell ref="AB11:AG11"/>
    <mergeCell ref="AH11:AH12"/>
    <mergeCell ref="AI11:AI12"/>
    <mergeCell ref="AJ11:AJ12"/>
    <mergeCell ref="AK11:AK12"/>
    <mergeCell ref="R11:R12"/>
    <mergeCell ref="S11:S12"/>
    <mergeCell ref="T11:T12"/>
    <mergeCell ref="U11:U12"/>
    <mergeCell ref="V11:V12"/>
    <mergeCell ref="Z11:Z12"/>
    <mergeCell ref="G13:G18"/>
    <mergeCell ref="H13:H18"/>
    <mergeCell ref="I13:I18"/>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F11:F12"/>
    <mergeCell ref="G11:G12"/>
    <mergeCell ref="H11:H12"/>
    <mergeCell ref="I11:I12"/>
    <mergeCell ref="AU11:AU12"/>
    <mergeCell ref="AP11:AP12"/>
    <mergeCell ref="AQ11:AQ12"/>
    <mergeCell ref="E11:E12"/>
    <mergeCell ref="AR11:AR12"/>
    <mergeCell ref="A6:B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C6:U6"/>
    <mergeCell ref="E13:E18"/>
    <mergeCell ref="E19:E24"/>
    <mergeCell ref="E25:E30"/>
    <mergeCell ref="E31:E36"/>
    <mergeCell ref="E37:E42"/>
    <mergeCell ref="E43:E48"/>
    <mergeCell ref="E49:E54"/>
    <mergeCell ref="E55:E60"/>
    <mergeCell ref="E61:E66"/>
  </mergeCells>
  <conditionalFormatting sqref="O13 O19">
    <cfRule type="cellIs" dxfId="314" priority="105" operator="equal">
      <formula>"Muy Baja"</formula>
    </cfRule>
    <cfRule type="cellIs" dxfId="313" priority="104" operator="equal">
      <formula>"Baja"</formula>
    </cfRule>
    <cfRule type="cellIs" dxfId="312" priority="103" operator="equal">
      <formula>"Media"</formula>
    </cfRule>
    <cfRule type="cellIs" dxfId="311" priority="102" operator="equal">
      <formula>"Alta"</formula>
    </cfRule>
    <cfRule type="cellIs" dxfId="310" priority="101" operator="equal">
      <formula>"Muy Alta"</formula>
    </cfRule>
  </conditionalFormatting>
  <conditionalFormatting sqref="O25">
    <cfRule type="cellIs" dxfId="309" priority="84" operator="equal">
      <formula>"Alta"</formula>
    </cfRule>
    <cfRule type="cellIs" dxfId="308" priority="83" operator="equal">
      <formula>"Muy Alta"</formula>
    </cfRule>
    <cfRule type="cellIs" dxfId="307" priority="87" operator="equal">
      <formula>"Muy Baja"</formula>
    </cfRule>
    <cfRule type="cellIs" dxfId="306" priority="86" operator="equal">
      <formula>"Baja"</formula>
    </cfRule>
    <cfRule type="cellIs" dxfId="305" priority="85" operator="equal">
      <formula>"Media"</formula>
    </cfRule>
  </conditionalFormatting>
  <conditionalFormatting sqref="O31">
    <cfRule type="cellIs" dxfId="304" priority="78" operator="equal">
      <formula>"Muy Baja"</formula>
    </cfRule>
    <cfRule type="cellIs" dxfId="303" priority="77" operator="equal">
      <formula>"Baja"</formula>
    </cfRule>
    <cfRule type="cellIs" dxfId="302" priority="74" operator="equal">
      <formula>"Muy Alta"</formula>
    </cfRule>
    <cfRule type="cellIs" dxfId="301" priority="75" operator="equal">
      <formula>"Alta"</formula>
    </cfRule>
    <cfRule type="cellIs" dxfId="300" priority="76" operator="equal">
      <formula>"Media"</formula>
    </cfRule>
  </conditionalFormatting>
  <conditionalFormatting sqref="O37">
    <cfRule type="cellIs" dxfId="299" priority="65" operator="equal">
      <formula>"Muy Alta"</formula>
    </cfRule>
    <cfRule type="cellIs" dxfId="298" priority="67" operator="equal">
      <formula>"Media"</formula>
    </cfRule>
    <cfRule type="cellIs" dxfId="297" priority="66" operator="equal">
      <formula>"Alta"</formula>
    </cfRule>
    <cfRule type="cellIs" dxfId="296" priority="68" operator="equal">
      <formula>"Baja"</formula>
    </cfRule>
    <cfRule type="cellIs" dxfId="295" priority="69" operator="equal">
      <formula>"Muy Baja"</formula>
    </cfRule>
  </conditionalFormatting>
  <conditionalFormatting sqref="O43">
    <cfRule type="cellIs" dxfId="294" priority="56" operator="equal">
      <formula>"Muy Alta"</formula>
    </cfRule>
    <cfRule type="cellIs" dxfId="293" priority="58" operator="equal">
      <formula>"Media"</formula>
    </cfRule>
    <cfRule type="cellIs" dxfId="292" priority="60" operator="equal">
      <formula>"Muy Baja"</formula>
    </cfRule>
    <cfRule type="cellIs" dxfId="291" priority="59" operator="equal">
      <formula>"Baja"</formula>
    </cfRule>
    <cfRule type="cellIs" dxfId="290" priority="57" operator="equal">
      <formula>"Alta"</formula>
    </cfRule>
  </conditionalFormatting>
  <conditionalFormatting sqref="O49">
    <cfRule type="cellIs" dxfId="289" priority="47" operator="equal">
      <formula>"Muy Alta"</formula>
    </cfRule>
    <cfRule type="cellIs" dxfId="288" priority="48" operator="equal">
      <formula>"Alta"</formula>
    </cfRule>
    <cfRule type="cellIs" dxfId="287" priority="49" operator="equal">
      <formula>"Media"</formula>
    </cfRule>
    <cfRule type="cellIs" dxfId="286" priority="50" operator="equal">
      <formula>"Baja"</formula>
    </cfRule>
    <cfRule type="cellIs" dxfId="285" priority="51" operator="equal">
      <formula>"Muy Baja"</formula>
    </cfRule>
  </conditionalFormatting>
  <conditionalFormatting sqref="O55">
    <cfRule type="cellIs" dxfId="284" priority="2" operator="equal">
      <formula>"Alta"</formula>
    </cfRule>
    <cfRule type="cellIs" dxfId="283" priority="3" operator="equal">
      <formula>"Media"</formula>
    </cfRule>
    <cfRule type="cellIs" dxfId="282" priority="4" operator="equal">
      <formula>"Baja"</formula>
    </cfRule>
    <cfRule type="cellIs" dxfId="281" priority="5" operator="equal">
      <formula>"Muy Baja"</formula>
    </cfRule>
    <cfRule type="cellIs" dxfId="280" priority="1" operator="equal">
      <formula>"Muy Alta"</formula>
    </cfRule>
  </conditionalFormatting>
  <conditionalFormatting sqref="O61">
    <cfRule type="cellIs" dxfId="279" priority="34" operator="equal">
      <formula>"Muy Alta"</formula>
    </cfRule>
    <cfRule type="cellIs" dxfId="278" priority="35" operator="equal">
      <formula>"Alta"</formula>
    </cfRule>
    <cfRule type="cellIs" dxfId="277" priority="36" operator="equal">
      <formula>"Media"</formula>
    </cfRule>
    <cfRule type="cellIs" dxfId="276" priority="37" operator="equal">
      <formula>"Baja"</formula>
    </cfRule>
    <cfRule type="cellIs" dxfId="275" priority="38" operator="equal">
      <formula>"Muy Baja"</formula>
    </cfRule>
  </conditionalFormatting>
  <conditionalFormatting sqref="O67">
    <cfRule type="cellIs" dxfId="274" priority="26" operator="equal">
      <formula>"Alta"</formula>
    </cfRule>
    <cfRule type="cellIs" dxfId="273" priority="27" operator="equal">
      <formula>"Media"</formula>
    </cfRule>
    <cfRule type="cellIs" dxfId="272" priority="25" operator="equal">
      <formula>"Muy Alta"</formula>
    </cfRule>
    <cfRule type="cellIs" dxfId="271" priority="28" operator="equal">
      <formula>"Baja"</formula>
    </cfRule>
    <cfRule type="cellIs" dxfId="270" priority="29" operator="equal">
      <formula>"Muy Baja"</formula>
    </cfRule>
  </conditionalFormatting>
  <conditionalFormatting sqref="R13:R72">
    <cfRule type="containsText" dxfId="269" priority="6" operator="containsText" text="❌">
      <formula>NOT(ISERROR(SEARCH("❌",R13)))</formula>
    </cfRule>
  </conditionalFormatting>
  <conditionalFormatting sqref="S13 S19 S25 S31 S37 S43 S49 S55 S61 S67">
    <cfRule type="cellIs" dxfId="268" priority="96" operator="equal">
      <formula>"Catastrófico"</formula>
    </cfRule>
    <cfRule type="cellIs" dxfId="267" priority="97" operator="equal">
      <formula>"Mayor"</formula>
    </cfRule>
    <cfRule type="cellIs" dxfId="266" priority="98" operator="equal">
      <formula>"Moderado"</formula>
    </cfRule>
    <cfRule type="cellIs" dxfId="265" priority="99" operator="equal">
      <formula>"Menor"</formula>
    </cfRule>
    <cfRule type="cellIs" dxfId="264" priority="100" operator="equal">
      <formula>"Leve"</formula>
    </cfRule>
  </conditionalFormatting>
  <conditionalFormatting sqref="U13">
    <cfRule type="cellIs" dxfId="263" priority="95" operator="equal">
      <formula>"Bajo"</formula>
    </cfRule>
    <cfRule type="cellIs" dxfId="262" priority="92" operator="equal">
      <formula>"Extremo"</formula>
    </cfRule>
    <cfRule type="cellIs" dxfId="261" priority="93" operator="equal">
      <formula>"Alto"</formula>
    </cfRule>
    <cfRule type="cellIs" dxfId="260" priority="94" operator="equal">
      <formula>"Moderado"</formula>
    </cfRule>
  </conditionalFormatting>
  <conditionalFormatting sqref="U19">
    <cfRule type="cellIs" dxfId="259" priority="88" operator="equal">
      <formula>"Extremo"</formula>
    </cfRule>
    <cfRule type="cellIs" dxfId="258" priority="91" operator="equal">
      <formula>"Bajo"</formula>
    </cfRule>
    <cfRule type="cellIs" dxfId="257" priority="90" operator="equal">
      <formula>"Moderado"</formula>
    </cfRule>
    <cfRule type="cellIs" dxfId="256" priority="89" operator="equal">
      <formula>"Alto"</formula>
    </cfRule>
  </conditionalFormatting>
  <conditionalFormatting sqref="U25">
    <cfRule type="cellIs" dxfId="255" priority="82" operator="equal">
      <formula>"Bajo"</formula>
    </cfRule>
    <cfRule type="cellIs" dxfId="254" priority="80" operator="equal">
      <formula>"Alto"</formula>
    </cfRule>
    <cfRule type="cellIs" dxfId="253" priority="79" operator="equal">
      <formula>"Extremo"</formula>
    </cfRule>
    <cfRule type="cellIs" dxfId="252" priority="81" operator="equal">
      <formula>"Moderado"</formula>
    </cfRule>
  </conditionalFormatting>
  <conditionalFormatting sqref="U31">
    <cfRule type="cellIs" dxfId="251" priority="70" operator="equal">
      <formula>"Extremo"</formula>
    </cfRule>
    <cfRule type="cellIs" dxfId="250" priority="71" operator="equal">
      <formula>"Alto"</formula>
    </cfRule>
    <cfRule type="cellIs" dxfId="249" priority="72" operator="equal">
      <formula>"Moderado"</formula>
    </cfRule>
    <cfRule type="cellIs" dxfId="248" priority="73" operator="equal">
      <formula>"Bajo"</formula>
    </cfRule>
  </conditionalFormatting>
  <conditionalFormatting sqref="U37">
    <cfRule type="cellIs" dxfId="247" priority="62" operator="equal">
      <formula>"Alto"</formula>
    </cfRule>
    <cfRule type="cellIs" dxfId="246" priority="61" operator="equal">
      <formula>"Extremo"</formula>
    </cfRule>
    <cfRule type="cellIs" dxfId="245" priority="63" operator="equal">
      <formula>"Moderado"</formula>
    </cfRule>
    <cfRule type="cellIs" dxfId="244" priority="64" operator="equal">
      <formula>"Bajo"</formula>
    </cfRule>
  </conditionalFormatting>
  <conditionalFormatting sqref="U43">
    <cfRule type="cellIs" dxfId="243" priority="54" operator="equal">
      <formula>"Moderado"</formula>
    </cfRule>
    <cfRule type="cellIs" dxfId="242" priority="53" operator="equal">
      <formula>"Alto"</formula>
    </cfRule>
    <cfRule type="cellIs" dxfId="241" priority="55" operator="equal">
      <formula>"Bajo"</formula>
    </cfRule>
    <cfRule type="cellIs" dxfId="240" priority="52" operator="equal">
      <formula>"Extremo"</formula>
    </cfRule>
  </conditionalFormatting>
  <conditionalFormatting sqref="U49">
    <cfRule type="cellIs" dxfId="239" priority="46" operator="equal">
      <formula>"Bajo"</formula>
    </cfRule>
    <cfRule type="cellIs" dxfId="238" priority="45" operator="equal">
      <formula>"Moderado"</formula>
    </cfRule>
    <cfRule type="cellIs" dxfId="237" priority="44" operator="equal">
      <formula>"Alto"</formula>
    </cfRule>
    <cfRule type="cellIs" dxfId="236" priority="43" operator="equal">
      <formula>"Extremo"</formula>
    </cfRule>
  </conditionalFormatting>
  <conditionalFormatting sqref="U55">
    <cfRule type="cellIs" dxfId="235" priority="41" operator="equal">
      <formula>"Moderado"</formula>
    </cfRule>
    <cfRule type="cellIs" dxfId="234" priority="39" operator="equal">
      <formula>"Extremo"</formula>
    </cfRule>
    <cfRule type="cellIs" dxfId="233" priority="42" operator="equal">
      <formula>"Bajo"</formula>
    </cfRule>
    <cfRule type="cellIs" dxfId="232" priority="40" operator="equal">
      <formula>"Alto"</formula>
    </cfRule>
  </conditionalFormatting>
  <conditionalFormatting sqref="U61">
    <cfRule type="cellIs" dxfId="231" priority="30" operator="equal">
      <formula>"Extremo"</formula>
    </cfRule>
    <cfRule type="cellIs" dxfId="230" priority="32" operator="equal">
      <formula>"Moderado"</formula>
    </cfRule>
    <cfRule type="cellIs" dxfId="229" priority="33" operator="equal">
      <formula>"Bajo"</formula>
    </cfRule>
    <cfRule type="cellIs" dxfId="228" priority="31" operator="equal">
      <formula>"Alto"</formula>
    </cfRule>
  </conditionalFormatting>
  <conditionalFormatting sqref="U67">
    <cfRule type="cellIs" dxfId="227" priority="21" operator="equal">
      <formula>"Extremo"</formula>
    </cfRule>
    <cfRule type="cellIs" dxfId="226" priority="24" operator="equal">
      <formula>"Bajo"</formula>
    </cfRule>
    <cfRule type="cellIs" dxfId="225" priority="23" operator="equal">
      <formula>"Moderado"</formula>
    </cfRule>
    <cfRule type="cellIs" dxfId="224" priority="22" operator="equal">
      <formula>"Alto"</formula>
    </cfRule>
  </conditionalFormatting>
  <conditionalFormatting sqref="AI13:AI72">
    <cfRule type="cellIs" dxfId="223" priority="20" operator="equal">
      <formula>"Muy Baja"</formula>
    </cfRule>
    <cfRule type="cellIs" dxfId="222" priority="19" operator="equal">
      <formula>"Baja"</formula>
    </cfRule>
    <cfRule type="cellIs" dxfId="221" priority="18" operator="equal">
      <formula>"Media"</formula>
    </cfRule>
    <cfRule type="cellIs" dxfId="220" priority="17" operator="equal">
      <formula>"Alta"</formula>
    </cfRule>
    <cfRule type="cellIs" dxfId="219" priority="16" operator="equal">
      <formula>"Muy Alta"</formula>
    </cfRule>
  </conditionalFormatting>
  <conditionalFormatting sqref="AK13:AK72">
    <cfRule type="cellIs" dxfId="218" priority="14" operator="equal">
      <formula>"Menor"</formula>
    </cfRule>
    <cfRule type="cellIs" dxfId="217" priority="15" operator="equal">
      <formula>"Leve"</formula>
    </cfRule>
    <cfRule type="cellIs" dxfId="216" priority="12" operator="equal">
      <formula>"Mayor"</formula>
    </cfRule>
    <cfRule type="cellIs" dxfId="215" priority="11" operator="equal">
      <formula>"Catastrófico"</formula>
    </cfRule>
    <cfRule type="cellIs" dxfId="214" priority="13" operator="equal">
      <formula>"Moderado"</formula>
    </cfRule>
  </conditionalFormatting>
  <conditionalFormatting sqref="AM13:AM72">
    <cfRule type="cellIs" dxfId="213" priority="7" operator="equal">
      <formula>"Extremo"</formula>
    </cfRule>
    <cfRule type="cellIs" dxfId="212" priority="10" operator="equal">
      <formula>"Bajo"</formula>
    </cfRule>
    <cfRule type="cellIs" dxfId="211" priority="9" operator="equal">
      <formula>"Moderado"</formula>
    </cfRule>
    <cfRule type="cellIs" dxfId="210"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600-000000000000}">
          <x14:formula1>
            <xm:f>Listas!$H$2:$H$6</xm:f>
          </x14:formula1>
          <xm:sqref>X13:X72</xm:sqref>
        </x14:dataValidation>
        <x14:dataValidation type="list" allowBlank="1" showInputMessage="1" showErrorMessage="1" xr:uid="{00000000-0002-0000-0600-000001000000}">
          <x14:formula1>
            <xm:f>Listas!$H$9:$H$13</xm:f>
          </x14:formula1>
          <xm:sqref>L13:L72</xm:sqref>
        </x14:dataValidation>
        <x14:dataValidation type="list" allowBlank="1" showInputMessage="1" showErrorMessage="1" xr:uid="{00000000-0002-0000-0600-000002000000}">
          <x14:formula1>
            <xm:f>Listas!$F$9:$F$10</xm:f>
          </x14:formula1>
          <xm:sqref>H13:H72</xm:sqref>
        </x14:dataValidation>
        <x14:dataValidation type="custom" allowBlank="1" showInputMessage="1" showErrorMessage="1" error="Recuerde que las acciones se generan bajo la medida de mitigar el riesgo" xr:uid="{00000000-0002-0000-0600-000003000000}">
          <x14:formula1>
            <xm:f>IF(OR(#REF!=Listas!$B$2,#REF!=Listas!$B$3,#REF!=Listas!$B$4),ISBLANK(#REF!),ISTEXT(#REF!))</xm:f>
          </x14:formula1>
          <xm:sqref>AS19:AU19 AS67:AU67 AS61:AU61 AS55:AU55 AS49:AU49 AS43:AU43 AS37:AU37 AS31:AU31 AS25:AU25</xm:sqref>
        </x14:dataValidation>
        <x14:dataValidation type="list" allowBlank="1" showInputMessage="1" showErrorMessage="1" xr:uid="{00000000-0002-0000-0600-000004000000}">
          <x14:formula1>
            <xm:f>'Tabla Impacto'!$F$234:$F$237</xm:f>
          </x14:formula1>
          <xm:sqref>Q13:Q72</xm:sqref>
        </x14:dataValidation>
        <x14:dataValidation type="list" allowBlank="1" showInputMessage="1" showErrorMessage="1" xr:uid="{00000000-0002-0000-0600-000005000000}">
          <x14:formula1>
            <xm:f>Listas!$B$2:$B$5</xm:f>
          </x14:formula1>
          <xm:sqref>AN13:AN72</xm:sqref>
        </x14:dataValidation>
        <x14:dataValidation type="list" allowBlank="1" showInputMessage="1" showErrorMessage="1" xr:uid="{00000000-0002-0000-0600-000006000000}">
          <x14:formula1>
            <xm:f>Listas!$E$2:$E$4</xm:f>
          </x14:formula1>
          <xm:sqref>B13:B72</xm:sqref>
        </x14:dataValidation>
        <x14:dataValidation type="list" allowBlank="1" showInputMessage="1" showErrorMessage="1" xr:uid="{00000000-0002-0000-0600-000007000000}">
          <x14:formula1>
            <xm:f>'Tabla Valoración controles'!$D$13:$D$14</xm:f>
          </x14:formula1>
          <xm:sqref>AG13:AG72</xm:sqref>
        </x14:dataValidation>
        <x14:dataValidation type="list" allowBlank="1" showInputMessage="1" showErrorMessage="1" xr:uid="{00000000-0002-0000-0600-000008000000}">
          <x14:formula1>
            <xm:f>'Tabla Valoración controles'!$D$11:$D$12</xm:f>
          </x14:formula1>
          <xm:sqref>AF13:AF72</xm:sqref>
        </x14:dataValidation>
        <x14:dataValidation type="list" allowBlank="1" showInputMessage="1" showErrorMessage="1" xr:uid="{00000000-0002-0000-0600-000009000000}">
          <x14:formula1>
            <xm:f>'Tabla Valoración controles'!$D$9:$D$10</xm:f>
          </x14:formula1>
          <xm:sqref>AE13:AE72</xm:sqref>
        </x14:dataValidation>
        <x14:dataValidation type="list" allowBlank="1" showInputMessage="1" showErrorMessage="1" xr:uid="{00000000-0002-0000-0600-00000A000000}">
          <x14:formula1>
            <xm:f>'Tabla Valoración controles'!$D$7:$D$8</xm:f>
          </x14:formula1>
          <xm:sqref>AC13:AC72</xm:sqref>
        </x14:dataValidation>
        <x14:dataValidation type="list" allowBlank="1" showInputMessage="1" showErrorMessage="1" xr:uid="{00000000-0002-0000-0600-00000B000000}">
          <x14:formula1>
            <xm:f>'Tabla Valoración controles'!$D$4:$D$5</xm:f>
          </x14:formula1>
          <xm:sqref>AB13:AB72</xm:sqref>
        </x14:dataValidation>
        <x14:dataValidation type="list" allowBlank="1" showInputMessage="1" showErrorMessage="1" xr:uid="{00000000-0002-0000-0600-00000C000000}">
          <x14:formula1>
            <xm:f>Listas!$H$15:$H$19</xm:f>
          </x14:formula1>
          <xm:sqref>M13:M72</xm:sqref>
        </x14:dataValidation>
        <x14:dataValidation type="list" allowBlank="1" showInputMessage="1" showErrorMessage="1" xr:uid="{00000000-0002-0000-0600-00000D000000}">
          <x14:formula1>
            <xm:f>'Intructivo control cambio'!$C$294:$C$308</xm:f>
          </x14:formula1>
          <xm:sqref>V6:Y6</xm:sqref>
        </x14:dataValidation>
        <x14:dataValidation type="list" allowBlank="1" showInputMessage="1" showErrorMessage="1" xr:uid="{00000000-0002-0000-0600-00000E000000}">
          <x14:formula1>
            <xm:f>'Intructivo control cambio'!$C$294:$C$317</xm:f>
          </x14:formula1>
          <xm:sqref>C6:U6</xm:sqref>
        </x14:dataValidation>
        <x14:dataValidation type="list" allowBlank="1" showInputMessage="1" showErrorMessage="1" xr:uid="{00000000-0002-0000-0600-00000F000000}">
          <x14:formula1>
            <xm:f>Listas!$B$19:$B$22</xm:f>
          </x14:formula1>
          <xm:sqref>G13:G72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B1:H30"/>
  <sheetViews>
    <sheetView zoomScaleNormal="100" zoomScaleSheetLayoutView="90" workbookViewId="0">
      <selection activeCell="B2" sqref="B2:F2"/>
    </sheetView>
  </sheetViews>
  <sheetFormatPr baseColWidth="10" defaultColWidth="11.42578125" defaultRowHeight="14.25" x14ac:dyDescent="0.25"/>
  <cols>
    <col min="1" max="1" width="2.140625" style="145" customWidth="1"/>
    <col min="2" max="2" width="11.42578125" style="145"/>
    <col min="3" max="3" width="34.28515625" style="145" customWidth="1"/>
    <col min="4" max="4" width="36.42578125" style="145" customWidth="1"/>
    <col min="5" max="6" width="13.85546875" style="145" customWidth="1"/>
    <col min="7" max="7" width="1.28515625" style="145" customWidth="1"/>
    <col min="8" max="16384" width="11.42578125" style="145"/>
  </cols>
  <sheetData>
    <row r="1" spans="2:6" ht="11.25" customHeight="1" thickBot="1" x14ac:dyDescent="0.3"/>
    <row r="2" spans="2:6" ht="18.75" customHeight="1" thickBot="1" x14ac:dyDescent="0.3">
      <c r="B2" s="595" t="s">
        <v>299</v>
      </c>
      <c r="C2" s="596"/>
      <c r="D2" s="596"/>
      <c r="E2" s="596"/>
      <c r="F2" s="597"/>
    </row>
    <row r="3" spans="2:6" ht="32.1" customHeight="1" x14ac:dyDescent="0.25">
      <c r="B3" s="598" t="s">
        <v>300</v>
      </c>
      <c r="C3" s="600" t="s">
        <v>301</v>
      </c>
      <c r="D3" s="600"/>
      <c r="E3" s="600" t="s">
        <v>302</v>
      </c>
      <c r="F3" s="602"/>
    </row>
    <row r="4" spans="2:6" ht="28.35" customHeight="1" thickBot="1" x14ac:dyDescent="0.3">
      <c r="B4" s="599"/>
      <c r="C4" s="601"/>
      <c r="D4" s="601"/>
      <c r="E4" s="150" t="s">
        <v>303</v>
      </c>
      <c r="F4" s="151" t="s">
        <v>304</v>
      </c>
    </row>
    <row r="5" spans="2:6" ht="23.25" customHeight="1" x14ac:dyDescent="0.25">
      <c r="B5" s="146">
        <v>1</v>
      </c>
      <c r="C5" s="603" t="s">
        <v>305</v>
      </c>
      <c r="D5" s="603"/>
      <c r="E5" s="168"/>
      <c r="F5" s="169"/>
    </row>
    <row r="6" spans="2:6" ht="33" customHeight="1" x14ac:dyDescent="0.25">
      <c r="B6" s="147">
        <v>2</v>
      </c>
      <c r="C6" s="592" t="s">
        <v>306</v>
      </c>
      <c r="D6" s="592"/>
      <c r="E6" s="170"/>
      <c r="F6" s="171"/>
    </row>
    <row r="7" spans="2:6" ht="39" customHeight="1" x14ac:dyDescent="0.25">
      <c r="B7" s="147">
        <v>3</v>
      </c>
      <c r="C7" s="592" t="s">
        <v>307</v>
      </c>
      <c r="D7" s="592"/>
      <c r="E7" s="170"/>
      <c r="F7" s="171"/>
    </row>
    <row r="8" spans="2:6" ht="24.75" customHeight="1" x14ac:dyDescent="0.25">
      <c r="B8" s="147">
        <v>4</v>
      </c>
      <c r="C8" s="592" t="s">
        <v>308</v>
      </c>
      <c r="D8" s="592"/>
      <c r="E8" s="170"/>
      <c r="F8" s="171"/>
    </row>
    <row r="9" spans="2:6" ht="23.25" customHeight="1" x14ac:dyDescent="0.25">
      <c r="B9" s="147">
        <v>5</v>
      </c>
      <c r="C9" s="592" t="s">
        <v>309</v>
      </c>
      <c r="D9" s="592"/>
      <c r="E9" s="170"/>
      <c r="F9" s="171"/>
    </row>
    <row r="10" spans="2:6" ht="23.25" customHeight="1" x14ac:dyDescent="0.25">
      <c r="B10" s="147">
        <v>6</v>
      </c>
      <c r="C10" s="592" t="s">
        <v>310</v>
      </c>
      <c r="D10" s="592"/>
      <c r="E10" s="170"/>
      <c r="F10" s="171"/>
    </row>
    <row r="11" spans="2:6" ht="23.25" customHeight="1" x14ac:dyDescent="0.25">
      <c r="B11" s="147">
        <v>7</v>
      </c>
      <c r="C11" s="592" t="s">
        <v>311</v>
      </c>
      <c r="D11" s="592"/>
      <c r="E11" s="170"/>
      <c r="F11" s="171"/>
    </row>
    <row r="12" spans="2:6" ht="25.5" customHeight="1" x14ac:dyDescent="0.25">
      <c r="B12" s="147">
        <v>8</v>
      </c>
      <c r="C12" s="592" t="s">
        <v>312</v>
      </c>
      <c r="D12" s="592"/>
      <c r="E12" s="148"/>
      <c r="F12" s="149"/>
    </row>
    <row r="13" spans="2:6" ht="23.25" customHeight="1" x14ac:dyDescent="0.25">
      <c r="B13" s="147">
        <v>9</v>
      </c>
      <c r="C13" s="592" t="s">
        <v>313</v>
      </c>
      <c r="D13" s="592"/>
      <c r="E13" s="148"/>
      <c r="F13" s="149"/>
    </row>
    <row r="14" spans="2:6" ht="23.25" customHeight="1" x14ac:dyDescent="0.25">
      <c r="B14" s="147">
        <v>10</v>
      </c>
      <c r="C14" s="592" t="s">
        <v>314</v>
      </c>
      <c r="D14" s="592"/>
      <c r="E14" s="148"/>
      <c r="F14" s="149"/>
    </row>
    <row r="15" spans="2:6" ht="23.25" customHeight="1" x14ac:dyDescent="0.25">
      <c r="B15" s="147">
        <v>11</v>
      </c>
      <c r="C15" s="592" t="s">
        <v>315</v>
      </c>
      <c r="D15" s="592"/>
      <c r="E15" s="148"/>
      <c r="F15" s="149"/>
    </row>
    <row r="16" spans="2:6" ht="23.25" customHeight="1" x14ac:dyDescent="0.25">
      <c r="B16" s="147">
        <v>12</v>
      </c>
      <c r="C16" s="592" t="s">
        <v>316</v>
      </c>
      <c r="D16" s="592"/>
      <c r="E16" s="148"/>
      <c r="F16" s="149"/>
    </row>
    <row r="17" spans="2:8" ht="23.25" customHeight="1" x14ac:dyDescent="0.25">
      <c r="B17" s="147">
        <v>13</v>
      </c>
      <c r="C17" s="592" t="s">
        <v>317</v>
      </c>
      <c r="D17" s="592"/>
      <c r="E17" s="148"/>
      <c r="F17" s="149"/>
    </row>
    <row r="18" spans="2:8" ht="23.25" customHeight="1" x14ac:dyDescent="0.25">
      <c r="B18" s="147">
        <v>14</v>
      </c>
      <c r="C18" s="592" t="s">
        <v>318</v>
      </c>
      <c r="D18" s="592"/>
      <c r="E18" s="148"/>
      <c r="F18" s="149"/>
    </row>
    <row r="19" spans="2:8" ht="23.25" customHeight="1" x14ac:dyDescent="0.25">
      <c r="B19" s="147">
        <v>15</v>
      </c>
      <c r="C19" s="592" t="s">
        <v>319</v>
      </c>
      <c r="D19" s="592"/>
      <c r="E19" s="148"/>
      <c r="F19" s="149"/>
    </row>
    <row r="20" spans="2:8" ht="23.25" customHeight="1" x14ac:dyDescent="0.25">
      <c r="B20" s="147">
        <v>16</v>
      </c>
      <c r="C20" s="592" t="s">
        <v>320</v>
      </c>
      <c r="D20" s="592"/>
      <c r="E20" s="148"/>
      <c r="F20" s="149"/>
    </row>
    <row r="21" spans="2:8" ht="23.25" customHeight="1" x14ac:dyDescent="0.25">
      <c r="B21" s="147">
        <v>17</v>
      </c>
      <c r="C21" s="592" t="s">
        <v>321</v>
      </c>
      <c r="D21" s="592"/>
      <c r="E21" s="148"/>
      <c r="F21" s="149"/>
    </row>
    <row r="22" spans="2:8" ht="23.25" customHeight="1" x14ac:dyDescent="0.25">
      <c r="B22" s="147">
        <v>18</v>
      </c>
      <c r="C22" s="593" t="s">
        <v>322</v>
      </c>
      <c r="D22" s="593"/>
      <c r="E22" s="148"/>
      <c r="F22" s="149"/>
    </row>
    <row r="23" spans="2:8" ht="23.25" customHeight="1" thickBot="1" x14ac:dyDescent="0.3">
      <c r="B23" s="147">
        <v>19</v>
      </c>
      <c r="C23" s="592" t="s">
        <v>323</v>
      </c>
      <c r="D23" s="592"/>
      <c r="E23" s="148"/>
      <c r="F23" s="149"/>
    </row>
    <row r="24" spans="2:8" ht="15.75" customHeight="1" thickBot="1" x14ac:dyDescent="0.3">
      <c r="B24" s="594" t="s">
        <v>324</v>
      </c>
      <c r="C24" s="590"/>
      <c r="D24" s="590"/>
      <c r="E24" s="590">
        <f>COUNTIF(E5:E23,"X")</f>
        <v>0</v>
      </c>
      <c r="F24" s="591"/>
    </row>
    <row r="25" spans="2:8" ht="15.75" customHeight="1" thickBot="1" x14ac:dyDescent="0.3">
      <c r="B25" s="247"/>
      <c r="C25" s="247"/>
      <c r="D25" s="247"/>
      <c r="E25" s="247"/>
      <c r="F25" s="247"/>
    </row>
    <row r="26" spans="2:8" ht="24" customHeight="1" x14ac:dyDescent="0.2">
      <c r="B26" s="586" t="s">
        <v>325</v>
      </c>
      <c r="C26" s="586"/>
      <c r="D26" s="586"/>
      <c r="E26" s="588" t="s">
        <v>326</v>
      </c>
      <c r="F26" s="588"/>
      <c r="H26" s="112" t="s">
        <v>327</v>
      </c>
    </row>
    <row r="27" spans="2:8" ht="24" customHeight="1" x14ac:dyDescent="0.2">
      <c r="B27" s="587" t="s">
        <v>328</v>
      </c>
      <c r="C27" s="587"/>
      <c r="D27" s="587"/>
      <c r="E27" s="589"/>
      <c r="F27" s="589"/>
      <c r="H27" s="112" t="s">
        <v>329</v>
      </c>
    </row>
    <row r="28" spans="2:8" ht="24" customHeight="1" x14ac:dyDescent="0.2">
      <c r="B28" s="246" t="s">
        <v>330</v>
      </c>
      <c r="C28" s="245"/>
      <c r="D28" s="245"/>
      <c r="E28" s="589"/>
      <c r="F28" s="589"/>
      <c r="H28" s="112" t="s">
        <v>331</v>
      </c>
    </row>
    <row r="29" spans="2:8" x14ac:dyDescent="0.25">
      <c r="B29" s="231"/>
    </row>
    <row r="30" spans="2:8" x14ac:dyDescent="0.25">
      <c r="B30" s="231"/>
    </row>
  </sheetData>
  <mergeCells count="28">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B26:D26"/>
    <mergeCell ref="B27:D27"/>
    <mergeCell ref="E26:F28"/>
    <mergeCell ref="E24:F24"/>
    <mergeCell ref="C19:D19"/>
    <mergeCell ref="C20:D20"/>
    <mergeCell ref="C21:D21"/>
    <mergeCell ref="C22:D22"/>
    <mergeCell ref="C23:D23"/>
    <mergeCell ref="B24:D24"/>
  </mergeCells>
  <dataValidations disablePrompts="1"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R76"/>
  <sheetViews>
    <sheetView zoomScale="70" zoomScaleNormal="70" zoomScaleSheetLayoutView="50" zoomScalePageLayoutView="60" workbookViewId="0">
      <selection sqref="A1:C4"/>
    </sheetView>
  </sheetViews>
  <sheetFormatPr baseColWidth="10" defaultColWidth="11.42578125" defaultRowHeight="15" x14ac:dyDescent="0.2"/>
  <cols>
    <col min="1" max="1" width="6.42578125" style="203" customWidth="1"/>
    <col min="2" max="2" width="22.7109375" style="203" customWidth="1"/>
    <col min="3" max="3" width="27.140625" style="203" customWidth="1"/>
    <col min="4" max="5" width="25.28515625" style="203" customWidth="1"/>
    <col min="6" max="6" width="51.140625" style="203" customWidth="1"/>
    <col min="7" max="10" width="19.7109375" style="203" customWidth="1"/>
    <col min="11" max="11" width="17.7109375" style="185" customWidth="1"/>
    <col min="12" max="13" width="18.85546875" style="185" customWidth="1"/>
    <col min="14" max="14" width="24.28515625" style="185" customWidth="1"/>
    <col min="15" max="15" width="19.42578125" style="185" customWidth="1"/>
    <col min="16" max="16" width="20.42578125" style="185" customWidth="1"/>
    <col min="17" max="17" width="16.7109375" style="204" customWidth="1"/>
    <col min="18" max="18" width="16.7109375" style="185" customWidth="1"/>
    <col min="19" max="19" width="20.42578125" style="185" hidden="1" customWidth="1"/>
    <col min="20" max="20" width="12.85546875" style="185" customWidth="1"/>
    <col min="21" max="21" width="35.85546875" style="185" hidden="1" customWidth="1"/>
    <col min="22" max="22" width="19" style="185" customWidth="1"/>
    <col min="23" max="23" width="17.42578125" style="185" hidden="1" customWidth="1"/>
    <col min="24" max="24" width="15" style="185" customWidth="1"/>
    <col min="25" max="25" width="5.140625" style="185" customWidth="1"/>
    <col min="26" max="26" width="29.85546875" style="185" customWidth="1"/>
    <col min="27" max="27" width="11.7109375" style="185" customWidth="1"/>
    <col min="28" max="28" width="33.42578125" style="185" customWidth="1"/>
    <col min="29" max="29" width="32.7109375" style="185" customWidth="1"/>
    <col min="30" max="30" width="19.7109375" style="185" hidden="1" customWidth="1"/>
    <col min="31" max="31" width="5.85546875" style="185" customWidth="1"/>
    <col min="32" max="32" width="6.85546875" style="185" customWidth="1"/>
    <col min="33" max="33" width="5" style="185" hidden="1" customWidth="1"/>
    <col min="34" max="34" width="5.42578125" style="185" customWidth="1"/>
    <col min="35" max="35" width="7.140625" style="185" customWidth="1"/>
    <col min="36" max="36" width="6.7109375" style="185" customWidth="1"/>
    <col min="37" max="37" width="7.42578125" style="185" hidden="1" customWidth="1"/>
    <col min="38" max="38" width="8.42578125" style="185" customWidth="1"/>
    <col min="39" max="43" width="10.85546875" style="185" customWidth="1"/>
    <col min="44" max="44" width="33.28515625" style="202" customWidth="1"/>
    <col min="45" max="45" width="23" style="185" customWidth="1"/>
    <col min="46" max="46" width="18.85546875" style="185" customWidth="1"/>
    <col min="47" max="47" width="23.7109375" style="185" customWidth="1"/>
    <col min="48" max="48" width="22.42578125" style="185" customWidth="1"/>
    <col min="49" max="49" width="16.42578125" style="185" customWidth="1"/>
    <col min="50" max="50" width="20.42578125" style="185" customWidth="1"/>
    <col min="51" max="16384" width="11.42578125" style="185"/>
  </cols>
  <sheetData>
    <row r="1" spans="1:278" s="187" customFormat="1" ht="20.25" x14ac:dyDescent="0.3">
      <c r="A1" s="373"/>
      <c r="B1" s="374"/>
      <c r="C1" s="375"/>
      <c r="D1" s="382" t="s">
        <v>218</v>
      </c>
      <c r="E1" s="383"/>
      <c r="F1" s="383"/>
      <c r="G1" s="383"/>
      <c r="H1" s="383"/>
      <c r="I1" s="383"/>
      <c r="J1" s="383"/>
      <c r="K1" s="383"/>
      <c r="L1" s="383"/>
      <c r="M1" s="383"/>
      <c r="N1" s="383"/>
      <c r="O1" s="383"/>
      <c r="P1" s="383"/>
      <c r="Q1" s="383"/>
      <c r="R1" s="383"/>
      <c r="S1" s="383"/>
      <c r="T1" s="383"/>
      <c r="U1" s="383"/>
      <c r="V1" s="383"/>
      <c r="W1" s="384"/>
      <c r="X1" s="234"/>
      <c r="Y1" s="234"/>
      <c r="Z1" s="234"/>
      <c r="AA1" s="234"/>
      <c r="AB1" s="234"/>
      <c r="AC1" s="234"/>
      <c r="AD1" s="358"/>
      <c r="AE1" s="358"/>
      <c r="AF1" s="358"/>
      <c r="AG1" s="358"/>
      <c r="AH1" s="358"/>
      <c r="AI1" s="358"/>
      <c r="AJ1" s="358"/>
      <c r="AK1" s="358"/>
      <c r="AL1" s="358"/>
      <c r="AM1" s="358"/>
      <c r="AN1" s="358"/>
      <c r="AO1" s="358"/>
      <c r="AP1" s="358"/>
      <c r="AQ1" s="358"/>
      <c r="AR1" s="358"/>
      <c r="AS1" s="358"/>
      <c r="AT1" s="358"/>
      <c r="AU1" s="358"/>
      <c r="AV1" s="358"/>
      <c r="AW1" s="358"/>
      <c r="AX1" s="358"/>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row>
    <row r="2" spans="1:278" s="187" customFormat="1" ht="21" thickBot="1" x14ac:dyDescent="0.35">
      <c r="A2" s="376"/>
      <c r="B2" s="377"/>
      <c r="C2" s="378"/>
      <c r="D2" s="385"/>
      <c r="E2" s="386"/>
      <c r="F2" s="386"/>
      <c r="G2" s="386"/>
      <c r="H2" s="386"/>
      <c r="I2" s="386"/>
      <c r="J2" s="386"/>
      <c r="K2" s="386"/>
      <c r="L2" s="386"/>
      <c r="M2" s="386"/>
      <c r="N2" s="386"/>
      <c r="O2" s="386"/>
      <c r="P2" s="386"/>
      <c r="Q2" s="386"/>
      <c r="R2" s="386"/>
      <c r="S2" s="386"/>
      <c r="T2" s="386"/>
      <c r="U2" s="386"/>
      <c r="V2" s="386"/>
      <c r="W2" s="387"/>
      <c r="X2" s="234"/>
      <c r="Y2" s="234"/>
      <c r="Z2" s="234"/>
      <c r="AA2" s="234"/>
      <c r="AB2" s="234"/>
      <c r="AC2" s="234"/>
      <c r="AD2" s="358"/>
      <c r="AE2" s="358"/>
      <c r="AF2" s="358"/>
      <c r="AG2" s="358"/>
      <c r="AH2" s="358"/>
      <c r="AI2" s="358"/>
      <c r="AJ2" s="358"/>
      <c r="AK2" s="358"/>
      <c r="AL2" s="358"/>
      <c r="AM2" s="358"/>
      <c r="AN2" s="358"/>
      <c r="AO2" s="358"/>
      <c r="AP2" s="358"/>
      <c r="AQ2" s="358"/>
      <c r="AR2" s="358"/>
      <c r="AS2" s="358"/>
      <c r="AT2" s="358"/>
      <c r="AU2" s="358"/>
      <c r="AV2" s="358"/>
      <c r="AW2" s="358"/>
      <c r="AX2" s="358"/>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row>
    <row r="3" spans="1:278" s="187" customFormat="1" ht="27.75" customHeight="1" thickBot="1" x14ac:dyDescent="0.35">
      <c r="A3" s="376"/>
      <c r="B3" s="377"/>
      <c r="C3" s="378"/>
      <c r="D3" s="388" t="s">
        <v>219</v>
      </c>
      <c r="E3" s="389"/>
      <c r="F3" s="389"/>
      <c r="G3" s="389"/>
      <c r="H3" s="389"/>
      <c r="I3" s="389"/>
      <c r="J3" s="389"/>
      <c r="K3" s="389"/>
      <c r="L3" s="390"/>
      <c r="M3" s="388" t="s">
        <v>220</v>
      </c>
      <c r="N3" s="389"/>
      <c r="O3" s="389"/>
      <c r="P3" s="389"/>
      <c r="Q3" s="389"/>
      <c r="R3" s="389"/>
      <c r="S3" s="389"/>
      <c r="T3" s="389"/>
      <c r="U3" s="389"/>
      <c r="V3" s="389"/>
      <c r="W3" s="390"/>
      <c r="X3" s="235"/>
      <c r="Y3" s="235"/>
      <c r="Z3" s="235"/>
      <c r="AA3" s="235"/>
      <c r="AB3" s="235"/>
      <c r="AC3" s="234"/>
      <c r="AD3" s="359"/>
      <c r="AE3" s="359"/>
      <c r="AF3" s="359"/>
      <c r="AG3" s="359"/>
      <c r="AH3" s="359"/>
      <c r="AI3" s="359"/>
      <c r="AJ3" s="359"/>
      <c r="AK3" s="359"/>
      <c r="AL3" s="359"/>
      <c r="AM3" s="359"/>
      <c r="AN3" s="359"/>
      <c r="AO3" s="359"/>
      <c r="AP3" s="359"/>
      <c r="AQ3" s="359"/>
      <c r="AR3" s="359"/>
      <c r="AS3" s="359"/>
      <c r="AT3" s="359"/>
      <c r="AU3" s="359"/>
      <c r="AV3" s="359"/>
      <c r="AW3" s="359"/>
      <c r="AX3" s="359"/>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row>
    <row r="4" spans="1:278" s="187" customFormat="1" ht="27.75" customHeight="1" thickBot="1" x14ac:dyDescent="0.35">
      <c r="A4" s="379"/>
      <c r="B4" s="380"/>
      <c r="C4" s="381"/>
      <c r="D4" s="388" t="s">
        <v>221</v>
      </c>
      <c r="E4" s="389"/>
      <c r="F4" s="389"/>
      <c r="G4" s="389"/>
      <c r="H4" s="389"/>
      <c r="I4" s="389"/>
      <c r="J4" s="389"/>
      <c r="K4" s="389"/>
      <c r="L4" s="389"/>
      <c r="M4" s="389"/>
      <c r="N4" s="389"/>
      <c r="O4" s="389"/>
      <c r="P4" s="389"/>
      <c r="Q4" s="389"/>
      <c r="R4" s="389"/>
      <c r="S4" s="389"/>
      <c r="T4" s="389"/>
      <c r="U4" s="389"/>
      <c r="V4" s="389"/>
      <c r="W4" s="390"/>
      <c r="X4" s="234"/>
      <c r="Y4" s="234"/>
      <c r="Z4" s="234"/>
      <c r="AA4" s="234"/>
      <c r="AB4" s="234"/>
      <c r="AC4" s="234"/>
      <c r="AD4" s="359"/>
      <c r="AE4" s="359"/>
      <c r="AF4" s="359"/>
      <c r="AG4" s="359"/>
      <c r="AH4" s="359"/>
      <c r="AI4" s="359"/>
      <c r="AJ4" s="359"/>
      <c r="AK4" s="359"/>
      <c r="AL4" s="359"/>
      <c r="AM4" s="359"/>
      <c r="AN4" s="359"/>
      <c r="AO4" s="359"/>
      <c r="AP4" s="359"/>
      <c r="AQ4" s="359"/>
      <c r="AR4" s="359"/>
      <c r="AS4" s="359"/>
      <c r="AT4" s="359"/>
      <c r="AU4" s="359"/>
      <c r="AV4" s="359"/>
      <c r="AW4" s="359"/>
      <c r="AX4" s="359"/>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row>
    <row r="5" spans="1:278" ht="15.75" thickBot="1" x14ac:dyDescent="0.25">
      <c r="A5" s="188"/>
      <c r="B5" s="189"/>
      <c r="C5" s="188"/>
      <c r="D5" s="188"/>
      <c r="E5" s="188"/>
      <c r="F5" s="188"/>
      <c r="G5" s="188"/>
      <c r="H5" s="188"/>
      <c r="I5" s="188"/>
      <c r="J5" s="188"/>
      <c r="K5" s="190"/>
      <c r="L5" s="190"/>
      <c r="M5" s="190"/>
      <c r="N5" s="190"/>
      <c r="O5" s="190"/>
      <c r="P5" s="190"/>
      <c r="Q5" s="191"/>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236"/>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row>
    <row r="6" spans="1:278" ht="27" customHeight="1" thickBot="1" x14ac:dyDescent="0.25">
      <c r="A6" s="360" t="s">
        <v>222</v>
      </c>
      <c r="B6" s="361"/>
      <c r="C6" s="367" t="s">
        <v>67</v>
      </c>
      <c r="D6" s="368"/>
      <c r="E6" s="368"/>
      <c r="F6" s="368"/>
      <c r="G6" s="368"/>
      <c r="H6" s="368"/>
      <c r="I6" s="368"/>
      <c r="J6" s="368"/>
      <c r="K6" s="368"/>
      <c r="L6" s="368"/>
      <c r="M6" s="368"/>
      <c r="N6" s="368"/>
      <c r="O6" s="368"/>
      <c r="P6" s="368"/>
      <c r="Q6" s="368"/>
      <c r="R6" s="368"/>
      <c r="S6" s="368"/>
      <c r="T6" s="368"/>
      <c r="U6" s="368"/>
      <c r="V6" s="368"/>
      <c r="W6" s="369"/>
      <c r="X6" s="237"/>
      <c r="Y6" s="237"/>
      <c r="Z6" s="237"/>
      <c r="AA6" s="237"/>
      <c r="AB6" s="237"/>
      <c r="AC6" s="366"/>
      <c r="AD6" s="366"/>
      <c r="AE6" s="366"/>
      <c r="AF6" s="357"/>
      <c r="AG6" s="357"/>
      <c r="AH6" s="357"/>
      <c r="AI6" s="357"/>
      <c r="AJ6" s="357"/>
      <c r="AK6" s="357"/>
      <c r="AL6" s="357"/>
      <c r="AM6" s="357"/>
      <c r="AN6" s="357"/>
      <c r="AO6" s="357"/>
      <c r="AP6" s="357"/>
      <c r="AQ6" s="357"/>
      <c r="AR6" s="357"/>
      <c r="AS6" s="357"/>
      <c r="AT6" s="357"/>
      <c r="AU6" s="357"/>
      <c r="AV6" s="357"/>
      <c r="AW6" s="357"/>
      <c r="AX6" s="357"/>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row>
    <row r="7" spans="1:278" ht="27" customHeight="1" thickBot="1" x14ac:dyDescent="0.3">
      <c r="A7" s="362" t="s">
        <v>223</v>
      </c>
      <c r="B7" s="363"/>
      <c r="C7" s="370"/>
      <c r="D7" s="371"/>
      <c r="E7" s="371"/>
      <c r="F7" s="371"/>
      <c r="G7" s="371"/>
      <c r="H7" s="371"/>
      <c r="I7" s="371"/>
      <c r="J7" s="371"/>
      <c r="K7" s="371"/>
      <c r="L7" s="371"/>
      <c r="M7" s="371"/>
      <c r="N7" s="371"/>
      <c r="O7" s="371"/>
      <c r="P7" s="371"/>
      <c r="Q7" s="371"/>
      <c r="R7" s="371"/>
      <c r="S7" s="371"/>
      <c r="T7" s="371"/>
      <c r="U7" s="371"/>
      <c r="V7" s="371"/>
      <c r="W7" s="372"/>
      <c r="X7" s="238"/>
      <c r="Y7" s="238"/>
      <c r="Z7" s="238"/>
      <c r="AA7" s="238"/>
      <c r="AB7" s="238"/>
      <c r="AC7" s="239"/>
      <c r="AD7" s="239"/>
      <c r="AE7" s="239"/>
      <c r="AF7" s="357"/>
      <c r="AG7" s="357"/>
      <c r="AH7" s="357"/>
      <c r="AI7" s="357"/>
      <c r="AJ7" s="357"/>
      <c r="AK7" s="357"/>
      <c r="AL7" s="357"/>
      <c r="AM7" s="357"/>
      <c r="AN7" s="357"/>
      <c r="AO7" s="357"/>
      <c r="AP7" s="357"/>
      <c r="AQ7" s="357"/>
      <c r="AR7" s="357"/>
      <c r="AS7" s="357"/>
      <c r="AT7" s="357"/>
      <c r="AU7" s="357"/>
      <c r="AV7" s="357"/>
      <c r="AW7" s="357"/>
      <c r="AX7" s="357"/>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row>
    <row r="8" spans="1:278" ht="27" customHeight="1" thickBot="1" x14ac:dyDescent="0.3">
      <c r="A8" s="364" t="s">
        <v>224</v>
      </c>
      <c r="B8" s="365"/>
      <c r="C8" s="370"/>
      <c r="D8" s="371"/>
      <c r="E8" s="371"/>
      <c r="F8" s="371"/>
      <c r="G8" s="371"/>
      <c r="H8" s="371"/>
      <c r="I8" s="371"/>
      <c r="J8" s="371"/>
      <c r="K8" s="371"/>
      <c r="L8" s="371"/>
      <c r="M8" s="371"/>
      <c r="N8" s="371"/>
      <c r="O8" s="371"/>
      <c r="P8" s="371"/>
      <c r="Q8" s="371"/>
      <c r="R8" s="371"/>
      <c r="S8" s="371"/>
      <c r="T8" s="371"/>
      <c r="U8" s="371"/>
      <c r="V8" s="371"/>
      <c r="W8" s="372"/>
      <c r="X8" s="238"/>
      <c r="Y8" s="238"/>
      <c r="Z8" s="238"/>
      <c r="AA8" s="238"/>
      <c r="AB8" s="238"/>
      <c r="AC8" s="239"/>
      <c r="AD8" s="239"/>
      <c r="AE8" s="239"/>
      <c r="AF8" s="357"/>
      <c r="AG8" s="357"/>
      <c r="AH8" s="357"/>
      <c r="AI8" s="357"/>
      <c r="AJ8" s="357"/>
      <c r="AK8" s="357"/>
      <c r="AL8" s="357"/>
      <c r="AM8" s="357"/>
      <c r="AN8" s="357"/>
      <c r="AO8" s="357"/>
      <c r="AP8" s="357"/>
      <c r="AQ8" s="357"/>
      <c r="AR8" s="357"/>
      <c r="AS8" s="357"/>
      <c r="AT8" s="357"/>
      <c r="AU8" s="357"/>
      <c r="AV8" s="357"/>
      <c r="AW8" s="357"/>
      <c r="AX8" s="357"/>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row>
    <row r="9" spans="1:278" ht="15.75" x14ac:dyDescent="0.25">
      <c r="A9" s="192"/>
      <c r="B9" s="192"/>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4"/>
      <c r="AD9" s="194"/>
      <c r="AE9" s="194"/>
      <c r="AF9" s="195"/>
      <c r="AG9" s="195"/>
      <c r="AH9" s="195"/>
      <c r="AI9" s="195"/>
      <c r="AJ9" s="195"/>
      <c r="AK9" s="195"/>
      <c r="AL9" s="195"/>
      <c r="AM9" s="195"/>
      <c r="AN9" s="195"/>
      <c r="AO9" s="195"/>
      <c r="AP9" s="195"/>
      <c r="AQ9" s="195"/>
      <c r="AR9" s="195"/>
      <c r="AS9" s="195"/>
      <c r="AT9" s="195"/>
      <c r="AU9" s="195"/>
      <c r="AV9" s="195"/>
      <c r="AW9" s="195"/>
      <c r="AX9" s="195"/>
    </row>
    <row r="10" spans="1:278" ht="27.75" customHeight="1" x14ac:dyDescent="0.2">
      <c r="A10" s="423" t="s">
        <v>225</v>
      </c>
      <c r="B10" s="424"/>
      <c r="C10" s="424"/>
      <c r="D10" s="424"/>
      <c r="E10" s="424"/>
      <c r="F10" s="424"/>
      <c r="G10" s="248"/>
      <c r="H10" s="248"/>
      <c r="I10" s="248"/>
      <c r="J10" s="248"/>
      <c r="K10" s="432" t="s">
        <v>226</v>
      </c>
      <c r="L10" s="433"/>
      <c r="M10" s="433"/>
      <c r="N10" s="434"/>
      <c r="O10" s="394" t="s">
        <v>227</v>
      </c>
      <c r="P10" s="395"/>
      <c r="Q10" s="421" t="s">
        <v>228</v>
      </c>
      <c r="R10" s="422"/>
      <c r="S10" s="422"/>
      <c r="T10" s="422"/>
      <c r="U10" s="422"/>
      <c r="V10" s="422"/>
      <c r="W10" s="422"/>
      <c r="X10" s="422"/>
      <c r="Y10" s="424" t="s">
        <v>229</v>
      </c>
      <c r="Z10" s="424"/>
      <c r="AA10" s="424"/>
      <c r="AB10" s="424"/>
      <c r="AC10" s="424"/>
      <c r="AD10" s="424"/>
      <c r="AE10" s="424"/>
      <c r="AF10" s="424"/>
      <c r="AG10" s="424"/>
      <c r="AH10" s="424"/>
      <c r="AI10" s="424"/>
      <c r="AJ10" s="424"/>
      <c r="AK10" s="425"/>
      <c r="AL10" s="435" t="s">
        <v>230</v>
      </c>
      <c r="AM10" s="436"/>
      <c r="AN10" s="436"/>
      <c r="AO10" s="436"/>
      <c r="AP10" s="437"/>
      <c r="AQ10" s="423" t="s">
        <v>231</v>
      </c>
      <c r="AR10" s="424"/>
      <c r="AS10" s="424"/>
      <c r="AT10" s="424"/>
      <c r="AU10" s="425"/>
      <c r="AV10" s="432" t="s">
        <v>232</v>
      </c>
      <c r="AW10" s="433"/>
      <c r="AX10" s="434"/>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row>
    <row r="11" spans="1:278" ht="15.75" x14ac:dyDescent="0.2">
      <c r="A11" s="391" t="s">
        <v>233</v>
      </c>
      <c r="B11" s="396" t="s">
        <v>234</v>
      </c>
      <c r="C11" s="396" t="s">
        <v>332</v>
      </c>
      <c r="D11" s="396" t="s">
        <v>333</v>
      </c>
      <c r="E11" s="398" t="s">
        <v>237</v>
      </c>
      <c r="F11" s="396" t="s">
        <v>238</v>
      </c>
      <c r="G11" s="604" t="s">
        <v>334</v>
      </c>
      <c r="H11" s="606" t="s">
        <v>335</v>
      </c>
      <c r="I11" s="606" t="s">
        <v>336</v>
      </c>
      <c r="J11" s="606" t="s">
        <v>337</v>
      </c>
      <c r="K11" s="409" t="s">
        <v>130</v>
      </c>
      <c r="L11" s="409" t="s">
        <v>239</v>
      </c>
      <c r="M11" s="409" t="s">
        <v>240</v>
      </c>
      <c r="N11" s="409" t="s">
        <v>241</v>
      </c>
      <c r="O11" s="394"/>
      <c r="P11" s="395"/>
      <c r="Q11" s="392" t="s">
        <v>242</v>
      </c>
      <c r="R11" s="392" t="s">
        <v>243</v>
      </c>
      <c r="S11" s="393" t="s">
        <v>244</v>
      </c>
      <c r="T11" s="392" t="s">
        <v>245</v>
      </c>
      <c r="U11" s="392" t="s">
        <v>246</v>
      </c>
      <c r="V11" s="392" t="s">
        <v>247</v>
      </c>
      <c r="W11" s="393" t="s">
        <v>244</v>
      </c>
      <c r="X11" s="392" t="s">
        <v>248</v>
      </c>
      <c r="Y11" s="431" t="s">
        <v>249</v>
      </c>
      <c r="Z11" s="252"/>
      <c r="AA11" s="252"/>
      <c r="AB11" s="252"/>
      <c r="AC11" s="396" t="s">
        <v>31</v>
      </c>
      <c r="AD11" s="396" t="s">
        <v>33</v>
      </c>
      <c r="AE11" s="396" t="s">
        <v>250</v>
      </c>
      <c r="AF11" s="396"/>
      <c r="AG11" s="396"/>
      <c r="AH11" s="396"/>
      <c r="AI11" s="396"/>
      <c r="AJ11" s="396"/>
      <c r="AK11" s="431" t="s">
        <v>251</v>
      </c>
      <c r="AL11" s="429" t="s">
        <v>252</v>
      </c>
      <c r="AM11" s="429" t="s">
        <v>244</v>
      </c>
      <c r="AN11" s="429" t="s">
        <v>253</v>
      </c>
      <c r="AO11" s="429" t="s">
        <v>244</v>
      </c>
      <c r="AP11" s="429" t="s">
        <v>254</v>
      </c>
      <c r="AQ11" s="431" t="s">
        <v>49</v>
      </c>
      <c r="AR11" s="396" t="s">
        <v>255</v>
      </c>
      <c r="AS11" s="396" t="s">
        <v>256</v>
      </c>
      <c r="AT11" s="396" t="s">
        <v>257</v>
      </c>
      <c r="AU11" s="396" t="s">
        <v>258</v>
      </c>
      <c r="AV11" s="430" t="s">
        <v>259</v>
      </c>
      <c r="AW11" s="430" t="s">
        <v>257</v>
      </c>
      <c r="AX11" s="430" t="s">
        <v>260</v>
      </c>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row>
    <row r="12" spans="1:278" s="198" customFormat="1" ht="99" x14ac:dyDescent="0.25">
      <c r="A12" s="391"/>
      <c r="B12" s="397"/>
      <c r="C12" s="396"/>
      <c r="D12" s="396"/>
      <c r="E12" s="399"/>
      <c r="F12" s="397"/>
      <c r="G12" s="605"/>
      <c r="H12" s="606"/>
      <c r="I12" s="606"/>
      <c r="J12" s="606"/>
      <c r="K12" s="410"/>
      <c r="L12" s="410"/>
      <c r="M12" s="410"/>
      <c r="N12" s="410"/>
      <c r="O12" s="251" t="s">
        <v>261</v>
      </c>
      <c r="P12" s="251" t="s">
        <v>262</v>
      </c>
      <c r="Q12" s="392"/>
      <c r="R12" s="392"/>
      <c r="S12" s="393"/>
      <c r="T12" s="392"/>
      <c r="U12" s="392"/>
      <c r="V12" s="393"/>
      <c r="W12" s="393"/>
      <c r="X12" s="392"/>
      <c r="Y12" s="431"/>
      <c r="Z12" s="250" t="s">
        <v>260</v>
      </c>
      <c r="AA12" s="250" t="s">
        <v>259</v>
      </c>
      <c r="AB12" s="250" t="s">
        <v>263</v>
      </c>
      <c r="AC12" s="396"/>
      <c r="AD12" s="396"/>
      <c r="AE12" s="249" t="s">
        <v>264</v>
      </c>
      <c r="AF12" s="249" t="s">
        <v>265</v>
      </c>
      <c r="AG12" s="249" t="s">
        <v>266</v>
      </c>
      <c r="AH12" s="249" t="s">
        <v>267</v>
      </c>
      <c r="AI12" s="249" t="s">
        <v>268</v>
      </c>
      <c r="AJ12" s="249" t="s">
        <v>269</v>
      </c>
      <c r="AK12" s="431"/>
      <c r="AL12" s="429"/>
      <c r="AM12" s="429"/>
      <c r="AN12" s="429"/>
      <c r="AO12" s="429"/>
      <c r="AP12" s="429"/>
      <c r="AQ12" s="431"/>
      <c r="AR12" s="396"/>
      <c r="AS12" s="396"/>
      <c r="AT12" s="396"/>
      <c r="AU12" s="396"/>
      <c r="AV12" s="430"/>
      <c r="AW12" s="430"/>
      <c r="AX12" s="430"/>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c r="IW12" s="197"/>
      <c r="IX12" s="197"/>
      <c r="IY12" s="197"/>
      <c r="IZ12" s="197"/>
      <c r="JA12" s="197"/>
      <c r="JB12" s="197"/>
      <c r="JC12" s="197"/>
      <c r="JD12" s="197"/>
      <c r="JE12" s="197"/>
      <c r="JF12" s="197"/>
      <c r="JG12" s="197"/>
      <c r="JH12" s="197"/>
      <c r="JI12" s="197"/>
      <c r="JJ12" s="197"/>
      <c r="JK12" s="197"/>
      <c r="JL12" s="197"/>
      <c r="JM12" s="197"/>
      <c r="JN12" s="197"/>
      <c r="JO12" s="197"/>
      <c r="JP12" s="197"/>
      <c r="JQ12" s="197"/>
      <c r="JR12" s="197"/>
    </row>
    <row r="13" spans="1:278" s="200" customFormat="1" x14ac:dyDescent="0.25">
      <c r="A13" s="411">
        <v>1</v>
      </c>
      <c r="B13" s="353"/>
      <c r="C13" s="353"/>
      <c r="D13" s="353"/>
      <c r="E13" s="353"/>
      <c r="F13" s="413" t="str">
        <f>+CONCATENATE(B13," ",C13," ",D13)</f>
        <v xml:space="preserve">  </v>
      </c>
      <c r="G13" s="354"/>
      <c r="H13" s="354"/>
      <c r="I13" s="354"/>
      <c r="J13" s="354"/>
      <c r="K13" s="354"/>
      <c r="L13" s="354"/>
      <c r="M13" s="354"/>
      <c r="N13" s="354"/>
      <c r="O13" s="354"/>
      <c r="P13" s="354"/>
      <c r="Q13" s="414"/>
      <c r="R13" s="415" t="str">
        <f>IF(Q13&lt;=0,"",IF(Q13&lt;=2,"Muy Baja",IF(Q13&lt;=24,"Baja",IF(Q13&lt;=500,"Media",IF(Q13&lt;=5000,"Alta","Muy Alta")))))</f>
        <v/>
      </c>
      <c r="S13" s="416" t="str">
        <f>IF(R13="","",IF(R13="Muy Baja",0.2,IF(R13="Baja",0.4,IF(R13="Media",0.6,IF(R13="Alta",0.8,IF(R13="Muy Alta",1,))))))</f>
        <v/>
      </c>
      <c r="T13" s="417"/>
      <c r="U13" s="416">
        <f>IF(NOT(ISERROR(MATCH(T13,'Tabla Impacto'!$B$245:$B$247,0))),'Tabla Impacto'!$F$224&amp;"Por favor no seleccionar los criterios de impacto(Afectación Económica o presupuestal y Pérdida Reputacional)",T13)</f>
        <v>0</v>
      </c>
      <c r="V13" s="415" t="str">
        <f>IF(OR(U13='Tabla Impacto'!$C$12,U13='Tabla Impacto'!$D$12),"Leve",IF(OR(U13='Tabla Impacto'!$C$13,U13='Tabla Impacto'!$D$13),"Menor",IF(OR(U13='Tabla Impacto'!$C$14,U13='Tabla Impacto'!$D$14),"Moderado",IF(OR(U13='Tabla Impacto'!$C$15,U13='Tabla Impacto'!$D$15),"Mayor",IF(OR(U13='Tabla Impacto'!$C$16,U13='Tabla Impacto'!$D$16),"Catastrófico","")))))</f>
        <v/>
      </c>
      <c r="W13" s="416" t="str">
        <f>IF(V13="","",IF(V13="Leve",0.2,IF(V13="Menor",0.4,IF(V13="Moderado",0.6,IF(V13="Mayor",0.8,IF(V13="Catastrófico",1,))))))</f>
        <v/>
      </c>
      <c r="X13" s="420" t="str">
        <f>IF(OR(AND(R13="Muy Baja",V13="Leve"),AND(R13="Muy Baja",V13="Menor"),AND(R13="Baja",V13="Leve")),"Bajo",IF(OR(AND(R13="Muy baja",V13="Moderado"),AND(R13="Baja",V13="Menor"),AND(R13="Baja",V13="Moderado"),AND(R13="Media",V13="Leve"),AND(R13="Media",V13="Menor"),AND(R13="Media",V13="Moderado"),AND(R13="Alta",V13="Leve"),AND(R13="Alta",V13="Menor")),"Moderado",IF(OR(AND(R13="Muy Baja",V13="Mayor"),AND(R13="Baja",V13="Mayor"),AND(R13="Media",V13="Mayor"),AND(R13="Alta",V13="Moderado"),AND(R13="Alta",V13="Mayor"),AND(R13="Muy Alta",V13="Leve"),AND(R13="Muy Alta",V13="Menor"),AND(R13="Muy Alta",V13="Moderado"),AND(R13="Muy Alta",V13="Mayor")),"Alto",IF(OR(AND(R13="Muy Baja",V13="Catastrófico"),AND(R13="Baja",V13="Catastrófico"),AND(R13="Media",V13="Catastrófico"),AND(R13="Alta",V13="Catastrófico"),AND(R13="Muy Alta",V13="Catastrófico")),"Extremo",""))))</f>
        <v/>
      </c>
      <c r="Y13" s="199">
        <v>1</v>
      </c>
      <c r="Z13" s="244"/>
      <c r="AA13" s="244"/>
      <c r="AB13" s="244"/>
      <c r="AC13" s="224" t="str">
        <f>+CONCATENATE(Z13," ",AA13," ",AB13)</f>
        <v xml:space="preserve">  </v>
      </c>
      <c r="AD13" s="176" t="str">
        <f t="shared" ref="AD13:AD18" si="0">IF(OR(AE13="Preventivo",AE13="Detectivo"),"Probabilidad",IF(AE13="Correctivo","Impacto",""))</f>
        <v/>
      </c>
      <c r="AE13" s="177"/>
      <c r="AF13" s="177"/>
      <c r="AG13" s="178" t="str">
        <f>IF(AND(AE13="Preventivo",AF13="Automático"),"50%",IF(AND(AE13="Preventivo",AF13="Manual"),"40%",IF(AND(AE13="Detectivo",AF13="Automático"),"40%",IF(AND(AE13="Detectivo",AF13="Manual"),"30%",IF(AND(AE13="Correctivo",AF13="Automático"),"35%",IF(AND(AE13="Correctivo",AF13="Manual"),"25%",""))))))</f>
        <v/>
      </c>
      <c r="AH13" s="177"/>
      <c r="AI13" s="177"/>
      <c r="AJ13" s="177"/>
      <c r="AK13" s="179" t="str">
        <f>IFERROR(IF(AD13="Probabilidad",(S13-(+S13*AG13)),IF(AD13="Impacto",S13,"")),"")</f>
        <v/>
      </c>
      <c r="AL13" s="180" t="str">
        <f>IFERROR(IF(AK13="","",IF(AK13&lt;=0.2,"Muy Baja",IF(AK13&lt;=0.4,"Baja",IF(AK13&lt;=0.6,"Media",IF(AK13&lt;=0.8,"Alta","Muy Alta"))))),"")</f>
        <v/>
      </c>
      <c r="AM13" s="178" t="str">
        <f>+AK13</f>
        <v/>
      </c>
      <c r="AN13" s="180" t="str">
        <f>IFERROR(IF(AO13="","",IF(AO13&lt;=0.2,"Leve",IF(AO13&lt;=0.4,"Menor",IF(AO13&lt;=0.6,"Moderado",IF(AO13&lt;=0.8,"Mayor","Catastrófico"))))),"")</f>
        <v/>
      </c>
      <c r="AO13" s="178" t="str">
        <f>IFERROR(IF(AD13="Impacto",(W13-(+W13*AG13)),IF(AD13="Probabilidad",W13,"")),"")</f>
        <v/>
      </c>
      <c r="AP13" s="181" t="str">
        <f>IFERROR(IF(OR(AND(AL13="Muy Baja",AN13="Leve"),AND(AL13="Muy Baja",AN13="Menor"),AND(AL13="Baja",AN13="Leve")),"Bajo",IF(OR(AND(AL13="Muy baja",AN13="Moderado"),AND(AL13="Baja",AN13="Menor"),AND(AL13="Baja",AN13="Moderado"),AND(AL13="Media",AN13="Leve"),AND(AL13="Media",AN13="Menor"),AND(AL13="Media",AN13="Moderado"),AND(AL13="Alta",AN13="Leve"),AND(AL13="Alta",AN13="Menor")),"Moderado",IF(OR(AND(AL13="Muy Baja",AN13="Mayor"),AND(AL13="Baja",AN13="Mayor"),AND(AL13="Media",AN13="Mayor"),AND(AL13="Alta",AN13="Moderado"),AND(AL13="Alta",AN13="Mayor"),AND(AL13="Muy Alta",AN13="Leve"),AND(AL13="Muy Alta",AN13="Menor"),AND(AL13="Muy Alta",AN13="Moderado"),AND(AL13="Muy Alta",AN13="Mayor")),"Alto",IF(OR(AND(AL13="Muy Baja",AN13="Catastrófico"),AND(AL13="Baja",AN13="Catastrófico"),AND(AL13="Media",AN13="Catastrófico"),AND(AL13="Alta",AN13="Catastrófico"),AND(AL13="Muy Alta",AN13="Catastrófico")),"Extremo","")))),"")</f>
        <v/>
      </c>
      <c r="AQ13" s="182"/>
      <c r="AR13" s="175"/>
      <c r="AS13" s="183"/>
      <c r="AT13" s="183"/>
      <c r="AU13" s="184"/>
      <c r="AV13" s="353"/>
      <c r="AW13" s="353"/>
      <c r="AX13" s="353"/>
    </row>
    <row r="14" spans="1:278" ht="19.5" customHeight="1" x14ac:dyDescent="0.2">
      <c r="A14" s="411"/>
      <c r="B14" s="353"/>
      <c r="C14" s="353"/>
      <c r="D14" s="353"/>
      <c r="E14" s="353"/>
      <c r="F14" s="413"/>
      <c r="G14" s="355"/>
      <c r="H14" s="355"/>
      <c r="I14" s="355"/>
      <c r="J14" s="355"/>
      <c r="K14" s="355"/>
      <c r="L14" s="355"/>
      <c r="M14" s="355"/>
      <c r="N14" s="355"/>
      <c r="O14" s="355"/>
      <c r="P14" s="355"/>
      <c r="Q14" s="414"/>
      <c r="R14" s="415"/>
      <c r="S14" s="416"/>
      <c r="T14" s="417"/>
      <c r="U14" s="416">
        <f>IF(NOT(ISERROR(MATCH(T14,_xlfn.ANCHORARRAY(F25),0))),S27&amp;"Por favor no seleccionar los criterios de impacto",T14)</f>
        <v>0</v>
      </c>
      <c r="V14" s="415"/>
      <c r="W14" s="416"/>
      <c r="X14" s="420"/>
      <c r="Y14" s="199">
        <v>2</v>
      </c>
      <c r="Z14" s="244"/>
      <c r="AA14" s="199"/>
      <c r="AB14" s="199"/>
      <c r="AC14" s="224" t="str">
        <f t="shared" ref="AC14:AC72" si="1">+CONCATENATE(Z14," ",AA14," ",AB14)</f>
        <v xml:space="preserve">  </v>
      </c>
      <c r="AD14" s="176" t="str">
        <f t="shared" si="0"/>
        <v/>
      </c>
      <c r="AE14" s="177"/>
      <c r="AF14" s="177"/>
      <c r="AG14" s="178" t="str">
        <f t="shared" ref="AG14:AG18" si="2">IF(AND(AE14="Preventivo",AF14="Automático"),"50%",IF(AND(AE14="Preventivo",AF14="Manual"),"40%",IF(AND(AE14="Detectivo",AF14="Automático"),"40%",IF(AND(AE14="Detectivo",AF14="Manual"),"30%",IF(AND(AE14="Correctivo",AF14="Automático"),"35%",IF(AND(AE14="Correctivo",AF14="Manual"),"25%",""))))))</f>
        <v/>
      </c>
      <c r="AH14" s="177"/>
      <c r="AI14" s="177"/>
      <c r="AJ14" s="177"/>
      <c r="AK14" s="179" t="str">
        <f>IFERROR(IF(AND(AD13="Probabilidad",AD14="Probabilidad"),(AM13-(+AM13*AG14)),IF(AD14="Probabilidad",(S13-(+S13*AG14)),IF(AD14="Impacto",AM13,""))),"")</f>
        <v/>
      </c>
      <c r="AL14" s="180" t="str">
        <f t="shared" ref="AL14:AL72" si="3">IFERROR(IF(AK14="","",IF(AK14&lt;=0.2,"Muy Baja",IF(AK14&lt;=0.4,"Baja",IF(AK14&lt;=0.6,"Media",IF(AK14&lt;=0.8,"Alta","Muy Alta"))))),"")</f>
        <v/>
      </c>
      <c r="AM14" s="178" t="str">
        <f t="shared" ref="AM14:AM18" si="4">+AK14</f>
        <v/>
      </c>
      <c r="AN14" s="180" t="str">
        <f t="shared" ref="AN14:AN72" si="5">IFERROR(IF(AO14="","",IF(AO14&lt;=0.2,"Leve",IF(AO14&lt;=0.4,"Menor",IF(AO14&lt;=0.6,"Moderado",IF(AO14&lt;=0.8,"Mayor","Catastrófico"))))),"")</f>
        <v/>
      </c>
      <c r="AO14" s="178" t="str">
        <f>IFERROR(IF(AND(AD13="Impacto",AD14="Impacto"),(AO13-(+AO13*AG14)),IF(AD14="Impacto",($W$13-(+$W$13*AG14)),IF(AD14="Probabilidad",AO13,""))),"")</f>
        <v/>
      </c>
      <c r="AP14" s="181" t="str">
        <f t="shared" ref="AP14:AP18" si="6">IFERROR(IF(OR(AND(AL14="Muy Baja",AN14="Leve"),AND(AL14="Muy Baja",AN14="Menor"),AND(AL14="Baja",AN14="Leve")),"Bajo",IF(OR(AND(AL14="Muy baja",AN14="Moderado"),AND(AL14="Baja",AN14="Menor"),AND(AL14="Baja",AN14="Moderado"),AND(AL14="Media",AN14="Leve"),AND(AL14="Media",AN14="Menor"),AND(AL14="Media",AN14="Moderado"),AND(AL14="Alta",AN14="Leve"),AND(AL14="Alta",AN14="Menor")),"Moderado",IF(OR(AND(AL14="Muy Baja",AN14="Mayor"),AND(AL14="Baja",AN14="Mayor"),AND(AL14="Media",AN14="Mayor"),AND(AL14="Alta",AN14="Moderado"),AND(AL14="Alta",AN14="Mayor"),AND(AL14="Muy Alta",AN14="Leve"),AND(AL14="Muy Alta",AN14="Menor"),AND(AL14="Muy Alta",AN14="Moderado"),AND(AL14="Muy Alta",AN14="Mayor")),"Alto",IF(OR(AND(AL14="Muy Baja",AN14="Catastrófico"),AND(AL14="Baja",AN14="Catastrófico"),AND(AL14="Media",AN14="Catastrófico"),AND(AL14="Alta",AN14="Catastrófico"),AND(AL14="Muy Alta",AN14="Catastrófico")),"Extremo","")))),"")</f>
        <v/>
      </c>
      <c r="AQ14" s="182"/>
      <c r="AR14" s="175"/>
      <c r="AS14" s="183"/>
      <c r="AT14" s="175"/>
      <c r="AU14" s="184"/>
      <c r="AV14" s="353"/>
      <c r="AW14" s="353"/>
      <c r="AX14" s="353"/>
    </row>
    <row r="15" spans="1:278" x14ac:dyDescent="0.2">
      <c r="A15" s="411"/>
      <c r="B15" s="353"/>
      <c r="C15" s="353"/>
      <c r="D15" s="353"/>
      <c r="E15" s="353"/>
      <c r="F15" s="413"/>
      <c r="G15" s="355"/>
      <c r="H15" s="355"/>
      <c r="I15" s="355"/>
      <c r="J15" s="355"/>
      <c r="K15" s="355"/>
      <c r="L15" s="355"/>
      <c r="M15" s="355"/>
      <c r="N15" s="355"/>
      <c r="O15" s="355"/>
      <c r="P15" s="355"/>
      <c r="Q15" s="414"/>
      <c r="R15" s="415"/>
      <c r="S15" s="416"/>
      <c r="T15" s="417"/>
      <c r="U15" s="416">
        <f>IF(NOT(ISERROR(MATCH(T15,_xlfn.ANCHORARRAY(F26),0))),S28&amp;"Por favor no seleccionar los criterios de impacto",T15)</f>
        <v>0</v>
      </c>
      <c r="V15" s="415"/>
      <c r="W15" s="416"/>
      <c r="X15" s="420"/>
      <c r="Y15" s="199">
        <v>3</v>
      </c>
      <c r="Z15" s="244"/>
      <c r="AA15" s="199"/>
      <c r="AB15" s="199"/>
      <c r="AC15" s="224" t="str">
        <f t="shared" si="1"/>
        <v xml:space="preserve">  </v>
      </c>
      <c r="AD15" s="176" t="str">
        <f t="shared" si="0"/>
        <v/>
      </c>
      <c r="AE15" s="177"/>
      <c r="AF15" s="177"/>
      <c r="AG15" s="178" t="str">
        <f t="shared" si="2"/>
        <v/>
      </c>
      <c r="AH15" s="177"/>
      <c r="AI15" s="177"/>
      <c r="AJ15" s="177"/>
      <c r="AK15" s="179" t="str">
        <f>IFERROR(IF(AND(AD14="Probabilidad",AD15="Probabilidad"),(AM14-(+AM14*AG15)),IF(AND(AD14="Impacto",AD15="Probabilidad"),(AM13-(+AM13*AG15)),IF(AD15="Impacto",AM14,""))),"")</f>
        <v/>
      </c>
      <c r="AL15" s="180" t="str">
        <f t="shared" si="3"/>
        <v/>
      </c>
      <c r="AM15" s="178" t="str">
        <f t="shared" si="4"/>
        <v/>
      </c>
      <c r="AN15" s="180" t="str">
        <f t="shared" si="5"/>
        <v/>
      </c>
      <c r="AO15" s="178" t="str">
        <f>IFERROR(IF(AND(AD14="Impacto",AD15="Impacto"),(AO14-(+AO14*AG15)),IF(AND(AD14="Probabilidad",AD15="Impacto"),(AO13-(+AO13*AG15)),IF(AD15="Probabilidad",AO14,""))),"")</f>
        <v/>
      </c>
      <c r="AP15" s="181" t="str">
        <f t="shared" si="6"/>
        <v/>
      </c>
      <c r="AQ15" s="182"/>
      <c r="AR15" s="175"/>
      <c r="AS15" s="183"/>
      <c r="AT15" s="183"/>
      <c r="AU15" s="184"/>
      <c r="AV15" s="353"/>
      <c r="AW15" s="353"/>
      <c r="AX15" s="353"/>
    </row>
    <row r="16" spans="1:278" x14ac:dyDescent="0.2">
      <c r="A16" s="411"/>
      <c r="B16" s="353"/>
      <c r="C16" s="353"/>
      <c r="D16" s="353"/>
      <c r="E16" s="353"/>
      <c r="F16" s="413"/>
      <c r="G16" s="355"/>
      <c r="H16" s="355"/>
      <c r="I16" s="355"/>
      <c r="J16" s="355"/>
      <c r="K16" s="355"/>
      <c r="L16" s="355"/>
      <c r="M16" s="355"/>
      <c r="N16" s="355"/>
      <c r="O16" s="355"/>
      <c r="P16" s="355"/>
      <c r="Q16" s="414"/>
      <c r="R16" s="415"/>
      <c r="S16" s="416"/>
      <c r="T16" s="417"/>
      <c r="U16" s="416">
        <f>IF(NOT(ISERROR(MATCH(T16,_xlfn.ANCHORARRAY(F27),0))),S29&amp;"Por favor no seleccionar los criterios de impacto",T16)</f>
        <v>0</v>
      </c>
      <c r="V16" s="415"/>
      <c r="W16" s="416"/>
      <c r="X16" s="420"/>
      <c r="Y16" s="199">
        <v>4</v>
      </c>
      <c r="Z16" s="244"/>
      <c r="AA16" s="199"/>
      <c r="AB16" s="199"/>
      <c r="AC16" s="224" t="str">
        <f t="shared" si="1"/>
        <v xml:space="preserve">  </v>
      </c>
      <c r="AD16" s="176" t="str">
        <f t="shared" si="0"/>
        <v/>
      </c>
      <c r="AE16" s="177"/>
      <c r="AF16" s="177"/>
      <c r="AG16" s="178" t="str">
        <f t="shared" si="2"/>
        <v/>
      </c>
      <c r="AH16" s="177"/>
      <c r="AI16" s="177"/>
      <c r="AJ16" s="177"/>
      <c r="AK16" s="179" t="str">
        <f t="shared" ref="AK16:AK18" si="7">IFERROR(IF(AND(AD15="Probabilidad",AD16="Probabilidad"),(AM15-(+AM15*AG16)),IF(AND(AD15="Impacto",AD16="Probabilidad"),(AM14-(+AM14*AG16)),IF(AD16="Impacto",AM15,""))),"")</f>
        <v/>
      </c>
      <c r="AL16" s="180" t="str">
        <f t="shared" si="3"/>
        <v/>
      </c>
      <c r="AM16" s="178" t="str">
        <f t="shared" si="4"/>
        <v/>
      </c>
      <c r="AN16" s="180" t="str">
        <f t="shared" si="5"/>
        <v/>
      </c>
      <c r="AO16" s="178" t="str">
        <f t="shared" ref="AO16:AO18" si="8">IFERROR(IF(AND(AD15="Impacto",AD16="Impacto"),(AO15-(+AO15*AG16)),IF(AND(AD15="Probabilidad",AD16="Impacto"),(AO14-(+AO14*AG16)),IF(AD16="Probabilidad",AO15,""))),"")</f>
        <v/>
      </c>
      <c r="AP16" s="181" t="str">
        <f>IFERROR(IF(OR(AND(AL16="Muy Baja",AN16="Leve"),AND(AL16="Muy Baja",AN16="Menor"),AND(AL16="Baja",AN16="Leve")),"Bajo",IF(OR(AND(AL16="Muy baja",AN16="Moderado"),AND(AL16="Baja",AN16="Menor"),AND(AL16="Baja",AN16="Moderado"),AND(AL16="Media",AN16="Leve"),AND(AL16="Media",AN16="Menor"),AND(AL16="Media",AN16="Moderado"),AND(AL16="Alta",AN16="Leve"),AND(AL16="Alta",AN16="Menor")),"Moderado",IF(OR(AND(AL16="Muy Baja",AN16="Mayor"),AND(AL16="Baja",AN16="Mayor"),AND(AL16="Media",AN16="Mayor"),AND(AL16="Alta",AN16="Moderado"),AND(AL16="Alta",AN16="Mayor"),AND(AL16="Muy Alta",AN16="Leve"),AND(AL16="Muy Alta",AN16="Menor"),AND(AL16="Muy Alta",AN16="Moderado"),AND(AL16="Muy Alta",AN16="Mayor")),"Alto",IF(OR(AND(AL16="Muy Baja",AN16="Catastrófico"),AND(AL16="Baja",AN16="Catastrófico"),AND(AL16="Media",AN16="Catastrófico"),AND(AL16="Alta",AN16="Catastrófico"),AND(AL16="Muy Alta",AN16="Catastrófico")),"Extremo","")))),"")</f>
        <v/>
      </c>
      <c r="AQ16" s="182"/>
      <c r="AR16" s="175"/>
      <c r="AS16" s="183"/>
      <c r="AT16" s="183"/>
      <c r="AU16" s="184"/>
      <c r="AV16" s="353"/>
      <c r="AW16" s="353"/>
      <c r="AX16" s="353"/>
    </row>
    <row r="17" spans="1:50" x14ac:dyDescent="0.2">
      <c r="A17" s="411"/>
      <c r="B17" s="353"/>
      <c r="C17" s="353"/>
      <c r="D17" s="353"/>
      <c r="E17" s="353"/>
      <c r="F17" s="413"/>
      <c r="G17" s="355"/>
      <c r="H17" s="355"/>
      <c r="I17" s="355"/>
      <c r="J17" s="355"/>
      <c r="K17" s="355"/>
      <c r="L17" s="355"/>
      <c r="M17" s="355"/>
      <c r="N17" s="355"/>
      <c r="O17" s="355"/>
      <c r="P17" s="355"/>
      <c r="Q17" s="414"/>
      <c r="R17" s="415"/>
      <c r="S17" s="416"/>
      <c r="T17" s="417"/>
      <c r="U17" s="416">
        <f>IF(NOT(ISERROR(MATCH(T17,_xlfn.ANCHORARRAY(F28),0))),S30&amp;"Por favor no seleccionar los criterios de impacto",T17)</f>
        <v>0</v>
      </c>
      <c r="V17" s="415"/>
      <c r="W17" s="416"/>
      <c r="X17" s="420"/>
      <c r="Y17" s="199">
        <v>5</v>
      </c>
      <c r="Z17" s="244"/>
      <c r="AA17" s="199"/>
      <c r="AB17" s="199"/>
      <c r="AC17" s="224" t="str">
        <f t="shared" si="1"/>
        <v xml:space="preserve">  </v>
      </c>
      <c r="AD17" s="176" t="str">
        <f t="shared" si="0"/>
        <v/>
      </c>
      <c r="AE17" s="177"/>
      <c r="AF17" s="177"/>
      <c r="AG17" s="178" t="str">
        <f t="shared" si="2"/>
        <v/>
      </c>
      <c r="AH17" s="177"/>
      <c r="AI17" s="177"/>
      <c r="AJ17" s="177"/>
      <c r="AK17" s="179" t="str">
        <f t="shared" si="7"/>
        <v/>
      </c>
      <c r="AL17" s="180" t="str">
        <f t="shared" si="3"/>
        <v/>
      </c>
      <c r="AM17" s="178" t="str">
        <f t="shared" si="4"/>
        <v/>
      </c>
      <c r="AN17" s="180" t="str">
        <f t="shared" si="5"/>
        <v/>
      </c>
      <c r="AO17" s="178" t="str">
        <f t="shared" si="8"/>
        <v/>
      </c>
      <c r="AP17" s="181" t="str">
        <f t="shared" si="6"/>
        <v/>
      </c>
      <c r="AQ17" s="182"/>
      <c r="AR17" s="175"/>
      <c r="AS17" s="183"/>
      <c r="AT17" s="183"/>
      <c r="AU17" s="184"/>
      <c r="AV17" s="353"/>
      <c r="AW17" s="353"/>
      <c r="AX17" s="353"/>
    </row>
    <row r="18" spans="1:50" x14ac:dyDescent="0.2">
      <c r="A18" s="411"/>
      <c r="B18" s="353"/>
      <c r="C18" s="353"/>
      <c r="D18" s="353"/>
      <c r="E18" s="353"/>
      <c r="F18" s="413"/>
      <c r="G18" s="356"/>
      <c r="H18" s="356"/>
      <c r="I18" s="356"/>
      <c r="J18" s="356"/>
      <c r="K18" s="356"/>
      <c r="L18" s="356"/>
      <c r="M18" s="356"/>
      <c r="N18" s="356"/>
      <c r="O18" s="356"/>
      <c r="P18" s="356"/>
      <c r="Q18" s="414"/>
      <c r="R18" s="415"/>
      <c r="S18" s="416"/>
      <c r="T18" s="417"/>
      <c r="U18" s="416">
        <f>IF(NOT(ISERROR(MATCH(T18,_xlfn.ANCHORARRAY(F29),0))),S31&amp;"Por favor no seleccionar los criterios de impacto",T18)</f>
        <v>0</v>
      </c>
      <c r="V18" s="415"/>
      <c r="W18" s="416"/>
      <c r="X18" s="420"/>
      <c r="Y18" s="199">
        <v>6</v>
      </c>
      <c r="Z18" s="244"/>
      <c r="AA18" s="199"/>
      <c r="AB18" s="199"/>
      <c r="AC18" s="224" t="str">
        <f t="shared" si="1"/>
        <v xml:space="preserve">  </v>
      </c>
      <c r="AD18" s="176" t="str">
        <f t="shared" si="0"/>
        <v/>
      </c>
      <c r="AE18" s="177"/>
      <c r="AF18" s="177"/>
      <c r="AG18" s="178" t="str">
        <f t="shared" si="2"/>
        <v/>
      </c>
      <c r="AH18" s="177"/>
      <c r="AI18" s="177"/>
      <c r="AJ18" s="177"/>
      <c r="AK18" s="179" t="str">
        <f t="shared" si="7"/>
        <v/>
      </c>
      <c r="AL18" s="180" t="str">
        <f t="shared" si="3"/>
        <v/>
      </c>
      <c r="AM18" s="178" t="str">
        <f t="shared" si="4"/>
        <v/>
      </c>
      <c r="AN18" s="180" t="str">
        <f t="shared" si="5"/>
        <v/>
      </c>
      <c r="AO18" s="178" t="str">
        <f t="shared" si="8"/>
        <v/>
      </c>
      <c r="AP18" s="181" t="str">
        <f t="shared" si="6"/>
        <v/>
      </c>
      <c r="AQ18" s="182"/>
      <c r="AR18" s="175"/>
      <c r="AS18" s="183"/>
      <c r="AT18" s="183"/>
      <c r="AU18" s="184"/>
      <c r="AV18" s="353"/>
      <c r="AW18" s="353"/>
      <c r="AX18" s="353"/>
    </row>
    <row r="19" spans="1:50" x14ac:dyDescent="0.2">
      <c r="A19" s="411">
        <v>2</v>
      </c>
      <c r="B19" s="353"/>
      <c r="C19" s="353"/>
      <c r="D19" s="353"/>
      <c r="E19" s="353"/>
      <c r="F19" s="413" t="str">
        <f t="shared" ref="F19" si="9">+CONCATENATE(B19," ",C19," ",D19)</f>
        <v xml:space="preserve">  </v>
      </c>
      <c r="G19" s="354"/>
      <c r="H19" s="354"/>
      <c r="I19" s="354"/>
      <c r="J19" s="354"/>
      <c r="K19" s="354"/>
      <c r="L19" s="354"/>
      <c r="M19" s="354"/>
      <c r="N19" s="354"/>
      <c r="O19" s="354"/>
      <c r="P19" s="354"/>
      <c r="Q19" s="414"/>
      <c r="R19" s="415" t="str">
        <f>IF(Q19&lt;=0,"",IF(Q19&lt;=2,"Muy Baja",IF(Q19&lt;=24,"Baja",IF(Q19&lt;=500,"Media",IF(Q19&lt;=5000,"Alta","Muy Alta")))))</f>
        <v/>
      </c>
      <c r="S19" s="416" t="str">
        <f>IF(R19="","",IF(R19="Muy Baja",0.2,IF(R19="Baja",0.4,IF(R19="Media",0.6,IF(R19="Alta",0.8,IF(R19="Muy Alta",1,))))))</f>
        <v/>
      </c>
      <c r="T19" s="417"/>
      <c r="U19" s="416">
        <f>IF(NOT(ISERROR(MATCH(T19,'Tabla Impacto'!$B$245:$B$247,0))),'Tabla Impacto'!$F$224&amp;"Por favor no seleccionar los criterios de impacto(Afectación Económica o presupuestal y Pérdida Reputacional)",T19)</f>
        <v>0</v>
      </c>
      <c r="V19" s="415" t="str">
        <f>IF(OR(U19='Tabla Impacto'!$C$12,U19='Tabla Impacto'!$D$12),"Leve",IF(OR(U19='Tabla Impacto'!$C$13,U19='Tabla Impacto'!$D$13),"Menor",IF(OR(U19='Tabla Impacto'!$C$14,U19='Tabla Impacto'!$D$14),"Moderado",IF(OR(U19='Tabla Impacto'!$C$15,U19='Tabla Impacto'!$D$15),"Mayor",IF(OR(U19='Tabla Impacto'!$C$16,U19='Tabla Impacto'!$D$16),"Catastrófico","")))))</f>
        <v/>
      </c>
      <c r="W19" s="416" t="str">
        <f>IF(V19="","",IF(V19="Leve",0.2,IF(V19="Menor",0.4,IF(V19="Moderado",0.6,IF(V19="Mayor",0.8,IF(V19="Catastrófico",1,))))))</f>
        <v/>
      </c>
      <c r="X19" s="420" t="str">
        <f>IF(OR(AND(R19="Muy Baja",V19="Leve"),AND(R19="Muy Baja",V19="Menor"),AND(R19="Baja",V19="Leve")),"Bajo",IF(OR(AND(R19="Muy baja",V19="Moderado"),AND(R19="Baja",V19="Menor"),AND(R19="Baja",V19="Moderado"),AND(R19="Media",V19="Leve"),AND(R19="Media",V19="Menor"),AND(R19="Media",V19="Moderado"),AND(R19="Alta",V19="Leve"),AND(R19="Alta",V19="Menor")),"Moderado",IF(OR(AND(R19="Muy Baja",V19="Mayor"),AND(R19="Baja",V19="Mayor"),AND(R19="Media",V19="Mayor"),AND(R19="Alta",V19="Moderado"),AND(R19="Alta",V19="Mayor"),AND(R19="Muy Alta",V19="Leve"),AND(R19="Muy Alta",V19="Menor"),AND(R19="Muy Alta",V19="Moderado"),AND(R19="Muy Alta",V19="Mayor")),"Alto",IF(OR(AND(R19="Muy Baja",V19="Catastrófico"),AND(R19="Baja",V19="Catastrófico"),AND(R19="Media",V19="Catastrófico"),AND(R19="Alta",V19="Catastrófico"),AND(R19="Muy Alta",V19="Catastrófico")),"Extremo",""))))</f>
        <v/>
      </c>
      <c r="Y19" s="199">
        <v>1</v>
      </c>
      <c r="Z19" s="244"/>
      <c r="AA19" s="199"/>
      <c r="AB19" s="199"/>
      <c r="AC19" s="224" t="str">
        <f t="shared" si="1"/>
        <v xml:space="preserve">  </v>
      </c>
      <c r="AD19" s="176" t="str">
        <f>IF(OR(AE19="Preventivo",AE19="Detectivo"),"Probabilidad",IF(AE19="Correctivo","Impacto",""))</f>
        <v/>
      </c>
      <c r="AE19" s="177"/>
      <c r="AF19" s="177"/>
      <c r="AG19" s="178" t="str">
        <f>IF(AND(AE19="Preventivo",AF19="Automático"),"50%",IF(AND(AE19="Preventivo",AF19="Manual"),"40%",IF(AND(AE19="Detectivo",AF19="Automático"),"40%",IF(AND(AE19="Detectivo",AF19="Manual"),"30%",IF(AND(AE19="Correctivo",AF19="Automático"),"35%",IF(AND(AE19="Correctivo",AF19="Manual"),"25%",""))))))</f>
        <v/>
      </c>
      <c r="AH19" s="177"/>
      <c r="AI19" s="177"/>
      <c r="AJ19" s="177"/>
      <c r="AK19" s="179" t="str">
        <f>IFERROR(IF(AD19="Probabilidad",(S19-(+S19*AG19)),IF(AD19="Impacto",S19,"")),"")</f>
        <v/>
      </c>
      <c r="AL19" s="180" t="str">
        <f>IFERROR(IF(AK19="","",IF(AK19&lt;=0.2,"Muy Baja",IF(AK19&lt;=0.4,"Baja",IF(AK19&lt;=0.6,"Media",IF(AK19&lt;=0.8,"Alta","Muy Alta"))))),"")</f>
        <v/>
      </c>
      <c r="AM19" s="178" t="str">
        <f>+AK19</f>
        <v/>
      </c>
      <c r="AN19" s="180" t="str">
        <f>IFERROR(IF(AO19="","",IF(AO19&lt;=0.2,"Leve",IF(AO19&lt;=0.4,"Menor",IF(AO19&lt;=0.6,"Moderado",IF(AO19&lt;=0.8,"Mayor","Catastrófico"))))),"")</f>
        <v/>
      </c>
      <c r="AO19" s="178" t="str">
        <f t="shared" ref="AO19" si="10">IFERROR(IF(AD19="Impacto",(W19-(+W19*AG19)),IF(AD19="Probabilidad",W19,"")),"")</f>
        <v/>
      </c>
      <c r="AP19" s="181" t="str">
        <f>IFERROR(IF(OR(AND(AL19="Muy Baja",AN19="Leve"),AND(AL19="Muy Baja",AN19="Menor"),AND(AL19="Baja",AN19="Leve")),"Bajo",IF(OR(AND(AL19="Muy baja",AN19="Moderado"),AND(AL19="Baja",AN19="Menor"),AND(AL19="Baja",AN19="Moderado"),AND(AL19="Media",AN19="Leve"),AND(AL19="Media",AN19="Menor"),AND(AL19="Media",AN19="Moderado"),AND(AL19="Alta",AN19="Leve"),AND(AL19="Alta",AN19="Menor")),"Moderado",IF(OR(AND(AL19="Muy Baja",AN19="Mayor"),AND(AL19="Baja",AN19="Mayor"),AND(AL19="Media",AN19="Mayor"),AND(AL19="Alta",AN19="Moderado"),AND(AL19="Alta",AN19="Mayor"),AND(AL19="Muy Alta",AN19="Leve"),AND(AL19="Muy Alta",AN19="Menor"),AND(AL19="Muy Alta",AN19="Moderado"),AND(AL19="Muy Alta",AN19="Mayor")),"Alto",IF(OR(AND(AL19="Muy Baja",AN19="Catastrófico"),AND(AL19="Baja",AN19="Catastrófico"),AND(AL19="Media",AN19="Catastrófico"),AND(AL19="Alta",AN19="Catastrófico"),AND(AL19="Muy Alta",AN19="Catastrófico")),"Extremo","")))),"")</f>
        <v/>
      </c>
      <c r="AQ19" s="182"/>
      <c r="AR19" s="175"/>
      <c r="AS19" s="183"/>
      <c r="AT19" s="183"/>
      <c r="AU19" s="184"/>
      <c r="AV19" s="414"/>
      <c r="AW19" s="414"/>
      <c r="AX19" s="414"/>
    </row>
    <row r="20" spans="1:50" x14ac:dyDescent="0.2">
      <c r="A20" s="411"/>
      <c r="B20" s="353"/>
      <c r="C20" s="353"/>
      <c r="D20" s="353"/>
      <c r="E20" s="353"/>
      <c r="F20" s="413"/>
      <c r="G20" s="355"/>
      <c r="H20" s="355"/>
      <c r="I20" s="355"/>
      <c r="J20" s="355"/>
      <c r="K20" s="355"/>
      <c r="L20" s="355"/>
      <c r="M20" s="355"/>
      <c r="N20" s="355"/>
      <c r="O20" s="355"/>
      <c r="P20" s="355"/>
      <c r="Q20" s="414"/>
      <c r="R20" s="415"/>
      <c r="S20" s="416"/>
      <c r="T20" s="417"/>
      <c r="U20" s="416">
        <f>IF(NOT(ISERROR(MATCH(T20,_xlfn.ANCHORARRAY(F31),0))),S33&amp;"Por favor no seleccionar los criterios de impacto",T20)</f>
        <v>0</v>
      </c>
      <c r="V20" s="415"/>
      <c r="W20" s="416"/>
      <c r="X20" s="420"/>
      <c r="Y20" s="199">
        <v>2</v>
      </c>
      <c r="Z20" s="244"/>
      <c r="AA20" s="199"/>
      <c r="AB20" s="199"/>
      <c r="AC20" s="224" t="str">
        <f t="shared" si="1"/>
        <v xml:space="preserve">  </v>
      </c>
      <c r="AD20" s="176" t="str">
        <f>IF(OR(AE20="Preventivo",AE20="Detectivo"),"Probabilidad",IF(AE20="Correctivo","Impacto",""))</f>
        <v/>
      </c>
      <c r="AE20" s="177"/>
      <c r="AF20" s="177"/>
      <c r="AG20" s="178" t="str">
        <f t="shared" ref="AG20:AG24" si="11">IF(AND(AE20="Preventivo",AF20="Automático"),"50%",IF(AND(AE20="Preventivo",AF20="Manual"),"40%",IF(AND(AE20="Detectivo",AF20="Automático"),"40%",IF(AND(AE20="Detectivo",AF20="Manual"),"30%",IF(AND(AE20="Correctivo",AF20="Automático"),"35%",IF(AND(AE20="Correctivo",AF20="Manual"),"25%",""))))))</f>
        <v/>
      </c>
      <c r="AH20" s="177"/>
      <c r="AI20" s="177"/>
      <c r="AJ20" s="177"/>
      <c r="AK20" s="179" t="str">
        <f>IFERROR(IF(AND(AD19="Probabilidad",AD20="Probabilidad"),(AM19-(+AM19*AG20)),IF(AD20="Probabilidad",(S19-(+S19*AG20)),IF(AD20="Impacto",AM19,""))),"")</f>
        <v/>
      </c>
      <c r="AL20" s="180" t="str">
        <f t="shared" si="3"/>
        <v/>
      </c>
      <c r="AM20" s="178" t="str">
        <f t="shared" ref="AM20:AM24" si="12">+AK20</f>
        <v/>
      </c>
      <c r="AN20" s="180" t="str">
        <f t="shared" si="5"/>
        <v/>
      </c>
      <c r="AO20" s="178" t="str">
        <f t="shared" ref="AO20" si="13">IFERROR(IF(AND(AD19="Impacto",AD20="Impacto"),(AO19-(+AO19*AG20)),IF(AD20="Impacto",($W$13-(+$W$13*AG20)),IF(AD20="Probabilidad",AO19,""))),"")</f>
        <v/>
      </c>
      <c r="AP20" s="181" t="str">
        <f t="shared" ref="AP20:AP21" si="14">IFERROR(IF(OR(AND(AL20="Muy Baja",AN20="Leve"),AND(AL20="Muy Baja",AN20="Menor"),AND(AL20="Baja",AN20="Leve")),"Bajo",IF(OR(AND(AL20="Muy baja",AN20="Moderado"),AND(AL20="Baja",AN20="Menor"),AND(AL20="Baja",AN20="Moderado"),AND(AL20="Media",AN20="Leve"),AND(AL20="Media",AN20="Menor"),AND(AL20="Media",AN20="Moderado"),AND(AL20="Alta",AN20="Leve"),AND(AL20="Alta",AN20="Menor")),"Moderado",IF(OR(AND(AL20="Muy Baja",AN20="Mayor"),AND(AL20="Baja",AN20="Mayor"),AND(AL20="Media",AN20="Mayor"),AND(AL20="Alta",AN20="Moderado"),AND(AL20="Alta",AN20="Mayor"),AND(AL20="Muy Alta",AN20="Leve"),AND(AL20="Muy Alta",AN20="Menor"),AND(AL20="Muy Alta",AN20="Moderado"),AND(AL20="Muy Alta",AN20="Mayor")),"Alto",IF(OR(AND(AL20="Muy Baja",AN20="Catastrófico"),AND(AL20="Baja",AN20="Catastrófico"),AND(AL20="Media",AN20="Catastrófico"),AND(AL20="Alta",AN20="Catastrófico"),AND(AL20="Muy Alta",AN20="Catastrófico")),"Extremo","")))),"")</f>
        <v/>
      </c>
      <c r="AQ20" s="182"/>
      <c r="AR20" s="175"/>
      <c r="AS20" s="183"/>
      <c r="AT20" s="175"/>
      <c r="AU20" s="184"/>
      <c r="AV20" s="414"/>
      <c r="AW20" s="414"/>
      <c r="AX20" s="414"/>
    </row>
    <row r="21" spans="1:50" x14ac:dyDescent="0.2">
      <c r="A21" s="411"/>
      <c r="B21" s="353"/>
      <c r="C21" s="353"/>
      <c r="D21" s="353"/>
      <c r="E21" s="353"/>
      <c r="F21" s="413"/>
      <c r="G21" s="355"/>
      <c r="H21" s="355"/>
      <c r="I21" s="355"/>
      <c r="J21" s="355"/>
      <c r="K21" s="355"/>
      <c r="L21" s="355"/>
      <c r="M21" s="355"/>
      <c r="N21" s="355"/>
      <c r="O21" s="355"/>
      <c r="P21" s="355"/>
      <c r="Q21" s="414"/>
      <c r="R21" s="415"/>
      <c r="S21" s="416"/>
      <c r="T21" s="417"/>
      <c r="U21" s="416">
        <f>IF(NOT(ISERROR(MATCH(T21,_xlfn.ANCHORARRAY(F32),0))),S34&amp;"Por favor no seleccionar los criterios de impacto",T21)</f>
        <v>0</v>
      </c>
      <c r="V21" s="415"/>
      <c r="W21" s="416"/>
      <c r="X21" s="420"/>
      <c r="Y21" s="199">
        <v>3</v>
      </c>
      <c r="Z21" s="244"/>
      <c r="AA21" s="199"/>
      <c r="AB21" s="199"/>
      <c r="AC21" s="224" t="str">
        <f t="shared" si="1"/>
        <v xml:space="preserve">  </v>
      </c>
      <c r="AD21" s="176" t="str">
        <f>IF(OR(AE21="Preventivo",AE21="Detectivo"),"Probabilidad",IF(AE21="Correctivo","Impacto",""))</f>
        <v/>
      </c>
      <c r="AE21" s="177"/>
      <c r="AF21" s="177"/>
      <c r="AG21" s="178" t="str">
        <f t="shared" si="11"/>
        <v/>
      </c>
      <c r="AH21" s="177"/>
      <c r="AI21" s="177"/>
      <c r="AJ21" s="177"/>
      <c r="AK21" s="179" t="str">
        <f>IFERROR(IF(AND(AD20="Probabilidad",AD21="Probabilidad"),(AM20-(+AM20*AG21)),IF(AND(AD20="Impacto",AD21="Probabilidad"),(AM19-(+AM19*AG21)),IF(AD21="Impacto",AM20,""))),"")</f>
        <v/>
      </c>
      <c r="AL21" s="180" t="str">
        <f t="shared" si="3"/>
        <v/>
      </c>
      <c r="AM21" s="178" t="str">
        <f t="shared" si="12"/>
        <v/>
      </c>
      <c r="AN21" s="180" t="str">
        <f t="shared" si="5"/>
        <v/>
      </c>
      <c r="AO21" s="178" t="str">
        <f t="shared" ref="AO21:AO72" si="15">IFERROR(IF(AND(AD20="Impacto",AD21="Impacto"),(AO20-(+AO20*AG21)),IF(AND(AD20="Probabilidad",AD21="Impacto"),(AO19-(+AO19*AG21)),IF(AD21="Probabilidad",AO20,""))),"")</f>
        <v/>
      </c>
      <c r="AP21" s="181" t="str">
        <f t="shared" si="14"/>
        <v/>
      </c>
      <c r="AQ21" s="182"/>
      <c r="AR21" s="175"/>
      <c r="AS21" s="183"/>
      <c r="AT21" s="183"/>
      <c r="AU21" s="184"/>
      <c r="AV21" s="414"/>
      <c r="AW21" s="414"/>
      <c r="AX21" s="414"/>
    </row>
    <row r="22" spans="1:50" x14ac:dyDescent="0.2">
      <c r="A22" s="411"/>
      <c r="B22" s="353"/>
      <c r="C22" s="353"/>
      <c r="D22" s="353"/>
      <c r="E22" s="353"/>
      <c r="F22" s="413"/>
      <c r="G22" s="355"/>
      <c r="H22" s="355"/>
      <c r="I22" s="355"/>
      <c r="J22" s="355"/>
      <c r="K22" s="355"/>
      <c r="L22" s="355"/>
      <c r="M22" s="355"/>
      <c r="N22" s="355"/>
      <c r="O22" s="355"/>
      <c r="P22" s="355"/>
      <c r="Q22" s="414"/>
      <c r="R22" s="415"/>
      <c r="S22" s="416"/>
      <c r="T22" s="417"/>
      <c r="U22" s="416">
        <f>IF(NOT(ISERROR(MATCH(T22,_xlfn.ANCHORARRAY(F33),0))),S35&amp;"Por favor no seleccionar los criterios de impacto",T22)</f>
        <v>0</v>
      </c>
      <c r="V22" s="415"/>
      <c r="W22" s="416"/>
      <c r="X22" s="420"/>
      <c r="Y22" s="199">
        <v>4</v>
      </c>
      <c r="Z22" s="244"/>
      <c r="AA22" s="199"/>
      <c r="AB22" s="199"/>
      <c r="AC22" s="224" t="str">
        <f t="shared" si="1"/>
        <v xml:space="preserve">  </v>
      </c>
      <c r="AD22" s="176" t="str">
        <f t="shared" ref="AD22:AD24" si="16">IF(OR(AE22="Preventivo",AE22="Detectivo"),"Probabilidad",IF(AE22="Correctivo","Impacto",""))</f>
        <v/>
      </c>
      <c r="AE22" s="177"/>
      <c r="AF22" s="177"/>
      <c r="AG22" s="178" t="str">
        <f t="shared" si="11"/>
        <v/>
      </c>
      <c r="AH22" s="177"/>
      <c r="AI22" s="177"/>
      <c r="AJ22" s="177"/>
      <c r="AK22" s="179" t="str">
        <f t="shared" ref="AK22:AK24" si="17">IFERROR(IF(AND(AD21="Probabilidad",AD22="Probabilidad"),(AM21-(+AM21*AG22)),IF(AND(AD21="Impacto",AD22="Probabilidad"),(AM20-(+AM20*AG22)),IF(AD22="Impacto",AM21,""))),"")</f>
        <v/>
      </c>
      <c r="AL22" s="180" t="str">
        <f t="shared" si="3"/>
        <v/>
      </c>
      <c r="AM22" s="178" t="str">
        <f t="shared" si="12"/>
        <v/>
      </c>
      <c r="AN22" s="180" t="str">
        <f t="shared" si="5"/>
        <v/>
      </c>
      <c r="AO22" s="178" t="str">
        <f t="shared" si="15"/>
        <v/>
      </c>
      <c r="AP22" s="181" t="str">
        <f>IFERROR(IF(OR(AND(AL22="Muy Baja",AN22="Leve"),AND(AL22="Muy Baja",AN22="Menor"),AND(AL22="Baja",AN22="Leve")),"Bajo",IF(OR(AND(AL22="Muy baja",AN22="Moderado"),AND(AL22="Baja",AN22="Menor"),AND(AL22="Baja",AN22="Moderado"),AND(AL22="Media",AN22="Leve"),AND(AL22="Media",AN22="Menor"),AND(AL22="Media",AN22="Moderado"),AND(AL22="Alta",AN22="Leve"),AND(AL22="Alta",AN22="Menor")),"Moderado",IF(OR(AND(AL22="Muy Baja",AN22="Mayor"),AND(AL22="Baja",AN22="Mayor"),AND(AL22="Media",AN22="Mayor"),AND(AL22="Alta",AN22="Moderado"),AND(AL22="Alta",AN22="Mayor"),AND(AL22="Muy Alta",AN22="Leve"),AND(AL22="Muy Alta",AN22="Menor"),AND(AL22="Muy Alta",AN22="Moderado"),AND(AL22="Muy Alta",AN22="Mayor")),"Alto",IF(OR(AND(AL22="Muy Baja",AN22="Catastrófico"),AND(AL22="Baja",AN22="Catastrófico"),AND(AL22="Media",AN22="Catastrófico"),AND(AL22="Alta",AN22="Catastrófico"),AND(AL22="Muy Alta",AN22="Catastrófico")),"Extremo","")))),"")</f>
        <v/>
      </c>
      <c r="AQ22" s="182"/>
      <c r="AR22" s="175"/>
      <c r="AS22" s="183"/>
      <c r="AT22" s="183"/>
      <c r="AU22" s="184"/>
      <c r="AV22" s="414"/>
      <c r="AW22" s="414"/>
      <c r="AX22" s="414"/>
    </row>
    <row r="23" spans="1:50" x14ac:dyDescent="0.2">
      <c r="A23" s="411"/>
      <c r="B23" s="353"/>
      <c r="C23" s="353"/>
      <c r="D23" s="353"/>
      <c r="E23" s="353"/>
      <c r="F23" s="413"/>
      <c r="G23" s="355"/>
      <c r="H23" s="355"/>
      <c r="I23" s="355"/>
      <c r="J23" s="355"/>
      <c r="K23" s="355"/>
      <c r="L23" s="355"/>
      <c r="M23" s="355"/>
      <c r="N23" s="355"/>
      <c r="O23" s="355"/>
      <c r="P23" s="355"/>
      <c r="Q23" s="414"/>
      <c r="R23" s="415"/>
      <c r="S23" s="416"/>
      <c r="T23" s="417"/>
      <c r="U23" s="416">
        <f>IF(NOT(ISERROR(MATCH(T23,_xlfn.ANCHORARRAY(F34),0))),S36&amp;"Por favor no seleccionar los criterios de impacto",T23)</f>
        <v>0</v>
      </c>
      <c r="V23" s="415"/>
      <c r="W23" s="416"/>
      <c r="X23" s="420"/>
      <c r="Y23" s="199">
        <v>5</v>
      </c>
      <c r="Z23" s="244"/>
      <c r="AA23" s="199"/>
      <c r="AB23" s="199"/>
      <c r="AC23" s="224" t="str">
        <f t="shared" si="1"/>
        <v xml:space="preserve">  </v>
      </c>
      <c r="AD23" s="176" t="str">
        <f t="shared" si="16"/>
        <v/>
      </c>
      <c r="AE23" s="177"/>
      <c r="AF23" s="177"/>
      <c r="AG23" s="178" t="str">
        <f t="shared" si="11"/>
        <v/>
      </c>
      <c r="AH23" s="177"/>
      <c r="AI23" s="177"/>
      <c r="AJ23" s="177"/>
      <c r="AK23" s="179" t="str">
        <f t="shared" si="17"/>
        <v/>
      </c>
      <c r="AL23" s="180" t="str">
        <f t="shared" si="3"/>
        <v/>
      </c>
      <c r="AM23" s="178" t="str">
        <f t="shared" si="12"/>
        <v/>
      </c>
      <c r="AN23" s="180" t="str">
        <f t="shared" si="5"/>
        <v/>
      </c>
      <c r="AO23" s="178" t="str">
        <f t="shared" si="15"/>
        <v/>
      </c>
      <c r="AP23" s="181" t="str">
        <f t="shared" ref="AP23:AP24" si="18">IFERROR(IF(OR(AND(AL23="Muy Baja",AN23="Leve"),AND(AL23="Muy Baja",AN23="Menor"),AND(AL23="Baja",AN23="Leve")),"Bajo",IF(OR(AND(AL23="Muy baja",AN23="Moderado"),AND(AL23="Baja",AN23="Menor"),AND(AL23="Baja",AN23="Moderado"),AND(AL23="Media",AN23="Leve"),AND(AL23="Media",AN23="Menor"),AND(AL23="Media",AN23="Moderado"),AND(AL23="Alta",AN23="Leve"),AND(AL23="Alta",AN23="Menor")),"Moderado",IF(OR(AND(AL23="Muy Baja",AN23="Mayor"),AND(AL23="Baja",AN23="Mayor"),AND(AL23="Media",AN23="Mayor"),AND(AL23="Alta",AN23="Moderado"),AND(AL23="Alta",AN23="Mayor"),AND(AL23="Muy Alta",AN23="Leve"),AND(AL23="Muy Alta",AN23="Menor"),AND(AL23="Muy Alta",AN23="Moderado"),AND(AL23="Muy Alta",AN23="Mayor")),"Alto",IF(OR(AND(AL23="Muy Baja",AN23="Catastrófico"),AND(AL23="Baja",AN23="Catastrófico"),AND(AL23="Media",AN23="Catastrófico"),AND(AL23="Alta",AN23="Catastrófico"),AND(AL23="Muy Alta",AN23="Catastrófico")),"Extremo","")))),"")</f>
        <v/>
      </c>
      <c r="AQ23" s="182"/>
      <c r="AR23" s="175"/>
      <c r="AS23" s="183"/>
      <c r="AT23" s="183"/>
      <c r="AU23" s="184"/>
      <c r="AV23" s="414"/>
      <c r="AW23" s="414"/>
      <c r="AX23" s="414"/>
    </row>
    <row r="24" spans="1:50" x14ac:dyDescent="0.2">
      <c r="A24" s="411"/>
      <c r="B24" s="353"/>
      <c r="C24" s="353"/>
      <c r="D24" s="353"/>
      <c r="E24" s="353"/>
      <c r="F24" s="413"/>
      <c r="G24" s="356"/>
      <c r="H24" s="356"/>
      <c r="I24" s="356"/>
      <c r="J24" s="356"/>
      <c r="K24" s="356"/>
      <c r="L24" s="356"/>
      <c r="M24" s="356"/>
      <c r="N24" s="356"/>
      <c r="O24" s="356"/>
      <c r="P24" s="356"/>
      <c r="Q24" s="414"/>
      <c r="R24" s="415"/>
      <c r="S24" s="416"/>
      <c r="T24" s="417"/>
      <c r="U24" s="416">
        <f>IF(NOT(ISERROR(MATCH(T24,_xlfn.ANCHORARRAY(F35),0))),S37&amp;"Por favor no seleccionar los criterios de impacto",T24)</f>
        <v>0</v>
      </c>
      <c r="V24" s="415"/>
      <c r="W24" s="416"/>
      <c r="X24" s="420"/>
      <c r="Y24" s="199">
        <v>6</v>
      </c>
      <c r="Z24" s="199"/>
      <c r="AA24" s="199"/>
      <c r="AB24" s="199"/>
      <c r="AC24" s="224" t="str">
        <f t="shared" si="1"/>
        <v xml:space="preserve">  </v>
      </c>
      <c r="AD24" s="176" t="str">
        <f t="shared" si="16"/>
        <v/>
      </c>
      <c r="AE24" s="177"/>
      <c r="AF24" s="177"/>
      <c r="AG24" s="178" t="str">
        <f t="shared" si="11"/>
        <v/>
      </c>
      <c r="AH24" s="177"/>
      <c r="AI24" s="177"/>
      <c r="AJ24" s="177"/>
      <c r="AK24" s="179" t="str">
        <f t="shared" si="17"/>
        <v/>
      </c>
      <c r="AL24" s="180" t="str">
        <f t="shared" si="3"/>
        <v/>
      </c>
      <c r="AM24" s="178" t="str">
        <f t="shared" si="12"/>
        <v/>
      </c>
      <c r="AN24" s="180" t="str">
        <f t="shared" si="5"/>
        <v/>
      </c>
      <c r="AO24" s="178" t="str">
        <f t="shared" si="15"/>
        <v/>
      </c>
      <c r="AP24" s="181" t="str">
        <f t="shared" si="18"/>
        <v/>
      </c>
      <c r="AQ24" s="182"/>
      <c r="AR24" s="175"/>
      <c r="AS24" s="183"/>
      <c r="AT24" s="183"/>
      <c r="AU24" s="184"/>
      <c r="AV24" s="414"/>
      <c r="AW24" s="414"/>
      <c r="AX24" s="414"/>
    </row>
    <row r="25" spans="1:50" x14ac:dyDescent="0.2">
      <c r="A25" s="411">
        <v>3</v>
      </c>
      <c r="B25" s="353"/>
      <c r="C25" s="353"/>
      <c r="D25" s="353"/>
      <c r="E25" s="353"/>
      <c r="F25" s="413" t="str">
        <f t="shared" ref="F25" si="19">+CONCATENATE(B25," ",C25," ",D25)</f>
        <v xml:space="preserve">  </v>
      </c>
      <c r="G25" s="354"/>
      <c r="H25" s="354"/>
      <c r="I25" s="354"/>
      <c r="J25" s="354"/>
      <c r="K25" s="354"/>
      <c r="L25" s="354"/>
      <c r="M25" s="354"/>
      <c r="N25" s="354"/>
      <c r="O25" s="354"/>
      <c r="P25" s="354"/>
      <c r="Q25" s="414"/>
      <c r="R25" s="415" t="str">
        <f>IF(Q25&lt;=0,"",IF(Q25&lt;=2,"Muy Baja",IF(Q25&lt;=24,"Baja",IF(Q25&lt;=500,"Media",IF(Q25&lt;=5000,"Alta","Muy Alta")))))</f>
        <v/>
      </c>
      <c r="S25" s="416" t="str">
        <f>IF(R25="","",IF(R25="Muy Baja",0.2,IF(R25="Baja",0.4,IF(R25="Media",0.6,IF(R25="Alta",0.8,IF(R25="Muy Alta",1,))))))</f>
        <v/>
      </c>
      <c r="T25" s="417"/>
      <c r="U25" s="416">
        <f>IF(NOT(ISERROR(MATCH(T25,'Tabla Impacto'!$B$245:$B$247,0))),'Tabla Impacto'!$F$224&amp;"Por favor no seleccionar los criterios de impacto(Afectación Económica o presupuestal y Pérdida Reputacional)",T25)</f>
        <v>0</v>
      </c>
      <c r="V25" s="415" t="str">
        <f>IF(OR(U25='Tabla Impacto'!$C$12,U25='Tabla Impacto'!$D$12),"Leve",IF(OR(U25='Tabla Impacto'!$C$13,U25='Tabla Impacto'!$D$13),"Menor",IF(OR(U25='Tabla Impacto'!$C$14,U25='Tabla Impacto'!$D$14),"Moderado",IF(OR(U25='Tabla Impacto'!$C$15,U25='Tabla Impacto'!$D$15),"Mayor",IF(OR(U25='Tabla Impacto'!$C$16,U25='Tabla Impacto'!$D$16),"Catastrófico","")))))</f>
        <v/>
      </c>
      <c r="W25" s="416" t="str">
        <f>IF(V25="","",IF(V25="Leve",0.2,IF(V25="Menor",0.4,IF(V25="Moderado",0.6,IF(V25="Mayor",0.8,IF(V25="Catastrófico",1,))))))</f>
        <v/>
      </c>
      <c r="X25" s="420" t="str">
        <f>IF(OR(AND(R25="Muy Baja",V25="Leve"),AND(R25="Muy Baja",V25="Menor"),AND(R25="Baja",V25="Leve")),"Bajo",IF(OR(AND(R25="Muy baja",V25="Moderado"),AND(R25="Baja",V25="Menor"),AND(R25="Baja",V25="Moderado"),AND(R25="Media",V25="Leve"),AND(R25="Media",V25="Menor"),AND(R25="Media",V25="Moderado"),AND(R25="Alta",V25="Leve"),AND(R25="Alta",V25="Menor")),"Moderado",IF(OR(AND(R25="Muy Baja",V25="Mayor"),AND(R25="Baja",V25="Mayor"),AND(R25="Media",V25="Mayor"),AND(R25="Alta",V25="Moderado"),AND(R25="Alta",V25="Mayor"),AND(R25="Muy Alta",V25="Leve"),AND(R25="Muy Alta",V25="Menor"),AND(R25="Muy Alta",V25="Moderado"),AND(R25="Muy Alta",V25="Mayor")),"Alto",IF(OR(AND(R25="Muy Baja",V25="Catastrófico"),AND(R25="Baja",V25="Catastrófico"),AND(R25="Media",V25="Catastrófico"),AND(R25="Alta",V25="Catastrófico"),AND(R25="Muy Alta",V25="Catastrófico")),"Extremo",""))))</f>
        <v/>
      </c>
      <c r="Y25" s="199">
        <v>1</v>
      </c>
      <c r="Z25" s="199"/>
      <c r="AA25" s="199"/>
      <c r="AB25" s="199"/>
      <c r="AC25" s="224" t="str">
        <f t="shared" si="1"/>
        <v xml:space="preserve">  </v>
      </c>
      <c r="AD25" s="176" t="str">
        <f>IF(OR(AE25="Preventivo",AE25="Detectivo"),"Probabilidad",IF(AE25="Correctivo","Impacto",""))</f>
        <v/>
      </c>
      <c r="AE25" s="177"/>
      <c r="AF25" s="177"/>
      <c r="AG25" s="178" t="str">
        <f>IF(AND(AE25="Preventivo",AF25="Automático"),"50%",IF(AND(AE25="Preventivo",AF25="Manual"),"40%",IF(AND(AE25="Detectivo",AF25="Automático"),"40%",IF(AND(AE25="Detectivo",AF25="Manual"),"30%",IF(AND(AE25="Correctivo",AF25="Automático"),"35%",IF(AND(AE25="Correctivo",AF25="Manual"),"25%",""))))))</f>
        <v/>
      </c>
      <c r="AH25" s="177"/>
      <c r="AI25" s="177"/>
      <c r="AJ25" s="177"/>
      <c r="AK25" s="179" t="str">
        <f>IFERROR(IF(AD25="Probabilidad",(S25-(+S25*AG25)),IF(AD25="Impacto",S25,"")),"")</f>
        <v/>
      </c>
      <c r="AL25" s="180" t="str">
        <f>IFERROR(IF(AK25="","",IF(AK25&lt;=0.2,"Muy Baja",IF(AK25&lt;=0.4,"Baja",IF(AK25&lt;=0.6,"Media",IF(AK25&lt;=0.8,"Alta","Muy Alta"))))),"")</f>
        <v/>
      </c>
      <c r="AM25" s="178" t="str">
        <f>+AK25</f>
        <v/>
      </c>
      <c r="AN25" s="180" t="str">
        <f>IFERROR(IF(AO25="","",IF(AO25&lt;=0.2,"Leve",IF(AO25&lt;=0.4,"Menor",IF(AO25&lt;=0.6,"Moderado",IF(AO25&lt;=0.8,"Mayor","Catastrófico"))))),"")</f>
        <v/>
      </c>
      <c r="AO25" s="178" t="str">
        <f t="shared" ref="AO25" si="20">IFERROR(IF(AD25="Impacto",(W25-(+W25*AG25)),IF(AD25="Probabilidad",W25,"")),"")</f>
        <v/>
      </c>
      <c r="AP25" s="181" t="str">
        <f>IFERROR(IF(OR(AND(AL25="Muy Baja",AN25="Leve"),AND(AL25="Muy Baja",AN25="Menor"),AND(AL25="Baja",AN25="Leve")),"Bajo",IF(OR(AND(AL25="Muy baja",AN25="Moderado"),AND(AL25="Baja",AN25="Menor"),AND(AL25="Baja",AN25="Moderado"),AND(AL25="Media",AN25="Leve"),AND(AL25="Media",AN25="Menor"),AND(AL25="Media",AN25="Moderado"),AND(AL25="Alta",AN25="Leve"),AND(AL25="Alta",AN25="Menor")),"Moderado",IF(OR(AND(AL25="Muy Baja",AN25="Mayor"),AND(AL25="Baja",AN25="Mayor"),AND(AL25="Media",AN25="Mayor"),AND(AL25="Alta",AN25="Moderado"),AND(AL25="Alta",AN25="Mayor"),AND(AL25="Muy Alta",AN25="Leve"),AND(AL25="Muy Alta",AN25="Menor"),AND(AL25="Muy Alta",AN25="Moderado"),AND(AL25="Muy Alta",AN25="Mayor")),"Alto",IF(OR(AND(AL25="Muy Baja",AN25="Catastrófico"),AND(AL25="Baja",AN25="Catastrófico"),AND(AL25="Media",AN25="Catastrófico"),AND(AL25="Alta",AN25="Catastrófico"),AND(AL25="Muy Alta",AN25="Catastrófico")),"Extremo","")))),"")</f>
        <v/>
      </c>
      <c r="AQ25" s="182"/>
      <c r="AR25" s="175"/>
      <c r="AS25" s="183"/>
      <c r="AT25" s="183"/>
      <c r="AU25" s="184"/>
      <c r="AV25" s="414"/>
      <c r="AW25" s="414"/>
      <c r="AX25" s="414"/>
    </row>
    <row r="26" spans="1:50" x14ac:dyDescent="0.2">
      <c r="A26" s="411"/>
      <c r="B26" s="353"/>
      <c r="C26" s="353"/>
      <c r="D26" s="353"/>
      <c r="E26" s="353"/>
      <c r="F26" s="413"/>
      <c r="G26" s="355"/>
      <c r="H26" s="355"/>
      <c r="I26" s="355"/>
      <c r="J26" s="355"/>
      <c r="K26" s="355"/>
      <c r="L26" s="355"/>
      <c r="M26" s="355"/>
      <c r="N26" s="355"/>
      <c r="O26" s="355"/>
      <c r="P26" s="355"/>
      <c r="Q26" s="414"/>
      <c r="R26" s="415"/>
      <c r="S26" s="416"/>
      <c r="T26" s="417"/>
      <c r="U26" s="416">
        <f>IF(NOT(ISERROR(MATCH(T26,_xlfn.ANCHORARRAY(F37),0))),S39&amp;"Por favor no seleccionar los criterios de impacto",T26)</f>
        <v>0</v>
      </c>
      <c r="V26" s="415"/>
      <c r="W26" s="416"/>
      <c r="X26" s="420"/>
      <c r="Y26" s="199">
        <v>2</v>
      </c>
      <c r="Z26" s="199"/>
      <c r="AA26" s="199"/>
      <c r="AB26" s="199"/>
      <c r="AC26" s="224" t="str">
        <f t="shared" si="1"/>
        <v xml:space="preserve">  </v>
      </c>
      <c r="AD26" s="176" t="str">
        <f>IF(OR(AE26="Preventivo",AE26="Detectivo"),"Probabilidad",IF(AE26="Correctivo","Impacto",""))</f>
        <v/>
      </c>
      <c r="AE26" s="177"/>
      <c r="AF26" s="177"/>
      <c r="AG26" s="178" t="str">
        <f t="shared" ref="AG26:AG30" si="21">IF(AND(AE26="Preventivo",AF26="Automático"),"50%",IF(AND(AE26="Preventivo",AF26="Manual"),"40%",IF(AND(AE26="Detectivo",AF26="Automático"),"40%",IF(AND(AE26="Detectivo",AF26="Manual"),"30%",IF(AND(AE26="Correctivo",AF26="Automático"),"35%",IF(AND(AE26="Correctivo",AF26="Manual"),"25%",""))))))</f>
        <v/>
      </c>
      <c r="AH26" s="177"/>
      <c r="AI26" s="177"/>
      <c r="AJ26" s="177"/>
      <c r="AK26" s="179" t="str">
        <f>IFERROR(IF(AND(AD25="Probabilidad",AD26="Probabilidad"),(AM25-(+AM25*AG26)),IF(AD26="Probabilidad",(S25-(+S25*AG26)),IF(AD26="Impacto",AM25,""))),"")</f>
        <v/>
      </c>
      <c r="AL26" s="180" t="str">
        <f t="shared" si="3"/>
        <v/>
      </c>
      <c r="AM26" s="178" t="str">
        <f t="shared" ref="AM26:AM30" si="22">+AK26</f>
        <v/>
      </c>
      <c r="AN26" s="180" t="str">
        <f t="shared" si="5"/>
        <v/>
      </c>
      <c r="AO26" s="178" t="str">
        <f t="shared" ref="AO26" si="23">IFERROR(IF(AND(AD25="Impacto",AD26="Impacto"),(AO25-(+AO25*AG26)),IF(AD26="Impacto",($W$13-(+$W$13*AG26)),IF(AD26="Probabilidad",AO25,""))),"")</f>
        <v/>
      </c>
      <c r="AP26" s="181" t="str">
        <f t="shared" ref="AP26:AP27" si="24">IFERROR(IF(OR(AND(AL26="Muy Baja",AN26="Leve"),AND(AL26="Muy Baja",AN26="Menor"),AND(AL26="Baja",AN26="Leve")),"Bajo",IF(OR(AND(AL26="Muy baja",AN26="Moderado"),AND(AL26="Baja",AN26="Menor"),AND(AL26="Baja",AN26="Moderado"),AND(AL26="Media",AN26="Leve"),AND(AL26="Media",AN26="Menor"),AND(AL26="Media",AN26="Moderado"),AND(AL26="Alta",AN26="Leve"),AND(AL26="Alta",AN26="Menor")),"Moderado",IF(OR(AND(AL26="Muy Baja",AN26="Mayor"),AND(AL26="Baja",AN26="Mayor"),AND(AL26="Media",AN26="Mayor"),AND(AL26="Alta",AN26="Moderado"),AND(AL26="Alta",AN26="Mayor"),AND(AL26="Muy Alta",AN26="Leve"),AND(AL26="Muy Alta",AN26="Menor"),AND(AL26="Muy Alta",AN26="Moderado"),AND(AL26="Muy Alta",AN26="Mayor")),"Alto",IF(OR(AND(AL26="Muy Baja",AN26="Catastrófico"),AND(AL26="Baja",AN26="Catastrófico"),AND(AL26="Media",AN26="Catastrófico"),AND(AL26="Alta",AN26="Catastrófico"),AND(AL26="Muy Alta",AN26="Catastrófico")),"Extremo","")))),"")</f>
        <v/>
      </c>
      <c r="AQ26" s="182"/>
      <c r="AR26" s="175"/>
      <c r="AS26" s="183"/>
      <c r="AT26" s="183"/>
      <c r="AU26" s="184"/>
      <c r="AV26" s="414"/>
      <c r="AW26" s="414"/>
      <c r="AX26" s="414"/>
    </row>
    <row r="27" spans="1:50" x14ac:dyDescent="0.2">
      <c r="A27" s="411"/>
      <c r="B27" s="353"/>
      <c r="C27" s="353"/>
      <c r="D27" s="353"/>
      <c r="E27" s="353"/>
      <c r="F27" s="413"/>
      <c r="G27" s="355"/>
      <c r="H27" s="355"/>
      <c r="I27" s="355"/>
      <c r="J27" s="355"/>
      <c r="K27" s="355"/>
      <c r="L27" s="355"/>
      <c r="M27" s="355"/>
      <c r="N27" s="355"/>
      <c r="O27" s="355"/>
      <c r="P27" s="355"/>
      <c r="Q27" s="414"/>
      <c r="R27" s="415"/>
      <c r="S27" s="416"/>
      <c r="T27" s="417"/>
      <c r="U27" s="416">
        <f>IF(NOT(ISERROR(MATCH(T27,_xlfn.ANCHORARRAY(F38),0))),S40&amp;"Por favor no seleccionar los criterios de impacto",T27)</f>
        <v>0</v>
      </c>
      <c r="V27" s="415"/>
      <c r="W27" s="416"/>
      <c r="X27" s="420"/>
      <c r="Y27" s="199">
        <v>3</v>
      </c>
      <c r="Z27" s="199"/>
      <c r="AA27" s="199"/>
      <c r="AB27" s="199"/>
      <c r="AC27" s="224" t="str">
        <f t="shared" si="1"/>
        <v xml:space="preserve">  </v>
      </c>
      <c r="AD27" s="176" t="str">
        <f>IF(OR(AE27="Preventivo",AE27="Detectivo"),"Probabilidad",IF(AE27="Correctivo","Impacto",""))</f>
        <v/>
      </c>
      <c r="AE27" s="177"/>
      <c r="AF27" s="177"/>
      <c r="AG27" s="178" t="str">
        <f t="shared" si="21"/>
        <v/>
      </c>
      <c r="AH27" s="177"/>
      <c r="AI27" s="177"/>
      <c r="AJ27" s="177"/>
      <c r="AK27" s="179" t="str">
        <f>IFERROR(IF(AND(AD26="Probabilidad",AD27="Probabilidad"),(AM26-(+AM26*AG27)),IF(AND(AD26="Impacto",AD27="Probabilidad"),(AM25-(+AM25*AG27)),IF(AD27="Impacto",AM26,""))),"")</f>
        <v/>
      </c>
      <c r="AL27" s="180" t="str">
        <f t="shared" si="3"/>
        <v/>
      </c>
      <c r="AM27" s="178" t="str">
        <f t="shared" si="22"/>
        <v/>
      </c>
      <c r="AN27" s="180" t="str">
        <f t="shared" si="5"/>
        <v/>
      </c>
      <c r="AO27" s="178" t="str">
        <f t="shared" ref="AO27" si="25">IFERROR(IF(AND(AD26="Impacto",AD27="Impacto"),(AO26-(+AO26*AG27)),IF(AND(AD26="Probabilidad",AD27="Impacto"),(AO25-(+AO25*AG27)),IF(AD27="Probabilidad",AO26,""))),"")</f>
        <v/>
      </c>
      <c r="AP27" s="181" t="str">
        <f t="shared" si="24"/>
        <v/>
      </c>
      <c r="AQ27" s="182"/>
      <c r="AR27" s="175"/>
      <c r="AS27" s="183"/>
      <c r="AT27" s="183"/>
      <c r="AU27" s="184"/>
      <c r="AV27" s="414"/>
      <c r="AW27" s="414"/>
      <c r="AX27" s="414"/>
    </row>
    <row r="28" spans="1:50" x14ac:dyDescent="0.2">
      <c r="A28" s="411"/>
      <c r="B28" s="353"/>
      <c r="C28" s="353"/>
      <c r="D28" s="353"/>
      <c r="E28" s="353"/>
      <c r="F28" s="413"/>
      <c r="G28" s="355"/>
      <c r="H28" s="355"/>
      <c r="I28" s="355"/>
      <c r="J28" s="355"/>
      <c r="K28" s="355"/>
      <c r="L28" s="355"/>
      <c r="M28" s="355"/>
      <c r="N28" s="355"/>
      <c r="O28" s="355"/>
      <c r="P28" s="355"/>
      <c r="Q28" s="414"/>
      <c r="R28" s="415"/>
      <c r="S28" s="416"/>
      <c r="T28" s="417"/>
      <c r="U28" s="416">
        <f>IF(NOT(ISERROR(MATCH(T28,_xlfn.ANCHORARRAY(F39),0))),S41&amp;"Por favor no seleccionar los criterios de impacto",T28)</f>
        <v>0</v>
      </c>
      <c r="V28" s="415"/>
      <c r="W28" s="416"/>
      <c r="X28" s="420"/>
      <c r="Y28" s="199">
        <v>4</v>
      </c>
      <c r="Z28" s="199"/>
      <c r="AA28" s="199"/>
      <c r="AB28" s="199"/>
      <c r="AC28" s="224" t="str">
        <f t="shared" si="1"/>
        <v xml:space="preserve">  </v>
      </c>
      <c r="AD28" s="176" t="str">
        <f t="shared" ref="AD28:AD30" si="26">IF(OR(AE28="Preventivo",AE28="Detectivo"),"Probabilidad",IF(AE28="Correctivo","Impacto",""))</f>
        <v/>
      </c>
      <c r="AE28" s="177"/>
      <c r="AF28" s="177"/>
      <c r="AG28" s="178" t="str">
        <f t="shared" si="21"/>
        <v/>
      </c>
      <c r="AH28" s="177"/>
      <c r="AI28" s="177"/>
      <c r="AJ28" s="177"/>
      <c r="AK28" s="179" t="str">
        <f t="shared" ref="AK28:AK30" si="27">IFERROR(IF(AND(AD27="Probabilidad",AD28="Probabilidad"),(AM27-(+AM27*AG28)),IF(AND(AD27="Impacto",AD28="Probabilidad"),(AM26-(+AM26*AG28)),IF(AD28="Impacto",AM27,""))),"")</f>
        <v/>
      </c>
      <c r="AL28" s="180" t="str">
        <f t="shared" si="3"/>
        <v/>
      </c>
      <c r="AM28" s="178" t="str">
        <f t="shared" si="22"/>
        <v/>
      </c>
      <c r="AN28" s="180" t="str">
        <f t="shared" si="5"/>
        <v/>
      </c>
      <c r="AO28" s="178" t="str">
        <f t="shared" si="15"/>
        <v/>
      </c>
      <c r="AP28" s="181" t="str">
        <f>IFERROR(IF(OR(AND(AL28="Muy Baja",AN28="Leve"),AND(AL28="Muy Baja",AN28="Menor"),AND(AL28="Baja",AN28="Leve")),"Bajo",IF(OR(AND(AL28="Muy baja",AN28="Moderado"),AND(AL28="Baja",AN28="Menor"),AND(AL28="Baja",AN28="Moderado"),AND(AL28="Media",AN28="Leve"),AND(AL28="Media",AN28="Menor"),AND(AL28="Media",AN28="Moderado"),AND(AL28="Alta",AN28="Leve"),AND(AL28="Alta",AN28="Menor")),"Moderado",IF(OR(AND(AL28="Muy Baja",AN28="Mayor"),AND(AL28="Baja",AN28="Mayor"),AND(AL28="Media",AN28="Mayor"),AND(AL28="Alta",AN28="Moderado"),AND(AL28="Alta",AN28="Mayor"),AND(AL28="Muy Alta",AN28="Leve"),AND(AL28="Muy Alta",AN28="Menor"),AND(AL28="Muy Alta",AN28="Moderado"),AND(AL28="Muy Alta",AN28="Mayor")),"Alto",IF(OR(AND(AL28="Muy Baja",AN28="Catastrófico"),AND(AL28="Baja",AN28="Catastrófico"),AND(AL28="Media",AN28="Catastrófico"),AND(AL28="Alta",AN28="Catastrófico"),AND(AL28="Muy Alta",AN28="Catastrófico")),"Extremo","")))),"")</f>
        <v/>
      </c>
      <c r="AQ28" s="182"/>
      <c r="AR28" s="175"/>
      <c r="AS28" s="183"/>
      <c r="AT28" s="183"/>
      <c r="AU28" s="184"/>
      <c r="AV28" s="414"/>
      <c r="AW28" s="414"/>
      <c r="AX28" s="414"/>
    </row>
    <row r="29" spans="1:50" x14ac:dyDescent="0.2">
      <c r="A29" s="411"/>
      <c r="B29" s="353"/>
      <c r="C29" s="353"/>
      <c r="D29" s="353"/>
      <c r="E29" s="353"/>
      <c r="F29" s="413"/>
      <c r="G29" s="355"/>
      <c r="H29" s="355"/>
      <c r="I29" s="355"/>
      <c r="J29" s="355"/>
      <c r="K29" s="355"/>
      <c r="L29" s="355"/>
      <c r="M29" s="355"/>
      <c r="N29" s="355"/>
      <c r="O29" s="355"/>
      <c r="P29" s="355"/>
      <c r="Q29" s="414"/>
      <c r="R29" s="415"/>
      <c r="S29" s="416"/>
      <c r="T29" s="417"/>
      <c r="U29" s="416">
        <f>IF(NOT(ISERROR(MATCH(T29,_xlfn.ANCHORARRAY(F40),0))),S42&amp;"Por favor no seleccionar los criterios de impacto",T29)</f>
        <v>0</v>
      </c>
      <c r="V29" s="415"/>
      <c r="W29" s="416"/>
      <c r="X29" s="420"/>
      <c r="Y29" s="199">
        <v>5</v>
      </c>
      <c r="Z29" s="199"/>
      <c r="AA29" s="199"/>
      <c r="AB29" s="199"/>
      <c r="AC29" s="224" t="str">
        <f t="shared" si="1"/>
        <v xml:space="preserve">  </v>
      </c>
      <c r="AD29" s="176" t="str">
        <f t="shared" si="26"/>
        <v/>
      </c>
      <c r="AE29" s="177"/>
      <c r="AF29" s="177"/>
      <c r="AG29" s="178" t="str">
        <f t="shared" si="21"/>
        <v/>
      </c>
      <c r="AH29" s="177"/>
      <c r="AI29" s="177"/>
      <c r="AJ29" s="177"/>
      <c r="AK29" s="179" t="str">
        <f t="shared" si="27"/>
        <v/>
      </c>
      <c r="AL29" s="180" t="str">
        <f t="shared" si="3"/>
        <v/>
      </c>
      <c r="AM29" s="178" t="str">
        <f t="shared" si="22"/>
        <v/>
      </c>
      <c r="AN29" s="180" t="str">
        <f t="shared" si="5"/>
        <v/>
      </c>
      <c r="AO29" s="178" t="str">
        <f t="shared" si="15"/>
        <v/>
      </c>
      <c r="AP29" s="181" t="str">
        <f t="shared" ref="AP29:AP30" si="28">IFERROR(IF(OR(AND(AL29="Muy Baja",AN29="Leve"),AND(AL29="Muy Baja",AN29="Menor"),AND(AL29="Baja",AN29="Leve")),"Bajo",IF(OR(AND(AL29="Muy baja",AN29="Moderado"),AND(AL29="Baja",AN29="Menor"),AND(AL29="Baja",AN29="Moderado"),AND(AL29="Media",AN29="Leve"),AND(AL29="Media",AN29="Menor"),AND(AL29="Media",AN29="Moderado"),AND(AL29="Alta",AN29="Leve"),AND(AL29="Alta",AN29="Menor")),"Moderado",IF(OR(AND(AL29="Muy Baja",AN29="Mayor"),AND(AL29="Baja",AN29="Mayor"),AND(AL29="Media",AN29="Mayor"),AND(AL29="Alta",AN29="Moderado"),AND(AL29="Alta",AN29="Mayor"),AND(AL29="Muy Alta",AN29="Leve"),AND(AL29="Muy Alta",AN29="Menor"),AND(AL29="Muy Alta",AN29="Moderado"),AND(AL29="Muy Alta",AN29="Mayor")),"Alto",IF(OR(AND(AL29="Muy Baja",AN29="Catastrófico"),AND(AL29="Baja",AN29="Catastrófico"),AND(AL29="Media",AN29="Catastrófico"),AND(AL29="Alta",AN29="Catastrófico"),AND(AL29="Muy Alta",AN29="Catastrófico")),"Extremo","")))),"")</f>
        <v/>
      </c>
      <c r="AQ29" s="182"/>
      <c r="AR29" s="175"/>
      <c r="AS29" s="183"/>
      <c r="AT29" s="183"/>
      <c r="AU29" s="184"/>
      <c r="AV29" s="414"/>
      <c r="AW29" s="414"/>
      <c r="AX29" s="414"/>
    </row>
    <row r="30" spans="1:50" x14ac:dyDescent="0.2">
      <c r="A30" s="411"/>
      <c r="B30" s="353"/>
      <c r="C30" s="353"/>
      <c r="D30" s="353"/>
      <c r="E30" s="353"/>
      <c r="F30" s="413"/>
      <c r="G30" s="356"/>
      <c r="H30" s="356"/>
      <c r="I30" s="356"/>
      <c r="J30" s="356"/>
      <c r="K30" s="356"/>
      <c r="L30" s="356"/>
      <c r="M30" s="356"/>
      <c r="N30" s="356"/>
      <c r="O30" s="356"/>
      <c r="P30" s="356"/>
      <c r="Q30" s="414"/>
      <c r="R30" s="415"/>
      <c r="S30" s="416"/>
      <c r="T30" s="417"/>
      <c r="U30" s="416">
        <f>IF(NOT(ISERROR(MATCH(T30,_xlfn.ANCHORARRAY(F41),0))),S43&amp;"Por favor no seleccionar los criterios de impacto",T30)</f>
        <v>0</v>
      </c>
      <c r="V30" s="415"/>
      <c r="W30" s="416"/>
      <c r="X30" s="420"/>
      <c r="Y30" s="199">
        <v>6</v>
      </c>
      <c r="Z30" s="199"/>
      <c r="AA30" s="199"/>
      <c r="AB30" s="199"/>
      <c r="AC30" s="224" t="str">
        <f t="shared" si="1"/>
        <v xml:space="preserve">  </v>
      </c>
      <c r="AD30" s="176" t="str">
        <f t="shared" si="26"/>
        <v/>
      </c>
      <c r="AE30" s="177"/>
      <c r="AF30" s="177"/>
      <c r="AG30" s="178" t="str">
        <f t="shared" si="21"/>
        <v/>
      </c>
      <c r="AH30" s="177"/>
      <c r="AI30" s="177"/>
      <c r="AJ30" s="177"/>
      <c r="AK30" s="179" t="str">
        <f t="shared" si="27"/>
        <v/>
      </c>
      <c r="AL30" s="180" t="str">
        <f t="shared" si="3"/>
        <v/>
      </c>
      <c r="AM30" s="178" t="str">
        <f t="shared" si="22"/>
        <v/>
      </c>
      <c r="AN30" s="180" t="str">
        <f t="shared" si="5"/>
        <v/>
      </c>
      <c r="AO30" s="178" t="str">
        <f t="shared" si="15"/>
        <v/>
      </c>
      <c r="AP30" s="181" t="str">
        <f t="shared" si="28"/>
        <v/>
      </c>
      <c r="AQ30" s="182"/>
      <c r="AR30" s="175"/>
      <c r="AS30" s="183"/>
      <c r="AT30" s="183"/>
      <c r="AU30" s="184"/>
      <c r="AV30" s="414"/>
      <c r="AW30" s="414"/>
      <c r="AX30" s="414"/>
    </row>
    <row r="31" spans="1:50" x14ac:dyDescent="0.2">
      <c r="A31" s="411">
        <v>4</v>
      </c>
      <c r="B31" s="353"/>
      <c r="C31" s="353"/>
      <c r="D31" s="353"/>
      <c r="E31" s="353"/>
      <c r="F31" s="413" t="str">
        <f t="shared" ref="F31" si="29">+CONCATENATE(B31," ",C31," ",D31)</f>
        <v xml:space="preserve">  </v>
      </c>
      <c r="G31" s="354"/>
      <c r="H31" s="354"/>
      <c r="I31" s="354"/>
      <c r="J31" s="354"/>
      <c r="K31" s="354"/>
      <c r="L31" s="354"/>
      <c r="M31" s="354"/>
      <c r="N31" s="354"/>
      <c r="O31" s="354"/>
      <c r="P31" s="354"/>
      <c r="Q31" s="414"/>
      <c r="R31" s="415" t="str">
        <f>IF(Q31&lt;=0,"",IF(Q31&lt;=2,"Muy Baja",IF(Q31&lt;=24,"Baja",IF(Q31&lt;=500,"Media",IF(Q31&lt;=5000,"Alta","Muy Alta")))))</f>
        <v/>
      </c>
      <c r="S31" s="416" t="str">
        <f>IF(R31="","",IF(R31="Muy Baja",0.2,IF(R31="Baja",0.4,IF(R31="Media",0.6,IF(R31="Alta",0.8,IF(R31="Muy Alta",1,))))))</f>
        <v/>
      </c>
      <c r="T31" s="417"/>
      <c r="U31" s="416">
        <f>IF(NOT(ISERROR(MATCH(T31,'Tabla Impacto'!$B$245:$B$247,0))),'Tabla Impacto'!$F$224&amp;"Por favor no seleccionar los criterios de impacto(Afectación Económica o presupuestal y Pérdida Reputacional)",T31)</f>
        <v>0</v>
      </c>
      <c r="V31" s="415" t="str">
        <f>IF(OR(U31='Tabla Impacto'!$C$12,U31='Tabla Impacto'!$D$12),"Leve",IF(OR(U31='Tabla Impacto'!$C$13,U31='Tabla Impacto'!$D$13),"Menor",IF(OR(U31='Tabla Impacto'!$C$14,U31='Tabla Impacto'!$D$14),"Moderado",IF(OR(U31='Tabla Impacto'!$C$15,U31='Tabla Impacto'!$D$15),"Mayor",IF(OR(U31='Tabla Impacto'!$C$16,U31='Tabla Impacto'!$D$16),"Catastrófico","")))))</f>
        <v/>
      </c>
      <c r="W31" s="416" t="str">
        <f>IF(V31="","",IF(V31="Leve",0.2,IF(V31="Menor",0.4,IF(V31="Moderado",0.6,IF(V31="Mayor",0.8,IF(V31="Catastrófico",1,))))))</f>
        <v/>
      </c>
      <c r="X31" s="420" t="str">
        <f>IF(OR(AND(R31="Muy Baja",V31="Leve"),AND(R31="Muy Baja",V31="Menor"),AND(R31="Baja",V31="Leve")),"Bajo",IF(OR(AND(R31="Muy baja",V31="Moderado"),AND(R31="Baja",V31="Menor"),AND(R31="Baja",V31="Moderado"),AND(R31="Media",V31="Leve"),AND(R31="Media",V31="Menor"),AND(R31="Media",V31="Moderado"),AND(R31="Alta",V31="Leve"),AND(R31="Alta",V31="Menor")),"Moderado",IF(OR(AND(R31="Muy Baja",V31="Mayor"),AND(R31="Baja",V31="Mayor"),AND(R31="Media",V31="Mayor"),AND(R31="Alta",V31="Moderado"),AND(R31="Alta",V31="Mayor"),AND(R31="Muy Alta",V31="Leve"),AND(R31="Muy Alta",V31="Menor"),AND(R31="Muy Alta",V31="Moderado"),AND(R31="Muy Alta",V31="Mayor")),"Alto",IF(OR(AND(R31="Muy Baja",V31="Catastrófico"),AND(R31="Baja",V31="Catastrófico"),AND(R31="Media",V31="Catastrófico"),AND(R31="Alta",V31="Catastrófico"),AND(R31="Muy Alta",V31="Catastrófico")),"Extremo",""))))</f>
        <v/>
      </c>
      <c r="Y31" s="199">
        <v>1</v>
      </c>
      <c r="Z31" s="199"/>
      <c r="AA31" s="199"/>
      <c r="AB31" s="199"/>
      <c r="AC31" s="224" t="str">
        <f t="shared" si="1"/>
        <v xml:space="preserve">  </v>
      </c>
      <c r="AD31" s="176" t="str">
        <f>IF(OR(AE31="Preventivo",AE31="Detectivo"),"Probabilidad",IF(AE31="Correctivo","Impacto",""))</f>
        <v/>
      </c>
      <c r="AE31" s="177"/>
      <c r="AF31" s="177"/>
      <c r="AG31" s="178" t="str">
        <f>IF(AND(AE31="Preventivo",AF31="Automático"),"50%",IF(AND(AE31="Preventivo",AF31="Manual"),"40%",IF(AND(AE31="Detectivo",AF31="Automático"),"40%",IF(AND(AE31="Detectivo",AF31="Manual"),"30%",IF(AND(AE31="Correctivo",AF31="Automático"),"35%",IF(AND(AE31="Correctivo",AF31="Manual"),"25%",""))))))</f>
        <v/>
      </c>
      <c r="AH31" s="177"/>
      <c r="AI31" s="177"/>
      <c r="AJ31" s="177"/>
      <c r="AK31" s="179" t="str">
        <f>IFERROR(IF(AD31="Probabilidad",(S31-(+S31*AG31)),IF(AD31="Impacto",S31,"")),"")</f>
        <v/>
      </c>
      <c r="AL31" s="180" t="str">
        <f>IFERROR(IF(AK31="","",IF(AK31&lt;=0.2,"Muy Baja",IF(AK31&lt;=0.4,"Baja",IF(AK31&lt;=0.6,"Media",IF(AK31&lt;=0.8,"Alta","Muy Alta"))))),"")</f>
        <v/>
      </c>
      <c r="AM31" s="178" t="str">
        <f>+AK31</f>
        <v/>
      </c>
      <c r="AN31" s="180" t="str">
        <f>IFERROR(IF(AO31="","",IF(AO31&lt;=0.2,"Leve",IF(AO31&lt;=0.4,"Menor",IF(AO31&lt;=0.6,"Moderado",IF(AO31&lt;=0.8,"Mayor","Catastrófico"))))),"")</f>
        <v/>
      </c>
      <c r="AO31" s="178" t="str">
        <f t="shared" ref="AO31" si="30">IFERROR(IF(AD31="Impacto",(W31-(+W31*AG31)),IF(AD31="Probabilidad",W31,"")),"")</f>
        <v/>
      </c>
      <c r="AP31" s="181" t="str">
        <f>IFERROR(IF(OR(AND(AL31="Muy Baja",AN31="Leve"),AND(AL31="Muy Baja",AN31="Menor"),AND(AL31="Baja",AN31="Leve")),"Bajo",IF(OR(AND(AL31="Muy baja",AN31="Moderado"),AND(AL31="Baja",AN31="Menor"),AND(AL31="Baja",AN31="Moderado"),AND(AL31="Media",AN31="Leve"),AND(AL31="Media",AN31="Menor"),AND(AL31="Media",AN31="Moderado"),AND(AL31="Alta",AN31="Leve"),AND(AL31="Alta",AN31="Menor")),"Moderado",IF(OR(AND(AL31="Muy Baja",AN31="Mayor"),AND(AL31="Baja",AN31="Mayor"),AND(AL31="Media",AN31="Mayor"),AND(AL31="Alta",AN31="Moderado"),AND(AL31="Alta",AN31="Mayor"),AND(AL31="Muy Alta",AN31="Leve"),AND(AL31="Muy Alta",AN31="Menor"),AND(AL31="Muy Alta",AN31="Moderado"),AND(AL31="Muy Alta",AN31="Mayor")),"Alto",IF(OR(AND(AL31="Muy Baja",AN31="Catastrófico"),AND(AL31="Baja",AN31="Catastrófico"),AND(AL31="Media",AN31="Catastrófico"),AND(AL31="Alta",AN31="Catastrófico"),AND(AL31="Muy Alta",AN31="Catastrófico")),"Extremo","")))),"")</f>
        <v/>
      </c>
      <c r="AQ31" s="182"/>
      <c r="AR31" s="175"/>
      <c r="AS31" s="183"/>
      <c r="AT31" s="183"/>
      <c r="AU31" s="184"/>
      <c r="AV31" s="414"/>
      <c r="AW31" s="414"/>
      <c r="AX31" s="414"/>
    </row>
    <row r="32" spans="1:50" x14ac:dyDescent="0.2">
      <c r="A32" s="411"/>
      <c r="B32" s="353"/>
      <c r="C32" s="353"/>
      <c r="D32" s="353"/>
      <c r="E32" s="353"/>
      <c r="F32" s="413"/>
      <c r="G32" s="355"/>
      <c r="H32" s="355"/>
      <c r="I32" s="355"/>
      <c r="J32" s="355"/>
      <c r="K32" s="355"/>
      <c r="L32" s="355"/>
      <c r="M32" s="355"/>
      <c r="N32" s="355"/>
      <c r="O32" s="355"/>
      <c r="P32" s="355"/>
      <c r="Q32" s="414"/>
      <c r="R32" s="415"/>
      <c r="S32" s="416"/>
      <c r="T32" s="417"/>
      <c r="U32" s="416">
        <f>IF(NOT(ISERROR(MATCH(T32,_xlfn.ANCHORARRAY(F43),0))),S45&amp;"Por favor no seleccionar los criterios de impacto",T32)</f>
        <v>0</v>
      </c>
      <c r="V32" s="415"/>
      <c r="W32" s="416"/>
      <c r="X32" s="420"/>
      <c r="Y32" s="199">
        <v>2</v>
      </c>
      <c r="Z32" s="199"/>
      <c r="AA32" s="199"/>
      <c r="AB32" s="199"/>
      <c r="AC32" s="224" t="str">
        <f t="shared" si="1"/>
        <v xml:space="preserve">  </v>
      </c>
      <c r="AD32" s="176" t="str">
        <f>IF(OR(AE32="Preventivo",AE32="Detectivo"),"Probabilidad",IF(AE32="Correctivo","Impacto",""))</f>
        <v/>
      </c>
      <c r="AE32" s="177"/>
      <c r="AF32" s="177"/>
      <c r="AG32" s="178" t="str">
        <f t="shared" ref="AG32:AG36" si="31">IF(AND(AE32="Preventivo",AF32="Automático"),"50%",IF(AND(AE32="Preventivo",AF32="Manual"),"40%",IF(AND(AE32="Detectivo",AF32="Automático"),"40%",IF(AND(AE32="Detectivo",AF32="Manual"),"30%",IF(AND(AE32="Correctivo",AF32="Automático"),"35%",IF(AND(AE32="Correctivo",AF32="Manual"),"25%",""))))))</f>
        <v/>
      </c>
      <c r="AH32" s="177"/>
      <c r="AI32" s="177"/>
      <c r="AJ32" s="177"/>
      <c r="AK32" s="179" t="str">
        <f>IFERROR(IF(AND(AD31="Probabilidad",AD32="Probabilidad"),(AM31-(+AM31*AG32)),IF(AD32="Probabilidad",(S31-(+S31*AG32)),IF(AD32="Impacto",AM31,""))),"")</f>
        <v/>
      </c>
      <c r="AL32" s="180" t="str">
        <f t="shared" si="3"/>
        <v/>
      </c>
      <c r="AM32" s="178" t="str">
        <f t="shared" ref="AM32:AM36" si="32">+AK32</f>
        <v/>
      </c>
      <c r="AN32" s="180" t="str">
        <f t="shared" si="5"/>
        <v/>
      </c>
      <c r="AO32" s="178" t="str">
        <f t="shared" ref="AO32" si="33">IFERROR(IF(AND(AD31="Impacto",AD32="Impacto"),(AO31-(+AO31*AG32)),IF(AD32="Impacto",($W$13-(+$W$13*AG32)),IF(AD32="Probabilidad",AO31,""))),"")</f>
        <v/>
      </c>
      <c r="AP32" s="181" t="str">
        <f t="shared" ref="AP32:AP33" si="34">IFERROR(IF(OR(AND(AL32="Muy Baja",AN32="Leve"),AND(AL32="Muy Baja",AN32="Menor"),AND(AL32="Baja",AN32="Leve")),"Bajo",IF(OR(AND(AL32="Muy baja",AN32="Moderado"),AND(AL32="Baja",AN32="Menor"),AND(AL32="Baja",AN32="Moderado"),AND(AL32="Media",AN32="Leve"),AND(AL32="Media",AN32="Menor"),AND(AL32="Media",AN32="Moderado"),AND(AL32="Alta",AN32="Leve"),AND(AL32="Alta",AN32="Menor")),"Moderado",IF(OR(AND(AL32="Muy Baja",AN32="Mayor"),AND(AL32="Baja",AN32="Mayor"),AND(AL32="Media",AN32="Mayor"),AND(AL32="Alta",AN32="Moderado"),AND(AL32="Alta",AN32="Mayor"),AND(AL32="Muy Alta",AN32="Leve"),AND(AL32="Muy Alta",AN32="Menor"),AND(AL32="Muy Alta",AN32="Moderado"),AND(AL32="Muy Alta",AN32="Mayor")),"Alto",IF(OR(AND(AL32="Muy Baja",AN32="Catastrófico"),AND(AL32="Baja",AN32="Catastrófico"),AND(AL32="Media",AN32="Catastrófico"),AND(AL32="Alta",AN32="Catastrófico"),AND(AL32="Muy Alta",AN32="Catastrófico")),"Extremo","")))),"")</f>
        <v/>
      </c>
      <c r="AQ32" s="182"/>
      <c r="AR32" s="175"/>
      <c r="AS32" s="183"/>
      <c r="AT32" s="183"/>
      <c r="AU32" s="184"/>
      <c r="AV32" s="414"/>
      <c r="AW32" s="414"/>
      <c r="AX32" s="414"/>
    </row>
    <row r="33" spans="1:50" x14ac:dyDescent="0.2">
      <c r="A33" s="411"/>
      <c r="B33" s="353"/>
      <c r="C33" s="353"/>
      <c r="D33" s="353"/>
      <c r="E33" s="353"/>
      <c r="F33" s="413"/>
      <c r="G33" s="355"/>
      <c r="H33" s="355"/>
      <c r="I33" s="355"/>
      <c r="J33" s="355"/>
      <c r="K33" s="355"/>
      <c r="L33" s="355"/>
      <c r="M33" s="355"/>
      <c r="N33" s="355"/>
      <c r="O33" s="355"/>
      <c r="P33" s="355"/>
      <c r="Q33" s="414"/>
      <c r="R33" s="415"/>
      <c r="S33" s="416"/>
      <c r="T33" s="417"/>
      <c r="U33" s="416">
        <f>IF(NOT(ISERROR(MATCH(T33,_xlfn.ANCHORARRAY(F44),0))),S46&amp;"Por favor no seleccionar los criterios de impacto",T33)</f>
        <v>0</v>
      </c>
      <c r="V33" s="415"/>
      <c r="W33" s="416"/>
      <c r="X33" s="420"/>
      <c r="Y33" s="199">
        <v>3</v>
      </c>
      <c r="Z33" s="199"/>
      <c r="AA33" s="199"/>
      <c r="AB33" s="199"/>
      <c r="AC33" s="224" t="str">
        <f t="shared" si="1"/>
        <v xml:space="preserve">  </v>
      </c>
      <c r="AD33" s="176" t="str">
        <f>IF(OR(AE33="Preventivo",AE33="Detectivo"),"Probabilidad",IF(AE33="Correctivo","Impacto",""))</f>
        <v/>
      </c>
      <c r="AE33" s="177"/>
      <c r="AF33" s="177"/>
      <c r="AG33" s="178" t="str">
        <f t="shared" si="31"/>
        <v/>
      </c>
      <c r="AH33" s="177"/>
      <c r="AI33" s="177"/>
      <c r="AJ33" s="177"/>
      <c r="AK33" s="179" t="str">
        <f>IFERROR(IF(AND(AD32="Probabilidad",AD33="Probabilidad"),(AM32-(+AM32*AG33)),IF(AND(AD32="Impacto",AD33="Probabilidad"),(AM31-(+AM31*AG33)),IF(AD33="Impacto",AM32,""))),"")</f>
        <v/>
      </c>
      <c r="AL33" s="180" t="str">
        <f t="shared" si="3"/>
        <v/>
      </c>
      <c r="AM33" s="178" t="str">
        <f t="shared" si="32"/>
        <v/>
      </c>
      <c r="AN33" s="180" t="str">
        <f t="shared" si="5"/>
        <v/>
      </c>
      <c r="AO33" s="178" t="str">
        <f t="shared" ref="AO33" si="35">IFERROR(IF(AND(AD32="Impacto",AD33="Impacto"),(AO32-(+AO32*AG33)),IF(AND(AD32="Probabilidad",AD33="Impacto"),(AO31-(+AO31*AG33)),IF(AD33="Probabilidad",AO32,""))),"")</f>
        <v/>
      </c>
      <c r="AP33" s="181" t="str">
        <f t="shared" si="34"/>
        <v/>
      </c>
      <c r="AQ33" s="182"/>
      <c r="AR33" s="175"/>
      <c r="AS33" s="183"/>
      <c r="AT33" s="183"/>
      <c r="AU33" s="184"/>
      <c r="AV33" s="414"/>
      <c r="AW33" s="414"/>
      <c r="AX33" s="414"/>
    </row>
    <row r="34" spans="1:50" x14ac:dyDescent="0.2">
      <c r="A34" s="411"/>
      <c r="B34" s="353"/>
      <c r="C34" s="353"/>
      <c r="D34" s="353"/>
      <c r="E34" s="353"/>
      <c r="F34" s="413"/>
      <c r="G34" s="355"/>
      <c r="H34" s="355"/>
      <c r="I34" s="355"/>
      <c r="J34" s="355"/>
      <c r="K34" s="355"/>
      <c r="L34" s="355"/>
      <c r="M34" s="355"/>
      <c r="N34" s="355"/>
      <c r="O34" s="355"/>
      <c r="P34" s="355"/>
      <c r="Q34" s="414"/>
      <c r="R34" s="415"/>
      <c r="S34" s="416"/>
      <c r="T34" s="417"/>
      <c r="U34" s="416">
        <f>IF(NOT(ISERROR(MATCH(T34,_xlfn.ANCHORARRAY(F45),0))),S47&amp;"Por favor no seleccionar los criterios de impacto",T34)</f>
        <v>0</v>
      </c>
      <c r="V34" s="415"/>
      <c r="W34" s="416"/>
      <c r="X34" s="420"/>
      <c r="Y34" s="199">
        <v>4</v>
      </c>
      <c r="Z34" s="199"/>
      <c r="AA34" s="199"/>
      <c r="AB34" s="199"/>
      <c r="AC34" s="224" t="str">
        <f t="shared" si="1"/>
        <v xml:space="preserve">  </v>
      </c>
      <c r="AD34" s="176" t="str">
        <f t="shared" ref="AD34:AD36" si="36">IF(OR(AE34="Preventivo",AE34="Detectivo"),"Probabilidad",IF(AE34="Correctivo","Impacto",""))</f>
        <v/>
      </c>
      <c r="AE34" s="177"/>
      <c r="AF34" s="177"/>
      <c r="AG34" s="178" t="str">
        <f t="shared" si="31"/>
        <v/>
      </c>
      <c r="AH34" s="177"/>
      <c r="AI34" s="177"/>
      <c r="AJ34" s="177"/>
      <c r="AK34" s="179" t="str">
        <f t="shared" ref="AK34:AK36" si="37">IFERROR(IF(AND(AD33="Probabilidad",AD34="Probabilidad"),(AM33-(+AM33*AG34)),IF(AND(AD33="Impacto",AD34="Probabilidad"),(AM32-(+AM32*AG34)),IF(AD34="Impacto",AM33,""))),"")</f>
        <v/>
      </c>
      <c r="AL34" s="180" t="str">
        <f t="shared" si="3"/>
        <v/>
      </c>
      <c r="AM34" s="178" t="str">
        <f t="shared" si="32"/>
        <v/>
      </c>
      <c r="AN34" s="180" t="str">
        <f t="shared" si="5"/>
        <v/>
      </c>
      <c r="AO34" s="178" t="str">
        <f t="shared" si="15"/>
        <v/>
      </c>
      <c r="AP34" s="181" t="str">
        <f>IFERROR(IF(OR(AND(AL34="Muy Baja",AN34="Leve"),AND(AL34="Muy Baja",AN34="Menor"),AND(AL34="Baja",AN34="Leve")),"Bajo",IF(OR(AND(AL34="Muy baja",AN34="Moderado"),AND(AL34="Baja",AN34="Menor"),AND(AL34="Baja",AN34="Moderado"),AND(AL34="Media",AN34="Leve"),AND(AL34="Media",AN34="Menor"),AND(AL34="Media",AN34="Moderado"),AND(AL34="Alta",AN34="Leve"),AND(AL34="Alta",AN34="Menor")),"Moderado",IF(OR(AND(AL34="Muy Baja",AN34="Mayor"),AND(AL34="Baja",AN34="Mayor"),AND(AL34="Media",AN34="Mayor"),AND(AL34="Alta",AN34="Moderado"),AND(AL34="Alta",AN34="Mayor"),AND(AL34="Muy Alta",AN34="Leve"),AND(AL34="Muy Alta",AN34="Menor"),AND(AL34="Muy Alta",AN34="Moderado"),AND(AL34="Muy Alta",AN34="Mayor")),"Alto",IF(OR(AND(AL34="Muy Baja",AN34="Catastrófico"),AND(AL34="Baja",AN34="Catastrófico"),AND(AL34="Media",AN34="Catastrófico"),AND(AL34="Alta",AN34="Catastrófico"),AND(AL34="Muy Alta",AN34="Catastrófico")),"Extremo","")))),"")</f>
        <v/>
      </c>
      <c r="AQ34" s="182"/>
      <c r="AR34" s="175"/>
      <c r="AS34" s="183"/>
      <c r="AT34" s="183"/>
      <c r="AU34" s="184"/>
      <c r="AV34" s="414"/>
      <c r="AW34" s="414"/>
      <c r="AX34" s="414"/>
    </row>
    <row r="35" spans="1:50" x14ac:dyDescent="0.2">
      <c r="A35" s="411"/>
      <c r="B35" s="353"/>
      <c r="C35" s="353"/>
      <c r="D35" s="353"/>
      <c r="E35" s="353"/>
      <c r="F35" s="413"/>
      <c r="G35" s="355"/>
      <c r="H35" s="355"/>
      <c r="I35" s="355"/>
      <c r="J35" s="355"/>
      <c r="K35" s="355"/>
      <c r="L35" s="355"/>
      <c r="M35" s="355"/>
      <c r="N35" s="355"/>
      <c r="O35" s="355"/>
      <c r="P35" s="355"/>
      <c r="Q35" s="414"/>
      <c r="R35" s="415"/>
      <c r="S35" s="416"/>
      <c r="T35" s="417"/>
      <c r="U35" s="416">
        <f>IF(NOT(ISERROR(MATCH(T35,_xlfn.ANCHORARRAY(F46),0))),S48&amp;"Por favor no seleccionar los criterios de impacto",T35)</f>
        <v>0</v>
      </c>
      <c r="V35" s="415"/>
      <c r="W35" s="416"/>
      <c r="X35" s="420"/>
      <c r="Y35" s="199">
        <v>5</v>
      </c>
      <c r="Z35" s="199"/>
      <c r="AA35" s="199"/>
      <c r="AB35" s="199"/>
      <c r="AC35" s="224" t="str">
        <f t="shared" si="1"/>
        <v xml:space="preserve">  </v>
      </c>
      <c r="AD35" s="176" t="str">
        <f t="shared" si="36"/>
        <v/>
      </c>
      <c r="AE35" s="177"/>
      <c r="AF35" s="177"/>
      <c r="AG35" s="178" t="str">
        <f t="shared" si="31"/>
        <v/>
      </c>
      <c r="AH35" s="177"/>
      <c r="AI35" s="177"/>
      <c r="AJ35" s="177"/>
      <c r="AK35" s="179" t="str">
        <f t="shared" si="37"/>
        <v/>
      </c>
      <c r="AL35" s="180" t="str">
        <f>IFERROR(IF(AK35="","",IF(AK35&lt;=0.2,"Muy Baja",IF(AK35&lt;=0.4,"Baja",IF(AK35&lt;=0.6,"Media",IF(AK35&lt;=0.8,"Alta","Muy Alta"))))),"")</f>
        <v/>
      </c>
      <c r="AM35" s="178" t="str">
        <f t="shared" si="32"/>
        <v/>
      </c>
      <c r="AN35" s="180" t="str">
        <f t="shared" si="5"/>
        <v/>
      </c>
      <c r="AO35" s="178" t="str">
        <f t="shared" si="15"/>
        <v/>
      </c>
      <c r="AP35" s="181" t="str">
        <f t="shared" ref="AP35:AP36" si="38">IFERROR(IF(OR(AND(AL35="Muy Baja",AN35="Leve"),AND(AL35="Muy Baja",AN35="Menor"),AND(AL35="Baja",AN35="Leve")),"Bajo",IF(OR(AND(AL35="Muy baja",AN35="Moderado"),AND(AL35="Baja",AN35="Menor"),AND(AL35="Baja",AN35="Moderado"),AND(AL35="Media",AN35="Leve"),AND(AL35="Media",AN35="Menor"),AND(AL35="Media",AN35="Moderado"),AND(AL35="Alta",AN35="Leve"),AND(AL35="Alta",AN35="Menor")),"Moderado",IF(OR(AND(AL35="Muy Baja",AN35="Mayor"),AND(AL35="Baja",AN35="Mayor"),AND(AL35="Media",AN35="Mayor"),AND(AL35="Alta",AN35="Moderado"),AND(AL35="Alta",AN35="Mayor"),AND(AL35="Muy Alta",AN35="Leve"),AND(AL35="Muy Alta",AN35="Menor"),AND(AL35="Muy Alta",AN35="Moderado"),AND(AL35="Muy Alta",AN35="Mayor")),"Alto",IF(OR(AND(AL35="Muy Baja",AN35="Catastrófico"),AND(AL35="Baja",AN35="Catastrófico"),AND(AL35="Media",AN35="Catastrófico"),AND(AL35="Alta",AN35="Catastrófico"),AND(AL35="Muy Alta",AN35="Catastrófico")),"Extremo","")))),"")</f>
        <v/>
      </c>
      <c r="AQ35" s="182"/>
      <c r="AR35" s="175"/>
      <c r="AS35" s="183"/>
      <c r="AT35" s="183"/>
      <c r="AU35" s="184"/>
      <c r="AV35" s="414"/>
      <c r="AW35" s="414"/>
      <c r="AX35" s="414"/>
    </row>
    <row r="36" spans="1:50" x14ac:dyDescent="0.2">
      <c r="A36" s="411"/>
      <c r="B36" s="353"/>
      <c r="C36" s="353"/>
      <c r="D36" s="353"/>
      <c r="E36" s="353"/>
      <c r="F36" s="413"/>
      <c r="G36" s="356"/>
      <c r="H36" s="356"/>
      <c r="I36" s="356"/>
      <c r="J36" s="356"/>
      <c r="K36" s="356"/>
      <c r="L36" s="356"/>
      <c r="M36" s="356"/>
      <c r="N36" s="356"/>
      <c r="O36" s="356"/>
      <c r="P36" s="356"/>
      <c r="Q36" s="414"/>
      <c r="R36" s="415"/>
      <c r="S36" s="416"/>
      <c r="T36" s="417"/>
      <c r="U36" s="416">
        <f>IF(NOT(ISERROR(MATCH(T36,_xlfn.ANCHORARRAY(F47),0))),S49&amp;"Por favor no seleccionar los criterios de impacto",T36)</f>
        <v>0</v>
      </c>
      <c r="V36" s="415"/>
      <c r="W36" s="416"/>
      <c r="X36" s="420"/>
      <c r="Y36" s="199">
        <v>6</v>
      </c>
      <c r="Z36" s="199"/>
      <c r="AA36" s="199"/>
      <c r="AB36" s="199"/>
      <c r="AC36" s="224" t="str">
        <f t="shared" si="1"/>
        <v xml:space="preserve">  </v>
      </c>
      <c r="AD36" s="176" t="str">
        <f t="shared" si="36"/>
        <v/>
      </c>
      <c r="AE36" s="177"/>
      <c r="AF36" s="177"/>
      <c r="AG36" s="178" t="str">
        <f t="shared" si="31"/>
        <v/>
      </c>
      <c r="AH36" s="177"/>
      <c r="AI36" s="177"/>
      <c r="AJ36" s="177"/>
      <c r="AK36" s="179" t="str">
        <f t="shared" si="37"/>
        <v/>
      </c>
      <c r="AL36" s="180" t="str">
        <f t="shared" si="3"/>
        <v/>
      </c>
      <c r="AM36" s="178" t="str">
        <f t="shared" si="32"/>
        <v/>
      </c>
      <c r="AN36" s="180" t="str">
        <f t="shared" si="5"/>
        <v/>
      </c>
      <c r="AO36" s="178" t="str">
        <f t="shared" si="15"/>
        <v/>
      </c>
      <c r="AP36" s="181" t="str">
        <f t="shared" si="38"/>
        <v/>
      </c>
      <c r="AQ36" s="182"/>
      <c r="AR36" s="175"/>
      <c r="AS36" s="183"/>
      <c r="AT36" s="183"/>
      <c r="AU36" s="184"/>
      <c r="AV36" s="414"/>
      <c r="AW36" s="414"/>
      <c r="AX36" s="414"/>
    </row>
    <row r="37" spans="1:50" x14ac:dyDescent="0.2">
      <c r="A37" s="411">
        <v>5</v>
      </c>
      <c r="B37" s="353"/>
      <c r="C37" s="353"/>
      <c r="D37" s="353"/>
      <c r="E37" s="353"/>
      <c r="F37" s="413" t="str">
        <f t="shared" ref="F37" si="39">+CONCATENATE(B37," ",C37," ",D37)</f>
        <v xml:space="preserve">  </v>
      </c>
      <c r="G37" s="354"/>
      <c r="H37" s="354"/>
      <c r="I37" s="354"/>
      <c r="J37" s="354"/>
      <c r="K37" s="354"/>
      <c r="L37" s="354"/>
      <c r="M37" s="354"/>
      <c r="N37" s="354"/>
      <c r="O37" s="354"/>
      <c r="P37" s="354"/>
      <c r="Q37" s="414"/>
      <c r="R37" s="415" t="str">
        <f>IF(Q37&lt;=0,"",IF(Q37&lt;=2,"Muy Baja",IF(Q37&lt;=24,"Baja",IF(Q37&lt;=500,"Media",IF(Q37&lt;=5000,"Alta","Muy Alta")))))</f>
        <v/>
      </c>
      <c r="S37" s="416" t="str">
        <f>IF(R37="","",IF(R37="Muy Baja",0.2,IF(R37="Baja",0.4,IF(R37="Media",0.6,IF(R37="Alta",0.8,IF(R37="Muy Alta",1,))))))</f>
        <v/>
      </c>
      <c r="T37" s="417"/>
      <c r="U37" s="416">
        <f>IF(NOT(ISERROR(MATCH(T37,'Tabla Impacto'!$B$245:$B$247,0))),'Tabla Impacto'!$F$224&amp;"Por favor no seleccionar los criterios de impacto(Afectación Económica o presupuestal y Pérdida Reputacional)",T37)</f>
        <v>0</v>
      </c>
      <c r="V37" s="415" t="str">
        <f>IF(OR(U37='Tabla Impacto'!$C$12,U37='Tabla Impacto'!$D$12),"Leve",IF(OR(U37='Tabla Impacto'!$C$13,U37='Tabla Impacto'!$D$13),"Menor",IF(OR(U37='Tabla Impacto'!$C$14,U37='Tabla Impacto'!$D$14),"Moderado",IF(OR(U37='Tabla Impacto'!$C$15,U37='Tabla Impacto'!$D$15),"Mayor",IF(OR(U37='Tabla Impacto'!$C$16,U37='Tabla Impacto'!$D$16),"Catastrófico","")))))</f>
        <v/>
      </c>
      <c r="W37" s="416" t="str">
        <f>IF(V37="","",IF(V37="Leve",0.2,IF(V37="Menor",0.4,IF(V37="Moderado",0.6,IF(V37="Mayor",0.8,IF(V37="Catastrófico",1,))))))</f>
        <v/>
      </c>
      <c r="X37" s="420" t="str">
        <f>IF(OR(AND(R37="Muy Baja",V37="Leve"),AND(R37="Muy Baja",V37="Menor"),AND(R37="Baja",V37="Leve")),"Bajo",IF(OR(AND(R37="Muy baja",V37="Moderado"),AND(R37="Baja",V37="Menor"),AND(R37="Baja",V37="Moderado"),AND(R37="Media",V37="Leve"),AND(R37="Media",V37="Menor"),AND(R37="Media",V37="Moderado"),AND(R37="Alta",V37="Leve"),AND(R37="Alta",V37="Menor")),"Moderado",IF(OR(AND(R37="Muy Baja",V37="Mayor"),AND(R37="Baja",V37="Mayor"),AND(R37="Media",V37="Mayor"),AND(R37="Alta",V37="Moderado"),AND(R37="Alta",V37="Mayor"),AND(R37="Muy Alta",V37="Leve"),AND(R37="Muy Alta",V37="Menor"),AND(R37="Muy Alta",V37="Moderado"),AND(R37="Muy Alta",V37="Mayor")),"Alto",IF(OR(AND(R37="Muy Baja",V37="Catastrófico"),AND(R37="Baja",V37="Catastrófico"),AND(R37="Media",V37="Catastrófico"),AND(R37="Alta",V37="Catastrófico"),AND(R37="Muy Alta",V37="Catastrófico")),"Extremo",""))))</f>
        <v/>
      </c>
      <c r="Y37" s="199">
        <v>1</v>
      </c>
      <c r="Z37" s="199"/>
      <c r="AA37" s="199"/>
      <c r="AB37" s="199"/>
      <c r="AC37" s="224" t="str">
        <f t="shared" si="1"/>
        <v xml:space="preserve">  </v>
      </c>
      <c r="AD37" s="176" t="str">
        <f>IF(OR(AE37="Preventivo",AE37="Detectivo"),"Probabilidad",IF(AE37="Correctivo","Impacto",""))</f>
        <v/>
      </c>
      <c r="AE37" s="177"/>
      <c r="AF37" s="177"/>
      <c r="AG37" s="178" t="str">
        <f>IF(AND(AE37="Preventivo",AF37="Automático"),"50%",IF(AND(AE37="Preventivo",AF37="Manual"),"40%",IF(AND(AE37="Detectivo",AF37="Automático"),"40%",IF(AND(AE37="Detectivo",AF37="Manual"),"30%",IF(AND(AE37="Correctivo",AF37="Automático"),"35%",IF(AND(AE37="Correctivo",AF37="Manual"),"25%",""))))))</f>
        <v/>
      </c>
      <c r="AH37" s="177"/>
      <c r="AI37" s="177"/>
      <c r="AJ37" s="177"/>
      <c r="AK37" s="179" t="str">
        <f>IFERROR(IF(AD37="Probabilidad",(S37-(+S37*AG37)),IF(AD37="Impacto",S37,"")),"")</f>
        <v/>
      </c>
      <c r="AL37" s="180" t="str">
        <f>IFERROR(IF(AK37="","",IF(AK37&lt;=0.2,"Muy Baja",IF(AK37&lt;=0.4,"Baja",IF(AK37&lt;=0.6,"Media",IF(AK37&lt;=0.8,"Alta","Muy Alta"))))),"")</f>
        <v/>
      </c>
      <c r="AM37" s="178" t="str">
        <f>+AK37</f>
        <v/>
      </c>
      <c r="AN37" s="180" t="str">
        <f>IFERROR(IF(AO37="","",IF(AO37&lt;=0.2,"Leve",IF(AO37&lt;=0.4,"Menor",IF(AO37&lt;=0.6,"Moderado",IF(AO37&lt;=0.8,"Mayor","Catastrófico"))))),"")</f>
        <v/>
      </c>
      <c r="AO37" s="178" t="str">
        <f t="shared" ref="AO37" si="40">IFERROR(IF(AD37="Impacto",(W37-(+W37*AG37)),IF(AD37="Probabilidad",W37,"")),"")</f>
        <v/>
      </c>
      <c r="AP37" s="181" t="str">
        <f>IFERROR(IF(OR(AND(AL37="Muy Baja",AN37="Leve"),AND(AL37="Muy Baja",AN37="Menor"),AND(AL37="Baja",AN37="Leve")),"Bajo",IF(OR(AND(AL37="Muy baja",AN37="Moderado"),AND(AL37="Baja",AN37="Menor"),AND(AL37="Baja",AN37="Moderado"),AND(AL37="Media",AN37="Leve"),AND(AL37="Media",AN37="Menor"),AND(AL37="Media",AN37="Moderado"),AND(AL37="Alta",AN37="Leve"),AND(AL37="Alta",AN37="Menor")),"Moderado",IF(OR(AND(AL37="Muy Baja",AN37="Mayor"),AND(AL37="Baja",AN37="Mayor"),AND(AL37="Media",AN37="Mayor"),AND(AL37="Alta",AN37="Moderado"),AND(AL37="Alta",AN37="Mayor"),AND(AL37="Muy Alta",AN37="Leve"),AND(AL37="Muy Alta",AN37="Menor"),AND(AL37="Muy Alta",AN37="Moderado"),AND(AL37="Muy Alta",AN37="Mayor")),"Alto",IF(OR(AND(AL37="Muy Baja",AN37="Catastrófico"),AND(AL37="Baja",AN37="Catastrófico"),AND(AL37="Media",AN37="Catastrófico"),AND(AL37="Alta",AN37="Catastrófico"),AND(AL37="Muy Alta",AN37="Catastrófico")),"Extremo","")))),"")</f>
        <v/>
      </c>
      <c r="AQ37" s="182"/>
      <c r="AR37" s="175"/>
      <c r="AS37" s="183"/>
      <c r="AT37" s="183"/>
      <c r="AU37" s="184"/>
      <c r="AV37" s="414"/>
      <c r="AW37" s="414"/>
      <c r="AX37" s="414"/>
    </row>
    <row r="38" spans="1:50" x14ac:dyDescent="0.2">
      <c r="A38" s="411"/>
      <c r="B38" s="353"/>
      <c r="C38" s="353"/>
      <c r="D38" s="353"/>
      <c r="E38" s="353"/>
      <c r="F38" s="413"/>
      <c r="G38" s="355"/>
      <c r="H38" s="355"/>
      <c r="I38" s="355"/>
      <c r="J38" s="355"/>
      <c r="K38" s="355"/>
      <c r="L38" s="355"/>
      <c r="M38" s="355"/>
      <c r="N38" s="355"/>
      <c r="O38" s="355"/>
      <c r="P38" s="355"/>
      <c r="Q38" s="414"/>
      <c r="R38" s="415"/>
      <c r="S38" s="416"/>
      <c r="T38" s="417"/>
      <c r="U38" s="416">
        <f>IF(NOT(ISERROR(MATCH(T38,_xlfn.ANCHORARRAY(F49),0))),S51&amp;"Por favor no seleccionar los criterios de impacto",T38)</f>
        <v>0</v>
      </c>
      <c r="V38" s="415"/>
      <c r="W38" s="416"/>
      <c r="X38" s="420"/>
      <c r="Y38" s="199">
        <v>2</v>
      </c>
      <c r="Z38" s="199"/>
      <c r="AA38" s="199"/>
      <c r="AB38" s="199"/>
      <c r="AC38" s="224" t="str">
        <f t="shared" si="1"/>
        <v xml:space="preserve">  </v>
      </c>
      <c r="AD38" s="176" t="str">
        <f>IF(OR(AE38="Preventivo",AE38="Detectivo"),"Probabilidad",IF(AE38="Correctivo","Impacto",""))</f>
        <v/>
      </c>
      <c r="AE38" s="177"/>
      <c r="AF38" s="177"/>
      <c r="AG38" s="178" t="str">
        <f t="shared" ref="AG38:AG42" si="41">IF(AND(AE38="Preventivo",AF38="Automático"),"50%",IF(AND(AE38="Preventivo",AF38="Manual"),"40%",IF(AND(AE38="Detectivo",AF38="Automático"),"40%",IF(AND(AE38="Detectivo",AF38="Manual"),"30%",IF(AND(AE38="Correctivo",AF38="Automático"),"35%",IF(AND(AE38="Correctivo",AF38="Manual"),"25%",""))))))</f>
        <v/>
      </c>
      <c r="AH38" s="177"/>
      <c r="AI38" s="177"/>
      <c r="AJ38" s="177"/>
      <c r="AK38" s="179" t="str">
        <f>IFERROR(IF(AND(AD37="Probabilidad",AD38="Probabilidad"),(AM37-(+AM37*AG38)),IF(AD38="Probabilidad",(S37-(+S37*AG38)),IF(AD38="Impacto",AM37,""))),"")</f>
        <v/>
      </c>
      <c r="AL38" s="180" t="str">
        <f t="shared" si="3"/>
        <v/>
      </c>
      <c r="AM38" s="178" t="str">
        <f t="shared" ref="AM38:AM42" si="42">+AK38</f>
        <v/>
      </c>
      <c r="AN38" s="180" t="str">
        <f t="shared" si="5"/>
        <v/>
      </c>
      <c r="AO38" s="178" t="str">
        <f t="shared" ref="AO38" si="43">IFERROR(IF(AND(AD37="Impacto",AD38="Impacto"),(AO37-(+AO37*AG38)),IF(AD38="Impacto",($W$13-(+$W$13*AG38)),IF(AD38="Probabilidad",AO37,""))),"")</f>
        <v/>
      </c>
      <c r="AP38" s="181" t="str">
        <f t="shared" ref="AP38:AP39" si="44">IFERROR(IF(OR(AND(AL38="Muy Baja",AN38="Leve"),AND(AL38="Muy Baja",AN38="Menor"),AND(AL38="Baja",AN38="Leve")),"Bajo",IF(OR(AND(AL38="Muy baja",AN38="Moderado"),AND(AL38="Baja",AN38="Menor"),AND(AL38="Baja",AN38="Moderado"),AND(AL38="Media",AN38="Leve"),AND(AL38="Media",AN38="Menor"),AND(AL38="Media",AN38="Moderado"),AND(AL38="Alta",AN38="Leve"),AND(AL38="Alta",AN38="Menor")),"Moderado",IF(OR(AND(AL38="Muy Baja",AN38="Mayor"),AND(AL38="Baja",AN38="Mayor"),AND(AL38="Media",AN38="Mayor"),AND(AL38="Alta",AN38="Moderado"),AND(AL38="Alta",AN38="Mayor"),AND(AL38="Muy Alta",AN38="Leve"),AND(AL38="Muy Alta",AN38="Menor"),AND(AL38="Muy Alta",AN38="Moderado"),AND(AL38="Muy Alta",AN38="Mayor")),"Alto",IF(OR(AND(AL38="Muy Baja",AN38="Catastrófico"),AND(AL38="Baja",AN38="Catastrófico"),AND(AL38="Media",AN38="Catastrófico"),AND(AL38="Alta",AN38="Catastrófico"),AND(AL38="Muy Alta",AN38="Catastrófico")),"Extremo","")))),"")</f>
        <v/>
      </c>
      <c r="AQ38" s="182"/>
      <c r="AR38" s="175"/>
      <c r="AS38" s="183"/>
      <c r="AT38" s="183"/>
      <c r="AU38" s="184"/>
      <c r="AV38" s="414"/>
      <c r="AW38" s="414"/>
      <c r="AX38" s="414"/>
    </row>
    <row r="39" spans="1:50" x14ac:dyDescent="0.2">
      <c r="A39" s="411"/>
      <c r="B39" s="353"/>
      <c r="C39" s="353"/>
      <c r="D39" s="353"/>
      <c r="E39" s="353"/>
      <c r="F39" s="413"/>
      <c r="G39" s="355"/>
      <c r="H39" s="355"/>
      <c r="I39" s="355"/>
      <c r="J39" s="355"/>
      <c r="K39" s="355"/>
      <c r="L39" s="355"/>
      <c r="M39" s="355"/>
      <c r="N39" s="355"/>
      <c r="O39" s="355"/>
      <c r="P39" s="355"/>
      <c r="Q39" s="414"/>
      <c r="R39" s="415"/>
      <c r="S39" s="416"/>
      <c r="T39" s="417"/>
      <c r="U39" s="416">
        <f>IF(NOT(ISERROR(MATCH(T39,_xlfn.ANCHORARRAY(F50),0))),S52&amp;"Por favor no seleccionar los criterios de impacto",T39)</f>
        <v>0</v>
      </c>
      <c r="V39" s="415"/>
      <c r="W39" s="416"/>
      <c r="X39" s="420"/>
      <c r="Y39" s="199">
        <v>3</v>
      </c>
      <c r="Z39" s="199"/>
      <c r="AA39" s="199"/>
      <c r="AB39" s="199"/>
      <c r="AC39" s="224" t="str">
        <f t="shared" si="1"/>
        <v xml:space="preserve">  </v>
      </c>
      <c r="AD39" s="176" t="str">
        <f>IF(OR(AE39="Preventivo",AE39="Detectivo"),"Probabilidad",IF(AE39="Correctivo","Impacto",""))</f>
        <v/>
      </c>
      <c r="AE39" s="177"/>
      <c r="AF39" s="177"/>
      <c r="AG39" s="178" t="str">
        <f t="shared" si="41"/>
        <v/>
      </c>
      <c r="AH39" s="177"/>
      <c r="AI39" s="177"/>
      <c r="AJ39" s="177"/>
      <c r="AK39" s="179" t="str">
        <f>IFERROR(IF(AND(AD38="Probabilidad",AD39="Probabilidad"),(AM38-(+AM38*AG39)),IF(AND(AD38="Impacto",AD39="Probabilidad"),(AM37-(+AM37*AG39)),IF(AD39="Impacto",AM38,""))),"")</f>
        <v/>
      </c>
      <c r="AL39" s="180" t="str">
        <f t="shared" si="3"/>
        <v/>
      </c>
      <c r="AM39" s="178" t="str">
        <f t="shared" si="42"/>
        <v/>
      </c>
      <c r="AN39" s="180" t="str">
        <f t="shared" si="5"/>
        <v/>
      </c>
      <c r="AO39" s="178" t="str">
        <f t="shared" ref="AO39" si="45">IFERROR(IF(AND(AD38="Impacto",AD39="Impacto"),(AO38-(+AO38*AG39)),IF(AND(AD38="Probabilidad",AD39="Impacto"),(AO37-(+AO37*AG39)),IF(AD39="Probabilidad",AO38,""))),"")</f>
        <v/>
      </c>
      <c r="AP39" s="181" t="str">
        <f t="shared" si="44"/>
        <v/>
      </c>
      <c r="AQ39" s="182"/>
      <c r="AR39" s="175"/>
      <c r="AS39" s="183"/>
      <c r="AT39" s="183"/>
      <c r="AU39" s="184"/>
      <c r="AV39" s="414"/>
      <c r="AW39" s="414"/>
      <c r="AX39" s="414"/>
    </row>
    <row r="40" spans="1:50" x14ac:dyDescent="0.2">
      <c r="A40" s="411"/>
      <c r="B40" s="353"/>
      <c r="C40" s="353"/>
      <c r="D40" s="353"/>
      <c r="E40" s="353"/>
      <c r="F40" s="413"/>
      <c r="G40" s="355"/>
      <c r="H40" s="355"/>
      <c r="I40" s="355"/>
      <c r="J40" s="355"/>
      <c r="K40" s="355"/>
      <c r="L40" s="355"/>
      <c r="M40" s="355"/>
      <c r="N40" s="355"/>
      <c r="O40" s="355"/>
      <c r="P40" s="355"/>
      <c r="Q40" s="414"/>
      <c r="R40" s="415"/>
      <c r="S40" s="416"/>
      <c r="T40" s="417"/>
      <c r="U40" s="416">
        <f>IF(NOT(ISERROR(MATCH(T40,_xlfn.ANCHORARRAY(F51),0))),S53&amp;"Por favor no seleccionar los criterios de impacto",T40)</f>
        <v>0</v>
      </c>
      <c r="V40" s="415"/>
      <c r="W40" s="416"/>
      <c r="X40" s="420"/>
      <c r="Y40" s="199">
        <v>4</v>
      </c>
      <c r="Z40" s="199"/>
      <c r="AA40" s="199"/>
      <c r="AB40" s="199"/>
      <c r="AC40" s="224" t="str">
        <f t="shared" si="1"/>
        <v xml:space="preserve">  </v>
      </c>
      <c r="AD40" s="176" t="str">
        <f t="shared" ref="AD40:AD42" si="46">IF(OR(AE40="Preventivo",AE40="Detectivo"),"Probabilidad",IF(AE40="Correctivo","Impacto",""))</f>
        <v/>
      </c>
      <c r="AE40" s="177"/>
      <c r="AF40" s="177"/>
      <c r="AG40" s="178" t="str">
        <f t="shared" si="41"/>
        <v/>
      </c>
      <c r="AH40" s="177"/>
      <c r="AI40" s="177"/>
      <c r="AJ40" s="177"/>
      <c r="AK40" s="179" t="str">
        <f t="shared" ref="AK40:AK42" si="47">IFERROR(IF(AND(AD39="Probabilidad",AD40="Probabilidad"),(AM39-(+AM39*AG40)),IF(AND(AD39="Impacto",AD40="Probabilidad"),(AM38-(+AM38*AG40)),IF(AD40="Impacto",AM39,""))),"")</f>
        <v/>
      </c>
      <c r="AL40" s="180" t="str">
        <f t="shared" si="3"/>
        <v/>
      </c>
      <c r="AM40" s="178" t="str">
        <f t="shared" si="42"/>
        <v/>
      </c>
      <c r="AN40" s="180" t="str">
        <f t="shared" si="5"/>
        <v/>
      </c>
      <c r="AO40" s="178" t="str">
        <f t="shared" si="15"/>
        <v/>
      </c>
      <c r="AP40" s="181" t="str">
        <f>IFERROR(IF(OR(AND(AL40="Muy Baja",AN40="Leve"),AND(AL40="Muy Baja",AN40="Menor"),AND(AL40="Baja",AN40="Leve")),"Bajo",IF(OR(AND(AL40="Muy baja",AN40="Moderado"),AND(AL40="Baja",AN40="Menor"),AND(AL40="Baja",AN40="Moderado"),AND(AL40="Media",AN40="Leve"),AND(AL40="Media",AN40="Menor"),AND(AL40="Media",AN40="Moderado"),AND(AL40="Alta",AN40="Leve"),AND(AL40="Alta",AN40="Menor")),"Moderado",IF(OR(AND(AL40="Muy Baja",AN40="Mayor"),AND(AL40="Baja",AN40="Mayor"),AND(AL40="Media",AN40="Mayor"),AND(AL40="Alta",AN40="Moderado"),AND(AL40="Alta",AN40="Mayor"),AND(AL40="Muy Alta",AN40="Leve"),AND(AL40="Muy Alta",AN40="Menor"),AND(AL40="Muy Alta",AN40="Moderado"),AND(AL40="Muy Alta",AN40="Mayor")),"Alto",IF(OR(AND(AL40="Muy Baja",AN40="Catastrófico"),AND(AL40="Baja",AN40="Catastrófico"),AND(AL40="Media",AN40="Catastrófico"),AND(AL40="Alta",AN40="Catastrófico"),AND(AL40="Muy Alta",AN40="Catastrófico")),"Extremo","")))),"")</f>
        <v/>
      </c>
      <c r="AQ40" s="182"/>
      <c r="AR40" s="175"/>
      <c r="AS40" s="183"/>
      <c r="AT40" s="183"/>
      <c r="AU40" s="184"/>
      <c r="AV40" s="414"/>
      <c r="AW40" s="414"/>
      <c r="AX40" s="414"/>
    </row>
    <row r="41" spans="1:50" x14ac:dyDescent="0.2">
      <c r="A41" s="411"/>
      <c r="B41" s="353"/>
      <c r="C41" s="353"/>
      <c r="D41" s="353"/>
      <c r="E41" s="353"/>
      <c r="F41" s="413"/>
      <c r="G41" s="355"/>
      <c r="H41" s="355"/>
      <c r="I41" s="355"/>
      <c r="J41" s="355"/>
      <c r="K41" s="355"/>
      <c r="L41" s="355"/>
      <c r="M41" s="355"/>
      <c r="N41" s="355"/>
      <c r="O41" s="355"/>
      <c r="P41" s="355"/>
      <c r="Q41" s="414"/>
      <c r="R41" s="415"/>
      <c r="S41" s="416"/>
      <c r="T41" s="417"/>
      <c r="U41" s="416">
        <f>IF(NOT(ISERROR(MATCH(T41,_xlfn.ANCHORARRAY(F52),0))),S54&amp;"Por favor no seleccionar los criterios de impacto",T41)</f>
        <v>0</v>
      </c>
      <c r="V41" s="415"/>
      <c r="W41" s="416"/>
      <c r="X41" s="420"/>
      <c r="Y41" s="199">
        <v>5</v>
      </c>
      <c r="Z41" s="199"/>
      <c r="AA41" s="199"/>
      <c r="AB41" s="199"/>
      <c r="AC41" s="224" t="str">
        <f t="shared" si="1"/>
        <v xml:space="preserve">  </v>
      </c>
      <c r="AD41" s="176" t="str">
        <f t="shared" si="46"/>
        <v/>
      </c>
      <c r="AE41" s="177"/>
      <c r="AF41" s="177"/>
      <c r="AG41" s="178" t="str">
        <f t="shared" si="41"/>
        <v/>
      </c>
      <c r="AH41" s="177"/>
      <c r="AI41" s="177"/>
      <c r="AJ41" s="177"/>
      <c r="AK41" s="179" t="str">
        <f t="shared" si="47"/>
        <v/>
      </c>
      <c r="AL41" s="180" t="str">
        <f t="shared" si="3"/>
        <v/>
      </c>
      <c r="AM41" s="178" t="str">
        <f t="shared" si="42"/>
        <v/>
      </c>
      <c r="AN41" s="180" t="str">
        <f t="shared" si="5"/>
        <v/>
      </c>
      <c r="AO41" s="178" t="str">
        <f t="shared" si="15"/>
        <v/>
      </c>
      <c r="AP41" s="181" t="str">
        <f t="shared" ref="AP41:AP42" si="48">IFERROR(IF(OR(AND(AL41="Muy Baja",AN41="Leve"),AND(AL41="Muy Baja",AN41="Menor"),AND(AL41="Baja",AN41="Leve")),"Bajo",IF(OR(AND(AL41="Muy baja",AN41="Moderado"),AND(AL41="Baja",AN41="Menor"),AND(AL41="Baja",AN41="Moderado"),AND(AL41="Media",AN41="Leve"),AND(AL41="Media",AN41="Menor"),AND(AL41="Media",AN41="Moderado"),AND(AL41="Alta",AN41="Leve"),AND(AL41="Alta",AN41="Menor")),"Moderado",IF(OR(AND(AL41="Muy Baja",AN41="Mayor"),AND(AL41="Baja",AN41="Mayor"),AND(AL41="Media",AN41="Mayor"),AND(AL41="Alta",AN41="Moderado"),AND(AL41="Alta",AN41="Mayor"),AND(AL41="Muy Alta",AN41="Leve"),AND(AL41="Muy Alta",AN41="Menor"),AND(AL41="Muy Alta",AN41="Moderado"),AND(AL41="Muy Alta",AN41="Mayor")),"Alto",IF(OR(AND(AL41="Muy Baja",AN41="Catastrófico"),AND(AL41="Baja",AN41="Catastrófico"),AND(AL41="Media",AN41="Catastrófico"),AND(AL41="Alta",AN41="Catastrófico"),AND(AL41="Muy Alta",AN41="Catastrófico")),"Extremo","")))),"")</f>
        <v/>
      </c>
      <c r="AQ41" s="182"/>
      <c r="AR41" s="175"/>
      <c r="AS41" s="183"/>
      <c r="AT41" s="183"/>
      <c r="AU41" s="184"/>
      <c r="AV41" s="414"/>
      <c r="AW41" s="414"/>
      <c r="AX41" s="414"/>
    </row>
    <row r="42" spans="1:50" x14ac:dyDescent="0.2">
      <c r="A42" s="411"/>
      <c r="B42" s="353"/>
      <c r="C42" s="353"/>
      <c r="D42" s="353"/>
      <c r="E42" s="353"/>
      <c r="F42" s="413"/>
      <c r="G42" s="356"/>
      <c r="H42" s="356"/>
      <c r="I42" s="356"/>
      <c r="J42" s="356"/>
      <c r="K42" s="356"/>
      <c r="L42" s="356"/>
      <c r="M42" s="356"/>
      <c r="N42" s="356"/>
      <c r="O42" s="356"/>
      <c r="P42" s="356"/>
      <c r="Q42" s="414"/>
      <c r="R42" s="415"/>
      <c r="S42" s="416"/>
      <c r="T42" s="417"/>
      <c r="U42" s="416">
        <f>IF(NOT(ISERROR(MATCH(T42,_xlfn.ANCHORARRAY(F53),0))),S55&amp;"Por favor no seleccionar los criterios de impacto",T42)</f>
        <v>0</v>
      </c>
      <c r="V42" s="415"/>
      <c r="W42" s="416"/>
      <c r="X42" s="420"/>
      <c r="Y42" s="199">
        <v>6</v>
      </c>
      <c r="Z42" s="199"/>
      <c r="AA42" s="199"/>
      <c r="AB42" s="199"/>
      <c r="AC42" s="224" t="str">
        <f t="shared" si="1"/>
        <v xml:space="preserve">  </v>
      </c>
      <c r="AD42" s="176" t="str">
        <f t="shared" si="46"/>
        <v/>
      </c>
      <c r="AE42" s="177"/>
      <c r="AF42" s="177"/>
      <c r="AG42" s="178" t="str">
        <f t="shared" si="41"/>
        <v/>
      </c>
      <c r="AH42" s="177"/>
      <c r="AI42" s="177"/>
      <c r="AJ42" s="177"/>
      <c r="AK42" s="179" t="str">
        <f t="shared" si="47"/>
        <v/>
      </c>
      <c r="AL42" s="180" t="str">
        <f t="shared" si="3"/>
        <v/>
      </c>
      <c r="AM42" s="178" t="str">
        <f t="shared" si="42"/>
        <v/>
      </c>
      <c r="AN42" s="180" t="str">
        <f t="shared" si="5"/>
        <v/>
      </c>
      <c r="AO42" s="178" t="str">
        <f t="shared" si="15"/>
        <v/>
      </c>
      <c r="AP42" s="181" t="str">
        <f t="shared" si="48"/>
        <v/>
      </c>
      <c r="AQ42" s="182"/>
      <c r="AR42" s="175"/>
      <c r="AS42" s="183"/>
      <c r="AT42" s="183"/>
      <c r="AU42" s="184"/>
      <c r="AV42" s="414"/>
      <c r="AW42" s="414"/>
      <c r="AX42" s="414"/>
    </row>
    <row r="43" spans="1:50" x14ac:dyDescent="0.2">
      <c r="A43" s="411">
        <v>6</v>
      </c>
      <c r="B43" s="353"/>
      <c r="C43" s="353"/>
      <c r="D43" s="353"/>
      <c r="E43" s="353"/>
      <c r="F43" s="413" t="str">
        <f>+CONCATENATE(B43," ",C43," ",D43)</f>
        <v xml:space="preserve">  </v>
      </c>
      <c r="G43" s="354"/>
      <c r="H43" s="354"/>
      <c r="I43" s="354"/>
      <c r="J43" s="354"/>
      <c r="K43" s="354"/>
      <c r="L43" s="354"/>
      <c r="M43" s="354"/>
      <c r="N43" s="354"/>
      <c r="O43" s="354"/>
      <c r="P43" s="354"/>
      <c r="Q43" s="414"/>
      <c r="R43" s="415" t="str">
        <f>IF(Q43&lt;=0,"",IF(Q43&lt;=2,"Muy Baja",IF(Q43&lt;=24,"Baja",IF(Q43&lt;=500,"Media",IF(Q43&lt;=5000,"Alta","Muy Alta")))))</f>
        <v/>
      </c>
      <c r="S43" s="416" t="str">
        <f>IF(R43="","",IF(R43="Muy Baja",0.2,IF(R43="Baja",0.4,IF(R43="Media",0.6,IF(R43="Alta",0.8,IF(R43="Muy Alta",1,))))))</f>
        <v/>
      </c>
      <c r="T43" s="417"/>
      <c r="U43" s="416">
        <f>IF(NOT(ISERROR(MATCH(T43,'Tabla Impacto'!$B$245:$B$247,0))),'Tabla Impacto'!$F$224&amp;"Por favor no seleccionar los criterios de impacto(Afectación Económica o presupuestal y Pérdida Reputacional)",T43)</f>
        <v>0</v>
      </c>
      <c r="V43" s="415" t="str">
        <f>IF(OR(U43='Tabla Impacto'!$C$12,U43='Tabla Impacto'!$D$12),"Leve",IF(OR(U43='Tabla Impacto'!$C$13,U43='Tabla Impacto'!$D$13),"Menor",IF(OR(U43='Tabla Impacto'!$C$14,U43='Tabla Impacto'!$D$14),"Moderado",IF(OR(U43='Tabla Impacto'!$C$15,U43='Tabla Impacto'!$D$15),"Mayor",IF(OR(U43='Tabla Impacto'!$C$16,U43='Tabla Impacto'!$D$16),"Catastrófico","")))))</f>
        <v/>
      </c>
      <c r="W43" s="416" t="str">
        <f>IF(V43="","",IF(V43="Leve",0.2,IF(V43="Menor",0.4,IF(V43="Moderado",0.6,IF(V43="Mayor",0.8,IF(V43="Catastrófico",1,))))))</f>
        <v/>
      </c>
      <c r="X43" s="420" t="str">
        <f>IF(OR(AND(R43="Muy Baja",V43="Leve"),AND(R43="Muy Baja",V43="Menor"),AND(R43="Baja",V43="Leve")),"Bajo",IF(OR(AND(R43="Muy baja",V43="Moderado"),AND(R43="Baja",V43="Menor"),AND(R43="Baja",V43="Moderado"),AND(R43="Media",V43="Leve"),AND(R43="Media",V43="Menor"),AND(R43="Media",V43="Moderado"),AND(R43="Alta",V43="Leve"),AND(R43="Alta",V43="Menor")),"Moderado",IF(OR(AND(R43="Muy Baja",V43="Mayor"),AND(R43="Baja",V43="Mayor"),AND(R43="Media",V43="Mayor"),AND(R43="Alta",V43="Moderado"),AND(R43="Alta",V43="Mayor"),AND(R43="Muy Alta",V43="Leve"),AND(R43="Muy Alta",V43="Menor"),AND(R43="Muy Alta",V43="Moderado"),AND(R43="Muy Alta",V43="Mayor")),"Alto",IF(OR(AND(R43="Muy Baja",V43="Catastrófico"),AND(R43="Baja",V43="Catastrófico"),AND(R43="Media",V43="Catastrófico"),AND(R43="Alta",V43="Catastrófico"),AND(R43="Muy Alta",V43="Catastrófico")),"Extremo",""))))</f>
        <v/>
      </c>
      <c r="Y43" s="199">
        <v>1</v>
      </c>
      <c r="Z43" s="199"/>
      <c r="AA43" s="199"/>
      <c r="AB43" s="199"/>
      <c r="AC43" s="224" t="str">
        <f t="shared" si="1"/>
        <v xml:space="preserve">  </v>
      </c>
      <c r="AD43" s="176" t="str">
        <f>IF(OR(AE43="Preventivo",AE43="Detectivo"),"Probabilidad",IF(AE43="Correctivo","Impacto",""))</f>
        <v/>
      </c>
      <c r="AE43" s="177"/>
      <c r="AF43" s="177"/>
      <c r="AG43" s="178" t="str">
        <f>IF(AND(AE43="Preventivo",AF43="Automático"),"50%",IF(AND(AE43="Preventivo",AF43="Manual"),"40%",IF(AND(AE43="Detectivo",AF43="Automático"),"40%",IF(AND(AE43="Detectivo",AF43="Manual"),"30%",IF(AND(AE43="Correctivo",AF43="Automático"),"35%",IF(AND(AE43="Correctivo",AF43="Manual"),"25%",""))))))</f>
        <v/>
      </c>
      <c r="AH43" s="177"/>
      <c r="AI43" s="177"/>
      <c r="AJ43" s="177"/>
      <c r="AK43" s="179" t="str">
        <f>IFERROR(IF(AD43="Probabilidad",(S43-(+S43*AG43)),IF(AD43="Impacto",S43,"")),"")</f>
        <v/>
      </c>
      <c r="AL43" s="180" t="str">
        <f>IFERROR(IF(AK43="","",IF(AK43&lt;=0.2,"Muy Baja",IF(AK43&lt;=0.4,"Baja",IF(AK43&lt;=0.6,"Media",IF(AK43&lt;=0.8,"Alta","Muy Alta"))))),"")</f>
        <v/>
      </c>
      <c r="AM43" s="178" t="str">
        <f>+AK43</f>
        <v/>
      </c>
      <c r="AN43" s="180" t="str">
        <f>IFERROR(IF(AO43="","",IF(AO43&lt;=0.2,"Leve",IF(AO43&lt;=0.4,"Menor",IF(AO43&lt;=0.6,"Moderado",IF(AO43&lt;=0.8,"Mayor","Catastrófico"))))),"")</f>
        <v/>
      </c>
      <c r="AO43" s="178" t="str">
        <f t="shared" ref="AO43" si="49">IFERROR(IF(AD43="Impacto",(W43-(+W43*AG43)),IF(AD43="Probabilidad",W43,"")),"")</f>
        <v/>
      </c>
      <c r="AP43" s="181" t="str">
        <f>IFERROR(IF(OR(AND(AL43="Muy Baja",AN43="Leve"),AND(AL43="Muy Baja",AN43="Menor"),AND(AL43="Baja",AN43="Leve")),"Bajo",IF(OR(AND(AL43="Muy baja",AN43="Moderado"),AND(AL43="Baja",AN43="Menor"),AND(AL43="Baja",AN43="Moderado"),AND(AL43="Media",AN43="Leve"),AND(AL43="Media",AN43="Menor"),AND(AL43="Media",AN43="Moderado"),AND(AL43="Alta",AN43="Leve"),AND(AL43="Alta",AN43="Menor")),"Moderado",IF(OR(AND(AL43="Muy Baja",AN43="Mayor"),AND(AL43="Baja",AN43="Mayor"),AND(AL43="Media",AN43="Mayor"),AND(AL43="Alta",AN43="Moderado"),AND(AL43="Alta",AN43="Mayor"),AND(AL43="Muy Alta",AN43="Leve"),AND(AL43="Muy Alta",AN43="Menor"),AND(AL43="Muy Alta",AN43="Moderado"),AND(AL43="Muy Alta",AN43="Mayor")),"Alto",IF(OR(AND(AL43="Muy Baja",AN43="Catastrófico"),AND(AL43="Baja",AN43="Catastrófico"),AND(AL43="Media",AN43="Catastrófico"),AND(AL43="Alta",AN43="Catastrófico"),AND(AL43="Muy Alta",AN43="Catastrófico")),"Extremo","")))),"")</f>
        <v/>
      </c>
      <c r="AQ43" s="177"/>
      <c r="AR43" s="175"/>
      <c r="AS43" s="183"/>
      <c r="AT43" s="183"/>
      <c r="AU43" s="184"/>
      <c r="AV43" s="414"/>
      <c r="AW43" s="414"/>
      <c r="AX43" s="414"/>
    </row>
    <row r="44" spans="1:50" x14ac:dyDescent="0.2">
      <c r="A44" s="411"/>
      <c r="B44" s="353"/>
      <c r="C44" s="353"/>
      <c r="D44" s="353"/>
      <c r="E44" s="353"/>
      <c r="F44" s="413"/>
      <c r="G44" s="355"/>
      <c r="H44" s="355"/>
      <c r="I44" s="355"/>
      <c r="J44" s="355"/>
      <c r="K44" s="355"/>
      <c r="L44" s="355"/>
      <c r="M44" s="355"/>
      <c r="N44" s="355"/>
      <c r="O44" s="355"/>
      <c r="P44" s="355"/>
      <c r="Q44" s="414"/>
      <c r="R44" s="415"/>
      <c r="S44" s="416"/>
      <c r="T44" s="417"/>
      <c r="U44" s="416">
        <f>IF(NOT(ISERROR(MATCH(T44,_xlfn.ANCHORARRAY(F55),0))),S57&amp;"Por favor no seleccionar los criterios de impacto",T44)</f>
        <v>0</v>
      </c>
      <c r="V44" s="415"/>
      <c r="W44" s="416"/>
      <c r="X44" s="420"/>
      <c r="Y44" s="199">
        <v>2</v>
      </c>
      <c r="Z44" s="199"/>
      <c r="AA44" s="199"/>
      <c r="AB44" s="199"/>
      <c r="AC44" s="224" t="str">
        <f t="shared" si="1"/>
        <v xml:space="preserve">  </v>
      </c>
      <c r="AD44" s="176" t="str">
        <f>IF(OR(AE44="Preventivo",AE44="Detectivo"),"Probabilidad",IF(AE44="Correctivo","Impacto",""))</f>
        <v/>
      </c>
      <c r="AE44" s="177"/>
      <c r="AF44" s="177"/>
      <c r="AG44" s="178" t="str">
        <f t="shared" ref="AG44:AG48" si="50">IF(AND(AE44="Preventivo",AF44="Automático"),"50%",IF(AND(AE44="Preventivo",AF44="Manual"),"40%",IF(AND(AE44="Detectivo",AF44="Automático"),"40%",IF(AND(AE44="Detectivo",AF44="Manual"),"30%",IF(AND(AE44="Correctivo",AF44="Automático"),"35%",IF(AND(AE44="Correctivo",AF44="Manual"),"25%",""))))))</f>
        <v/>
      </c>
      <c r="AH44" s="177"/>
      <c r="AI44" s="177"/>
      <c r="AJ44" s="177"/>
      <c r="AK44" s="179" t="str">
        <f>IFERROR(IF(AND(AD43="Probabilidad",AD44="Probabilidad"),(AM43-(+AM43*AG44)),IF(AD44="Probabilidad",(S43-(+S43*AG44)),IF(AD44="Impacto",AM43,""))),"")</f>
        <v/>
      </c>
      <c r="AL44" s="180" t="str">
        <f t="shared" si="3"/>
        <v/>
      </c>
      <c r="AM44" s="178" t="str">
        <f t="shared" ref="AM44:AM48" si="51">+AK44</f>
        <v/>
      </c>
      <c r="AN44" s="180" t="str">
        <f t="shared" si="5"/>
        <v/>
      </c>
      <c r="AO44" s="178" t="str">
        <f t="shared" ref="AO44" si="52">IFERROR(IF(AND(AD43="Impacto",AD44="Impacto"),(AO43-(+AO43*AG44)),IF(AD44="Impacto",($W$13-(+$W$13*AG44)),IF(AD44="Probabilidad",AO43,""))),"")</f>
        <v/>
      </c>
      <c r="AP44" s="181" t="str">
        <f t="shared" ref="AP44:AP45" si="53">IFERROR(IF(OR(AND(AL44="Muy Baja",AN44="Leve"),AND(AL44="Muy Baja",AN44="Menor"),AND(AL44="Baja",AN44="Leve")),"Bajo",IF(OR(AND(AL44="Muy baja",AN44="Moderado"),AND(AL44="Baja",AN44="Menor"),AND(AL44="Baja",AN44="Moderado"),AND(AL44="Media",AN44="Leve"),AND(AL44="Media",AN44="Menor"),AND(AL44="Media",AN44="Moderado"),AND(AL44="Alta",AN44="Leve"),AND(AL44="Alta",AN44="Menor")),"Moderado",IF(OR(AND(AL44="Muy Baja",AN44="Mayor"),AND(AL44="Baja",AN44="Mayor"),AND(AL44="Media",AN44="Mayor"),AND(AL44="Alta",AN44="Moderado"),AND(AL44="Alta",AN44="Mayor"),AND(AL44="Muy Alta",AN44="Leve"),AND(AL44="Muy Alta",AN44="Menor"),AND(AL44="Muy Alta",AN44="Moderado"),AND(AL44="Muy Alta",AN44="Mayor")),"Alto",IF(OR(AND(AL44="Muy Baja",AN44="Catastrófico"),AND(AL44="Baja",AN44="Catastrófico"),AND(AL44="Media",AN44="Catastrófico"),AND(AL44="Alta",AN44="Catastrófico"),AND(AL44="Muy Alta",AN44="Catastrófico")),"Extremo","")))),"")</f>
        <v/>
      </c>
      <c r="AQ44" s="182"/>
      <c r="AR44" s="175"/>
      <c r="AS44" s="183"/>
      <c r="AT44" s="183"/>
      <c r="AU44" s="184"/>
      <c r="AV44" s="414"/>
      <c r="AW44" s="414"/>
      <c r="AX44" s="414"/>
    </row>
    <row r="45" spans="1:50" x14ac:dyDescent="0.2">
      <c r="A45" s="411"/>
      <c r="B45" s="353"/>
      <c r="C45" s="353"/>
      <c r="D45" s="353"/>
      <c r="E45" s="353"/>
      <c r="F45" s="413"/>
      <c r="G45" s="355"/>
      <c r="H45" s="355"/>
      <c r="I45" s="355"/>
      <c r="J45" s="355"/>
      <c r="K45" s="355"/>
      <c r="L45" s="355"/>
      <c r="M45" s="355"/>
      <c r="N45" s="355"/>
      <c r="O45" s="355"/>
      <c r="P45" s="355"/>
      <c r="Q45" s="414"/>
      <c r="R45" s="415"/>
      <c r="S45" s="416"/>
      <c r="T45" s="417"/>
      <c r="U45" s="416">
        <f>IF(NOT(ISERROR(MATCH(T45,_xlfn.ANCHORARRAY(F56),0))),S58&amp;"Por favor no seleccionar los criterios de impacto",T45)</f>
        <v>0</v>
      </c>
      <c r="V45" s="415"/>
      <c r="W45" s="416"/>
      <c r="X45" s="420"/>
      <c r="Y45" s="199">
        <v>3</v>
      </c>
      <c r="Z45" s="199"/>
      <c r="AA45" s="199"/>
      <c r="AB45" s="199"/>
      <c r="AC45" s="224" t="str">
        <f t="shared" si="1"/>
        <v xml:space="preserve">  </v>
      </c>
      <c r="AD45" s="176" t="str">
        <f>IF(OR(AE45="Preventivo",AE45="Detectivo"),"Probabilidad",IF(AE45="Correctivo","Impacto",""))</f>
        <v/>
      </c>
      <c r="AE45" s="177"/>
      <c r="AF45" s="177"/>
      <c r="AG45" s="178" t="str">
        <f t="shared" si="50"/>
        <v/>
      </c>
      <c r="AH45" s="177"/>
      <c r="AI45" s="177"/>
      <c r="AJ45" s="177"/>
      <c r="AK45" s="179" t="str">
        <f>IFERROR(IF(AND(AD44="Probabilidad",AD45="Probabilidad"),(AM44-(+AM44*AG45)),IF(AND(AD44="Impacto",AD45="Probabilidad"),(AM43-(+AM43*AG45)),IF(AD45="Impacto",AM44,""))),"")</f>
        <v/>
      </c>
      <c r="AL45" s="180" t="str">
        <f t="shared" si="3"/>
        <v/>
      </c>
      <c r="AM45" s="178" t="str">
        <f t="shared" si="51"/>
        <v/>
      </c>
      <c r="AN45" s="180" t="str">
        <f t="shared" si="5"/>
        <v/>
      </c>
      <c r="AO45" s="178" t="str">
        <f t="shared" ref="AO45" si="54">IFERROR(IF(AND(AD44="Impacto",AD45="Impacto"),(AO44-(+AO44*AG45)),IF(AND(AD44="Probabilidad",AD45="Impacto"),(AO43-(+AO43*AG45)),IF(AD45="Probabilidad",AO44,""))),"")</f>
        <v/>
      </c>
      <c r="AP45" s="181" t="str">
        <f t="shared" si="53"/>
        <v/>
      </c>
      <c r="AQ45" s="182"/>
      <c r="AR45" s="175"/>
      <c r="AS45" s="183"/>
      <c r="AT45" s="183"/>
      <c r="AU45" s="184"/>
      <c r="AV45" s="414"/>
      <c r="AW45" s="414"/>
      <c r="AX45" s="414"/>
    </row>
    <row r="46" spans="1:50" x14ac:dyDescent="0.2">
      <c r="A46" s="411"/>
      <c r="B46" s="353"/>
      <c r="C46" s="353"/>
      <c r="D46" s="353"/>
      <c r="E46" s="353"/>
      <c r="F46" s="413"/>
      <c r="G46" s="355"/>
      <c r="H46" s="355"/>
      <c r="I46" s="355"/>
      <c r="J46" s="355"/>
      <c r="K46" s="355"/>
      <c r="L46" s="355"/>
      <c r="M46" s="355"/>
      <c r="N46" s="355"/>
      <c r="O46" s="355"/>
      <c r="P46" s="355"/>
      <c r="Q46" s="414"/>
      <c r="R46" s="415"/>
      <c r="S46" s="416"/>
      <c r="T46" s="417"/>
      <c r="U46" s="416">
        <f>IF(NOT(ISERROR(MATCH(T46,_xlfn.ANCHORARRAY(F57),0))),S59&amp;"Por favor no seleccionar los criterios de impacto",T46)</f>
        <v>0</v>
      </c>
      <c r="V46" s="415"/>
      <c r="W46" s="416"/>
      <c r="X46" s="420"/>
      <c r="Y46" s="199">
        <v>4</v>
      </c>
      <c r="Z46" s="199"/>
      <c r="AA46" s="199"/>
      <c r="AB46" s="199"/>
      <c r="AC46" s="224" t="str">
        <f t="shared" si="1"/>
        <v xml:space="preserve">  </v>
      </c>
      <c r="AD46" s="176" t="str">
        <f t="shared" ref="AD46:AD48" si="55">IF(OR(AE46="Preventivo",AE46="Detectivo"),"Probabilidad",IF(AE46="Correctivo","Impacto",""))</f>
        <v/>
      </c>
      <c r="AE46" s="177"/>
      <c r="AF46" s="177"/>
      <c r="AG46" s="178" t="str">
        <f t="shared" si="50"/>
        <v/>
      </c>
      <c r="AH46" s="177"/>
      <c r="AI46" s="177"/>
      <c r="AJ46" s="177"/>
      <c r="AK46" s="179" t="str">
        <f t="shared" ref="AK46:AK48" si="56">IFERROR(IF(AND(AD45="Probabilidad",AD46="Probabilidad"),(AM45-(+AM45*AG46)),IF(AND(AD45="Impacto",AD46="Probabilidad"),(AM44-(+AM44*AG46)),IF(AD46="Impacto",AM45,""))),"")</f>
        <v/>
      </c>
      <c r="AL46" s="180" t="str">
        <f t="shared" si="3"/>
        <v/>
      </c>
      <c r="AM46" s="178" t="str">
        <f t="shared" si="51"/>
        <v/>
      </c>
      <c r="AN46" s="180" t="str">
        <f t="shared" si="5"/>
        <v/>
      </c>
      <c r="AO46" s="178" t="str">
        <f t="shared" si="15"/>
        <v/>
      </c>
      <c r="AP46" s="181" t="str">
        <f>IFERROR(IF(OR(AND(AL46="Muy Baja",AN46="Leve"),AND(AL46="Muy Baja",AN46="Menor"),AND(AL46="Baja",AN46="Leve")),"Bajo",IF(OR(AND(AL46="Muy baja",AN46="Moderado"),AND(AL46="Baja",AN46="Menor"),AND(AL46="Baja",AN46="Moderado"),AND(AL46="Media",AN46="Leve"),AND(AL46="Media",AN46="Menor"),AND(AL46="Media",AN46="Moderado"),AND(AL46="Alta",AN46="Leve"),AND(AL46="Alta",AN46="Menor")),"Moderado",IF(OR(AND(AL46="Muy Baja",AN46="Mayor"),AND(AL46="Baja",AN46="Mayor"),AND(AL46="Media",AN46="Mayor"),AND(AL46="Alta",AN46="Moderado"),AND(AL46="Alta",AN46="Mayor"),AND(AL46="Muy Alta",AN46="Leve"),AND(AL46="Muy Alta",AN46="Menor"),AND(AL46="Muy Alta",AN46="Moderado"),AND(AL46="Muy Alta",AN46="Mayor")),"Alto",IF(OR(AND(AL46="Muy Baja",AN46="Catastrófico"),AND(AL46="Baja",AN46="Catastrófico"),AND(AL46="Media",AN46="Catastrófico"),AND(AL46="Alta",AN46="Catastrófico"),AND(AL46="Muy Alta",AN46="Catastrófico")),"Extremo","")))),"")</f>
        <v/>
      </c>
      <c r="AQ46" s="182"/>
      <c r="AR46" s="175"/>
      <c r="AS46" s="183"/>
      <c r="AT46" s="183"/>
      <c r="AU46" s="184"/>
      <c r="AV46" s="414"/>
      <c r="AW46" s="414"/>
      <c r="AX46" s="414"/>
    </row>
    <row r="47" spans="1:50" x14ac:dyDescent="0.2">
      <c r="A47" s="411"/>
      <c r="B47" s="353"/>
      <c r="C47" s="353"/>
      <c r="D47" s="353"/>
      <c r="E47" s="353"/>
      <c r="F47" s="413"/>
      <c r="G47" s="355"/>
      <c r="H47" s="355"/>
      <c r="I47" s="355"/>
      <c r="J47" s="355"/>
      <c r="K47" s="355"/>
      <c r="L47" s="355"/>
      <c r="M47" s="355"/>
      <c r="N47" s="355"/>
      <c r="O47" s="355"/>
      <c r="P47" s="355"/>
      <c r="Q47" s="414"/>
      <c r="R47" s="415"/>
      <c r="S47" s="416"/>
      <c r="T47" s="417"/>
      <c r="U47" s="416">
        <f>IF(NOT(ISERROR(MATCH(T47,_xlfn.ANCHORARRAY(F58),0))),S60&amp;"Por favor no seleccionar los criterios de impacto",T47)</f>
        <v>0</v>
      </c>
      <c r="V47" s="415"/>
      <c r="W47" s="416"/>
      <c r="X47" s="420"/>
      <c r="Y47" s="199">
        <v>5</v>
      </c>
      <c r="Z47" s="199"/>
      <c r="AA47" s="199"/>
      <c r="AB47" s="199"/>
      <c r="AC47" s="224" t="str">
        <f t="shared" si="1"/>
        <v xml:space="preserve">  </v>
      </c>
      <c r="AD47" s="176" t="str">
        <f t="shared" si="55"/>
        <v/>
      </c>
      <c r="AE47" s="177"/>
      <c r="AF47" s="177"/>
      <c r="AG47" s="178" t="str">
        <f t="shared" si="50"/>
        <v/>
      </c>
      <c r="AH47" s="177"/>
      <c r="AI47" s="177"/>
      <c r="AJ47" s="177"/>
      <c r="AK47" s="179" t="str">
        <f t="shared" si="56"/>
        <v/>
      </c>
      <c r="AL47" s="180" t="str">
        <f t="shared" si="3"/>
        <v/>
      </c>
      <c r="AM47" s="178" t="str">
        <f t="shared" si="51"/>
        <v/>
      </c>
      <c r="AN47" s="180" t="str">
        <f t="shared" si="5"/>
        <v/>
      </c>
      <c r="AO47" s="178" t="str">
        <f t="shared" si="15"/>
        <v/>
      </c>
      <c r="AP47" s="181" t="str">
        <f t="shared" ref="AP47" si="57">IFERROR(IF(OR(AND(AL47="Muy Baja",AN47="Leve"),AND(AL47="Muy Baja",AN47="Menor"),AND(AL47="Baja",AN47="Leve")),"Bajo",IF(OR(AND(AL47="Muy baja",AN47="Moderado"),AND(AL47="Baja",AN47="Menor"),AND(AL47="Baja",AN47="Moderado"),AND(AL47="Media",AN47="Leve"),AND(AL47="Media",AN47="Menor"),AND(AL47="Media",AN47="Moderado"),AND(AL47="Alta",AN47="Leve"),AND(AL47="Alta",AN47="Menor")),"Moderado",IF(OR(AND(AL47="Muy Baja",AN47="Mayor"),AND(AL47="Baja",AN47="Mayor"),AND(AL47="Media",AN47="Mayor"),AND(AL47="Alta",AN47="Moderado"),AND(AL47="Alta",AN47="Mayor"),AND(AL47="Muy Alta",AN47="Leve"),AND(AL47="Muy Alta",AN47="Menor"),AND(AL47="Muy Alta",AN47="Moderado"),AND(AL47="Muy Alta",AN47="Mayor")),"Alto",IF(OR(AND(AL47="Muy Baja",AN47="Catastrófico"),AND(AL47="Baja",AN47="Catastrófico"),AND(AL47="Media",AN47="Catastrófico"),AND(AL47="Alta",AN47="Catastrófico"),AND(AL47="Muy Alta",AN47="Catastrófico")),"Extremo","")))),"")</f>
        <v/>
      </c>
      <c r="AQ47" s="182"/>
      <c r="AR47" s="175"/>
      <c r="AS47" s="183"/>
      <c r="AT47" s="183"/>
      <c r="AU47" s="184"/>
      <c r="AV47" s="414"/>
      <c r="AW47" s="414"/>
      <c r="AX47" s="414"/>
    </row>
    <row r="48" spans="1:50" x14ac:dyDescent="0.2">
      <c r="A48" s="411"/>
      <c r="B48" s="353"/>
      <c r="C48" s="353"/>
      <c r="D48" s="353"/>
      <c r="E48" s="353"/>
      <c r="F48" s="413"/>
      <c r="G48" s="356"/>
      <c r="H48" s="356"/>
      <c r="I48" s="356"/>
      <c r="J48" s="356"/>
      <c r="K48" s="356"/>
      <c r="L48" s="356"/>
      <c r="M48" s="356"/>
      <c r="N48" s="356"/>
      <c r="O48" s="356"/>
      <c r="P48" s="356"/>
      <c r="Q48" s="414"/>
      <c r="R48" s="415"/>
      <c r="S48" s="416"/>
      <c r="T48" s="417"/>
      <c r="U48" s="416">
        <f>IF(NOT(ISERROR(MATCH(T48,_xlfn.ANCHORARRAY(F59),0))),S61&amp;"Por favor no seleccionar los criterios de impacto",T48)</f>
        <v>0</v>
      </c>
      <c r="V48" s="415"/>
      <c r="W48" s="416"/>
      <c r="X48" s="420"/>
      <c r="Y48" s="199">
        <v>6</v>
      </c>
      <c r="Z48" s="199"/>
      <c r="AA48" s="199"/>
      <c r="AB48" s="199"/>
      <c r="AC48" s="224" t="str">
        <f t="shared" si="1"/>
        <v xml:space="preserve">  </v>
      </c>
      <c r="AD48" s="176" t="str">
        <f t="shared" si="55"/>
        <v/>
      </c>
      <c r="AE48" s="177"/>
      <c r="AF48" s="177"/>
      <c r="AG48" s="178" t="str">
        <f t="shared" si="50"/>
        <v/>
      </c>
      <c r="AH48" s="177"/>
      <c r="AI48" s="177"/>
      <c r="AJ48" s="177"/>
      <c r="AK48" s="179" t="str">
        <f t="shared" si="56"/>
        <v/>
      </c>
      <c r="AL48" s="180" t="str">
        <f t="shared" si="3"/>
        <v/>
      </c>
      <c r="AM48" s="178" t="str">
        <f t="shared" si="51"/>
        <v/>
      </c>
      <c r="AN48" s="180" t="str">
        <f>IFERROR(IF(AO48="","",IF(AO48&lt;=0.2,"Leve",IF(AO48&lt;=0.4,"Menor",IF(AO48&lt;=0.6,"Moderado",IF(AO48&lt;=0.8,"Mayor","Catastrófico"))))),"")</f>
        <v/>
      </c>
      <c r="AO48" s="178" t="str">
        <f t="shared" si="15"/>
        <v/>
      </c>
      <c r="AP48" s="181" t="str">
        <f>IFERROR(IF(OR(AND(AL48="Muy Baja",AN48="Leve"),AND(AL48="Muy Baja",AN48="Menor"),AND(AL48="Baja",AN48="Leve")),"Bajo",IF(OR(AND(AL48="Muy baja",AN48="Moderado"),AND(AL48="Baja",AN48="Menor"),AND(AL48="Baja",AN48="Moderado"),AND(AL48="Media",AN48="Leve"),AND(AL48="Media",AN48="Menor"),AND(AL48="Media",AN48="Moderado"),AND(AL48="Alta",AN48="Leve"),AND(AL48="Alta",AN48="Menor")),"Moderado",IF(OR(AND(AL48="Muy Baja",AN48="Mayor"),AND(AL48="Baja",AN48="Mayor"),AND(AL48="Media",AN48="Mayor"),AND(AL48="Alta",AN48="Moderado"),AND(AL48="Alta",AN48="Mayor"),AND(AL48="Muy Alta",AN48="Leve"),AND(AL48="Muy Alta",AN48="Menor"),AND(AL48="Muy Alta",AN48="Moderado"),AND(AL48="Muy Alta",AN48="Mayor")),"Alto",IF(OR(AND(AL48="Muy Baja",AN48="Catastrófico"),AND(AL48="Baja",AN48="Catastrófico"),AND(AL48="Media",AN48="Catastrófico"),AND(AL48="Alta",AN48="Catastrófico"),AND(AL48="Muy Alta",AN48="Catastrófico")),"Extremo","")))),"")</f>
        <v/>
      </c>
      <c r="AQ48" s="182"/>
      <c r="AR48" s="175"/>
      <c r="AS48" s="183"/>
      <c r="AT48" s="183"/>
      <c r="AU48" s="184"/>
      <c r="AV48" s="414"/>
      <c r="AW48" s="414"/>
      <c r="AX48" s="414"/>
    </row>
    <row r="49" spans="1:50" x14ac:dyDescent="0.2">
      <c r="A49" s="411">
        <v>7</v>
      </c>
      <c r="B49" s="353"/>
      <c r="C49" s="353"/>
      <c r="D49" s="412"/>
      <c r="E49" s="412"/>
      <c r="F49" s="413"/>
      <c r="G49" s="354"/>
      <c r="H49" s="354"/>
      <c r="I49" s="354"/>
      <c r="J49" s="354"/>
      <c r="K49" s="354"/>
      <c r="L49" s="354"/>
      <c r="M49" s="354"/>
      <c r="N49" s="354"/>
      <c r="O49" s="354"/>
      <c r="P49" s="354"/>
      <c r="Q49" s="414"/>
      <c r="R49" s="415" t="str">
        <f>IF(Q49&lt;=0,"",IF(Q49&lt;=2,"Muy Baja",IF(Q49&lt;=24,"Baja",IF(Q49&lt;=500,"Media",IF(Q49&lt;=5000,"Alta","Muy Alta")))))</f>
        <v/>
      </c>
      <c r="S49" s="416" t="str">
        <f>IF(R49="","",IF(R49="Muy Baja",0.2,IF(R49="Baja",0.4,IF(R49="Media",0.6,IF(R49="Alta",0.8,IF(R49="Muy Alta",1,))))))</f>
        <v/>
      </c>
      <c r="T49" s="417"/>
      <c r="U49" s="416">
        <f>IF(NOT(ISERROR(MATCH(T49,'Tabla Impacto'!$B$245:$B$247,0))),'Tabla Impacto'!$F$224&amp;"Por favor no seleccionar los criterios de impacto(Afectación Económica o presupuestal y Pérdida Reputacional)",T49)</f>
        <v>0</v>
      </c>
      <c r="V49" s="415" t="str">
        <f>IF(OR(U49='Tabla Impacto'!$C$12,U49='Tabla Impacto'!$D$12),"Leve",IF(OR(U49='Tabla Impacto'!$C$13,U49='Tabla Impacto'!$D$13),"Menor",IF(OR(U49='Tabla Impacto'!$C$14,U49='Tabla Impacto'!$D$14),"Moderado",IF(OR(U49='Tabla Impacto'!$C$15,U49='Tabla Impacto'!$D$15),"Mayor",IF(OR(U49='Tabla Impacto'!$C$16,U49='Tabla Impacto'!$D$16),"Catastrófico","")))))</f>
        <v/>
      </c>
      <c r="W49" s="416" t="str">
        <f>IF(V49="","",IF(V49="Leve",0.2,IF(V49="Menor",0.4,IF(V49="Moderado",0.6,IF(V49="Mayor",0.8,IF(V49="Catastrófico",1,))))))</f>
        <v/>
      </c>
      <c r="X49" s="420" t="str">
        <f>IF(OR(AND(R49="Muy Baja",V49="Leve"),AND(R49="Muy Baja",V49="Menor"),AND(R49="Baja",V49="Leve")),"Bajo",IF(OR(AND(R49="Muy baja",V49="Moderado"),AND(R49="Baja",V49="Menor"),AND(R49="Baja",V49="Moderado"),AND(R49="Media",V49="Leve"),AND(R49="Media",V49="Menor"),AND(R49="Media",V49="Moderado"),AND(R49="Alta",V49="Leve"),AND(R49="Alta",V49="Menor")),"Moderado",IF(OR(AND(R49="Muy Baja",V49="Mayor"),AND(R49="Baja",V49="Mayor"),AND(R49="Media",V49="Mayor"),AND(R49="Alta",V49="Moderado"),AND(R49="Alta",V49="Mayor"),AND(R49="Muy Alta",V49="Leve"),AND(R49="Muy Alta",V49="Menor"),AND(R49="Muy Alta",V49="Moderado"),AND(R49="Muy Alta",V49="Mayor")),"Alto",IF(OR(AND(R49="Muy Baja",V49="Catastrófico"),AND(R49="Baja",V49="Catastrófico"),AND(R49="Media",V49="Catastrófico"),AND(R49="Alta",V49="Catastrófico"),AND(R49="Muy Alta",V49="Catastrófico")),"Extremo",""))))</f>
        <v/>
      </c>
      <c r="Y49" s="199">
        <v>1</v>
      </c>
      <c r="Z49" s="199"/>
      <c r="AA49" s="199"/>
      <c r="AB49" s="199"/>
      <c r="AC49" s="224" t="str">
        <f t="shared" si="1"/>
        <v xml:space="preserve">  </v>
      </c>
      <c r="AD49" s="176" t="str">
        <f>IF(OR(AE49="Preventivo",AE49="Detectivo"),"Probabilidad",IF(AE49="Correctivo","Impacto",""))</f>
        <v/>
      </c>
      <c r="AE49" s="177"/>
      <c r="AF49" s="177"/>
      <c r="AG49" s="178" t="str">
        <f>IF(AND(AE49="Preventivo",AF49="Automático"),"50%",IF(AND(AE49="Preventivo",AF49="Manual"),"40%",IF(AND(AE49="Detectivo",AF49="Automático"),"40%",IF(AND(AE49="Detectivo",AF49="Manual"),"30%",IF(AND(AE49="Correctivo",AF49="Automático"),"35%",IF(AND(AE49="Correctivo",AF49="Manual"),"25%",""))))))</f>
        <v/>
      </c>
      <c r="AH49" s="177"/>
      <c r="AI49" s="177"/>
      <c r="AJ49" s="177"/>
      <c r="AK49" s="179" t="str">
        <f>IFERROR(IF(AD49="Probabilidad",(S49-(+S49*AG49)),IF(AD49="Impacto",S49,"")),"")</f>
        <v/>
      </c>
      <c r="AL49" s="180" t="str">
        <f>IFERROR(IF(AK49="","",IF(AK49&lt;=0.2,"Muy Baja",IF(AK49&lt;=0.4,"Baja",IF(AK49&lt;=0.6,"Media",IF(AK49&lt;=0.8,"Alta","Muy Alta"))))),"")</f>
        <v/>
      </c>
      <c r="AM49" s="178" t="str">
        <f>+AK49</f>
        <v/>
      </c>
      <c r="AN49" s="180" t="str">
        <f>IFERROR(IF(AO49="","",IF(AO49&lt;=0.2,"Leve",IF(AO49&lt;=0.4,"Menor",IF(AO49&lt;=0.6,"Moderado",IF(AO49&lt;=0.8,"Mayor","Catastrófico"))))),"")</f>
        <v/>
      </c>
      <c r="AO49" s="178" t="str">
        <f t="shared" ref="AO49" si="58">IFERROR(IF(AD49="Impacto",(W49-(+W49*AG49)),IF(AD49="Probabilidad",W49,"")),"")</f>
        <v/>
      </c>
      <c r="AP49" s="181" t="str">
        <f>IFERROR(IF(OR(AND(AL49="Muy Baja",AN49="Leve"),AND(AL49="Muy Baja",AN49="Menor"),AND(AL49="Baja",AN49="Leve")),"Bajo",IF(OR(AND(AL49="Muy baja",AN49="Moderado"),AND(AL49="Baja",AN49="Menor"),AND(AL49="Baja",AN49="Moderado"),AND(AL49="Media",AN49="Leve"),AND(AL49="Media",AN49="Menor"),AND(AL49="Media",AN49="Moderado"),AND(AL49="Alta",AN49="Leve"),AND(AL49="Alta",AN49="Menor")),"Moderado",IF(OR(AND(AL49="Muy Baja",AN49="Mayor"),AND(AL49="Baja",AN49="Mayor"),AND(AL49="Media",AN49="Mayor"),AND(AL49="Alta",AN49="Moderado"),AND(AL49="Alta",AN49="Mayor"),AND(AL49="Muy Alta",AN49="Leve"),AND(AL49="Muy Alta",AN49="Menor"),AND(AL49="Muy Alta",AN49="Moderado"),AND(AL49="Muy Alta",AN49="Mayor")),"Alto",IF(OR(AND(AL49="Muy Baja",AN49="Catastrófico"),AND(AL49="Baja",AN49="Catastrófico"),AND(AL49="Media",AN49="Catastrófico"),AND(AL49="Alta",AN49="Catastrófico"),AND(AL49="Muy Alta",AN49="Catastrófico")),"Extremo","")))),"")</f>
        <v/>
      </c>
      <c r="AQ49" s="182"/>
      <c r="AR49" s="175"/>
      <c r="AS49" s="183"/>
      <c r="AT49" s="183"/>
      <c r="AU49" s="184"/>
      <c r="AV49" s="414"/>
      <c r="AW49" s="414"/>
      <c r="AX49" s="414"/>
    </row>
    <row r="50" spans="1:50" x14ac:dyDescent="0.2">
      <c r="A50" s="411"/>
      <c r="B50" s="353"/>
      <c r="C50" s="353"/>
      <c r="D50" s="412"/>
      <c r="E50" s="412"/>
      <c r="F50" s="413"/>
      <c r="G50" s="355"/>
      <c r="H50" s="355"/>
      <c r="I50" s="355"/>
      <c r="J50" s="355"/>
      <c r="K50" s="355"/>
      <c r="L50" s="355"/>
      <c r="M50" s="355"/>
      <c r="N50" s="355"/>
      <c r="O50" s="355"/>
      <c r="P50" s="355"/>
      <c r="Q50" s="414"/>
      <c r="R50" s="415"/>
      <c r="S50" s="416"/>
      <c r="T50" s="417"/>
      <c r="U50" s="416">
        <f>IF(NOT(ISERROR(MATCH(T50,_xlfn.ANCHORARRAY(F61),0))),S63&amp;"Por favor no seleccionar los criterios de impacto",T50)</f>
        <v>0</v>
      </c>
      <c r="V50" s="415"/>
      <c r="W50" s="416"/>
      <c r="X50" s="420"/>
      <c r="Y50" s="199">
        <v>2</v>
      </c>
      <c r="Z50" s="199"/>
      <c r="AA50" s="199"/>
      <c r="AB50" s="199"/>
      <c r="AC50" s="224" t="str">
        <f t="shared" si="1"/>
        <v xml:space="preserve">  </v>
      </c>
      <c r="AD50" s="176" t="str">
        <f>IF(OR(AE50="Preventivo",AE50="Detectivo"),"Probabilidad",IF(AE50="Correctivo","Impacto",""))</f>
        <v/>
      </c>
      <c r="AE50" s="177"/>
      <c r="AF50" s="177"/>
      <c r="AG50" s="178" t="str">
        <f t="shared" ref="AG50:AG54" si="59">IF(AND(AE50="Preventivo",AF50="Automático"),"50%",IF(AND(AE50="Preventivo",AF50="Manual"),"40%",IF(AND(AE50="Detectivo",AF50="Automático"),"40%",IF(AND(AE50="Detectivo",AF50="Manual"),"30%",IF(AND(AE50="Correctivo",AF50="Automático"),"35%",IF(AND(AE50="Correctivo",AF50="Manual"),"25%",""))))))</f>
        <v/>
      </c>
      <c r="AH50" s="177"/>
      <c r="AI50" s="177"/>
      <c r="AJ50" s="177"/>
      <c r="AK50" s="179" t="str">
        <f>IFERROR(IF(AND(AD49="Probabilidad",AD50="Probabilidad"),(AM49-(+AM49*AG50)),IF(AD50="Probabilidad",(S49-(+S49*AG50)),IF(AD50="Impacto",AM49,""))),"")</f>
        <v/>
      </c>
      <c r="AL50" s="180" t="str">
        <f t="shared" si="3"/>
        <v/>
      </c>
      <c r="AM50" s="178" t="str">
        <f t="shared" ref="AM50:AM54" si="60">+AK50</f>
        <v/>
      </c>
      <c r="AN50" s="180" t="str">
        <f t="shared" si="5"/>
        <v/>
      </c>
      <c r="AO50" s="178" t="str">
        <f t="shared" ref="AO50" si="61">IFERROR(IF(AND(AD49="Impacto",AD50="Impacto"),(AO49-(+AO49*AG50)),IF(AD50="Impacto",($W$13-(+$W$13*AG50)),IF(AD50="Probabilidad",AO49,""))),"")</f>
        <v/>
      </c>
      <c r="AP50" s="181" t="str">
        <f t="shared" ref="AP50:AP51" si="62">IFERROR(IF(OR(AND(AL50="Muy Baja",AN50="Leve"),AND(AL50="Muy Baja",AN50="Menor"),AND(AL50="Baja",AN50="Leve")),"Bajo",IF(OR(AND(AL50="Muy baja",AN50="Moderado"),AND(AL50="Baja",AN50="Menor"),AND(AL50="Baja",AN50="Moderado"),AND(AL50="Media",AN50="Leve"),AND(AL50="Media",AN50="Menor"),AND(AL50="Media",AN50="Moderado"),AND(AL50="Alta",AN50="Leve"),AND(AL50="Alta",AN50="Menor")),"Moderado",IF(OR(AND(AL50="Muy Baja",AN50="Mayor"),AND(AL50="Baja",AN50="Mayor"),AND(AL50="Media",AN50="Mayor"),AND(AL50="Alta",AN50="Moderado"),AND(AL50="Alta",AN50="Mayor"),AND(AL50="Muy Alta",AN50="Leve"),AND(AL50="Muy Alta",AN50="Menor"),AND(AL50="Muy Alta",AN50="Moderado"),AND(AL50="Muy Alta",AN50="Mayor")),"Alto",IF(OR(AND(AL50="Muy Baja",AN50="Catastrófico"),AND(AL50="Baja",AN50="Catastrófico"),AND(AL50="Media",AN50="Catastrófico"),AND(AL50="Alta",AN50="Catastrófico"),AND(AL50="Muy Alta",AN50="Catastrófico")),"Extremo","")))),"")</f>
        <v/>
      </c>
      <c r="AQ50" s="182"/>
      <c r="AR50" s="175"/>
      <c r="AS50" s="183"/>
      <c r="AT50" s="183"/>
      <c r="AU50" s="184"/>
      <c r="AV50" s="414"/>
      <c r="AW50" s="414"/>
      <c r="AX50" s="414"/>
    </row>
    <row r="51" spans="1:50" x14ac:dyDescent="0.2">
      <c r="A51" s="411"/>
      <c r="B51" s="353"/>
      <c r="C51" s="353"/>
      <c r="D51" s="412"/>
      <c r="E51" s="412"/>
      <c r="F51" s="413"/>
      <c r="G51" s="355"/>
      <c r="H51" s="355"/>
      <c r="I51" s="355"/>
      <c r="J51" s="355"/>
      <c r="K51" s="355"/>
      <c r="L51" s="355"/>
      <c r="M51" s="355"/>
      <c r="N51" s="355"/>
      <c r="O51" s="355"/>
      <c r="P51" s="355"/>
      <c r="Q51" s="414"/>
      <c r="R51" s="415"/>
      <c r="S51" s="416"/>
      <c r="T51" s="417"/>
      <c r="U51" s="416">
        <f>IF(NOT(ISERROR(MATCH(T51,_xlfn.ANCHORARRAY(F62),0))),S64&amp;"Por favor no seleccionar los criterios de impacto",T51)</f>
        <v>0</v>
      </c>
      <c r="V51" s="415"/>
      <c r="W51" s="416"/>
      <c r="X51" s="420"/>
      <c r="Y51" s="199">
        <v>3</v>
      </c>
      <c r="Z51" s="199"/>
      <c r="AA51" s="199"/>
      <c r="AB51" s="199"/>
      <c r="AC51" s="224" t="str">
        <f t="shared" si="1"/>
        <v xml:space="preserve">  </v>
      </c>
      <c r="AD51" s="176" t="str">
        <f>IF(OR(AE51="Preventivo",AE51="Detectivo"),"Probabilidad",IF(AE51="Correctivo","Impacto",""))</f>
        <v/>
      </c>
      <c r="AE51" s="177"/>
      <c r="AF51" s="177"/>
      <c r="AG51" s="178" t="str">
        <f t="shared" si="59"/>
        <v/>
      </c>
      <c r="AH51" s="177"/>
      <c r="AI51" s="177"/>
      <c r="AJ51" s="177"/>
      <c r="AK51" s="179" t="str">
        <f>IFERROR(IF(AND(AD50="Probabilidad",AD51="Probabilidad"),(AM50-(+AM50*AG51)),IF(AND(AD50="Impacto",AD51="Probabilidad"),(AM49-(+AM49*AG51)),IF(AD51="Impacto",AM50,""))),"")</f>
        <v/>
      </c>
      <c r="AL51" s="180" t="str">
        <f t="shared" si="3"/>
        <v/>
      </c>
      <c r="AM51" s="178" t="str">
        <f t="shared" si="60"/>
        <v/>
      </c>
      <c r="AN51" s="180" t="str">
        <f t="shared" si="5"/>
        <v/>
      </c>
      <c r="AO51" s="178" t="str">
        <f t="shared" ref="AO51" si="63">IFERROR(IF(AND(AD50="Impacto",AD51="Impacto"),(AO50-(+AO50*AG51)),IF(AND(AD50="Probabilidad",AD51="Impacto"),(AO49-(+AO49*AG51)),IF(AD51="Probabilidad",AO50,""))),"")</f>
        <v/>
      </c>
      <c r="AP51" s="181" t="str">
        <f t="shared" si="62"/>
        <v/>
      </c>
      <c r="AQ51" s="182"/>
      <c r="AR51" s="175"/>
      <c r="AS51" s="183"/>
      <c r="AT51" s="183"/>
      <c r="AU51" s="184"/>
      <c r="AV51" s="414"/>
      <c r="AW51" s="414"/>
      <c r="AX51" s="414"/>
    </row>
    <row r="52" spans="1:50" x14ac:dyDescent="0.2">
      <c r="A52" s="411"/>
      <c r="B52" s="353"/>
      <c r="C52" s="353"/>
      <c r="D52" s="412"/>
      <c r="E52" s="412"/>
      <c r="F52" s="413"/>
      <c r="G52" s="355"/>
      <c r="H52" s="355"/>
      <c r="I52" s="355"/>
      <c r="J52" s="355"/>
      <c r="K52" s="355"/>
      <c r="L52" s="355"/>
      <c r="M52" s="355"/>
      <c r="N52" s="355"/>
      <c r="O52" s="355"/>
      <c r="P52" s="355"/>
      <c r="Q52" s="414"/>
      <c r="R52" s="415"/>
      <c r="S52" s="416"/>
      <c r="T52" s="417"/>
      <c r="U52" s="416">
        <f>IF(NOT(ISERROR(MATCH(T52,_xlfn.ANCHORARRAY(F63),0))),S65&amp;"Por favor no seleccionar los criterios de impacto",T52)</f>
        <v>0</v>
      </c>
      <c r="V52" s="415"/>
      <c r="W52" s="416"/>
      <c r="X52" s="420"/>
      <c r="Y52" s="199">
        <v>4</v>
      </c>
      <c r="Z52" s="199"/>
      <c r="AA52" s="199"/>
      <c r="AB52" s="199"/>
      <c r="AC52" s="224" t="str">
        <f t="shared" si="1"/>
        <v xml:space="preserve">  </v>
      </c>
      <c r="AD52" s="176" t="str">
        <f t="shared" ref="AD52:AD54" si="64">IF(OR(AE52="Preventivo",AE52="Detectivo"),"Probabilidad",IF(AE52="Correctivo","Impacto",""))</f>
        <v/>
      </c>
      <c r="AE52" s="177"/>
      <c r="AF52" s="177"/>
      <c r="AG52" s="178" t="str">
        <f t="shared" si="59"/>
        <v/>
      </c>
      <c r="AH52" s="177"/>
      <c r="AI52" s="177"/>
      <c r="AJ52" s="177"/>
      <c r="AK52" s="179" t="str">
        <f t="shared" ref="AK52:AK54" si="65">IFERROR(IF(AND(AD51="Probabilidad",AD52="Probabilidad"),(AM51-(+AM51*AG52)),IF(AND(AD51="Impacto",AD52="Probabilidad"),(AM50-(+AM50*AG52)),IF(AD52="Impacto",AM51,""))),"")</f>
        <v/>
      </c>
      <c r="AL52" s="180" t="str">
        <f t="shared" si="3"/>
        <v/>
      </c>
      <c r="AM52" s="178" t="str">
        <f t="shared" si="60"/>
        <v/>
      </c>
      <c r="AN52" s="180" t="str">
        <f t="shared" si="5"/>
        <v/>
      </c>
      <c r="AO52" s="178" t="str">
        <f t="shared" si="15"/>
        <v/>
      </c>
      <c r="AP52" s="181" t="str">
        <f>IFERROR(IF(OR(AND(AL52="Muy Baja",AN52="Leve"),AND(AL52="Muy Baja",AN52="Menor"),AND(AL52="Baja",AN52="Leve")),"Bajo",IF(OR(AND(AL52="Muy baja",AN52="Moderado"),AND(AL52="Baja",AN52="Menor"),AND(AL52="Baja",AN52="Moderado"),AND(AL52="Media",AN52="Leve"),AND(AL52="Media",AN52="Menor"),AND(AL52="Media",AN52="Moderado"),AND(AL52="Alta",AN52="Leve"),AND(AL52="Alta",AN52="Menor")),"Moderado",IF(OR(AND(AL52="Muy Baja",AN52="Mayor"),AND(AL52="Baja",AN52="Mayor"),AND(AL52="Media",AN52="Mayor"),AND(AL52="Alta",AN52="Moderado"),AND(AL52="Alta",AN52="Mayor"),AND(AL52="Muy Alta",AN52="Leve"),AND(AL52="Muy Alta",AN52="Menor"),AND(AL52="Muy Alta",AN52="Moderado"),AND(AL52="Muy Alta",AN52="Mayor")),"Alto",IF(OR(AND(AL52="Muy Baja",AN52="Catastrófico"),AND(AL52="Baja",AN52="Catastrófico"),AND(AL52="Media",AN52="Catastrófico"),AND(AL52="Alta",AN52="Catastrófico"),AND(AL52="Muy Alta",AN52="Catastrófico")),"Extremo","")))),"")</f>
        <v/>
      </c>
      <c r="AQ52" s="182"/>
      <c r="AR52" s="175"/>
      <c r="AS52" s="183"/>
      <c r="AT52" s="183"/>
      <c r="AU52" s="184"/>
      <c r="AV52" s="414"/>
      <c r="AW52" s="414"/>
      <c r="AX52" s="414"/>
    </row>
    <row r="53" spans="1:50" x14ac:dyDescent="0.2">
      <c r="A53" s="411"/>
      <c r="B53" s="353"/>
      <c r="C53" s="353"/>
      <c r="D53" s="412"/>
      <c r="E53" s="412"/>
      <c r="F53" s="413"/>
      <c r="G53" s="355"/>
      <c r="H53" s="355"/>
      <c r="I53" s="355"/>
      <c r="J53" s="355"/>
      <c r="K53" s="355"/>
      <c r="L53" s="355"/>
      <c r="M53" s="355"/>
      <c r="N53" s="355"/>
      <c r="O53" s="355"/>
      <c r="P53" s="355"/>
      <c r="Q53" s="414"/>
      <c r="R53" s="415"/>
      <c r="S53" s="416"/>
      <c r="T53" s="417"/>
      <c r="U53" s="416">
        <f>IF(NOT(ISERROR(MATCH(T53,_xlfn.ANCHORARRAY(F64),0))),S66&amp;"Por favor no seleccionar los criterios de impacto",T53)</f>
        <v>0</v>
      </c>
      <c r="V53" s="415"/>
      <c r="W53" s="416"/>
      <c r="X53" s="420"/>
      <c r="Y53" s="199">
        <v>5</v>
      </c>
      <c r="Z53" s="199"/>
      <c r="AA53" s="199"/>
      <c r="AB53" s="199"/>
      <c r="AC53" s="224" t="str">
        <f t="shared" si="1"/>
        <v xml:space="preserve">  </v>
      </c>
      <c r="AD53" s="176" t="str">
        <f t="shared" si="64"/>
        <v/>
      </c>
      <c r="AE53" s="177"/>
      <c r="AF53" s="177"/>
      <c r="AG53" s="178" t="str">
        <f t="shared" si="59"/>
        <v/>
      </c>
      <c r="AH53" s="177"/>
      <c r="AI53" s="177"/>
      <c r="AJ53" s="177"/>
      <c r="AK53" s="179" t="str">
        <f t="shared" si="65"/>
        <v/>
      </c>
      <c r="AL53" s="180" t="str">
        <f t="shared" si="3"/>
        <v/>
      </c>
      <c r="AM53" s="178" t="str">
        <f t="shared" si="60"/>
        <v/>
      </c>
      <c r="AN53" s="180" t="str">
        <f t="shared" si="5"/>
        <v/>
      </c>
      <c r="AO53" s="178" t="str">
        <f t="shared" si="15"/>
        <v/>
      </c>
      <c r="AP53" s="181" t="str">
        <f t="shared" ref="AP53:AP54" si="66">IFERROR(IF(OR(AND(AL53="Muy Baja",AN53="Leve"),AND(AL53="Muy Baja",AN53="Menor"),AND(AL53="Baja",AN53="Leve")),"Bajo",IF(OR(AND(AL53="Muy baja",AN53="Moderado"),AND(AL53="Baja",AN53="Menor"),AND(AL53="Baja",AN53="Moderado"),AND(AL53="Media",AN53="Leve"),AND(AL53="Media",AN53="Menor"),AND(AL53="Media",AN53="Moderado"),AND(AL53="Alta",AN53="Leve"),AND(AL53="Alta",AN53="Menor")),"Moderado",IF(OR(AND(AL53="Muy Baja",AN53="Mayor"),AND(AL53="Baja",AN53="Mayor"),AND(AL53="Media",AN53="Mayor"),AND(AL53="Alta",AN53="Moderado"),AND(AL53="Alta",AN53="Mayor"),AND(AL53="Muy Alta",AN53="Leve"),AND(AL53="Muy Alta",AN53="Menor"),AND(AL53="Muy Alta",AN53="Moderado"),AND(AL53="Muy Alta",AN53="Mayor")),"Alto",IF(OR(AND(AL53="Muy Baja",AN53="Catastrófico"),AND(AL53="Baja",AN53="Catastrófico"),AND(AL53="Media",AN53="Catastrófico"),AND(AL53="Alta",AN53="Catastrófico"),AND(AL53="Muy Alta",AN53="Catastrófico")),"Extremo","")))),"")</f>
        <v/>
      </c>
      <c r="AQ53" s="182"/>
      <c r="AR53" s="175"/>
      <c r="AS53" s="183"/>
      <c r="AT53" s="183"/>
      <c r="AU53" s="184"/>
      <c r="AV53" s="414"/>
      <c r="AW53" s="414"/>
      <c r="AX53" s="414"/>
    </row>
    <row r="54" spans="1:50" x14ac:dyDescent="0.2">
      <c r="A54" s="411"/>
      <c r="B54" s="353"/>
      <c r="C54" s="353"/>
      <c r="D54" s="412"/>
      <c r="E54" s="412"/>
      <c r="F54" s="413"/>
      <c r="G54" s="356"/>
      <c r="H54" s="356"/>
      <c r="I54" s="356"/>
      <c r="J54" s="356"/>
      <c r="K54" s="356"/>
      <c r="L54" s="356"/>
      <c r="M54" s="356"/>
      <c r="N54" s="356"/>
      <c r="O54" s="356"/>
      <c r="P54" s="356"/>
      <c r="Q54" s="414"/>
      <c r="R54" s="415"/>
      <c r="S54" s="416"/>
      <c r="T54" s="417"/>
      <c r="U54" s="416">
        <f>IF(NOT(ISERROR(MATCH(T54,_xlfn.ANCHORARRAY(F65),0))),S67&amp;"Por favor no seleccionar los criterios de impacto",T54)</f>
        <v>0</v>
      </c>
      <c r="V54" s="415"/>
      <c r="W54" s="416"/>
      <c r="X54" s="420"/>
      <c r="Y54" s="199">
        <v>6</v>
      </c>
      <c r="Z54" s="199"/>
      <c r="AA54" s="199"/>
      <c r="AB54" s="199"/>
      <c r="AC54" s="224" t="str">
        <f t="shared" si="1"/>
        <v xml:space="preserve">  </v>
      </c>
      <c r="AD54" s="176" t="str">
        <f t="shared" si="64"/>
        <v/>
      </c>
      <c r="AE54" s="177"/>
      <c r="AF54" s="177"/>
      <c r="AG54" s="178" t="str">
        <f t="shared" si="59"/>
        <v/>
      </c>
      <c r="AH54" s="177"/>
      <c r="AI54" s="177"/>
      <c r="AJ54" s="177"/>
      <c r="AK54" s="179" t="str">
        <f t="shared" si="65"/>
        <v/>
      </c>
      <c r="AL54" s="180" t="str">
        <f t="shared" si="3"/>
        <v/>
      </c>
      <c r="AM54" s="178" t="str">
        <f t="shared" si="60"/>
        <v/>
      </c>
      <c r="AN54" s="180" t="str">
        <f t="shared" si="5"/>
        <v/>
      </c>
      <c r="AO54" s="178" t="str">
        <f t="shared" si="15"/>
        <v/>
      </c>
      <c r="AP54" s="181" t="str">
        <f t="shared" si="66"/>
        <v/>
      </c>
      <c r="AQ54" s="182"/>
      <c r="AR54" s="175"/>
      <c r="AS54" s="183"/>
      <c r="AT54" s="183"/>
      <c r="AU54" s="184"/>
      <c r="AV54" s="414"/>
      <c r="AW54" s="414"/>
      <c r="AX54" s="414"/>
    </row>
    <row r="55" spans="1:50" x14ac:dyDescent="0.2">
      <c r="A55" s="411">
        <v>8</v>
      </c>
      <c r="B55" s="353"/>
      <c r="C55" s="353"/>
      <c r="D55" s="353"/>
      <c r="E55" s="412"/>
      <c r="F55" s="413"/>
      <c r="G55" s="354"/>
      <c r="H55" s="354"/>
      <c r="I55" s="354"/>
      <c r="J55" s="354"/>
      <c r="K55" s="354"/>
      <c r="L55" s="354"/>
      <c r="M55" s="354"/>
      <c r="N55" s="354"/>
      <c r="O55" s="354"/>
      <c r="P55" s="354"/>
      <c r="Q55" s="414"/>
      <c r="R55" s="415" t="str">
        <f>IF(Q55&lt;=0,"",IF(Q55&lt;=2,"Muy Baja",IF(Q55&lt;=24,"Baja",IF(Q55&lt;=500,"Media",IF(Q55&lt;=5000,"Alta","Muy Alta")))))</f>
        <v/>
      </c>
      <c r="S55" s="416" t="str">
        <f>IF(R55="","",IF(R55="Muy Baja",0.2,IF(R55="Baja",0.4,IF(R55="Media",0.6,IF(R55="Alta",0.8,IF(R55="Muy Alta",1,))))))</f>
        <v/>
      </c>
      <c r="T55" s="417"/>
      <c r="U55" s="416">
        <f>IF(NOT(ISERROR(MATCH(T55,'Tabla Impacto'!$B$245:$B$247,0))),'Tabla Impacto'!$F$224&amp;"Por favor no seleccionar los criterios de impacto(Afectación Económica o presupuestal y Pérdida Reputacional)",T55)</f>
        <v>0</v>
      </c>
      <c r="V55" s="415" t="str">
        <f>IF(OR(U55='Tabla Impacto'!$C$12,U55='Tabla Impacto'!$D$12),"Leve",IF(OR(U55='Tabla Impacto'!$C$13,U55='Tabla Impacto'!$D$13),"Menor",IF(OR(U55='Tabla Impacto'!$C$14,U55='Tabla Impacto'!$D$14),"Moderado",IF(OR(U55='Tabla Impacto'!$C$15,U55='Tabla Impacto'!$D$15),"Mayor",IF(OR(U55='Tabla Impacto'!$C$16,U55='Tabla Impacto'!$D$16),"Catastrófico","")))))</f>
        <v/>
      </c>
      <c r="W55" s="416" t="str">
        <f>IF(V55="","",IF(V55="Leve",0.2,IF(V55="Menor",0.4,IF(V55="Moderado",0.6,IF(V55="Mayor",0.8,IF(V55="Catastrófico",1,))))))</f>
        <v/>
      </c>
      <c r="X55" s="420" t="str">
        <f>IF(OR(AND(R55="Muy Baja",V55="Leve"),AND(R55="Muy Baja",V55="Menor"),AND(R55="Baja",V55="Leve")),"Bajo",IF(OR(AND(R55="Muy baja",V55="Moderado"),AND(R55="Baja",V55="Menor"),AND(R55="Baja",V55="Moderado"),AND(R55="Media",V55="Leve"),AND(R55="Media",V55="Menor"),AND(R55="Media",V55="Moderado"),AND(R55="Alta",V55="Leve"),AND(R55="Alta",V55="Menor")),"Moderado",IF(OR(AND(R55="Muy Baja",V55="Mayor"),AND(R55="Baja",V55="Mayor"),AND(R55="Media",V55="Mayor"),AND(R55="Alta",V55="Moderado"),AND(R55="Alta",V55="Mayor"),AND(R55="Muy Alta",V55="Leve"),AND(R55="Muy Alta",V55="Menor"),AND(R55="Muy Alta",V55="Moderado"),AND(R55="Muy Alta",V55="Mayor")),"Alto",IF(OR(AND(R55="Muy Baja",V55="Catastrófico"),AND(R55="Baja",V55="Catastrófico"),AND(R55="Media",V55="Catastrófico"),AND(R55="Alta",V55="Catastrófico"),AND(R55="Muy Alta",V55="Catastrófico")),"Extremo",""))))</f>
        <v/>
      </c>
      <c r="Y55" s="199">
        <v>1</v>
      </c>
      <c r="Z55" s="199"/>
      <c r="AA55" s="199"/>
      <c r="AB55" s="199"/>
      <c r="AC55" s="224" t="str">
        <f t="shared" si="1"/>
        <v xml:space="preserve">  </v>
      </c>
      <c r="AD55" s="176" t="str">
        <f>IF(OR(AE55="Preventivo",AE55="Detectivo"),"Probabilidad",IF(AE55="Correctivo","Impacto",""))</f>
        <v/>
      </c>
      <c r="AE55" s="177"/>
      <c r="AF55" s="177"/>
      <c r="AG55" s="178" t="str">
        <f>IF(AND(AE55="Preventivo",AF55="Automático"),"50%",IF(AND(AE55="Preventivo",AF55="Manual"),"40%",IF(AND(AE55="Detectivo",AF55="Automático"),"40%",IF(AND(AE55="Detectivo",AF55="Manual"),"30%",IF(AND(AE55="Correctivo",AF55="Automático"),"35%",IF(AND(AE55="Correctivo",AF55="Manual"),"25%",""))))))</f>
        <v/>
      </c>
      <c r="AH55" s="177"/>
      <c r="AI55" s="177"/>
      <c r="AJ55" s="177"/>
      <c r="AK55" s="179" t="str">
        <f>IFERROR(IF(AD55="Probabilidad",(S55-(+S55*AG55)),IF(AD55="Impacto",S55,"")),"")</f>
        <v/>
      </c>
      <c r="AL55" s="180" t="str">
        <f>IFERROR(IF(AK55="","",IF(AK55&lt;=0.2,"Muy Baja",IF(AK55&lt;=0.4,"Baja",IF(AK55&lt;=0.6,"Media",IF(AK55&lt;=0.8,"Alta","Muy Alta"))))),"")</f>
        <v/>
      </c>
      <c r="AM55" s="178" t="str">
        <f>+AK55</f>
        <v/>
      </c>
      <c r="AN55" s="180" t="str">
        <f>IFERROR(IF(AO55="","",IF(AO55&lt;=0.2,"Leve",IF(AO55&lt;=0.4,"Menor",IF(AO55&lt;=0.6,"Moderado",IF(AO55&lt;=0.8,"Mayor","Catastrófico"))))),"")</f>
        <v/>
      </c>
      <c r="AO55" s="178" t="str">
        <f t="shared" ref="AO55" si="67">IFERROR(IF(AD55="Impacto",(W55-(+W55*AG55)),IF(AD55="Probabilidad",W55,"")),"")</f>
        <v/>
      </c>
      <c r="AP55" s="181" t="str">
        <f>IFERROR(IF(OR(AND(AL55="Muy Baja",AN55="Leve"),AND(AL55="Muy Baja",AN55="Menor"),AND(AL55="Baja",AN55="Leve")),"Bajo",IF(OR(AND(AL55="Muy baja",AN55="Moderado"),AND(AL55="Baja",AN55="Menor"),AND(AL55="Baja",AN55="Moderado"),AND(AL55="Media",AN55="Leve"),AND(AL55="Media",AN55="Menor"),AND(AL55="Media",AN55="Moderado"),AND(AL55="Alta",AN55="Leve"),AND(AL55="Alta",AN55="Menor")),"Moderado",IF(OR(AND(AL55="Muy Baja",AN55="Mayor"),AND(AL55="Baja",AN55="Mayor"),AND(AL55="Media",AN55="Mayor"),AND(AL55="Alta",AN55="Moderado"),AND(AL55="Alta",AN55="Mayor"),AND(AL55="Muy Alta",AN55="Leve"),AND(AL55="Muy Alta",AN55="Menor"),AND(AL55="Muy Alta",AN55="Moderado"),AND(AL55="Muy Alta",AN55="Mayor")),"Alto",IF(OR(AND(AL55="Muy Baja",AN55="Catastrófico"),AND(AL55="Baja",AN55="Catastrófico"),AND(AL55="Media",AN55="Catastrófico"),AND(AL55="Alta",AN55="Catastrófico"),AND(AL55="Muy Alta",AN55="Catastrófico")),"Extremo","")))),"")</f>
        <v/>
      </c>
      <c r="AQ55" s="182"/>
      <c r="AR55" s="175"/>
      <c r="AS55" s="183"/>
      <c r="AT55" s="183"/>
      <c r="AU55" s="184"/>
      <c r="AV55" s="414"/>
      <c r="AW55" s="414"/>
      <c r="AX55" s="414"/>
    </row>
    <row r="56" spans="1:50" x14ac:dyDescent="0.2">
      <c r="A56" s="411"/>
      <c r="B56" s="353"/>
      <c r="C56" s="353"/>
      <c r="D56" s="353"/>
      <c r="E56" s="412"/>
      <c r="F56" s="413"/>
      <c r="G56" s="355"/>
      <c r="H56" s="355"/>
      <c r="I56" s="355"/>
      <c r="J56" s="355"/>
      <c r="K56" s="355"/>
      <c r="L56" s="355"/>
      <c r="M56" s="355"/>
      <c r="N56" s="355"/>
      <c r="O56" s="355"/>
      <c r="P56" s="355"/>
      <c r="Q56" s="414"/>
      <c r="R56" s="415"/>
      <c r="S56" s="416"/>
      <c r="T56" s="417"/>
      <c r="U56" s="416">
        <f>IF(NOT(ISERROR(MATCH(T56,_xlfn.ANCHORARRAY(F67),0))),S69&amp;"Por favor no seleccionar los criterios de impacto",T56)</f>
        <v>0</v>
      </c>
      <c r="V56" s="415"/>
      <c r="W56" s="416"/>
      <c r="X56" s="420"/>
      <c r="Y56" s="199">
        <v>2</v>
      </c>
      <c r="Z56" s="199"/>
      <c r="AA56" s="199"/>
      <c r="AB56" s="199"/>
      <c r="AC56" s="224" t="str">
        <f t="shared" si="1"/>
        <v xml:space="preserve">  </v>
      </c>
      <c r="AD56" s="176" t="str">
        <f>IF(OR(AE56="Preventivo",AE56="Detectivo"),"Probabilidad",IF(AE56="Correctivo","Impacto",""))</f>
        <v/>
      </c>
      <c r="AE56" s="177"/>
      <c r="AF56" s="177"/>
      <c r="AG56" s="178" t="str">
        <f t="shared" ref="AG56:AG60" si="68">IF(AND(AE56="Preventivo",AF56="Automático"),"50%",IF(AND(AE56="Preventivo",AF56="Manual"),"40%",IF(AND(AE56="Detectivo",AF56="Automático"),"40%",IF(AND(AE56="Detectivo",AF56="Manual"),"30%",IF(AND(AE56="Correctivo",AF56="Automático"),"35%",IF(AND(AE56="Correctivo",AF56="Manual"),"25%",""))))))</f>
        <v/>
      </c>
      <c r="AH56" s="177"/>
      <c r="AI56" s="177"/>
      <c r="AJ56" s="177"/>
      <c r="AK56" s="179" t="str">
        <f>IFERROR(IF(AND(AD55="Probabilidad",AD56="Probabilidad"),(AM55-(+AM55*AG56)),IF(AD56="Probabilidad",(S55-(+S55*AG56)),IF(AD56="Impacto",AM55,""))),"")</f>
        <v/>
      </c>
      <c r="AL56" s="180" t="str">
        <f t="shared" si="3"/>
        <v/>
      </c>
      <c r="AM56" s="178" t="str">
        <f t="shared" ref="AM56:AM60" si="69">+AK56</f>
        <v/>
      </c>
      <c r="AN56" s="180" t="str">
        <f t="shared" si="5"/>
        <v/>
      </c>
      <c r="AO56" s="178" t="str">
        <f t="shared" ref="AO56" si="70">IFERROR(IF(AND(AD55="Impacto",AD56="Impacto"),(AO55-(+AO55*AG56)),IF(AD56="Impacto",($W$13-(+$W$13*AG56)),IF(AD56="Probabilidad",AO55,""))),"")</f>
        <v/>
      </c>
      <c r="AP56" s="181" t="str">
        <f t="shared" ref="AP56:AP57" si="71">IFERROR(IF(OR(AND(AL56="Muy Baja",AN56="Leve"),AND(AL56="Muy Baja",AN56="Menor"),AND(AL56="Baja",AN56="Leve")),"Bajo",IF(OR(AND(AL56="Muy baja",AN56="Moderado"),AND(AL56="Baja",AN56="Menor"),AND(AL56="Baja",AN56="Moderado"),AND(AL56="Media",AN56="Leve"),AND(AL56="Media",AN56="Menor"),AND(AL56="Media",AN56="Moderado"),AND(AL56="Alta",AN56="Leve"),AND(AL56="Alta",AN56="Menor")),"Moderado",IF(OR(AND(AL56="Muy Baja",AN56="Mayor"),AND(AL56="Baja",AN56="Mayor"),AND(AL56="Media",AN56="Mayor"),AND(AL56="Alta",AN56="Moderado"),AND(AL56="Alta",AN56="Mayor"),AND(AL56="Muy Alta",AN56="Leve"),AND(AL56="Muy Alta",AN56="Menor"),AND(AL56="Muy Alta",AN56="Moderado"),AND(AL56="Muy Alta",AN56="Mayor")),"Alto",IF(OR(AND(AL56="Muy Baja",AN56="Catastrófico"),AND(AL56="Baja",AN56="Catastrófico"),AND(AL56="Media",AN56="Catastrófico"),AND(AL56="Alta",AN56="Catastrófico"),AND(AL56="Muy Alta",AN56="Catastrófico")),"Extremo","")))),"")</f>
        <v/>
      </c>
      <c r="AQ56" s="182"/>
      <c r="AR56" s="175"/>
      <c r="AS56" s="183"/>
      <c r="AT56" s="183"/>
      <c r="AU56" s="184"/>
      <c r="AV56" s="414"/>
      <c r="AW56" s="414"/>
      <c r="AX56" s="414"/>
    </row>
    <row r="57" spans="1:50" x14ac:dyDescent="0.2">
      <c r="A57" s="411"/>
      <c r="B57" s="353"/>
      <c r="C57" s="353"/>
      <c r="D57" s="353"/>
      <c r="E57" s="412"/>
      <c r="F57" s="413"/>
      <c r="G57" s="355"/>
      <c r="H57" s="355"/>
      <c r="I57" s="355"/>
      <c r="J57" s="355"/>
      <c r="K57" s="355"/>
      <c r="L57" s="355"/>
      <c r="M57" s="355"/>
      <c r="N57" s="355"/>
      <c r="O57" s="355"/>
      <c r="P57" s="355"/>
      <c r="Q57" s="414"/>
      <c r="R57" s="415"/>
      <c r="S57" s="416"/>
      <c r="T57" s="417"/>
      <c r="U57" s="416">
        <f>IF(NOT(ISERROR(MATCH(T57,_xlfn.ANCHORARRAY(F68),0))),S70&amp;"Por favor no seleccionar los criterios de impacto",T57)</f>
        <v>0</v>
      </c>
      <c r="V57" s="415"/>
      <c r="W57" s="416"/>
      <c r="X57" s="420"/>
      <c r="Y57" s="199">
        <v>3</v>
      </c>
      <c r="Z57" s="199"/>
      <c r="AA57" s="199"/>
      <c r="AB57" s="199"/>
      <c r="AC57" s="224" t="str">
        <f t="shared" si="1"/>
        <v xml:space="preserve">  </v>
      </c>
      <c r="AD57" s="176" t="str">
        <f>IF(OR(AE57="Preventivo",AE57="Detectivo"),"Probabilidad",IF(AE57="Correctivo","Impacto",""))</f>
        <v/>
      </c>
      <c r="AE57" s="177"/>
      <c r="AF57" s="177"/>
      <c r="AG57" s="178" t="str">
        <f t="shared" si="68"/>
        <v/>
      </c>
      <c r="AH57" s="177"/>
      <c r="AI57" s="177"/>
      <c r="AJ57" s="177"/>
      <c r="AK57" s="179" t="str">
        <f>IFERROR(IF(AND(AD56="Probabilidad",AD57="Probabilidad"),(AM56-(+AM56*AG57)),IF(AND(AD56="Impacto",AD57="Probabilidad"),(AM55-(+AM55*AG57)),IF(AD57="Impacto",AM56,""))),"")</f>
        <v/>
      </c>
      <c r="AL57" s="180" t="str">
        <f t="shared" si="3"/>
        <v/>
      </c>
      <c r="AM57" s="178" t="str">
        <f t="shared" si="69"/>
        <v/>
      </c>
      <c r="AN57" s="180" t="str">
        <f t="shared" si="5"/>
        <v/>
      </c>
      <c r="AO57" s="178" t="str">
        <f t="shared" ref="AO57" si="72">IFERROR(IF(AND(AD56="Impacto",AD57="Impacto"),(AO56-(+AO56*AG57)),IF(AND(AD56="Probabilidad",AD57="Impacto"),(AO55-(+AO55*AG57)),IF(AD57="Probabilidad",AO56,""))),"")</f>
        <v/>
      </c>
      <c r="AP57" s="181" t="str">
        <f t="shared" si="71"/>
        <v/>
      </c>
      <c r="AQ57" s="182"/>
      <c r="AR57" s="175"/>
      <c r="AS57" s="183"/>
      <c r="AT57" s="183"/>
      <c r="AU57" s="184"/>
      <c r="AV57" s="414"/>
      <c r="AW57" s="414"/>
      <c r="AX57" s="414"/>
    </row>
    <row r="58" spans="1:50" x14ac:dyDescent="0.2">
      <c r="A58" s="411"/>
      <c r="B58" s="353"/>
      <c r="C58" s="353"/>
      <c r="D58" s="353"/>
      <c r="E58" s="412"/>
      <c r="F58" s="413"/>
      <c r="G58" s="355"/>
      <c r="H58" s="355"/>
      <c r="I58" s="355"/>
      <c r="J58" s="355"/>
      <c r="K58" s="355"/>
      <c r="L58" s="355"/>
      <c r="M58" s="355"/>
      <c r="N58" s="355"/>
      <c r="O58" s="355"/>
      <c r="P58" s="355"/>
      <c r="Q58" s="414"/>
      <c r="R58" s="415"/>
      <c r="S58" s="416"/>
      <c r="T58" s="417"/>
      <c r="U58" s="416">
        <f>IF(NOT(ISERROR(MATCH(T58,_xlfn.ANCHORARRAY(F69),0))),S71&amp;"Por favor no seleccionar los criterios de impacto",T58)</f>
        <v>0</v>
      </c>
      <c r="V58" s="415"/>
      <c r="W58" s="416"/>
      <c r="X58" s="420"/>
      <c r="Y58" s="199">
        <v>4</v>
      </c>
      <c r="Z58" s="199"/>
      <c r="AA58" s="199"/>
      <c r="AB58" s="199"/>
      <c r="AC58" s="224" t="str">
        <f t="shared" si="1"/>
        <v xml:space="preserve">  </v>
      </c>
      <c r="AD58" s="176" t="str">
        <f t="shared" ref="AD58:AD60" si="73">IF(OR(AE58="Preventivo",AE58="Detectivo"),"Probabilidad",IF(AE58="Correctivo","Impacto",""))</f>
        <v/>
      </c>
      <c r="AE58" s="177"/>
      <c r="AF58" s="177"/>
      <c r="AG58" s="178" t="str">
        <f t="shared" si="68"/>
        <v/>
      </c>
      <c r="AH58" s="177"/>
      <c r="AI58" s="177"/>
      <c r="AJ58" s="177"/>
      <c r="AK58" s="179" t="str">
        <f t="shared" ref="AK58:AK60" si="74">IFERROR(IF(AND(AD57="Probabilidad",AD58="Probabilidad"),(AM57-(+AM57*AG58)),IF(AND(AD57="Impacto",AD58="Probabilidad"),(AM56-(+AM56*AG58)),IF(AD58="Impacto",AM57,""))),"")</f>
        <v/>
      </c>
      <c r="AL58" s="180" t="str">
        <f t="shared" si="3"/>
        <v/>
      </c>
      <c r="AM58" s="178" t="str">
        <f t="shared" si="69"/>
        <v/>
      </c>
      <c r="AN58" s="180" t="str">
        <f t="shared" si="5"/>
        <v/>
      </c>
      <c r="AO58" s="178" t="str">
        <f t="shared" si="15"/>
        <v/>
      </c>
      <c r="AP58" s="181" t="str">
        <f>IFERROR(IF(OR(AND(AL58="Muy Baja",AN58="Leve"),AND(AL58="Muy Baja",AN58="Menor"),AND(AL58="Baja",AN58="Leve")),"Bajo",IF(OR(AND(AL58="Muy baja",AN58="Moderado"),AND(AL58="Baja",AN58="Menor"),AND(AL58="Baja",AN58="Moderado"),AND(AL58="Media",AN58="Leve"),AND(AL58="Media",AN58="Menor"),AND(AL58="Media",AN58="Moderado"),AND(AL58="Alta",AN58="Leve"),AND(AL58="Alta",AN58="Menor")),"Moderado",IF(OR(AND(AL58="Muy Baja",AN58="Mayor"),AND(AL58="Baja",AN58="Mayor"),AND(AL58="Media",AN58="Mayor"),AND(AL58="Alta",AN58="Moderado"),AND(AL58="Alta",AN58="Mayor"),AND(AL58="Muy Alta",AN58="Leve"),AND(AL58="Muy Alta",AN58="Menor"),AND(AL58="Muy Alta",AN58="Moderado"),AND(AL58="Muy Alta",AN58="Mayor")),"Alto",IF(OR(AND(AL58="Muy Baja",AN58="Catastrófico"),AND(AL58="Baja",AN58="Catastrófico"),AND(AL58="Media",AN58="Catastrófico"),AND(AL58="Alta",AN58="Catastrófico"),AND(AL58="Muy Alta",AN58="Catastrófico")),"Extremo","")))),"")</f>
        <v/>
      </c>
      <c r="AQ58" s="182"/>
      <c r="AR58" s="175"/>
      <c r="AS58" s="183"/>
      <c r="AT58" s="183"/>
      <c r="AU58" s="184"/>
      <c r="AV58" s="414"/>
      <c r="AW58" s="414"/>
      <c r="AX58" s="414"/>
    </row>
    <row r="59" spans="1:50" x14ac:dyDescent="0.2">
      <c r="A59" s="411"/>
      <c r="B59" s="353"/>
      <c r="C59" s="353"/>
      <c r="D59" s="353"/>
      <c r="E59" s="412"/>
      <c r="F59" s="413"/>
      <c r="G59" s="355"/>
      <c r="H59" s="355"/>
      <c r="I59" s="355"/>
      <c r="J59" s="355"/>
      <c r="K59" s="355"/>
      <c r="L59" s="355"/>
      <c r="M59" s="355"/>
      <c r="N59" s="355"/>
      <c r="O59" s="355"/>
      <c r="P59" s="355"/>
      <c r="Q59" s="414"/>
      <c r="R59" s="415"/>
      <c r="S59" s="416"/>
      <c r="T59" s="417"/>
      <c r="U59" s="416">
        <f>IF(NOT(ISERROR(MATCH(T59,_xlfn.ANCHORARRAY(F70),0))),S72&amp;"Por favor no seleccionar los criterios de impacto",T59)</f>
        <v>0</v>
      </c>
      <c r="V59" s="415"/>
      <c r="W59" s="416"/>
      <c r="X59" s="420"/>
      <c r="Y59" s="199">
        <v>5</v>
      </c>
      <c r="Z59" s="199"/>
      <c r="AA59" s="199"/>
      <c r="AB59" s="199"/>
      <c r="AC59" s="224" t="str">
        <f t="shared" si="1"/>
        <v xml:space="preserve">  </v>
      </c>
      <c r="AD59" s="176" t="str">
        <f t="shared" si="73"/>
        <v/>
      </c>
      <c r="AE59" s="177"/>
      <c r="AF59" s="177"/>
      <c r="AG59" s="178" t="str">
        <f t="shared" si="68"/>
        <v/>
      </c>
      <c r="AH59" s="177"/>
      <c r="AI59" s="177"/>
      <c r="AJ59" s="177"/>
      <c r="AK59" s="179" t="str">
        <f t="shared" si="74"/>
        <v/>
      </c>
      <c r="AL59" s="180" t="str">
        <f t="shared" si="3"/>
        <v/>
      </c>
      <c r="AM59" s="178" t="str">
        <f t="shared" si="69"/>
        <v/>
      </c>
      <c r="AN59" s="180" t="str">
        <f t="shared" si="5"/>
        <v/>
      </c>
      <c r="AO59" s="178" t="str">
        <f t="shared" si="15"/>
        <v/>
      </c>
      <c r="AP59" s="181" t="str">
        <f t="shared" ref="AP59:AP60" si="75">IFERROR(IF(OR(AND(AL59="Muy Baja",AN59="Leve"),AND(AL59="Muy Baja",AN59="Menor"),AND(AL59="Baja",AN59="Leve")),"Bajo",IF(OR(AND(AL59="Muy baja",AN59="Moderado"),AND(AL59="Baja",AN59="Menor"),AND(AL59="Baja",AN59="Moderado"),AND(AL59="Media",AN59="Leve"),AND(AL59="Media",AN59="Menor"),AND(AL59="Media",AN59="Moderado"),AND(AL59="Alta",AN59="Leve"),AND(AL59="Alta",AN59="Menor")),"Moderado",IF(OR(AND(AL59="Muy Baja",AN59="Mayor"),AND(AL59="Baja",AN59="Mayor"),AND(AL59="Media",AN59="Mayor"),AND(AL59="Alta",AN59="Moderado"),AND(AL59="Alta",AN59="Mayor"),AND(AL59="Muy Alta",AN59="Leve"),AND(AL59="Muy Alta",AN59="Menor"),AND(AL59="Muy Alta",AN59="Moderado"),AND(AL59="Muy Alta",AN59="Mayor")),"Alto",IF(OR(AND(AL59="Muy Baja",AN59="Catastrófico"),AND(AL59="Baja",AN59="Catastrófico"),AND(AL59="Media",AN59="Catastrófico"),AND(AL59="Alta",AN59="Catastrófico"),AND(AL59="Muy Alta",AN59="Catastrófico")),"Extremo","")))),"")</f>
        <v/>
      </c>
      <c r="AQ59" s="182"/>
      <c r="AR59" s="175"/>
      <c r="AS59" s="183"/>
      <c r="AT59" s="183"/>
      <c r="AU59" s="184"/>
      <c r="AV59" s="414"/>
      <c r="AW59" s="414"/>
      <c r="AX59" s="414"/>
    </row>
    <row r="60" spans="1:50" x14ac:dyDescent="0.2">
      <c r="A60" s="411"/>
      <c r="B60" s="353"/>
      <c r="C60" s="353"/>
      <c r="D60" s="353"/>
      <c r="E60" s="412"/>
      <c r="F60" s="413"/>
      <c r="G60" s="356"/>
      <c r="H60" s="356"/>
      <c r="I60" s="356"/>
      <c r="J60" s="356"/>
      <c r="K60" s="356"/>
      <c r="L60" s="356"/>
      <c r="M60" s="356"/>
      <c r="N60" s="356"/>
      <c r="O60" s="356"/>
      <c r="P60" s="356"/>
      <c r="Q60" s="414"/>
      <c r="R60" s="415"/>
      <c r="S60" s="416"/>
      <c r="T60" s="417"/>
      <c r="U60" s="416">
        <f>IF(NOT(ISERROR(MATCH(T60,_xlfn.ANCHORARRAY(F71),0))),T73&amp;"Por favor no seleccionar los criterios de impacto",T60)</f>
        <v>0</v>
      </c>
      <c r="V60" s="415"/>
      <c r="W60" s="416"/>
      <c r="X60" s="420"/>
      <c r="Y60" s="199">
        <v>6</v>
      </c>
      <c r="Z60" s="199"/>
      <c r="AA60" s="199"/>
      <c r="AB60" s="199"/>
      <c r="AC60" s="224" t="str">
        <f t="shared" si="1"/>
        <v xml:space="preserve">  </v>
      </c>
      <c r="AD60" s="176" t="str">
        <f t="shared" si="73"/>
        <v/>
      </c>
      <c r="AE60" s="177"/>
      <c r="AF60" s="177"/>
      <c r="AG60" s="178" t="str">
        <f t="shared" si="68"/>
        <v/>
      </c>
      <c r="AH60" s="177"/>
      <c r="AI60" s="177"/>
      <c r="AJ60" s="177"/>
      <c r="AK60" s="179" t="str">
        <f t="shared" si="74"/>
        <v/>
      </c>
      <c r="AL60" s="180" t="str">
        <f t="shared" si="3"/>
        <v/>
      </c>
      <c r="AM60" s="178" t="str">
        <f t="shared" si="69"/>
        <v/>
      </c>
      <c r="AN60" s="180" t="str">
        <f t="shared" si="5"/>
        <v/>
      </c>
      <c r="AO60" s="178" t="str">
        <f t="shared" si="15"/>
        <v/>
      </c>
      <c r="AP60" s="181" t="str">
        <f t="shared" si="75"/>
        <v/>
      </c>
      <c r="AQ60" s="182"/>
      <c r="AR60" s="175"/>
      <c r="AS60" s="183"/>
      <c r="AT60" s="183"/>
      <c r="AU60" s="184"/>
      <c r="AV60" s="414"/>
      <c r="AW60" s="414"/>
      <c r="AX60" s="414"/>
    </row>
    <row r="61" spans="1:50" x14ac:dyDescent="0.2">
      <c r="A61" s="411">
        <v>9</v>
      </c>
      <c r="B61" s="353"/>
      <c r="C61" s="353"/>
      <c r="D61" s="353"/>
      <c r="E61" s="412"/>
      <c r="F61" s="413"/>
      <c r="G61" s="354"/>
      <c r="H61" s="354"/>
      <c r="I61" s="354"/>
      <c r="J61" s="354"/>
      <c r="K61" s="354"/>
      <c r="L61" s="206"/>
      <c r="M61" s="206"/>
      <c r="N61" s="206"/>
      <c r="O61" s="354"/>
      <c r="P61" s="354"/>
      <c r="Q61" s="414"/>
      <c r="R61" s="415" t="str">
        <f>IF(Q61&lt;=0,"",IF(Q61&lt;=2,"Muy Baja",IF(Q61&lt;=24,"Baja",IF(Q61&lt;=500,"Media",IF(Q61&lt;=5000,"Alta","Muy Alta")))))</f>
        <v/>
      </c>
      <c r="S61" s="416" t="str">
        <f>IF(R61="","",IF(R61="Muy Baja",0.2,IF(R61="Baja",0.4,IF(R61="Media",0.6,IF(R61="Alta",0.8,IF(R61="Muy Alta",1,))))))</f>
        <v/>
      </c>
      <c r="T61" s="417"/>
      <c r="U61" s="416">
        <f>IF(NOT(ISERROR(MATCH(T61,'Tabla Impacto'!$B$245:$B$247,0))),'Tabla Impacto'!$F$224&amp;"Por favor no seleccionar los criterios de impacto(Afectación Económica o presupuestal y Pérdida Reputacional)",T61)</f>
        <v>0</v>
      </c>
      <c r="V61" s="415" t="str">
        <f>IF(OR(U61='Tabla Impacto'!$C$12,U61='Tabla Impacto'!$D$12),"Leve",IF(OR(U61='Tabla Impacto'!$C$13,U61='Tabla Impacto'!$D$13),"Menor",IF(OR(U61='Tabla Impacto'!$C$14,U61='Tabla Impacto'!$D$14),"Moderado",IF(OR(U61='Tabla Impacto'!$C$15,U61='Tabla Impacto'!$D$15),"Mayor",IF(OR(U61='Tabla Impacto'!$C$16,U61='Tabla Impacto'!$D$16),"Catastrófico","")))))</f>
        <v/>
      </c>
      <c r="W61" s="416" t="str">
        <f>IF(V61="","",IF(V61="Leve",0.2,IF(V61="Menor",0.4,IF(V61="Moderado",0.6,IF(V61="Mayor",0.8,IF(V61="Catastrófico",1,))))))</f>
        <v/>
      </c>
      <c r="X61" s="420" t="str">
        <f>IF(OR(AND(R61="Muy Baja",V61="Leve"),AND(R61="Muy Baja",V61="Menor"),AND(R61="Baja",V61="Leve")),"Bajo",IF(OR(AND(R61="Muy baja",V61="Moderado"),AND(R61="Baja",V61="Menor"),AND(R61="Baja",V61="Moderado"),AND(R61="Media",V61="Leve"),AND(R61="Media",V61="Menor"),AND(R61="Media",V61="Moderado"),AND(R61="Alta",V61="Leve"),AND(R61="Alta",V61="Menor")),"Moderado",IF(OR(AND(R61="Muy Baja",V61="Mayor"),AND(R61="Baja",V61="Mayor"),AND(R61="Media",V61="Mayor"),AND(R61="Alta",V61="Moderado"),AND(R61="Alta",V61="Mayor"),AND(R61="Muy Alta",V61="Leve"),AND(R61="Muy Alta",V61="Menor"),AND(R61="Muy Alta",V61="Moderado"),AND(R61="Muy Alta",V61="Mayor")),"Alto",IF(OR(AND(R61="Muy Baja",V61="Catastrófico"),AND(R61="Baja",V61="Catastrófico"),AND(R61="Media",V61="Catastrófico"),AND(R61="Alta",V61="Catastrófico"),AND(R61="Muy Alta",V61="Catastrófico")),"Extremo",""))))</f>
        <v/>
      </c>
      <c r="Y61" s="199">
        <v>1</v>
      </c>
      <c r="Z61" s="199"/>
      <c r="AA61" s="199"/>
      <c r="AB61" s="199"/>
      <c r="AC61" s="224" t="str">
        <f t="shared" si="1"/>
        <v xml:space="preserve">  </v>
      </c>
      <c r="AD61" s="176" t="str">
        <f>IF(OR(AE61="Preventivo",AE61="Detectivo"),"Probabilidad",IF(AE61="Correctivo","Impacto",""))</f>
        <v/>
      </c>
      <c r="AE61" s="177"/>
      <c r="AF61" s="177"/>
      <c r="AG61" s="178" t="str">
        <f>IF(AND(AE61="Preventivo",AF61="Automático"),"50%",IF(AND(AE61="Preventivo",AF61="Manual"),"40%",IF(AND(AE61="Detectivo",AF61="Automático"),"40%",IF(AND(AE61="Detectivo",AF61="Manual"),"30%",IF(AND(AE61="Correctivo",AF61="Automático"),"35%",IF(AND(AE61="Correctivo",AF61="Manual"),"25%",""))))))</f>
        <v/>
      </c>
      <c r="AH61" s="177"/>
      <c r="AI61" s="177"/>
      <c r="AJ61" s="177"/>
      <c r="AK61" s="179" t="str">
        <f>IFERROR(IF(AD61="Probabilidad",(S61-(+S61*AG61)),IF(AD61="Impacto",S61,"")),"")</f>
        <v/>
      </c>
      <c r="AL61" s="180" t="str">
        <f>IFERROR(IF(AK61="","",IF(AK61&lt;=0.2,"Muy Baja",IF(AK61&lt;=0.4,"Baja",IF(AK61&lt;=0.6,"Media",IF(AK61&lt;=0.8,"Alta","Muy Alta"))))),"")</f>
        <v/>
      </c>
      <c r="AM61" s="178" t="str">
        <f>+AK61</f>
        <v/>
      </c>
      <c r="AN61" s="180" t="str">
        <f>IFERROR(IF(AO61="","",IF(AO61&lt;=0.2,"Leve",IF(AO61&lt;=0.4,"Menor",IF(AO61&lt;=0.6,"Moderado",IF(AO61&lt;=0.8,"Mayor","Catastrófico"))))),"")</f>
        <v/>
      </c>
      <c r="AO61" s="178" t="str">
        <f t="shared" ref="AO61" si="76">IFERROR(IF(AD61="Impacto",(W61-(+W61*AG61)),IF(AD61="Probabilidad",W61,"")),"")</f>
        <v/>
      </c>
      <c r="AP61" s="181" t="str">
        <f>IFERROR(IF(OR(AND(AL61="Muy Baja",AN61="Leve"),AND(AL61="Muy Baja",AN61="Menor"),AND(AL61="Baja",AN61="Leve")),"Bajo",IF(OR(AND(AL61="Muy baja",AN61="Moderado"),AND(AL61="Baja",AN61="Menor"),AND(AL61="Baja",AN61="Moderado"),AND(AL61="Media",AN61="Leve"),AND(AL61="Media",AN61="Menor"),AND(AL61="Media",AN61="Moderado"),AND(AL61="Alta",AN61="Leve"),AND(AL61="Alta",AN61="Menor")),"Moderado",IF(OR(AND(AL61="Muy Baja",AN61="Mayor"),AND(AL61="Baja",AN61="Mayor"),AND(AL61="Media",AN61="Mayor"),AND(AL61="Alta",AN61="Moderado"),AND(AL61="Alta",AN61="Mayor"),AND(AL61="Muy Alta",AN61="Leve"),AND(AL61="Muy Alta",AN61="Menor"),AND(AL61="Muy Alta",AN61="Moderado"),AND(AL61="Muy Alta",AN61="Mayor")),"Alto",IF(OR(AND(AL61="Muy Baja",AN61="Catastrófico"),AND(AL61="Baja",AN61="Catastrófico"),AND(AL61="Media",AN61="Catastrófico"),AND(AL61="Alta",AN61="Catastrófico"),AND(AL61="Muy Alta",AN61="Catastrófico")),"Extremo","")))),"")</f>
        <v/>
      </c>
      <c r="AQ61" s="182"/>
      <c r="AR61" s="175"/>
      <c r="AS61" s="183"/>
      <c r="AT61" s="183"/>
      <c r="AU61" s="184"/>
      <c r="AV61" s="414"/>
      <c r="AW61" s="414"/>
      <c r="AX61" s="414"/>
    </row>
    <row r="62" spans="1:50" x14ac:dyDescent="0.2">
      <c r="A62" s="411"/>
      <c r="B62" s="353"/>
      <c r="C62" s="353"/>
      <c r="D62" s="353"/>
      <c r="E62" s="412"/>
      <c r="F62" s="413"/>
      <c r="G62" s="355"/>
      <c r="H62" s="355"/>
      <c r="I62" s="355"/>
      <c r="J62" s="355"/>
      <c r="K62" s="355"/>
      <c r="L62" s="207"/>
      <c r="M62" s="207"/>
      <c r="N62" s="207"/>
      <c r="O62" s="355"/>
      <c r="P62" s="355"/>
      <c r="Q62" s="414"/>
      <c r="R62" s="415"/>
      <c r="S62" s="416"/>
      <c r="T62" s="417"/>
      <c r="U62" s="416">
        <f>IF(NOT(ISERROR(MATCH(T62,_xlfn.ANCHORARRAY(#REF!),0))),T75&amp;"Por favor no seleccionar los criterios de impacto",T62)</f>
        <v>0</v>
      </c>
      <c r="V62" s="415"/>
      <c r="W62" s="416"/>
      <c r="X62" s="420"/>
      <c r="Y62" s="199">
        <v>2</v>
      </c>
      <c r="Z62" s="199"/>
      <c r="AA62" s="199"/>
      <c r="AB62" s="199"/>
      <c r="AC62" s="224" t="str">
        <f t="shared" si="1"/>
        <v xml:space="preserve">  </v>
      </c>
      <c r="AD62" s="176" t="str">
        <f>IF(OR(AE62="Preventivo",AE62="Detectivo"),"Probabilidad",IF(AE62="Correctivo","Impacto",""))</f>
        <v/>
      </c>
      <c r="AE62" s="177"/>
      <c r="AF62" s="177"/>
      <c r="AG62" s="178" t="str">
        <f t="shared" ref="AG62:AG66" si="77">IF(AND(AE62="Preventivo",AF62="Automático"),"50%",IF(AND(AE62="Preventivo",AF62="Manual"),"40%",IF(AND(AE62="Detectivo",AF62="Automático"),"40%",IF(AND(AE62="Detectivo",AF62="Manual"),"30%",IF(AND(AE62="Correctivo",AF62="Automático"),"35%",IF(AND(AE62="Correctivo",AF62="Manual"),"25%",""))))))</f>
        <v/>
      </c>
      <c r="AH62" s="177"/>
      <c r="AI62" s="177"/>
      <c r="AJ62" s="177"/>
      <c r="AK62" s="179" t="str">
        <f>IFERROR(IF(AND(AD61="Probabilidad",AD62="Probabilidad"),(AM61-(+AM61*AG62)),IF(AD62="Probabilidad",(S61-(+S61*AG62)),IF(AD62="Impacto",AM61,""))),"")</f>
        <v/>
      </c>
      <c r="AL62" s="180" t="str">
        <f t="shared" si="3"/>
        <v/>
      </c>
      <c r="AM62" s="178" t="str">
        <f t="shared" ref="AM62:AM66" si="78">+AK62</f>
        <v/>
      </c>
      <c r="AN62" s="180" t="str">
        <f t="shared" si="5"/>
        <v/>
      </c>
      <c r="AO62" s="178" t="str">
        <f t="shared" ref="AO62" si="79">IFERROR(IF(AND(AD61="Impacto",AD62="Impacto"),(AO61-(+AO61*AG62)),IF(AD62="Impacto",($W$13-(+$W$13*AG62)),IF(AD62="Probabilidad",AO61,""))),"")</f>
        <v/>
      </c>
      <c r="AP62" s="181" t="str">
        <f t="shared" ref="AP62:AP63" si="80">IFERROR(IF(OR(AND(AL62="Muy Baja",AN62="Leve"),AND(AL62="Muy Baja",AN62="Menor"),AND(AL62="Baja",AN62="Leve")),"Bajo",IF(OR(AND(AL62="Muy baja",AN62="Moderado"),AND(AL62="Baja",AN62="Menor"),AND(AL62="Baja",AN62="Moderado"),AND(AL62="Media",AN62="Leve"),AND(AL62="Media",AN62="Menor"),AND(AL62="Media",AN62="Moderado"),AND(AL62="Alta",AN62="Leve"),AND(AL62="Alta",AN62="Menor")),"Moderado",IF(OR(AND(AL62="Muy Baja",AN62="Mayor"),AND(AL62="Baja",AN62="Mayor"),AND(AL62="Media",AN62="Mayor"),AND(AL62="Alta",AN62="Moderado"),AND(AL62="Alta",AN62="Mayor"),AND(AL62="Muy Alta",AN62="Leve"),AND(AL62="Muy Alta",AN62="Menor"),AND(AL62="Muy Alta",AN62="Moderado"),AND(AL62="Muy Alta",AN62="Mayor")),"Alto",IF(OR(AND(AL62="Muy Baja",AN62="Catastrófico"),AND(AL62="Baja",AN62="Catastrófico"),AND(AL62="Media",AN62="Catastrófico"),AND(AL62="Alta",AN62="Catastrófico"),AND(AL62="Muy Alta",AN62="Catastrófico")),"Extremo","")))),"")</f>
        <v/>
      </c>
      <c r="AQ62" s="182"/>
      <c r="AR62" s="175"/>
      <c r="AS62" s="183"/>
      <c r="AT62" s="183"/>
      <c r="AU62" s="184"/>
      <c r="AV62" s="414"/>
      <c r="AW62" s="414"/>
      <c r="AX62" s="414"/>
    </row>
    <row r="63" spans="1:50" x14ac:dyDescent="0.2">
      <c r="A63" s="411"/>
      <c r="B63" s="353"/>
      <c r="C63" s="353"/>
      <c r="D63" s="353"/>
      <c r="E63" s="412"/>
      <c r="F63" s="413"/>
      <c r="G63" s="355"/>
      <c r="H63" s="355"/>
      <c r="I63" s="355"/>
      <c r="J63" s="355"/>
      <c r="K63" s="355"/>
      <c r="L63" s="207"/>
      <c r="M63" s="207"/>
      <c r="N63" s="207"/>
      <c r="O63" s="355"/>
      <c r="P63" s="355"/>
      <c r="Q63" s="414"/>
      <c r="R63" s="415"/>
      <c r="S63" s="416"/>
      <c r="T63" s="417"/>
      <c r="U63" s="416">
        <f>IF(NOT(ISERROR(MATCH(T63,_xlfn.ANCHORARRAY(#REF!),0))),T76&amp;"Por favor no seleccionar los criterios de impacto",T63)</f>
        <v>0</v>
      </c>
      <c r="V63" s="415"/>
      <c r="W63" s="416"/>
      <c r="X63" s="420"/>
      <c r="Y63" s="199">
        <v>3</v>
      </c>
      <c r="Z63" s="199"/>
      <c r="AA63" s="199"/>
      <c r="AB63" s="199"/>
      <c r="AC63" s="224" t="str">
        <f t="shared" si="1"/>
        <v xml:space="preserve">  </v>
      </c>
      <c r="AD63" s="176" t="str">
        <f>IF(OR(AE63="Preventivo",AE63="Detectivo"),"Probabilidad",IF(AE63="Correctivo","Impacto",""))</f>
        <v/>
      </c>
      <c r="AE63" s="177"/>
      <c r="AF63" s="177"/>
      <c r="AG63" s="178" t="str">
        <f t="shared" si="77"/>
        <v/>
      </c>
      <c r="AH63" s="177"/>
      <c r="AI63" s="177"/>
      <c r="AJ63" s="177"/>
      <c r="AK63" s="179" t="str">
        <f>IFERROR(IF(AND(AD62="Probabilidad",AD63="Probabilidad"),(AM62-(+AM62*AG63)),IF(AND(AD62="Impacto",AD63="Probabilidad"),(AM61-(+AM61*AG63)),IF(AD63="Impacto",AM62,""))),"")</f>
        <v/>
      </c>
      <c r="AL63" s="180" t="str">
        <f t="shared" si="3"/>
        <v/>
      </c>
      <c r="AM63" s="178" t="str">
        <f t="shared" si="78"/>
        <v/>
      </c>
      <c r="AN63" s="180" t="str">
        <f t="shared" si="5"/>
        <v/>
      </c>
      <c r="AO63" s="178" t="str">
        <f t="shared" ref="AO63" si="81">IFERROR(IF(AND(AD62="Impacto",AD63="Impacto"),(AO62-(+AO62*AG63)),IF(AND(AD62="Probabilidad",AD63="Impacto"),(AO61-(+AO61*AG63)),IF(AD63="Probabilidad",AO62,""))),"")</f>
        <v/>
      </c>
      <c r="AP63" s="181" t="str">
        <f t="shared" si="80"/>
        <v/>
      </c>
      <c r="AQ63" s="182"/>
      <c r="AR63" s="175"/>
      <c r="AS63" s="183"/>
      <c r="AT63" s="183"/>
      <c r="AU63" s="184"/>
      <c r="AV63" s="414"/>
      <c r="AW63" s="414"/>
      <c r="AX63" s="414"/>
    </row>
    <row r="64" spans="1:50" x14ac:dyDescent="0.2">
      <c r="A64" s="411"/>
      <c r="B64" s="353"/>
      <c r="C64" s="353"/>
      <c r="D64" s="353"/>
      <c r="E64" s="412"/>
      <c r="F64" s="413"/>
      <c r="G64" s="355"/>
      <c r="H64" s="355"/>
      <c r="I64" s="355"/>
      <c r="J64" s="355"/>
      <c r="K64" s="355"/>
      <c r="L64" s="207"/>
      <c r="M64" s="207"/>
      <c r="N64" s="207"/>
      <c r="O64" s="355"/>
      <c r="P64" s="355"/>
      <c r="Q64" s="414"/>
      <c r="R64" s="415"/>
      <c r="S64" s="416"/>
      <c r="T64" s="417"/>
      <c r="U64" s="416">
        <f>IF(NOT(ISERROR(MATCH(T64,_xlfn.ANCHORARRAY(#REF!),0))),T77&amp;"Por favor no seleccionar los criterios de impacto",T64)</f>
        <v>0</v>
      </c>
      <c r="V64" s="415"/>
      <c r="W64" s="416"/>
      <c r="X64" s="420"/>
      <c r="Y64" s="199">
        <v>4</v>
      </c>
      <c r="Z64" s="199"/>
      <c r="AA64" s="199"/>
      <c r="AB64" s="199"/>
      <c r="AC64" s="224" t="str">
        <f t="shared" si="1"/>
        <v xml:space="preserve">  </v>
      </c>
      <c r="AD64" s="176" t="str">
        <f t="shared" ref="AD64:AD66" si="82">IF(OR(AE64="Preventivo",AE64="Detectivo"),"Probabilidad",IF(AE64="Correctivo","Impacto",""))</f>
        <v/>
      </c>
      <c r="AE64" s="177"/>
      <c r="AF64" s="177"/>
      <c r="AG64" s="178" t="str">
        <f t="shared" si="77"/>
        <v/>
      </c>
      <c r="AH64" s="177"/>
      <c r="AI64" s="177"/>
      <c r="AJ64" s="177"/>
      <c r="AK64" s="179" t="str">
        <f t="shared" ref="AK64:AK66" si="83">IFERROR(IF(AND(AD63="Probabilidad",AD64="Probabilidad"),(AM63-(+AM63*AG64)),IF(AND(AD63="Impacto",AD64="Probabilidad"),(AM62-(+AM62*AG64)),IF(AD64="Impacto",AM63,""))),"")</f>
        <v/>
      </c>
      <c r="AL64" s="180" t="str">
        <f t="shared" si="3"/>
        <v/>
      </c>
      <c r="AM64" s="178" t="str">
        <f t="shared" si="78"/>
        <v/>
      </c>
      <c r="AN64" s="180" t="str">
        <f t="shared" si="5"/>
        <v/>
      </c>
      <c r="AO64" s="178" t="str">
        <f t="shared" si="15"/>
        <v/>
      </c>
      <c r="AP64" s="181" t="str">
        <f>IFERROR(IF(OR(AND(AL64="Muy Baja",AN64="Leve"),AND(AL64="Muy Baja",AN64="Menor"),AND(AL64="Baja",AN64="Leve")),"Bajo",IF(OR(AND(AL64="Muy baja",AN64="Moderado"),AND(AL64="Baja",AN64="Menor"),AND(AL64="Baja",AN64="Moderado"),AND(AL64="Media",AN64="Leve"),AND(AL64="Media",AN64="Menor"),AND(AL64="Media",AN64="Moderado"),AND(AL64="Alta",AN64="Leve"),AND(AL64="Alta",AN64="Menor")),"Moderado",IF(OR(AND(AL64="Muy Baja",AN64="Mayor"),AND(AL64="Baja",AN64="Mayor"),AND(AL64="Media",AN64="Mayor"),AND(AL64="Alta",AN64="Moderado"),AND(AL64="Alta",AN64="Mayor"),AND(AL64="Muy Alta",AN64="Leve"),AND(AL64="Muy Alta",AN64="Menor"),AND(AL64="Muy Alta",AN64="Moderado"),AND(AL64="Muy Alta",AN64="Mayor")),"Alto",IF(OR(AND(AL64="Muy Baja",AN64="Catastrófico"),AND(AL64="Baja",AN64="Catastrófico"),AND(AL64="Media",AN64="Catastrófico"),AND(AL64="Alta",AN64="Catastrófico"),AND(AL64="Muy Alta",AN64="Catastrófico")),"Extremo","")))),"")</f>
        <v/>
      </c>
      <c r="AQ64" s="182"/>
      <c r="AR64" s="175"/>
      <c r="AS64" s="183"/>
      <c r="AT64" s="183"/>
      <c r="AU64" s="184"/>
      <c r="AV64" s="414"/>
      <c r="AW64" s="414"/>
      <c r="AX64" s="414"/>
    </row>
    <row r="65" spans="1:50" x14ac:dyDescent="0.2">
      <c r="A65" s="411"/>
      <c r="B65" s="353"/>
      <c r="C65" s="353"/>
      <c r="D65" s="353"/>
      <c r="E65" s="412"/>
      <c r="F65" s="413"/>
      <c r="G65" s="355"/>
      <c r="H65" s="355"/>
      <c r="I65" s="355"/>
      <c r="J65" s="355"/>
      <c r="K65" s="355"/>
      <c r="L65" s="207"/>
      <c r="M65" s="207"/>
      <c r="N65" s="207"/>
      <c r="O65" s="355"/>
      <c r="P65" s="355"/>
      <c r="Q65" s="414"/>
      <c r="R65" s="415"/>
      <c r="S65" s="416"/>
      <c r="T65" s="417"/>
      <c r="U65" s="416">
        <f>IF(NOT(ISERROR(MATCH(T65,_xlfn.ANCHORARRAY(#REF!),0))),T78&amp;"Por favor no seleccionar los criterios de impacto",T65)</f>
        <v>0</v>
      </c>
      <c r="V65" s="415"/>
      <c r="W65" s="416"/>
      <c r="X65" s="420"/>
      <c r="Y65" s="199">
        <v>5</v>
      </c>
      <c r="Z65" s="199"/>
      <c r="AA65" s="199"/>
      <c r="AB65" s="199"/>
      <c r="AC65" s="224" t="str">
        <f t="shared" si="1"/>
        <v xml:space="preserve">  </v>
      </c>
      <c r="AD65" s="176" t="str">
        <f t="shared" si="82"/>
        <v/>
      </c>
      <c r="AE65" s="177"/>
      <c r="AF65" s="177"/>
      <c r="AG65" s="178" t="str">
        <f t="shared" si="77"/>
        <v/>
      </c>
      <c r="AH65" s="177"/>
      <c r="AI65" s="177"/>
      <c r="AJ65" s="177"/>
      <c r="AK65" s="179" t="str">
        <f t="shared" si="83"/>
        <v/>
      </c>
      <c r="AL65" s="180" t="str">
        <f t="shared" si="3"/>
        <v/>
      </c>
      <c r="AM65" s="178" t="str">
        <f t="shared" si="78"/>
        <v/>
      </c>
      <c r="AN65" s="180" t="str">
        <f t="shared" si="5"/>
        <v/>
      </c>
      <c r="AO65" s="178" t="str">
        <f t="shared" si="15"/>
        <v/>
      </c>
      <c r="AP65" s="181" t="str">
        <f t="shared" ref="AP65:AP66" si="84">IFERROR(IF(OR(AND(AL65="Muy Baja",AN65="Leve"),AND(AL65="Muy Baja",AN65="Menor"),AND(AL65="Baja",AN65="Leve")),"Bajo",IF(OR(AND(AL65="Muy baja",AN65="Moderado"),AND(AL65="Baja",AN65="Menor"),AND(AL65="Baja",AN65="Moderado"),AND(AL65="Media",AN65="Leve"),AND(AL65="Media",AN65="Menor"),AND(AL65="Media",AN65="Moderado"),AND(AL65="Alta",AN65="Leve"),AND(AL65="Alta",AN65="Menor")),"Moderado",IF(OR(AND(AL65="Muy Baja",AN65="Mayor"),AND(AL65="Baja",AN65="Mayor"),AND(AL65="Media",AN65="Mayor"),AND(AL65="Alta",AN65="Moderado"),AND(AL65="Alta",AN65="Mayor"),AND(AL65="Muy Alta",AN65="Leve"),AND(AL65="Muy Alta",AN65="Menor"),AND(AL65="Muy Alta",AN65="Moderado"),AND(AL65="Muy Alta",AN65="Mayor")),"Alto",IF(OR(AND(AL65="Muy Baja",AN65="Catastrófico"),AND(AL65="Baja",AN65="Catastrófico"),AND(AL65="Media",AN65="Catastrófico"),AND(AL65="Alta",AN65="Catastrófico"),AND(AL65="Muy Alta",AN65="Catastrófico")),"Extremo","")))),"")</f>
        <v/>
      </c>
      <c r="AQ65" s="182"/>
      <c r="AR65" s="175"/>
      <c r="AS65" s="183"/>
      <c r="AT65" s="183"/>
      <c r="AU65" s="184"/>
      <c r="AV65" s="414"/>
      <c r="AW65" s="414"/>
      <c r="AX65" s="414"/>
    </row>
    <row r="66" spans="1:50" x14ac:dyDescent="0.2">
      <c r="A66" s="411"/>
      <c r="B66" s="353"/>
      <c r="C66" s="353"/>
      <c r="D66" s="353"/>
      <c r="E66" s="412"/>
      <c r="F66" s="413"/>
      <c r="G66" s="356"/>
      <c r="H66" s="356"/>
      <c r="I66" s="356"/>
      <c r="J66" s="356"/>
      <c r="K66" s="356"/>
      <c r="L66" s="208"/>
      <c r="M66" s="208"/>
      <c r="N66" s="208"/>
      <c r="O66" s="356"/>
      <c r="P66" s="356"/>
      <c r="Q66" s="414"/>
      <c r="R66" s="415"/>
      <c r="S66" s="416"/>
      <c r="T66" s="417"/>
      <c r="U66" s="416">
        <f>IF(NOT(ISERROR(MATCH(T66,_xlfn.ANCHORARRAY(#REF!),0))),T79&amp;"Por favor no seleccionar los criterios de impacto",T66)</f>
        <v>0</v>
      </c>
      <c r="V66" s="415"/>
      <c r="W66" s="416"/>
      <c r="X66" s="420"/>
      <c r="Y66" s="199">
        <v>6</v>
      </c>
      <c r="Z66" s="199"/>
      <c r="AA66" s="199"/>
      <c r="AB66" s="199"/>
      <c r="AC66" s="224" t="str">
        <f t="shared" si="1"/>
        <v xml:space="preserve">  </v>
      </c>
      <c r="AD66" s="176" t="str">
        <f t="shared" si="82"/>
        <v/>
      </c>
      <c r="AE66" s="177"/>
      <c r="AF66" s="177"/>
      <c r="AG66" s="178" t="str">
        <f t="shared" si="77"/>
        <v/>
      </c>
      <c r="AH66" s="177"/>
      <c r="AI66" s="177"/>
      <c r="AJ66" s="177"/>
      <c r="AK66" s="179" t="str">
        <f t="shared" si="83"/>
        <v/>
      </c>
      <c r="AL66" s="180" t="str">
        <f t="shared" si="3"/>
        <v/>
      </c>
      <c r="AM66" s="178" t="str">
        <f t="shared" si="78"/>
        <v/>
      </c>
      <c r="AN66" s="180" t="str">
        <f t="shared" si="5"/>
        <v/>
      </c>
      <c r="AO66" s="178" t="str">
        <f t="shared" si="15"/>
        <v/>
      </c>
      <c r="AP66" s="181" t="str">
        <f t="shared" si="84"/>
        <v/>
      </c>
      <c r="AQ66" s="182"/>
      <c r="AR66" s="175"/>
      <c r="AS66" s="183"/>
      <c r="AT66" s="183"/>
      <c r="AU66" s="184"/>
      <c r="AV66" s="414"/>
      <c r="AW66" s="414"/>
      <c r="AX66" s="414"/>
    </row>
    <row r="67" spans="1:50" x14ac:dyDescent="0.2">
      <c r="A67" s="411">
        <v>10</v>
      </c>
      <c r="B67" s="353"/>
      <c r="C67" s="353"/>
      <c r="D67" s="353"/>
      <c r="E67" s="412"/>
      <c r="F67" s="413"/>
      <c r="G67" s="354"/>
      <c r="H67" s="354"/>
      <c r="I67" s="354"/>
      <c r="J67" s="354"/>
      <c r="K67" s="354"/>
      <c r="L67" s="206"/>
      <c r="M67" s="206"/>
      <c r="N67" s="206"/>
      <c r="O67" s="354"/>
      <c r="P67" s="354"/>
      <c r="Q67" s="414"/>
      <c r="R67" s="415" t="str">
        <f>IF(Q67&lt;=0,"",IF(Q67&lt;=2,"Muy Baja",IF(Q67&lt;=24,"Baja",IF(Q67&lt;=500,"Media",IF(Q67&lt;=5000,"Alta","Muy Alta")))))</f>
        <v/>
      </c>
      <c r="S67" s="416" t="str">
        <f>IF(R67="","",IF(R67="Muy Baja",0.2,IF(R67="Baja",0.4,IF(R67="Media",0.6,IF(R67="Alta",0.8,IF(R67="Muy Alta",1,))))))</f>
        <v/>
      </c>
      <c r="T67" s="417"/>
      <c r="U67" s="416">
        <f>IF(NOT(ISERROR(MATCH(T67,'Tabla Impacto'!$B$245:$B$247,0))),'Tabla Impacto'!$F$224&amp;"Por favor no seleccionar los criterios de impacto(Afectación Económica o presupuestal y Pérdida Reputacional)",T67)</f>
        <v>0</v>
      </c>
      <c r="V67" s="415" t="str">
        <f>IF(OR(U67='Tabla Impacto'!$C$12,U67='Tabla Impacto'!$D$12),"Leve",IF(OR(U67='Tabla Impacto'!$C$13,U67='Tabla Impacto'!$D$13),"Menor",IF(OR(U67='Tabla Impacto'!$C$14,U67='Tabla Impacto'!$D$14),"Moderado",IF(OR(U67='Tabla Impacto'!$C$15,U67='Tabla Impacto'!$D$15),"Mayor",IF(OR(U67='Tabla Impacto'!$C$16,U67='Tabla Impacto'!$D$16),"Catastrófico","")))))</f>
        <v/>
      </c>
      <c r="W67" s="416" t="str">
        <f>IF(V67="","",IF(V67="Leve",0.2,IF(V67="Menor",0.4,IF(V67="Moderado",0.6,IF(V67="Mayor",0.8,IF(V67="Catastrófico",1,))))))</f>
        <v/>
      </c>
      <c r="X67" s="420" t="str">
        <f>IF(OR(AND(R67="Muy Baja",V67="Leve"),AND(R67="Muy Baja",V67="Menor"),AND(R67="Baja",V67="Leve")),"Bajo",IF(OR(AND(R67="Muy baja",V67="Moderado"),AND(R67="Baja",V67="Menor"),AND(R67="Baja",V67="Moderado"),AND(R67="Media",V67="Leve"),AND(R67="Media",V67="Menor"),AND(R67="Media",V67="Moderado"),AND(R67="Alta",V67="Leve"),AND(R67="Alta",V67="Menor")),"Moderado",IF(OR(AND(R67="Muy Baja",V67="Mayor"),AND(R67="Baja",V67="Mayor"),AND(R67="Media",V67="Mayor"),AND(R67="Alta",V67="Moderado"),AND(R67="Alta",V67="Mayor"),AND(R67="Muy Alta",V67="Leve"),AND(R67="Muy Alta",V67="Menor"),AND(R67="Muy Alta",V67="Moderado"),AND(R67="Muy Alta",V67="Mayor")),"Alto",IF(OR(AND(R67="Muy Baja",V67="Catastrófico"),AND(R67="Baja",V67="Catastrófico"),AND(R67="Media",V67="Catastrófico"),AND(R67="Alta",V67="Catastrófico"),AND(R67="Muy Alta",V67="Catastrófico")),"Extremo",""))))</f>
        <v/>
      </c>
      <c r="Y67" s="199">
        <v>1</v>
      </c>
      <c r="Z67" s="199"/>
      <c r="AA67" s="199"/>
      <c r="AB67" s="199"/>
      <c r="AC67" s="224" t="str">
        <f t="shared" si="1"/>
        <v xml:space="preserve">  </v>
      </c>
      <c r="AD67" s="176" t="str">
        <f>IF(OR(AE67="Preventivo",AE67="Detectivo"),"Probabilidad",IF(AE67="Correctivo","Impacto",""))</f>
        <v/>
      </c>
      <c r="AE67" s="177"/>
      <c r="AF67" s="177"/>
      <c r="AG67" s="178" t="str">
        <f>IF(AND(AE67="Preventivo",AF67="Automático"),"50%",IF(AND(AE67="Preventivo",AF67="Manual"),"40%",IF(AND(AE67="Detectivo",AF67="Automático"),"40%",IF(AND(AE67="Detectivo",AF67="Manual"),"30%",IF(AND(AE67="Correctivo",AF67="Automático"),"35%",IF(AND(AE67="Correctivo",AF67="Manual"),"25%",""))))))</f>
        <v/>
      </c>
      <c r="AH67" s="177"/>
      <c r="AI67" s="177"/>
      <c r="AJ67" s="177"/>
      <c r="AK67" s="179" t="str">
        <f>IFERROR(IF(AD67="Probabilidad",(S67-(+S67*AG67)),IF(AD67="Impacto",S67,"")),"")</f>
        <v/>
      </c>
      <c r="AL67" s="180" t="str">
        <f>IFERROR(IF(AK67="","",IF(AK67&lt;=0.2,"Muy Baja",IF(AK67&lt;=0.4,"Baja",IF(AK67&lt;=0.6,"Media",IF(AK67&lt;=0.8,"Alta","Muy Alta"))))),"")</f>
        <v/>
      </c>
      <c r="AM67" s="178" t="str">
        <f>+AK67</f>
        <v/>
      </c>
      <c r="AN67" s="180" t="str">
        <f>IFERROR(IF(AO67="","",IF(AO67&lt;=0.2,"Leve",IF(AO67&lt;=0.4,"Menor",IF(AO67&lt;=0.6,"Moderado",IF(AO67&lt;=0.8,"Mayor","Catastrófico"))))),"")</f>
        <v/>
      </c>
      <c r="AO67" s="178" t="str">
        <f t="shared" ref="AO67" si="85">IFERROR(IF(AD67="Impacto",(W67-(+W67*AG67)),IF(AD67="Probabilidad",W67,"")),"")</f>
        <v/>
      </c>
      <c r="AP67" s="181" t="str">
        <f>IFERROR(IF(OR(AND(AL67="Muy Baja",AN67="Leve"),AND(AL67="Muy Baja",AN67="Menor"),AND(AL67="Baja",AN67="Leve")),"Bajo",IF(OR(AND(AL67="Muy baja",AN67="Moderado"),AND(AL67="Baja",AN67="Menor"),AND(AL67="Baja",AN67="Moderado"),AND(AL67="Media",AN67="Leve"),AND(AL67="Media",AN67="Menor"),AND(AL67="Media",AN67="Moderado"),AND(AL67="Alta",AN67="Leve"),AND(AL67="Alta",AN67="Menor")),"Moderado",IF(OR(AND(AL67="Muy Baja",AN67="Mayor"),AND(AL67="Baja",AN67="Mayor"),AND(AL67="Media",AN67="Mayor"),AND(AL67="Alta",AN67="Moderado"),AND(AL67="Alta",AN67="Mayor"),AND(AL67="Muy Alta",AN67="Leve"),AND(AL67="Muy Alta",AN67="Menor"),AND(AL67="Muy Alta",AN67="Moderado"),AND(AL67="Muy Alta",AN67="Mayor")),"Alto",IF(OR(AND(AL67="Muy Baja",AN67="Catastrófico"),AND(AL67="Baja",AN67="Catastrófico"),AND(AL67="Media",AN67="Catastrófico"),AND(AL67="Alta",AN67="Catastrófico"),AND(AL67="Muy Alta",AN67="Catastrófico")),"Extremo","")))),"")</f>
        <v/>
      </c>
      <c r="AQ67" s="182"/>
      <c r="AR67" s="175"/>
      <c r="AS67" s="183"/>
      <c r="AT67" s="183"/>
      <c r="AU67" s="184"/>
      <c r="AV67" s="414"/>
      <c r="AW67" s="414"/>
      <c r="AX67" s="414"/>
    </row>
    <row r="68" spans="1:50" x14ac:dyDescent="0.2">
      <c r="A68" s="411"/>
      <c r="B68" s="353"/>
      <c r="C68" s="353"/>
      <c r="D68" s="353"/>
      <c r="E68" s="412"/>
      <c r="F68" s="413"/>
      <c r="G68" s="355"/>
      <c r="H68" s="355"/>
      <c r="I68" s="355"/>
      <c r="J68" s="355"/>
      <c r="K68" s="355"/>
      <c r="L68" s="207"/>
      <c r="M68" s="207"/>
      <c r="N68" s="207"/>
      <c r="O68" s="355"/>
      <c r="P68" s="355"/>
      <c r="Q68" s="414"/>
      <c r="R68" s="415"/>
      <c r="S68" s="416"/>
      <c r="T68" s="417"/>
      <c r="U68" s="416">
        <f>IF(NOT(ISERROR(MATCH(T68,_xlfn.ANCHORARRAY(#REF!),0))),T81&amp;"Por favor no seleccionar los criterios de impacto",T68)</f>
        <v>0</v>
      </c>
      <c r="V68" s="415"/>
      <c r="W68" s="416"/>
      <c r="X68" s="420"/>
      <c r="Y68" s="199">
        <v>2</v>
      </c>
      <c r="Z68" s="199"/>
      <c r="AA68" s="199"/>
      <c r="AB68" s="199"/>
      <c r="AC68" s="224" t="str">
        <f t="shared" si="1"/>
        <v xml:space="preserve">  </v>
      </c>
      <c r="AD68" s="176" t="str">
        <f>IF(OR(AE68="Preventivo",AE68="Detectivo"),"Probabilidad",IF(AE68="Correctivo","Impacto",""))</f>
        <v/>
      </c>
      <c r="AE68" s="177"/>
      <c r="AF68" s="177"/>
      <c r="AG68" s="178" t="str">
        <f t="shared" ref="AG68:AG72" si="86">IF(AND(AE68="Preventivo",AF68="Automático"),"50%",IF(AND(AE68="Preventivo",AF68="Manual"),"40%",IF(AND(AE68="Detectivo",AF68="Automático"),"40%",IF(AND(AE68="Detectivo",AF68="Manual"),"30%",IF(AND(AE68="Correctivo",AF68="Automático"),"35%",IF(AND(AE68="Correctivo",AF68="Manual"),"25%",""))))))</f>
        <v/>
      </c>
      <c r="AH68" s="177"/>
      <c r="AI68" s="177"/>
      <c r="AJ68" s="177"/>
      <c r="AK68" s="179" t="str">
        <f>IFERROR(IF(AND(AD67="Probabilidad",AD68="Probabilidad"),(AM67-(+AM67*AG68)),IF(AD68="Probabilidad",(S67-(+S67*AG68)),IF(AD68="Impacto",AM67,""))),"")</f>
        <v/>
      </c>
      <c r="AL68" s="180" t="str">
        <f t="shared" si="3"/>
        <v/>
      </c>
      <c r="AM68" s="178" t="str">
        <f t="shared" ref="AM68:AM72" si="87">+AK68</f>
        <v/>
      </c>
      <c r="AN68" s="180" t="str">
        <f t="shared" si="5"/>
        <v/>
      </c>
      <c r="AO68" s="178" t="str">
        <f t="shared" ref="AO68" si="88">IFERROR(IF(AND(AD67="Impacto",AD68="Impacto"),(AO67-(+AO67*AG68)),IF(AD68="Impacto",($W$13-(+$W$13*AG68)),IF(AD68="Probabilidad",AO67,""))),"")</f>
        <v/>
      </c>
      <c r="AP68" s="181" t="str">
        <f t="shared" ref="AP68:AP69" si="89">IFERROR(IF(OR(AND(AL68="Muy Baja",AN68="Leve"),AND(AL68="Muy Baja",AN68="Menor"),AND(AL68="Baja",AN68="Leve")),"Bajo",IF(OR(AND(AL68="Muy baja",AN68="Moderado"),AND(AL68="Baja",AN68="Menor"),AND(AL68="Baja",AN68="Moderado"),AND(AL68="Media",AN68="Leve"),AND(AL68="Media",AN68="Menor"),AND(AL68="Media",AN68="Moderado"),AND(AL68="Alta",AN68="Leve"),AND(AL68="Alta",AN68="Menor")),"Moderado",IF(OR(AND(AL68="Muy Baja",AN68="Mayor"),AND(AL68="Baja",AN68="Mayor"),AND(AL68="Media",AN68="Mayor"),AND(AL68="Alta",AN68="Moderado"),AND(AL68="Alta",AN68="Mayor"),AND(AL68="Muy Alta",AN68="Leve"),AND(AL68="Muy Alta",AN68="Menor"),AND(AL68="Muy Alta",AN68="Moderado"),AND(AL68="Muy Alta",AN68="Mayor")),"Alto",IF(OR(AND(AL68="Muy Baja",AN68="Catastrófico"),AND(AL68="Baja",AN68="Catastrófico"),AND(AL68="Media",AN68="Catastrófico"),AND(AL68="Alta",AN68="Catastrófico"),AND(AL68="Muy Alta",AN68="Catastrófico")),"Extremo","")))),"")</f>
        <v/>
      </c>
      <c r="AQ68" s="182"/>
      <c r="AR68" s="175"/>
      <c r="AS68" s="183"/>
      <c r="AT68" s="183"/>
      <c r="AU68" s="184"/>
      <c r="AV68" s="414"/>
      <c r="AW68" s="414"/>
      <c r="AX68" s="414"/>
    </row>
    <row r="69" spans="1:50" x14ac:dyDescent="0.2">
      <c r="A69" s="411"/>
      <c r="B69" s="353"/>
      <c r="C69" s="353"/>
      <c r="D69" s="353"/>
      <c r="E69" s="412"/>
      <c r="F69" s="413"/>
      <c r="G69" s="355"/>
      <c r="H69" s="355"/>
      <c r="I69" s="355"/>
      <c r="J69" s="355"/>
      <c r="K69" s="355"/>
      <c r="L69" s="207"/>
      <c r="M69" s="207"/>
      <c r="N69" s="207"/>
      <c r="O69" s="355"/>
      <c r="P69" s="355"/>
      <c r="Q69" s="414"/>
      <c r="R69" s="415"/>
      <c r="S69" s="416"/>
      <c r="T69" s="417"/>
      <c r="U69" s="416">
        <f>IF(NOT(ISERROR(MATCH(T69,_xlfn.ANCHORARRAY(#REF!),0))),T82&amp;"Por favor no seleccionar los criterios de impacto",T69)</f>
        <v>0</v>
      </c>
      <c r="V69" s="415"/>
      <c r="W69" s="416"/>
      <c r="X69" s="420"/>
      <c r="Y69" s="199">
        <v>3</v>
      </c>
      <c r="Z69" s="199"/>
      <c r="AA69" s="199"/>
      <c r="AB69" s="199"/>
      <c r="AC69" s="224" t="str">
        <f t="shared" si="1"/>
        <v xml:space="preserve">  </v>
      </c>
      <c r="AD69" s="176" t="str">
        <f>IF(OR(AE69="Preventivo",AE69="Detectivo"),"Probabilidad",IF(AE69="Correctivo","Impacto",""))</f>
        <v/>
      </c>
      <c r="AE69" s="177"/>
      <c r="AF69" s="177"/>
      <c r="AG69" s="178" t="str">
        <f t="shared" si="86"/>
        <v/>
      </c>
      <c r="AH69" s="177"/>
      <c r="AI69" s="177"/>
      <c r="AJ69" s="177"/>
      <c r="AK69" s="179" t="str">
        <f>IFERROR(IF(AND(AD68="Probabilidad",AD69="Probabilidad"),(AM68-(+AM68*AG69)),IF(AND(AD68="Impacto",AD69="Probabilidad"),(AM67-(+AM67*AG69)),IF(AD69="Impacto",AM68,""))),"")</f>
        <v/>
      </c>
      <c r="AL69" s="180" t="str">
        <f t="shared" si="3"/>
        <v/>
      </c>
      <c r="AM69" s="178" t="str">
        <f t="shared" si="87"/>
        <v/>
      </c>
      <c r="AN69" s="180" t="str">
        <f t="shared" si="5"/>
        <v/>
      </c>
      <c r="AO69" s="178" t="str">
        <f t="shared" ref="AO69" si="90">IFERROR(IF(AND(AD68="Impacto",AD69="Impacto"),(AO68-(+AO68*AG69)),IF(AND(AD68="Probabilidad",AD69="Impacto"),(AO67-(+AO67*AG69)),IF(AD69="Probabilidad",AO68,""))),"")</f>
        <v/>
      </c>
      <c r="AP69" s="181" t="str">
        <f t="shared" si="89"/>
        <v/>
      </c>
      <c r="AQ69" s="182"/>
      <c r="AR69" s="175"/>
      <c r="AS69" s="183"/>
      <c r="AT69" s="183"/>
      <c r="AU69" s="184"/>
      <c r="AV69" s="414"/>
      <c r="AW69" s="414"/>
      <c r="AX69" s="414"/>
    </row>
    <row r="70" spans="1:50" x14ac:dyDescent="0.2">
      <c r="A70" s="411"/>
      <c r="B70" s="353"/>
      <c r="C70" s="353"/>
      <c r="D70" s="353"/>
      <c r="E70" s="412"/>
      <c r="F70" s="413"/>
      <c r="G70" s="355"/>
      <c r="H70" s="355"/>
      <c r="I70" s="355"/>
      <c r="J70" s="355"/>
      <c r="K70" s="355"/>
      <c r="L70" s="207"/>
      <c r="M70" s="207"/>
      <c r="N70" s="207"/>
      <c r="O70" s="355"/>
      <c r="P70" s="355"/>
      <c r="Q70" s="414"/>
      <c r="R70" s="415"/>
      <c r="S70" s="416"/>
      <c r="T70" s="417"/>
      <c r="U70" s="416">
        <f>IF(NOT(ISERROR(MATCH(T70,_xlfn.ANCHORARRAY(#REF!),0))),T83&amp;"Por favor no seleccionar los criterios de impacto",T70)</f>
        <v>0</v>
      </c>
      <c r="V70" s="415"/>
      <c r="W70" s="416"/>
      <c r="X70" s="420"/>
      <c r="Y70" s="199">
        <v>4</v>
      </c>
      <c r="Z70" s="199"/>
      <c r="AA70" s="199"/>
      <c r="AB70" s="199"/>
      <c r="AC70" s="224" t="str">
        <f t="shared" si="1"/>
        <v xml:space="preserve">  </v>
      </c>
      <c r="AD70" s="176" t="str">
        <f t="shared" ref="AD70:AD72" si="91">IF(OR(AE70="Preventivo",AE70="Detectivo"),"Probabilidad",IF(AE70="Correctivo","Impacto",""))</f>
        <v/>
      </c>
      <c r="AE70" s="177"/>
      <c r="AF70" s="177"/>
      <c r="AG70" s="178" t="str">
        <f t="shared" si="86"/>
        <v/>
      </c>
      <c r="AH70" s="177"/>
      <c r="AI70" s="177"/>
      <c r="AJ70" s="177"/>
      <c r="AK70" s="179" t="str">
        <f t="shared" ref="AK70:AK72" si="92">IFERROR(IF(AND(AD69="Probabilidad",AD70="Probabilidad"),(AM69-(+AM69*AG70)),IF(AND(AD69="Impacto",AD70="Probabilidad"),(AM68-(+AM68*AG70)),IF(AD70="Impacto",AM69,""))),"")</f>
        <v/>
      </c>
      <c r="AL70" s="180" t="str">
        <f t="shared" si="3"/>
        <v/>
      </c>
      <c r="AM70" s="178" t="str">
        <f t="shared" si="87"/>
        <v/>
      </c>
      <c r="AN70" s="180" t="str">
        <f t="shared" si="5"/>
        <v/>
      </c>
      <c r="AO70" s="178" t="str">
        <f t="shared" si="15"/>
        <v/>
      </c>
      <c r="AP70" s="181" t="str">
        <f>IFERROR(IF(OR(AND(AL70="Muy Baja",AN70="Leve"),AND(AL70="Muy Baja",AN70="Menor"),AND(AL70="Baja",AN70="Leve")),"Bajo",IF(OR(AND(AL70="Muy baja",AN70="Moderado"),AND(AL70="Baja",AN70="Menor"),AND(AL70="Baja",AN70="Moderado"),AND(AL70="Media",AN70="Leve"),AND(AL70="Media",AN70="Menor"),AND(AL70="Media",AN70="Moderado"),AND(AL70="Alta",AN70="Leve"),AND(AL70="Alta",AN70="Menor")),"Moderado",IF(OR(AND(AL70="Muy Baja",AN70="Mayor"),AND(AL70="Baja",AN70="Mayor"),AND(AL70="Media",AN70="Mayor"),AND(AL70="Alta",AN70="Moderado"),AND(AL70="Alta",AN70="Mayor"),AND(AL70="Muy Alta",AN70="Leve"),AND(AL70="Muy Alta",AN70="Menor"),AND(AL70="Muy Alta",AN70="Moderado"),AND(AL70="Muy Alta",AN70="Mayor")),"Alto",IF(OR(AND(AL70="Muy Baja",AN70="Catastrófico"),AND(AL70="Baja",AN70="Catastrófico"),AND(AL70="Media",AN70="Catastrófico"),AND(AL70="Alta",AN70="Catastrófico"),AND(AL70="Muy Alta",AN70="Catastrófico")),"Extremo","")))),"")</f>
        <v/>
      </c>
      <c r="AQ70" s="182"/>
      <c r="AR70" s="175"/>
      <c r="AS70" s="183"/>
      <c r="AT70" s="183"/>
      <c r="AU70" s="184"/>
      <c r="AV70" s="414"/>
      <c r="AW70" s="414"/>
      <c r="AX70" s="414"/>
    </row>
    <row r="71" spans="1:50" x14ac:dyDescent="0.2">
      <c r="A71" s="411"/>
      <c r="B71" s="353"/>
      <c r="C71" s="353"/>
      <c r="D71" s="353"/>
      <c r="E71" s="412"/>
      <c r="F71" s="413"/>
      <c r="G71" s="355"/>
      <c r="H71" s="355"/>
      <c r="I71" s="355"/>
      <c r="J71" s="355"/>
      <c r="K71" s="355"/>
      <c r="L71" s="207"/>
      <c r="M71" s="207"/>
      <c r="N71" s="207"/>
      <c r="O71" s="355"/>
      <c r="P71" s="355"/>
      <c r="Q71" s="414"/>
      <c r="R71" s="415"/>
      <c r="S71" s="416"/>
      <c r="T71" s="417"/>
      <c r="U71" s="416">
        <f>IF(NOT(ISERROR(MATCH(T71,_xlfn.ANCHORARRAY(#REF!),0))),T84&amp;"Por favor no seleccionar los criterios de impacto",T71)</f>
        <v>0</v>
      </c>
      <c r="V71" s="415"/>
      <c r="W71" s="416"/>
      <c r="X71" s="420"/>
      <c r="Y71" s="199">
        <v>5</v>
      </c>
      <c r="Z71" s="199"/>
      <c r="AA71" s="199"/>
      <c r="AB71" s="199"/>
      <c r="AC71" s="224" t="str">
        <f t="shared" si="1"/>
        <v xml:space="preserve">  </v>
      </c>
      <c r="AD71" s="176" t="str">
        <f t="shared" si="91"/>
        <v/>
      </c>
      <c r="AE71" s="177"/>
      <c r="AF71" s="177"/>
      <c r="AG71" s="178" t="str">
        <f t="shared" si="86"/>
        <v/>
      </c>
      <c r="AH71" s="177"/>
      <c r="AI71" s="177"/>
      <c r="AJ71" s="177"/>
      <c r="AK71" s="179" t="str">
        <f t="shared" si="92"/>
        <v/>
      </c>
      <c r="AL71" s="180" t="str">
        <f t="shared" si="3"/>
        <v/>
      </c>
      <c r="AM71" s="178" t="str">
        <f t="shared" si="87"/>
        <v/>
      </c>
      <c r="AN71" s="180" t="str">
        <f t="shared" si="5"/>
        <v/>
      </c>
      <c r="AO71" s="178" t="str">
        <f t="shared" si="15"/>
        <v/>
      </c>
      <c r="AP71" s="181" t="str">
        <f t="shared" ref="AP71:AP72" si="93">IFERROR(IF(OR(AND(AL71="Muy Baja",AN71="Leve"),AND(AL71="Muy Baja",AN71="Menor"),AND(AL71="Baja",AN71="Leve")),"Bajo",IF(OR(AND(AL71="Muy baja",AN71="Moderado"),AND(AL71="Baja",AN71="Menor"),AND(AL71="Baja",AN71="Moderado"),AND(AL71="Media",AN71="Leve"),AND(AL71="Media",AN71="Menor"),AND(AL71="Media",AN71="Moderado"),AND(AL71="Alta",AN71="Leve"),AND(AL71="Alta",AN71="Menor")),"Moderado",IF(OR(AND(AL71="Muy Baja",AN71="Mayor"),AND(AL71="Baja",AN71="Mayor"),AND(AL71="Media",AN71="Mayor"),AND(AL71="Alta",AN71="Moderado"),AND(AL71="Alta",AN71="Mayor"),AND(AL71="Muy Alta",AN71="Leve"),AND(AL71="Muy Alta",AN71="Menor"),AND(AL71="Muy Alta",AN71="Moderado"),AND(AL71="Muy Alta",AN71="Mayor")),"Alto",IF(OR(AND(AL71="Muy Baja",AN71="Catastrófico"),AND(AL71="Baja",AN71="Catastrófico"),AND(AL71="Media",AN71="Catastrófico"),AND(AL71="Alta",AN71="Catastrófico"),AND(AL71="Muy Alta",AN71="Catastrófico")),"Extremo","")))),"")</f>
        <v/>
      </c>
      <c r="AQ71" s="182"/>
      <c r="AR71" s="175"/>
      <c r="AS71" s="183"/>
      <c r="AT71" s="183"/>
      <c r="AU71" s="184"/>
      <c r="AV71" s="414"/>
      <c r="AW71" s="414"/>
      <c r="AX71" s="414"/>
    </row>
    <row r="72" spans="1:50" x14ac:dyDescent="0.2">
      <c r="A72" s="411"/>
      <c r="B72" s="353"/>
      <c r="C72" s="353"/>
      <c r="D72" s="353"/>
      <c r="E72" s="412"/>
      <c r="F72" s="413"/>
      <c r="G72" s="356"/>
      <c r="H72" s="356"/>
      <c r="I72" s="356"/>
      <c r="J72" s="356"/>
      <c r="K72" s="356"/>
      <c r="L72" s="208"/>
      <c r="M72" s="208"/>
      <c r="N72" s="208"/>
      <c r="O72" s="356"/>
      <c r="P72" s="356"/>
      <c r="Q72" s="414"/>
      <c r="R72" s="415"/>
      <c r="S72" s="416"/>
      <c r="T72" s="417"/>
      <c r="U72" s="416">
        <f>IF(NOT(ISERROR(MATCH(T72,_xlfn.ANCHORARRAY(#REF!),0))),T85&amp;"Por favor no seleccionar los criterios de impacto",T72)</f>
        <v>0</v>
      </c>
      <c r="V72" s="415"/>
      <c r="W72" s="416"/>
      <c r="X72" s="420"/>
      <c r="Y72" s="199">
        <v>6</v>
      </c>
      <c r="Z72" s="199"/>
      <c r="AA72" s="199"/>
      <c r="AB72" s="199"/>
      <c r="AC72" s="224" t="str">
        <f t="shared" si="1"/>
        <v xml:space="preserve">  </v>
      </c>
      <c r="AD72" s="176" t="str">
        <f t="shared" si="91"/>
        <v/>
      </c>
      <c r="AE72" s="177"/>
      <c r="AF72" s="177"/>
      <c r="AG72" s="178" t="str">
        <f t="shared" si="86"/>
        <v/>
      </c>
      <c r="AH72" s="177"/>
      <c r="AI72" s="177"/>
      <c r="AJ72" s="177"/>
      <c r="AK72" s="179" t="str">
        <f t="shared" si="92"/>
        <v/>
      </c>
      <c r="AL72" s="180" t="str">
        <f t="shared" si="3"/>
        <v/>
      </c>
      <c r="AM72" s="178" t="str">
        <f t="shared" si="87"/>
        <v/>
      </c>
      <c r="AN72" s="180" t="str">
        <f t="shared" si="5"/>
        <v/>
      </c>
      <c r="AO72" s="178" t="str">
        <f t="shared" si="15"/>
        <v/>
      </c>
      <c r="AP72" s="181" t="str">
        <f t="shared" si="93"/>
        <v/>
      </c>
      <c r="AQ72" s="182"/>
      <c r="AR72" s="175"/>
      <c r="AS72" s="183"/>
      <c r="AT72" s="183"/>
      <c r="AU72" s="184"/>
      <c r="AV72" s="414"/>
      <c r="AW72" s="414"/>
      <c r="AX72" s="414"/>
    </row>
    <row r="73" spans="1:50" x14ac:dyDescent="0.2">
      <c r="A73" s="201"/>
      <c r="B73" s="418"/>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row>
    <row r="75" spans="1:50" ht="15.75" x14ac:dyDescent="0.2">
      <c r="A75" s="185"/>
      <c r="B75" s="192"/>
      <c r="C75" s="185"/>
      <c r="D75" s="185"/>
      <c r="E75" s="185"/>
      <c r="F75" s="185"/>
      <c r="G75" s="185"/>
      <c r="H75" s="185"/>
      <c r="I75" s="185"/>
      <c r="J75" s="185"/>
      <c r="Q75" s="185"/>
    </row>
    <row r="76" spans="1:50" s="241" customFormat="1" x14ac:dyDescent="0.2">
      <c r="A76" s="240"/>
      <c r="B76" s="240"/>
      <c r="C76" s="240"/>
      <c r="D76" s="240"/>
      <c r="E76" s="240"/>
      <c r="F76" s="240"/>
      <c r="G76" s="240"/>
      <c r="H76" s="240"/>
      <c r="I76" s="240"/>
      <c r="J76" s="240"/>
      <c r="Q76" s="242"/>
      <c r="AR76" s="243"/>
    </row>
  </sheetData>
  <dataConsolidate/>
  <mergeCells count="332">
    <mergeCell ref="AX61:AX66"/>
    <mergeCell ref="V61:V66"/>
    <mergeCell ref="S61:S66"/>
    <mergeCell ref="T61:T66"/>
    <mergeCell ref="U61:U66"/>
    <mergeCell ref="J11:J12"/>
    <mergeCell ref="H13:H18"/>
    <mergeCell ref="I13:I18"/>
    <mergeCell ref="J13:J18"/>
    <mergeCell ref="P61:P66"/>
    <mergeCell ref="Q61:Q66"/>
    <mergeCell ref="R61:R66"/>
    <mergeCell ref="H61:H66"/>
    <mergeCell ref="I61:I66"/>
    <mergeCell ref="J61:J66"/>
    <mergeCell ref="V55:V60"/>
    <mergeCell ref="W55:W60"/>
    <mergeCell ref="X55:X60"/>
    <mergeCell ref="AV55:AV60"/>
    <mergeCell ref="AX55:AX60"/>
    <mergeCell ref="N55:N60"/>
    <mergeCell ref="O55:O60"/>
    <mergeCell ref="H55:H60"/>
    <mergeCell ref="I55:I60"/>
    <mergeCell ref="AX67:AX72"/>
    <mergeCell ref="B73:AV73"/>
    <mergeCell ref="T67:T72"/>
    <mergeCell ref="U67:U72"/>
    <mergeCell ref="V67:V72"/>
    <mergeCell ref="W67:W72"/>
    <mergeCell ref="X67:X72"/>
    <mergeCell ref="AV67:AV72"/>
    <mergeCell ref="K67:K72"/>
    <mergeCell ref="O67:O72"/>
    <mergeCell ref="P67:P72"/>
    <mergeCell ref="Q67:Q72"/>
    <mergeCell ref="R67:R72"/>
    <mergeCell ref="S67:S72"/>
    <mergeCell ref="H67:H72"/>
    <mergeCell ref="I67:I72"/>
    <mergeCell ref="J67:J72"/>
    <mergeCell ref="A67:A72"/>
    <mergeCell ref="B67:B72"/>
    <mergeCell ref="C67:C72"/>
    <mergeCell ref="D67:D72"/>
    <mergeCell ref="F67:F72"/>
    <mergeCell ref="G67:G72"/>
    <mergeCell ref="AW67:AW72"/>
    <mergeCell ref="A61:A66"/>
    <mergeCell ref="B61:B66"/>
    <mergeCell ref="C61:C66"/>
    <mergeCell ref="D61:D66"/>
    <mergeCell ref="F61:F66"/>
    <mergeCell ref="AW61:AW66"/>
    <mergeCell ref="A55:A60"/>
    <mergeCell ref="B55:B60"/>
    <mergeCell ref="C55:C60"/>
    <mergeCell ref="D55:D60"/>
    <mergeCell ref="F55:F60"/>
    <mergeCell ref="AV61:AV66"/>
    <mergeCell ref="AW55:AW60"/>
    <mergeCell ref="E61:E66"/>
    <mergeCell ref="E67:E72"/>
    <mergeCell ref="W61:W66"/>
    <mergeCell ref="X61:X66"/>
    <mergeCell ref="G61:G66"/>
    <mergeCell ref="K61:K66"/>
    <mergeCell ref="O61:O66"/>
    <mergeCell ref="P55:P60"/>
    <mergeCell ref="Q55:Q60"/>
    <mergeCell ref="R55:R60"/>
    <mergeCell ref="S55:S60"/>
    <mergeCell ref="T55:T60"/>
    <mergeCell ref="U55:U60"/>
    <mergeCell ref="G55:G60"/>
    <mergeCell ref="K55:K60"/>
    <mergeCell ref="L55:L60"/>
    <mergeCell ref="M55:M60"/>
    <mergeCell ref="J55:J60"/>
    <mergeCell ref="W49:W54"/>
    <mergeCell ref="X49:X54"/>
    <mergeCell ref="AV49:AV54"/>
    <mergeCell ref="AW49:AW54"/>
    <mergeCell ref="AX49:AX54"/>
    <mergeCell ref="P49:P54"/>
    <mergeCell ref="Q49:Q54"/>
    <mergeCell ref="R49:R54"/>
    <mergeCell ref="S49:S54"/>
    <mergeCell ref="T49:T54"/>
    <mergeCell ref="U49:U54"/>
    <mergeCell ref="A49:A54"/>
    <mergeCell ref="B49:B54"/>
    <mergeCell ref="C49:C54"/>
    <mergeCell ref="D49:D54"/>
    <mergeCell ref="F49:F54"/>
    <mergeCell ref="V43:V48"/>
    <mergeCell ref="W43:W48"/>
    <mergeCell ref="X43:X48"/>
    <mergeCell ref="AV43:AV48"/>
    <mergeCell ref="A43:A48"/>
    <mergeCell ref="B43:B48"/>
    <mergeCell ref="C43:C48"/>
    <mergeCell ref="D43:D48"/>
    <mergeCell ref="F43:F48"/>
    <mergeCell ref="G49:G54"/>
    <mergeCell ref="K49:K54"/>
    <mergeCell ref="L49:L54"/>
    <mergeCell ref="M49:M54"/>
    <mergeCell ref="N49:N54"/>
    <mergeCell ref="O49:O54"/>
    <mergeCell ref="H49:H54"/>
    <mergeCell ref="I49:I54"/>
    <mergeCell ref="J49:J54"/>
    <mergeCell ref="V49:V54"/>
    <mergeCell ref="AW43:AW48"/>
    <mergeCell ref="AX43:AX48"/>
    <mergeCell ref="P43:P48"/>
    <mergeCell ref="Q43:Q48"/>
    <mergeCell ref="R43:R48"/>
    <mergeCell ref="S43:S48"/>
    <mergeCell ref="T43:T48"/>
    <mergeCell ref="U43:U48"/>
    <mergeCell ref="G43:G48"/>
    <mergeCell ref="K43:K48"/>
    <mergeCell ref="L43:L48"/>
    <mergeCell ref="M43:M48"/>
    <mergeCell ref="N43:N48"/>
    <mergeCell ref="O43:O48"/>
    <mergeCell ref="H43:H48"/>
    <mergeCell ref="I43:I48"/>
    <mergeCell ref="J43:J48"/>
    <mergeCell ref="W37:W42"/>
    <mergeCell ref="X37:X42"/>
    <mergeCell ref="AV37:AV42"/>
    <mergeCell ref="AW37:AW42"/>
    <mergeCell ref="AX37:AX42"/>
    <mergeCell ref="P37:P42"/>
    <mergeCell ref="Q37:Q42"/>
    <mergeCell ref="R37:R42"/>
    <mergeCell ref="S37:S42"/>
    <mergeCell ref="T37:T42"/>
    <mergeCell ref="U37:U42"/>
    <mergeCell ref="A37:A42"/>
    <mergeCell ref="B37:B42"/>
    <mergeCell ref="C37:C42"/>
    <mergeCell ref="D37:D42"/>
    <mergeCell ref="F37:F42"/>
    <mergeCell ref="V31:V36"/>
    <mergeCell ref="W31:W36"/>
    <mergeCell ref="X31:X36"/>
    <mergeCell ref="AV31:AV36"/>
    <mergeCell ref="A31:A36"/>
    <mergeCell ref="B31:B36"/>
    <mergeCell ref="C31:C36"/>
    <mergeCell ref="D31:D36"/>
    <mergeCell ref="F31:F36"/>
    <mergeCell ref="G37:G42"/>
    <mergeCell ref="K37:K42"/>
    <mergeCell ref="L37:L42"/>
    <mergeCell ref="M37:M42"/>
    <mergeCell ref="N37:N42"/>
    <mergeCell ref="O37:O42"/>
    <mergeCell ref="H37:H42"/>
    <mergeCell ref="I37:I42"/>
    <mergeCell ref="J37:J42"/>
    <mergeCell ref="V37:V42"/>
    <mergeCell ref="AW31:AW36"/>
    <mergeCell ref="AX31:AX36"/>
    <mergeCell ref="P31:P36"/>
    <mergeCell ref="Q31:Q36"/>
    <mergeCell ref="R31:R36"/>
    <mergeCell ref="S31:S36"/>
    <mergeCell ref="T31:T36"/>
    <mergeCell ref="U31:U36"/>
    <mergeCell ref="G31:G36"/>
    <mergeCell ref="K31:K36"/>
    <mergeCell ref="L31:L36"/>
    <mergeCell ref="M31:M36"/>
    <mergeCell ref="N31:N36"/>
    <mergeCell ref="O31:O36"/>
    <mergeCell ref="H31:H36"/>
    <mergeCell ref="I31:I36"/>
    <mergeCell ref="J31:J36"/>
    <mergeCell ref="W25:W30"/>
    <mergeCell ref="X25:X30"/>
    <mergeCell ref="AV25:AV30"/>
    <mergeCell ref="AW25:AW30"/>
    <mergeCell ref="AX25:AX30"/>
    <mergeCell ref="P25:P30"/>
    <mergeCell ref="Q25:Q30"/>
    <mergeCell ref="R25:R30"/>
    <mergeCell ref="S25:S30"/>
    <mergeCell ref="T25:T30"/>
    <mergeCell ref="U25:U30"/>
    <mergeCell ref="A25:A30"/>
    <mergeCell ref="B25:B30"/>
    <mergeCell ref="C25:C30"/>
    <mergeCell ref="D25:D30"/>
    <mergeCell ref="F25:F30"/>
    <mergeCell ref="V19:V24"/>
    <mergeCell ref="W19:W24"/>
    <mergeCell ref="X19:X24"/>
    <mergeCell ref="AV19:AV24"/>
    <mergeCell ref="A19:A24"/>
    <mergeCell ref="B19:B24"/>
    <mergeCell ref="C19:C24"/>
    <mergeCell ref="D19:D24"/>
    <mergeCell ref="F19:F24"/>
    <mergeCell ref="G25:G30"/>
    <mergeCell ref="K25:K30"/>
    <mergeCell ref="L25:L30"/>
    <mergeCell ref="M25:M30"/>
    <mergeCell ref="N25:N30"/>
    <mergeCell ref="O25:O30"/>
    <mergeCell ref="H25:H30"/>
    <mergeCell ref="I25:I30"/>
    <mergeCell ref="J25:J30"/>
    <mergeCell ref="V25:V30"/>
    <mergeCell ref="G19:G24"/>
    <mergeCell ref="K19:K24"/>
    <mergeCell ref="L19:L24"/>
    <mergeCell ref="M19:M24"/>
    <mergeCell ref="N19:N24"/>
    <mergeCell ref="O19:O24"/>
    <mergeCell ref="H19:H24"/>
    <mergeCell ref="I19:I24"/>
    <mergeCell ref="J19:J24"/>
    <mergeCell ref="AX13:AX18"/>
    <mergeCell ref="P13:P18"/>
    <mergeCell ref="Q13:Q18"/>
    <mergeCell ref="R13:R18"/>
    <mergeCell ref="S13:S18"/>
    <mergeCell ref="T13:T18"/>
    <mergeCell ref="U13:U18"/>
    <mergeCell ref="AW19:AW24"/>
    <mergeCell ref="AX19:AX24"/>
    <mergeCell ref="P19:P24"/>
    <mergeCell ref="Q19:Q24"/>
    <mergeCell ref="R19:R24"/>
    <mergeCell ref="S19:S24"/>
    <mergeCell ref="T19:T24"/>
    <mergeCell ref="U19:U24"/>
    <mergeCell ref="M13:M18"/>
    <mergeCell ref="N13:N18"/>
    <mergeCell ref="O13:O18"/>
    <mergeCell ref="AU11:AU12"/>
    <mergeCell ref="AV11:AV12"/>
    <mergeCell ref="AW11:AW12"/>
    <mergeCell ref="M11:M12"/>
    <mergeCell ref="N11:N12"/>
    <mergeCell ref="Q11:Q12"/>
    <mergeCell ref="R11:R12"/>
    <mergeCell ref="S11:S12"/>
    <mergeCell ref="T11:T12"/>
    <mergeCell ref="V13:V18"/>
    <mergeCell ref="W13:W18"/>
    <mergeCell ref="X13:X18"/>
    <mergeCell ref="AV13:AV18"/>
    <mergeCell ref="AW13:AW18"/>
    <mergeCell ref="A13:A18"/>
    <mergeCell ref="B13:B18"/>
    <mergeCell ref="C13:C18"/>
    <mergeCell ref="D13:D18"/>
    <mergeCell ref="F13:F18"/>
    <mergeCell ref="AO11:AO12"/>
    <mergeCell ref="AP11:AP12"/>
    <mergeCell ref="AQ11:AQ12"/>
    <mergeCell ref="AR11:AR12"/>
    <mergeCell ref="AD11:AD12"/>
    <mergeCell ref="AE11:AJ11"/>
    <mergeCell ref="AK11:AK12"/>
    <mergeCell ref="AL11:AL12"/>
    <mergeCell ref="AM11:AM12"/>
    <mergeCell ref="AN11:AN12"/>
    <mergeCell ref="U11:U12"/>
    <mergeCell ref="V11:V12"/>
    <mergeCell ref="W11:W12"/>
    <mergeCell ref="X11:X12"/>
    <mergeCell ref="Y11:Y12"/>
    <mergeCell ref="AC11:AC12"/>
    <mergeCell ref="G13:G18"/>
    <mergeCell ref="K13:K18"/>
    <mergeCell ref="L13:L18"/>
    <mergeCell ref="A8:B8"/>
    <mergeCell ref="C8:W8"/>
    <mergeCell ref="AF8:AX8"/>
    <mergeCell ref="A10:F10"/>
    <mergeCell ref="K10:N10"/>
    <mergeCell ref="O10:P11"/>
    <mergeCell ref="Q10:X10"/>
    <mergeCell ref="Y10:AK10"/>
    <mergeCell ref="AL10:AP10"/>
    <mergeCell ref="AQ10:AU10"/>
    <mergeCell ref="AV10:AX10"/>
    <mergeCell ref="A11:A12"/>
    <mergeCell ref="B11:B12"/>
    <mergeCell ref="C11:C12"/>
    <mergeCell ref="D11:D12"/>
    <mergeCell ref="F11:F12"/>
    <mergeCell ref="G11:G12"/>
    <mergeCell ref="K11:K12"/>
    <mergeCell ref="L11:L12"/>
    <mergeCell ref="AX11:AX12"/>
    <mergeCell ref="AS11:AS12"/>
    <mergeCell ref="AT11:AT12"/>
    <mergeCell ref="H11:H12"/>
    <mergeCell ref="I11:I12"/>
    <mergeCell ref="A6:B6"/>
    <mergeCell ref="C6:W6"/>
    <mergeCell ref="AC6:AE6"/>
    <mergeCell ref="AF6:AX6"/>
    <mergeCell ref="A7:B7"/>
    <mergeCell ref="C7:W7"/>
    <mergeCell ref="AF7:AX7"/>
    <mergeCell ref="A1:C4"/>
    <mergeCell ref="D1:W2"/>
    <mergeCell ref="AD1:AX2"/>
    <mergeCell ref="D3:L3"/>
    <mergeCell ref="M3:W3"/>
    <mergeCell ref="AD3:AR3"/>
    <mergeCell ref="AS3:AX3"/>
    <mergeCell ref="D4:W4"/>
    <mergeCell ref="AD4:AX4"/>
    <mergeCell ref="E11:E12"/>
    <mergeCell ref="E13:E18"/>
    <mergeCell ref="E19:E24"/>
    <mergeCell ref="E25:E30"/>
    <mergeCell ref="E31:E36"/>
    <mergeCell ref="E37:E42"/>
    <mergeCell ref="E43:E48"/>
    <mergeCell ref="E49:E54"/>
    <mergeCell ref="E55:E60"/>
  </mergeCells>
  <conditionalFormatting sqref="R13 R19">
    <cfRule type="cellIs" dxfId="209" priority="105" operator="equal">
      <formula>"Muy Baja"</formula>
    </cfRule>
    <cfRule type="cellIs" dxfId="208" priority="104" operator="equal">
      <formula>"Baja"</formula>
    </cfRule>
    <cfRule type="cellIs" dxfId="207" priority="103" operator="equal">
      <formula>"Media"</formula>
    </cfRule>
    <cfRule type="cellIs" dxfId="206" priority="102" operator="equal">
      <formula>"Alta"</formula>
    </cfRule>
    <cfRule type="cellIs" dxfId="205" priority="101" operator="equal">
      <formula>"Muy Alta"</formula>
    </cfRule>
  </conditionalFormatting>
  <conditionalFormatting sqref="R25">
    <cfRule type="cellIs" dxfId="204" priority="84" operator="equal">
      <formula>"Alta"</formula>
    </cfRule>
    <cfRule type="cellIs" dxfId="203" priority="83" operator="equal">
      <formula>"Muy Alta"</formula>
    </cfRule>
    <cfRule type="cellIs" dxfId="202" priority="87" operator="equal">
      <formula>"Muy Baja"</formula>
    </cfRule>
    <cfRule type="cellIs" dxfId="201" priority="86" operator="equal">
      <formula>"Baja"</formula>
    </cfRule>
    <cfRule type="cellIs" dxfId="200" priority="85" operator="equal">
      <formula>"Media"</formula>
    </cfRule>
  </conditionalFormatting>
  <conditionalFormatting sqref="R31">
    <cfRule type="cellIs" dxfId="199" priority="78" operator="equal">
      <formula>"Muy Baja"</formula>
    </cfRule>
    <cfRule type="cellIs" dxfId="198" priority="77" operator="equal">
      <formula>"Baja"</formula>
    </cfRule>
    <cfRule type="cellIs" dxfId="197" priority="74" operator="equal">
      <formula>"Muy Alta"</formula>
    </cfRule>
    <cfRule type="cellIs" dxfId="196" priority="75" operator="equal">
      <formula>"Alta"</formula>
    </cfRule>
    <cfRule type="cellIs" dxfId="195" priority="76" operator="equal">
      <formula>"Media"</formula>
    </cfRule>
  </conditionalFormatting>
  <conditionalFormatting sqref="R37">
    <cfRule type="cellIs" dxfId="194" priority="65" operator="equal">
      <formula>"Muy Alta"</formula>
    </cfRule>
    <cfRule type="cellIs" dxfId="193" priority="67" operator="equal">
      <formula>"Media"</formula>
    </cfRule>
    <cfRule type="cellIs" dxfId="192" priority="66" operator="equal">
      <formula>"Alta"</formula>
    </cfRule>
    <cfRule type="cellIs" dxfId="191" priority="68" operator="equal">
      <formula>"Baja"</formula>
    </cfRule>
    <cfRule type="cellIs" dxfId="190" priority="69" operator="equal">
      <formula>"Muy Baja"</formula>
    </cfRule>
  </conditionalFormatting>
  <conditionalFormatting sqref="R43">
    <cfRule type="cellIs" dxfId="189" priority="56" operator="equal">
      <formula>"Muy Alta"</formula>
    </cfRule>
    <cfRule type="cellIs" dxfId="188" priority="58" operator="equal">
      <formula>"Media"</formula>
    </cfRule>
    <cfRule type="cellIs" dxfId="187" priority="60" operator="equal">
      <formula>"Muy Baja"</formula>
    </cfRule>
    <cfRule type="cellIs" dxfId="186" priority="59" operator="equal">
      <formula>"Baja"</formula>
    </cfRule>
    <cfRule type="cellIs" dxfId="185" priority="57" operator="equal">
      <formula>"Alta"</formula>
    </cfRule>
  </conditionalFormatting>
  <conditionalFormatting sqref="R49">
    <cfRule type="cellIs" dxfId="184" priority="47" operator="equal">
      <formula>"Muy Alta"</formula>
    </cfRule>
    <cfRule type="cellIs" dxfId="183" priority="48" operator="equal">
      <formula>"Alta"</formula>
    </cfRule>
    <cfRule type="cellIs" dxfId="182" priority="49" operator="equal">
      <formula>"Media"</formula>
    </cfRule>
    <cfRule type="cellIs" dxfId="181" priority="50" operator="equal">
      <formula>"Baja"</formula>
    </cfRule>
    <cfRule type="cellIs" dxfId="180" priority="51" operator="equal">
      <formula>"Muy Baja"</formula>
    </cfRule>
  </conditionalFormatting>
  <conditionalFormatting sqref="R55">
    <cfRule type="cellIs" dxfId="179" priority="2" operator="equal">
      <formula>"Alta"</formula>
    </cfRule>
    <cfRule type="cellIs" dxfId="178" priority="3" operator="equal">
      <formula>"Media"</formula>
    </cfRule>
    <cfRule type="cellIs" dxfId="177" priority="4" operator="equal">
      <formula>"Baja"</formula>
    </cfRule>
    <cfRule type="cellIs" dxfId="176" priority="5" operator="equal">
      <formula>"Muy Baja"</formula>
    </cfRule>
    <cfRule type="cellIs" dxfId="175" priority="1" operator="equal">
      <formula>"Muy Alta"</formula>
    </cfRule>
  </conditionalFormatting>
  <conditionalFormatting sqref="R61">
    <cfRule type="cellIs" dxfId="174" priority="34" operator="equal">
      <formula>"Muy Alta"</formula>
    </cfRule>
    <cfRule type="cellIs" dxfId="173" priority="35" operator="equal">
      <formula>"Alta"</formula>
    </cfRule>
    <cfRule type="cellIs" dxfId="172" priority="36" operator="equal">
      <formula>"Media"</formula>
    </cfRule>
    <cfRule type="cellIs" dxfId="171" priority="37" operator="equal">
      <formula>"Baja"</formula>
    </cfRule>
    <cfRule type="cellIs" dxfId="170" priority="38" operator="equal">
      <formula>"Muy Baja"</formula>
    </cfRule>
  </conditionalFormatting>
  <conditionalFormatting sqref="R67">
    <cfRule type="cellIs" dxfId="169" priority="26" operator="equal">
      <formula>"Alta"</formula>
    </cfRule>
    <cfRule type="cellIs" dxfId="168" priority="27" operator="equal">
      <formula>"Media"</formula>
    </cfRule>
    <cfRule type="cellIs" dxfId="167" priority="25" operator="equal">
      <formula>"Muy Alta"</formula>
    </cfRule>
    <cfRule type="cellIs" dxfId="166" priority="28" operator="equal">
      <formula>"Baja"</formula>
    </cfRule>
    <cfRule type="cellIs" dxfId="165" priority="29" operator="equal">
      <formula>"Muy Baja"</formula>
    </cfRule>
  </conditionalFormatting>
  <conditionalFormatting sqref="U13:U72">
    <cfRule type="containsText" dxfId="164" priority="6" operator="containsText" text="❌">
      <formula>NOT(ISERROR(SEARCH("❌",U13)))</formula>
    </cfRule>
  </conditionalFormatting>
  <conditionalFormatting sqref="V13 V19 V25 V31 V37 V43 V49 V55 V61 V67">
    <cfRule type="cellIs" dxfId="163" priority="96" operator="equal">
      <formula>"Catastrófico"</formula>
    </cfRule>
    <cfRule type="cellIs" dxfId="162" priority="97" operator="equal">
      <formula>"Mayor"</formula>
    </cfRule>
    <cfRule type="cellIs" dxfId="161" priority="98" operator="equal">
      <formula>"Moderado"</formula>
    </cfRule>
    <cfRule type="cellIs" dxfId="160" priority="99" operator="equal">
      <formula>"Menor"</formula>
    </cfRule>
    <cfRule type="cellIs" dxfId="159" priority="100" operator="equal">
      <formula>"Leve"</formula>
    </cfRule>
  </conditionalFormatting>
  <conditionalFormatting sqref="X13">
    <cfRule type="cellIs" dxfId="158" priority="95" operator="equal">
      <formula>"Bajo"</formula>
    </cfRule>
    <cfRule type="cellIs" dxfId="157" priority="92" operator="equal">
      <formula>"Extremo"</formula>
    </cfRule>
    <cfRule type="cellIs" dxfId="156" priority="93" operator="equal">
      <formula>"Alto"</formula>
    </cfRule>
    <cfRule type="cellIs" dxfId="155" priority="94" operator="equal">
      <formula>"Moderado"</formula>
    </cfRule>
  </conditionalFormatting>
  <conditionalFormatting sqref="X19">
    <cfRule type="cellIs" dxfId="154" priority="88" operator="equal">
      <formula>"Extremo"</formula>
    </cfRule>
    <cfRule type="cellIs" dxfId="153" priority="91" operator="equal">
      <formula>"Bajo"</formula>
    </cfRule>
    <cfRule type="cellIs" dxfId="152" priority="90" operator="equal">
      <formula>"Moderado"</formula>
    </cfRule>
    <cfRule type="cellIs" dxfId="151" priority="89" operator="equal">
      <formula>"Alto"</formula>
    </cfRule>
  </conditionalFormatting>
  <conditionalFormatting sqref="X25">
    <cfRule type="cellIs" dxfId="150" priority="82" operator="equal">
      <formula>"Bajo"</formula>
    </cfRule>
    <cfRule type="cellIs" dxfId="149" priority="80" operator="equal">
      <formula>"Alto"</formula>
    </cfRule>
    <cfRule type="cellIs" dxfId="148" priority="79" operator="equal">
      <formula>"Extremo"</formula>
    </cfRule>
    <cfRule type="cellIs" dxfId="147" priority="81" operator="equal">
      <formula>"Moderado"</formula>
    </cfRule>
  </conditionalFormatting>
  <conditionalFormatting sqref="X31">
    <cfRule type="cellIs" dxfId="146" priority="70" operator="equal">
      <formula>"Extremo"</formula>
    </cfRule>
    <cfRule type="cellIs" dxfId="145" priority="71" operator="equal">
      <formula>"Alto"</formula>
    </cfRule>
    <cfRule type="cellIs" dxfId="144" priority="72" operator="equal">
      <formula>"Moderado"</formula>
    </cfRule>
    <cfRule type="cellIs" dxfId="143" priority="73" operator="equal">
      <formula>"Bajo"</formula>
    </cfRule>
  </conditionalFormatting>
  <conditionalFormatting sqref="X37">
    <cfRule type="cellIs" dxfId="142" priority="62" operator="equal">
      <formula>"Alto"</formula>
    </cfRule>
    <cfRule type="cellIs" dxfId="141" priority="61" operator="equal">
      <formula>"Extremo"</formula>
    </cfRule>
    <cfRule type="cellIs" dxfId="140" priority="63" operator="equal">
      <formula>"Moderado"</formula>
    </cfRule>
    <cfRule type="cellIs" dxfId="139" priority="64" operator="equal">
      <formula>"Bajo"</formula>
    </cfRule>
  </conditionalFormatting>
  <conditionalFormatting sqref="X43">
    <cfRule type="cellIs" dxfId="138" priority="54" operator="equal">
      <formula>"Moderado"</formula>
    </cfRule>
    <cfRule type="cellIs" dxfId="137" priority="53" operator="equal">
      <formula>"Alto"</formula>
    </cfRule>
    <cfRule type="cellIs" dxfId="136" priority="55" operator="equal">
      <formula>"Bajo"</formula>
    </cfRule>
    <cfRule type="cellIs" dxfId="135" priority="52" operator="equal">
      <formula>"Extremo"</formula>
    </cfRule>
  </conditionalFormatting>
  <conditionalFormatting sqref="X49">
    <cfRule type="cellIs" dxfId="134" priority="46" operator="equal">
      <formula>"Bajo"</formula>
    </cfRule>
    <cfRule type="cellIs" dxfId="133" priority="45" operator="equal">
      <formula>"Moderado"</formula>
    </cfRule>
    <cfRule type="cellIs" dxfId="132" priority="44" operator="equal">
      <formula>"Alto"</formula>
    </cfRule>
    <cfRule type="cellIs" dxfId="131" priority="43" operator="equal">
      <formula>"Extremo"</formula>
    </cfRule>
  </conditionalFormatting>
  <conditionalFormatting sqref="X55">
    <cfRule type="cellIs" dxfId="130" priority="41" operator="equal">
      <formula>"Moderado"</formula>
    </cfRule>
    <cfRule type="cellIs" dxfId="129" priority="39" operator="equal">
      <formula>"Extremo"</formula>
    </cfRule>
    <cfRule type="cellIs" dxfId="128" priority="42" operator="equal">
      <formula>"Bajo"</formula>
    </cfRule>
    <cfRule type="cellIs" dxfId="127" priority="40" operator="equal">
      <formula>"Alto"</formula>
    </cfRule>
  </conditionalFormatting>
  <conditionalFormatting sqref="X61">
    <cfRule type="cellIs" dxfId="126" priority="30" operator="equal">
      <formula>"Extremo"</formula>
    </cfRule>
    <cfRule type="cellIs" dxfId="125" priority="32" operator="equal">
      <formula>"Moderado"</formula>
    </cfRule>
    <cfRule type="cellIs" dxfId="124" priority="33" operator="equal">
      <formula>"Bajo"</formula>
    </cfRule>
    <cfRule type="cellIs" dxfId="123" priority="31" operator="equal">
      <formula>"Alto"</formula>
    </cfRule>
  </conditionalFormatting>
  <conditionalFormatting sqref="X67">
    <cfRule type="cellIs" dxfId="122" priority="21" operator="equal">
      <formula>"Extremo"</formula>
    </cfRule>
    <cfRule type="cellIs" dxfId="121" priority="24" operator="equal">
      <formula>"Bajo"</formula>
    </cfRule>
    <cfRule type="cellIs" dxfId="120" priority="23" operator="equal">
      <formula>"Moderado"</formula>
    </cfRule>
    <cfRule type="cellIs" dxfId="119" priority="22" operator="equal">
      <formula>"Alto"</formula>
    </cfRule>
  </conditionalFormatting>
  <conditionalFormatting sqref="AL13:AL72">
    <cfRule type="cellIs" dxfId="118" priority="20" operator="equal">
      <formula>"Muy Baja"</formula>
    </cfRule>
    <cfRule type="cellIs" dxfId="117" priority="19" operator="equal">
      <formula>"Baja"</formula>
    </cfRule>
    <cfRule type="cellIs" dxfId="116" priority="18" operator="equal">
      <formula>"Media"</formula>
    </cfRule>
    <cfRule type="cellIs" dxfId="115" priority="17" operator="equal">
      <formula>"Alta"</formula>
    </cfRule>
    <cfRule type="cellIs" dxfId="114" priority="16" operator="equal">
      <formula>"Muy Alta"</formula>
    </cfRule>
  </conditionalFormatting>
  <conditionalFormatting sqref="AN13:AN72">
    <cfRule type="cellIs" dxfId="113" priority="14" operator="equal">
      <formula>"Menor"</formula>
    </cfRule>
    <cfRule type="cellIs" dxfId="112" priority="15" operator="equal">
      <formula>"Leve"</formula>
    </cfRule>
    <cfRule type="cellIs" dxfId="111" priority="12" operator="equal">
      <formula>"Mayor"</formula>
    </cfRule>
    <cfRule type="cellIs" dxfId="110" priority="11" operator="equal">
      <formula>"Catastrófico"</formula>
    </cfRule>
    <cfRule type="cellIs" dxfId="109" priority="13" operator="equal">
      <formula>"Moderado"</formula>
    </cfRule>
  </conditionalFormatting>
  <conditionalFormatting sqref="AP13:AP72">
    <cfRule type="cellIs" dxfId="108" priority="7" operator="equal">
      <formula>"Extremo"</formula>
    </cfRule>
    <cfRule type="cellIs" dxfId="107" priority="10" operator="equal">
      <formula>"Bajo"</formula>
    </cfRule>
    <cfRule type="cellIs" dxfId="106" priority="9" operator="equal">
      <formula>"Moderado"</formula>
    </cfRule>
    <cfRule type="cellIs" dxfId="105"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3" max="75" man="1"/>
  </col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800-000000000000}">
          <x14:formula1>
            <xm:f>Listas!$H$2:$H$6</xm:f>
          </x14:formula1>
          <xm:sqref>AA13:AA72</xm:sqref>
        </x14:dataValidation>
        <x14:dataValidation type="list" allowBlank="1" showInputMessage="1" showErrorMessage="1" xr:uid="{00000000-0002-0000-0800-000001000000}">
          <x14:formula1>
            <xm:f>Listas!$H$9:$H$13</xm:f>
          </x14:formula1>
          <xm:sqref>O13:O72</xm:sqref>
        </x14:dataValidation>
        <x14:dataValidation type="list" allowBlank="1" showInputMessage="1" showErrorMessage="1" xr:uid="{00000000-0002-0000-0800-000002000000}">
          <x14:formula1>
            <xm:f>Listas!$F$9:$F$10</xm:f>
          </x14:formula1>
          <xm:sqref>K13:K72</xm:sqref>
        </x14:dataValidation>
        <x14:dataValidation type="custom" allowBlank="1" showInputMessage="1" showErrorMessage="1" error="Recuerde que las acciones se generan bajo la medida de mitigar el riesgo" xr:uid="{00000000-0002-0000-0800-000003000000}">
          <x14:formula1>
            <xm:f>IF(OR(#REF!=Listas!$B$2,#REF!=Listas!$B$3,#REF!=Listas!$B$4),ISBLANK(#REF!),ISTEXT(#REF!))</xm:f>
          </x14:formula1>
          <xm:sqref>AV19:AX19 AV67:AX67 AV61:AX61 AV55:AX55 AV49:AX49 AV43:AX43 AV37:AX37 AV31:AX31 AV25:AX25</xm:sqref>
        </x14:dataValidation>
        <x14:dataValidation type="list" allowBlank="1" showInputMessage="1" showErrorMessage="1" xr:uid="{00000000-0002-0000-0800-000004000000}">
          <x14:formula1>
            <xm:f>'Tabla Impacto'!$F$211:$F$222</xm:f>
          </x14:formula1>
          <xm:sqref>T13:T72</xm:sqref>
        </x14:dataValidation>
        <x14:dataValidation type="list" allowBlank="1" showInputMessage="1" showErrorMessage="1" xr:uid="{00000000-0002-0000-0800-000005000000}">
          <x14:formula1>
            <xm:f>Listas!$B$2:$B$5</xm:f>
          </x14:formula1>
          <xm:sqref>AQ13:AQ72</xm:sqref>
        </x14:dataValidation>
        <x14:dataValidation type="list" allowBlank="1" showInputMessage="1" showErrorMessage="1" xr:uid="{00000000-0002-0000-0800-000006000000}">
          <x14:formula1>
            <xm:f>Listas!$E$2:$E$4</xm:f>
          </x14:formula1>
          <xm:sqref>B13:B72</xm:sqref>
        </x14:dataValidation>
        <x14:dataValidation type="list" allowBlank="1" showInputMessage="1" showErrorMessage="1" xr:uid="{00000000-0002-0000-0800-000007000000}">
          <x14:formula1>
            <xm:f>'Tabla Valoración controles'!$D$13:$D$14</xm:f>
          </x14:formula1>
          <xm:sqref>AJ13:AJ72</xm:sqref>
        </x14:dataValidation>
        <x14:dataValidation type="list" allowBlank="1" showInputMessage="1" showErrorMessage="1" xr:uid="{00000000-0002-0000-0800-000008000000}">
          <x14:formula1>
            <xm:f>'Tabla Valoración controles'!$D$11:$D$12</xm:f>
          </x14:formula1>
          <xm:sqref>AI13:AI72</xm:sqref>
        </x14:dataValidation>
        <x14:dataValidation type="list" allowBlank="1" showInputMessage="1" showErrorMessage="1" xr:uid="{00000000-0002-0000-0800-000009000000}">
          <x14:formula1>
            <xm:f>'Tabla Valoración controles'!$D$9:$D$10</xm:f>
          </x14:formula1>
          <xm:sqref>AH13:AH72</xm:sqref>
        </x14:dataValidation>
        <x14:dataValidation type="list" allowBlank="1" showInputMessage="1" showErrorMessage="1" xr:uid="{00000000-0002-0000-0800-00000A000000}">
          <x14:formula1>
            <xm:f>'Tabla Valoración controles'!$D$7:$D$8</xm:f>
          </x14:formula1>
          <xm:sqref>AF13:AF72</xm:sqref>
        </x14:dataValidation>
        <x14:dataValidation type="list" allowBlank="1" showInputMessage="1" showErrorMessage="1" xr:uid="{00000000-0002-0000-0800-00000B000000}">
          <x14:formula1>
            <xm:f>'Tabla Valoración controles'!$D$4:$D$6</xm:f>
          </x14:formula1>
          <xm:sqref>AE13:AE72</xm:sqref>
        </x14:dataValidation>
        <x14:dataValidation type="list" allowBlank="1" showInputMessage="1" showErrorMessage="1" xr:uid="{00000000-0002-0000-0800-00000C000000}">
          <x14:formula1>
            <xm:f>Listas!$B$23:$B$25</xm:f>
          </x14:formula1>
          <xm:sqref>C13:C72</xm:sqref>
        </x14:dataValidation>
        <x14:dataValidation type="list" allowBlank="1" showInputMessage="1" showErrorMessage="1" xr:uid="{00000000-0002-0000-0800-00000D000000}">
          <x14:formula1>
            <xm:f>Listas!$B$36:$B$43</xm:f>
          </x14:formula1>
          <xm:sqref>I13:I72</xm:sqref>
        </x14:dataValidation>
        <x14:dataValidation type="list" allowBlank="1" showInputMessage="1" showErrorMessage="1" xr:uid="{00000000-0002-0000-0800-00000E000000}">
          <x14:formula1>
            <xm:f>Amenazas!$C$2:$C$11</xm:f>
          </x14:formula1>
          <xm:sqref>G13:G72</xm:sqref>
        </x14:dataValidation>
        <x14:dataValidation type="list" allowBlank="1" showInputMessage="1" showErrorMessage="1" xr:uid="{00000000-0002-0000-0800-00000F000000}">
          <x14:formula1>
            <xm:f>Listas!$H$15:$H$19</xm:f>
          </x14:formula1>
          <xm:sqref>P13:P72</xm:sqref>
        </x14:dataValidation>
        <x14:dataValidation type="list" allowBlank="1" showInputMessage="1" showErrorMessage="1" xr:uid="{00000000-0002-0000-0800-000010000000}">
          <x14:formula1>
            <xm:f>'Intructivo control cambio'!$C$294:$C$308</xm:f>
          </x14:formula1>
          <xm:sqref>X6:AB6</xm:sqref>
        </x14:dataValidation>
        <x14:dataValidation type="list" allowBlank="1" showInputMessage="1" showErrorMessage="1" xr:uid="{00000000-0002-0000-0800-000011000000}">
          <x14:formula1>
            <xm:f>'Intructivo control cambio'!$C$294:$C$317</xm:f>
          </x14:formula1>
          <xm:sqref>C6:W6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3.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9</vt:i4>
      </vt:variant>
    </vt:vector>
  </HeadingPairs>
  <TitlesOfParts>
    <vt:vector size="27" baseType="lpstr">
      <vt:lpstr>Intructivo control cambio</vt:lpstr>
      <vt:lpstr>Revisión DOFA</vt:lpstr>
      <vt:lpstr>Listas</vt:lpstr>
      <vt:lpstr>Riesgos de Gestión</vt:lpstr>
      <vt:lpstr>Matriz Calor Inherente</vt:lpstr>
      <vt:lpstr>Matriz Calor Residual</vt:lpstr>
      <vt:lpstr>Riesgos de Corrupción</vt:lpstr>
      <vt:lpstr>Impacto Corrupción </vt:lpstr>
      <vt:lpstr>Riesgos de Seguridad </vt:lpstr>
      <vt:lpstr>Riesgos de LA FT </vt:lpstr>
      <vt:lpstr>Impacto LA-FT</vt:lpstr>
      <vt:lpstr>Tabla Impacto</vt:lpstr>
      <vt:lpstr>Tabla probabilidad</vt:lpstr>
      <vt:lpstr>Clasificación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LA FT '!Área_de_impresión</vt:lpstr>
      <vt:lpstr>'Riesgos de Seguridad '!Área_de_impresión</vt:lpstr>
      <vt:lpstr>'Riesgos de Corrupción'!Títulos_a_imprimir</vt:lpstr>
      <vt:lpstr>'Riesgos de Gestión'!Títulos_a_imprimir</vt:lpstr>
      <vt:lpstr>'Riesgos de LA FT '!Títulos_a_imprimir</vt:lpstr>
      <vt:lpstr>'Riesgos de Seguridad '!Títulos_a_imprimir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2025-04-24T14:09:47Z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