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drawings/drawing6.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hidePivotFieldList="1" defaultThemeVersion="124226"/>
  <mc:AlternateContent xmlns:mc="http://schemas.openxmlformats.org/markup-compatibility/2006">
    <mc:Choice Requires="x15">
      <x15ac:absPath xmlns:x15ac="http://schemas.microsoft.com/office/spreadsheetml/2010/11/ac" url="C:\Users\natis\Downloads\"/>
    </mc:Choice>
  </mc:AlternateContent>
  <xr:revisionPtr revIDLastSave="0" documentId="13_ncr:1_{E81CB05E-24E0-4DD8-A86B-E4163543581E}" xr6:coauthVersionLast="47" xr6:coauthVersionMax="47" xr10:uidLastSave="{00000000-0000-0000-0000-000000000000}"/>
  <bookViews>
    <workbookView xWindow="-120" yWindow="-120" windowWidth="20730" windowHeight="11040" tabRatio="933" firstSheet="6" activeTab="7" xr2:uid="{00000000-000D-0000-FFFF-FFFF00000000}"/>
  </bookViews>
  <sheets>
    <sheet name="Intructivo control cambio" sheetId="20" r:id="rId1"/>
    <sheet name="Revisión DOFA" sheetId="21" state="hidden" r:id="rId2"/>
    <sheet name="Listas" sheetId="16" state="hidden" r:id="rId3"/>
    <sheet name="Riesgos de Gestión" sheetId="1" r:id="rId4"/>
    <sheet name="Matriz Calor Inherente" sheetId="18" r:id="rId5"/>
    <sheet name="Matriz Calor Residual" sheetId="19" r:id="rId6"/>
    <sheet name="Riesgos Fiscales" sheetId="37" r:id="rId7"/>
    <sheet name="Riesgos de Corrupción" sheetId="33" r:id="rId8"/>
    <sheet name="Impacto Corrupción " sheetId="22" r:id="rId9"/>
    <sheet name="Riesgos de Seguridad " sheetId="38" r:id="rId10"/>
    <sheet name="Riesgos de LA FT " sheetId="35" r:id="rId11"/>
    <sheet name="Impacto LA-FT" sheetId="36" r:id="rId12"/>
    <sheet name="Tabla Impacto" sheetId="13" r:id="rId13"/>
    <sheet name="Tabla probabilidad" sheetId="12" r:id="rId14"/>
    <sheet name="Clasificación de riesgos" sheetId="23" r:id="rId15"/>
    <sheet name="Amenazas" sheetId="28" r:id="rId16"/>
    <sheet name="Ejemplos de riesgos" sheetId="26" r:id="rId17"/>
    <sheet name="Tabla Valoración controles" sheetId="15" r:id="rId18"/>
    <sheet name="Hoja1" sheetId="11" state="hidden" r:id="rId19"/>
  </sheets>
  <externalReferences>
    <externalReference r:id="rId20"/>
    <externalReference r:id="rId21"/>
    <externalReference r:id="rId22"/>
  </externalReferences>
  <definedNames>
    <definedName name="_xlnm.Print_Area" localSheetId="8">'Impacto Corrupción '!$A$1:$G$27</definedName>
    <definedName name="_xlnm.Print_Area" localSheetId="7">'Riesgos de Corrupción'!$A$1:$AU$76</definedName>
    <definedName name="_xlnm.Print_Area" localSheetId="3">'Riesgos de Gestión'!$A$1:$AU$65</definedName>
    <definedName name="_xlnm.Print_Area" localSheetId="10">'Riesgos de LA FT '!$A$1:$AU$76</definedName>
    <definedName name="_xlnm.Print_Area" localSheetId="9">'Riesgos de Seguridad '!$A$1:$AZ$76</definedName>
    <definedName name="_xlnm.Print_Area" localSheetId="6">'Riesgos Fiscales'!$A$1:$AT$76</definedName>
    <definedName name="clasificaciónriesgos">#REF!</definedName>
    <definedName name="códigos">#REF!</definedName>
    <definedName name="Direccionamiento_Estratégico">#REF!</definedName>
    <definedName name="económicos">#REF!</definedName>
    <definedName name="externo">#REF!</definedName>
    <definedName name="externos2">#REF!</definedName>
    <definedName name="factores">#REF!</definedName>
    <definedName name="impacto" localSheetId="8">#REF!</definedName>
    <definedName name="impactoco">#REF!</definedName>
    <definedName name="infraestructura">#REF!</definedName>
    <definedName name="interno">#REF!</definedName>
    <definedName name="macroprocesos">#REF!</definedName>
    <definedName name="medio_ambientales">#REF!</definedName>
    <definedName name="opciondelriesgo" localSheetId="8">[1]FORMULAS!$K$4:$K$7</definedName>
    <definedName name="opciondelriesgo">[2]FORMULAS!$K$4:$K$7</definedName>
    <definedName name="personal" localSheetId="9">#REF!</definedName>
    <definedName name="personal">#REF!</definedName>
    <definedName name="políticos" localSheetId="9">#REF!</definedName>
    <definedName name="políticos">#REF!</definedName>
    <definedName name="probabilidad" localSheetId="8">#REF!</definedName>
    <definedName name="probabilidad">[2]FORMULAS!$G$4:$G$8</definedName>
    <definedName name="proceso" localSheetId="9">#REF!</definedName>
    <definedName name="proceso">#REF!</definedName>
    <definedName name="procesos" localSheetId="8">#REF!</definedName>
    <definedName name="procesos">[2]FORMULAS!$B$4:$B$21</definedName>
    <definedName name="sociales" localSheetId="9">#REF!</definedName>
    <definedName name="sociales">#REF!</definedName>
    <definedName name="tecnología" localSheetId="9">#REF!</definedName>
    <definedName name="tecnología">#REF!</definedName>
    <definedName name="tecnológicos" localSheetId="9">#REF!</definedName>
    <definedName name="tecnológicos">#REF!</definedName>
    <definedName name="tipo_de_amenaza" localSheetId="8">[1]FORMULAS!$E$4:$E$11</definedName>
    <definedName name="tipo_de_amenaza">[2]FORMULAS!$E$4:$E$11</definedName>
    <definedName name="tipo_de_riesgos" localSheetId="8">[1]FORMULAS!$C$4:$C$6</definedName>
    <definedName name="tipo_de_riesgos">[2]FORMULAS!$C$4:$C$6</definedName>
    <definedName name="_xlnm.Print_Titles" localSheetId="7">'Riesgos de Corrupción'!$1:$8</definedName>
    <definedName name="_xlnm.Print_Titles" localSheetId="3">'Riesgos de Gestión'!$1:$8</definedName>
    <definedName name="_xlnm.Print_Titles" localSheetId="10">'Riesgos de LA FT '!$1:$8</definedName>
    <definedName name="_xlnm.Print_Titles" localSheetId="9">'Riesgos de Seguridad '!$1:$8</definedName>
    <definedName name="_xlnm.Print_Titles" localSheetId="6">'Riesgos Fiscales'!$1:$8</definedName>
  </definedNames>
  <calcPr calcId="191029"/>
  <pivotCaches>
    <pivotCache cacheId="1" r:id="rId2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3" i="33" l="1"/>
  <c r="U19" i="35"/>
  <c r="F19" i="35"/>
  <c r="AD18" i="1" l="1"/>
  <c r="Z14" i="1"/>
  <c r="AA14" i="1"/>
  <c r="AD14" i="1"/>
  <c r="Z17" i="1" l="1"/>
  <c r="Z18" i="1" l="1"/>
  <c r="Z15" i="1"/>
  <c r="Z13" i="1"/>
  <c r="Z13" i="33" l="1"/>
  <c r="AE19" i="38"/>
  <c r="AE20" i="38"/>
  <c r="AE21" i="38"/>
  <c r="AE22" i="38"/>
  <c r="AE23" i="38"/>
  <c r="AE24" i="38"/>
  <c r="AE25" i="38"/>
  <c r="AE26" i="38"/>
  <c r="AE27" i="38"/>
  <c r="AE28" i="38"/>
  <c r="AE29" i="38"/>
  <c r="AE30" i="38"/>
  <c r="AE31" i="38"/>
  <c r="AE32" i="38"/>
  <c r="AE33" i="38"/>
  <c r="AE34" i="38"/>
  <c r="AE35" i="38"/>
  <c r="AE36" i="38"/>
  <c r="AE37" i="38"/>
  <c r="AE38" i="38"/>
  <c r="AE39" i="38"/>
  <c r="AE40" i="38"/>
  <c r="AE41" i="38"/>
  <c r="AE42" i="38"/>
  <c r="AE43" i="38"/>
  <c r="AE44" i="38"/>
  <c r="AE45" i="38"/>
  <c r="AE46" i="38"/>
  <c r="AE47" i="38"/>
  <c r="AE48" i="38"/>
  <c r="AE49" i="38"/>
  <c r="AE50" i="38"/>
  <c r="AE51" i="38"/>
  <c r="AE52" i="38"/>
  <c r="AE53" i="38"/>
  <c r="AE54" i="38"/>
  <c r="AE55" i="38"/>
  <c r="AE56" i="38"/>
  <c r="AE57" i="38"/>
  <c r="AE58" i="38"/>
  <c r="AE59" i="38"/>
  <c r="AE60" i="38"/>
  <c r="AE61" i="38"/>
  <c r="AE62" i="38"/>
  <c r="AE63" i="38"/>
  <c r="AE64" i="38"/>
  <c r="AE65" i="38"/>
  <c r="AE66" i="38"/>
  <c r="AE67" i="38"/>
  <c r="AE68" i="38"/>
  <c r="AE69" i="38"/>
  <c r="AE70" i="38"/>
  <c r="AE71" i="38"/>
  <c r="AE72" i="38"/>
  <c r="AE14" i="38"/>
  <c r="AE15" i="38"/>
  <c r="AE16" i="38"/>
  <c r="AE17" i="38"/>
  <c r="AE18" i="38"/>
  <c r="R19" i="38" l="1"/>
  <c r="O19" i="38"/>
  <c r="P19" i="38" s="1"/>
  <c r="T19" i="38"/>
  <c r="U19" i="38" s="1"/>
  <c r="V19" i="38" s="1"/>
  <c r="W19" i="38" s="1"/>
  <c r="AF14" i="38"/>
  <c r="AM14" i="38" s="1"/>
  <c r="AI14" i="38"/>
  <c r="AE13" i="38"/>
  <c r="AC72" i="38"/>
  <c r="AC71" i="38"/>
  <c r="AC70" i="38"/>
  <c r="AC69" i="38"/>
  <c r="AC68" i="38"/>
  <c r="AC67" i="38"/>
  <c r="T67" i="38"/>
  <c r="R67" i="38"/>
  <c r="O67" i="38"/>
  <c r="P67" i="38" s="1"/>
  <c r="AC66" i="38"/>
  <c r="AC65" i="38"/>
  <c r="AC64" i="38"/>
  <c r="AC63" i="38"/>
  <c r="AC62" i="38"/>
  <c r="AC61" i="38"/>
  <c r="T61" i="38"/>
  <c r="R61" i="38"/>
  <c r="U61" i="38" s="1"/>
  <c r="V61" i="38" s="1"/>
  <c r="O61" i="38"/>
  <c r="P61" i="38" s="1"/>
  <c r="AC60" i="38"/>
  <c r="AC59" i="38"/>
  <c r="AC58" i="38"/>
  <c r="AC57" i="38"/>
  <c r="AC56" i="38"/>
  <c r="AC55" i="38"/>
  <c r="T55" i="38"/>
  <c r="R55" i="38"/>
  <c r="U55" i="38" s="1"/>
  <c r="V55" i="38" s="1"/>
  <c r="O55" i="38"/>
  <c r="P55" i="38" s="1"/>
  <c r="AC54" i="38"/>
  <c r="AC53" i="38"/>
  <c r="AC52" i="38"/>
  <c r="AC51" i="38"/>
  <c r="AC50" i="38"/>
  <c r="AC49" i="38"/>
  <c r="T49" i="38"/>
  <c r="R49" i="38"/>
  <c r="O49" i="38"/>
  <c r="P49" i="38" s="1"/>
  <c r="AC48" i="38"/>
  <c r="AC47" i="38"/>
  <c r="AC46" i="38"/>
  <c r="AC45" i="38"/>
  <c r="AC44" i="38"/>
  <c r="AC43" i="38"/>
  <c r="T43" i="38"/>
  <c r="R43" i="38"/>
  <c r="O43" i="38"/>
  <c r="AC42" i="38"/>
  <c r="AC41" i="38"/>
  <c r="AC40" i="38"/>
  <c r="AC39" i="38"/>
  <c r="AC38" i="38"/>
  <c r="AC37" i="38"/>
  <c r="T37" i="38"/>
  <c r="R37" i="38"/>
  <c r="O37" i="38"/>
  <c r="P37" i="38" s="1"/>
  <c r="AC36" i="38"/>
  <c r="AC35" i="38"/>
  <c r="AC34" i="38"/>
  <c r="AC33" i="38"/>
  <c r="AC32" i="38"/>
  <c r="AC31" i="38"/>
  <c r="T31" i="38"/>
  <c r="R31" i="38"/>
  <c r="O31" i="38"/>
  <c r="P31" i="38" s="1"/>
  <c r="AC30" i="38"/>
  <c r="AC29" i="38"/>
  <c r="AC28" i="38"/>
  <c r="AC27" i="38"/>
  <c r="AC26" i="38"/>
  <c r="AC25" i="38"/>
  <c r="T25" i="38"/>
  <c r="R25" i="38"/>
  <c r="O25" i="38"/>
  <c r="AC24" i="38"/>
  <c r="AC23" i="38"/>
  <c r="AC22" i="38"/>
  <c r="AC21" i="38"/>
  <c r="AC20" i="38"/>
  <c r="AC19" i="38"/>
  <c r="AC18" i="38"/>
  <c r="AC17" i="38"/>
  <c r="AC16" i="38"/>
  <c r="AC15" i="38"/>
  <c r="AC14" i="38"/>
  <c r="AI13" i="38"/>
  <c r="AF13" i="38"/>
  <c r="AC13" i="38"/>
  <c r="F31" i="33"/>
  <c r="F37" i="33"/>
  <c r="F43" i="33"/>
  <c r="F49" i="33"/>
  <c r="F55" i="33"/>
  <c r="F61" i="33"/>
  <c r="F67" i="33"/>
  <c r="AC72" i="37"/>
  <c r="Z72" i="37"/>
  <c r="Y72" i="37"/>
  <c r="Q72" i="37"/>
  <c r="AC71" i="37"/>
  <c r="Z71" i="37"/>
  <c r="Y71" i="37"/>
  <c r="Q71" i="37"/>
  <c r="AC70" i="37"/>
  <c r="Z70" i="37"/>
  <c r="AK71" i="37" s="1"/>
  <c r="AJ71" i="37" s="1"/>
  <c r="Y70" i="37"/>
  <c r="Q70" i="37"/>
  <c r="AC69" i="37"/>
  <c r="Z69" i="37"/>
  <c r="Y69" i="37"/>
  <c r="Q69" i="37"/>
  <c r="AC68" i="37"/>
  <c r="Z68" i="37"/>
  <c r="Y68" i="37"/>
  <c r="Q68" i="37"/>
  <c r="AC67" i="37"/>
  <c r="Z67" i="37"/>
  <c r="Y67" i="37"/>
  <c r="Q67" i="37"/>
  <c r="R67" i="37" s="1"/>
  <c r="N67" i="37"/>
  <c r="O67" i="37" s="1"/>
  <c r="F67" i="37"/>
  <c r="Q56" i="37" s="1"/>
  <c r="AC66" i="37"/>
  <c r="Z66" i="37"/>
  <c r="Y66" i="37"/>
  <c r="Q66" i="37"/>
  <c r="AC65" i="37"/>
  <c r="Z65" i="37"/>
  <c r="Y65" i="37"/>
  <c r="Q65" i="37"/>
  <c r="AC64" i="37"/>
  <c r="Z64" i="37"/>
  <c r="Y64" i="37"/>
  <c r="Q64" i="37"/>
  <c r="AC63" i="37"/>
  <c r="Z63" i="37"/>
  <c r="AG64" i="37" s="1"/>
  <c r="Y63" i="37"/>
  <c r="Q63" i="37"/>
  <c r="AC62" i="37"/>
  <c r="Z62" i="37"/>
  <c r="AG63" i="37" s="1"/>
  <c r="AI63" i="37" s="1"/>
  <c r="Y62" i="37"/>
  <c r="Q62" i="37"/>
  <c r="AC61" i="37"/>
  <c r="Z61" i="37"/>
  <c r="Y61" i="37"/>
  <c r="Q61" i="37"/>
  <c r="R61" i="37" s="1"/>
  <c r="N61" i="37"/>
  <c r="O61" i="37" s="1"/>
  <c r="F61" i="37"/>
  <c r="Q50" i="37" s="1"/>
  <c r="AC60" i="37"/>
  <c r="Z60" i="37"/>
  <c r="Y60" i="37"/>
  <c r="Q60" i="37"/>
  <c r="AC59" i="37"/>
  <c r="Z59" i="37"/>
  <c r="AG60" i="37" s="1"/>
  <c r="Y59" i="37"/>
  <c r="Q59" i="37"/>
  <c r="AC58" i="37"/>
  <c r="Z58" i="37"/>
  <c r="Y58" i="37"/>
  <c r="Q58" i="37"/>
  <c r="AC57" i="37"/>
  <c r="Z57" i="37"/>
  <c r="AK58" i="37" s="1"/>
  <c r="AJ58" i="37" s="1"/>
  <c r="Y57" i="37"/>
  <c r="Q57" i="37"/>
  <c r="AC56" i="37"/>
  <c r="Z56" i="37"/>
  <c r="Y56" i="37"/>
  <c r="AC55" i="37"/>
  <c r="Z55" i="37"/>
  <c r="Y55" i="37"/>
  <c r="Q55" i="37"/>
  <c r="R55" i="37" s="1"/>
  <c r="N55" i="37"/>
  <c r="O55" i="37" s="1"/>
  <c r="F55" i="37"/>
  <c r="Q44" i="37" s="1"/>
  <c r="AC54" i="37"/>
  <c r="Z54" i="37"/>
  <c r="Y54" i="37"/>
  <c r="Q54" i="37"/>
  <c r="AC53" i="37"/>
  <c r="Z53" i="37"/>
  <c r="Y53" i="37"/>
  <c r="Q53" i="37"/>
  <c r="AC52" i="37"/>
  <c r="Z52" i="37"/>
  <c r="AK53" i="37" s="1"/>
  <c r="AJ53" i="37" s="1"/>
  <c r="Y52" i="37"/>
  <c r="Q52" i="37"/>
  <c r="AC51" i="37"/>
  <c r="Z51" i="37"/>
  <c r="Y51" i="37"/>
  <c r="Q51" i="37"/>
  <c r="AC50" i="37"/>
  <c r="Z50" i="37"/>
  <c r="Y50" i="37"/>
  <c r="AC49" i="37"/>
  <c r="Z49" i="37"/>
  <c r="AK49" i="37" s="1"/>
  <c r="AJ49" i="37" s="1"/>
  <c r="Y49" i="37"/>
  <c r="Q49" i="37"/>
  <c r="R49" i="37" s="1"/>
  <c r="S49" i="37" s="1"/>
  <c r="N49" i="37"/>
  <c r="F49" i="37"/>
  <c r="Q38" i="37" s="1"/>
  <c r="AC48" i="37"/>
  <c r="Z48" i="37"/>
  <c r="Y48" i="37"/>
  <c r="Q48" i="37"/>
  <c r="AC47" i="37"/>
  <c r="Z47" i="37"/>
  <c r="Y47" i="37"/>
  <c r="Q47" i="37"/>
  <c r="AC46" i="37"/>
  <c r="Z46" i="37"/>
  <c r="AK47" i="37" s="1"/>
  <c r="AJ47" i="37" s="1"/>
  <c r="Y46" i="37"/>
  <c r="Q46" i="37"/>
  <c r="AC45" i="37"/>
  <c r="Z45" i="37"/>
  <c r="Y45" i="37"/>
  <c r="Q45" i="37"/>
  <c r="AC44" i="37"/>
  <c r="Z44" i="37"/>
  <c r="AG45" i="37" s="1"/>
  <c r="Y44" i="37"/>
  <c r="AC43" i="37"/>
  <c r="Z43" i="37"/>
  <c r="Y43" i="37"/>
  <c r="Q43" i="37"/>
  <c r="R43" i="37" s="1"/>
  <c r="S43" i="37" s="1"/>
  <c r="N43" i="37"/>
  <c r="T43" i="37" s="1"/>
  <c r="F43" i="37"/>
  <c r="Q32" i="37" s="1"/>
  <c r="AC42" i="37"/>
  <c r="Z42" i="37"/>
  <c r="Y42" i="37"/>
  <c r="Q42" i="37"/>
  <c r="AC41" i="37"/>
  <c r="Z41" i="37"/>
  <c r="Y41" i="37"/>
  <c r="Q41" i="37"/>
  <c r="AC40" i="37"/>
  <c r="Z40" i="37"/>
  <c r="Y40" i="37"/>
  <c r="Q40" i="37"/>
  <c r="AC39" i="37"/>
  <c r="Z39" i="37"/>
  <c r="Y39" i="37"/>
  <c r="Q39" i="37"/>
  <c r="AC38" i="37"/>
  <c r="Z38" i="37"/>
  <c r="Y38" i="37"/>
  <c r="AC37" i="37"/>
  <c r="Z37" i="37"/>
  <c r="Y37" i="37"/>
  <c r="Q37" i="37"/>
  <c r="R37" i="37" s="1"/>
  <c r="N37" i="37"/>
  <c r="O37" i="37" s="1"/>
  <c r="F37" i="37"/>
  <c r="Q26" i="37" s="1"/>
  <c r="AC36" i="37"/>
  <c r="Z36" i="37"/>
  <c r="Y36" i="37"/>
  <c r="Q36" i="37"/>
  <c r="AC35" i="37"/>
  <c r="Z35" i="37"/>
  <c r="Y35" i="37"/>
  <c r="Q35" i="37"/>
  <c r="AC34" i="37"/>
  <c r="Z34" i="37"/>
  <c r="Y34" i="37"/>
  <c r="Q34" i="37"/>
  <c r="AC33" i="37"/>
  <c r="Z33" i="37"/>
  <c r="Y33" i="37"/>
  <c r="Q33" i="37"/>
  <c r="AC32" i="37"/>
  <c r="Z32" i="37"/>
  <c r="Y32" i="37"/>
  <c r="AC31" i="37"/>
  <c r="Z31" i="37"/>
  <c r="AG31" i="37" s="1"/>
  <c r="Y31" i="37"/>
  <c r="Q31" i="37"/>
  <c r="R31" i="37" s="1"/>
  <c r="S31" i="37" s="1"/>
  <c r="N31" i="37"/>
  <c r="O31" i="37" s="1"/>
  <c r="F31" i="37"/>
  <c r="Q20" i="37" s="1"/>
  <c r="AC30" i="37"/>
  <c r="Z30" i="37"/>
  <c r="Y30" i="37"/>
  <c r="Q30" i="37"/>
  <c r="AC29" i="37"/>
  <c r="Z29" i="37"/>
  <c r="AG30" i="37" s="1"/>
  <c r="Y29" i="37"/>
  <c r="Q29" i="37"/>
  <c r="AC28" i="37"/>
  <c r="Z28" i="37"/>
  <c r="Y28" i="37"/>
  <c r="Q28" i="37"/>
  <c r="AC27" i="37"/>
  <c r="Z27" i="37"/>
  <c r="AK28" i="37" s="1"/>
  <c r="AJ28" i="37" s="1"/>
  <c r="Y27" i="37"/>
  <c r="Q27" i="37"/>
  <c r="AC26" i="37"/>
  <c r="Z26" i="37"/>
  <c r="Y26" i="37"/>
  <c r="AC25" i="37"/>
  <c r="Z25" i="37"/>
  <c r="AK25" i="37" s="1"/>
  <c r="AJ25" i="37" s="1"/>
  <c r="Y25" i="37"/>
  <c r="Q25" i="37"/>
  <c r="R25" i="37" s="1"/>
  <c r="N25" i="37"/>
  <c r="O25" i="37" s="1"/>
  <c r="F25" i="37"/>
  <c r="Q14" i="37" s="1"/>
  <c r="AC24" i="37"/>
  <c r="Z24" i="37"/>
  <c r="Y24" i="37"/>
  <c r="Q24" i="37"/>
  <c r="AC23" i="37"/>
  <c r="Z23" i="37"/>
  <c r="Y23" i="37"/>
  <c r="Q23" i="37"/>
  <c r="AC22" i="37"/>
  <c r="Z22" i="37"/>
  <c r="AK23" i="37" s="1"/>
  <c r="AJ23" i="37" s="1"/>
  <c r="Y22" i="37"/>
  <c r="Q22" i="37"/>
  <c r="AC21" i="37"/>
  <c r="Z21" i="37"/>
  <c r="Y21" i="37"/>
  <c r="Q21" i="37"/>
  <c r="AC20" i="37"/>
  <c r="Z20" i="37"/>
  <c r="AG21" i="37" s="1"/>
  <c r="Y20" i="37"/>
  <c r="AC19" i="37"/>
  <c r="Z19" i="37"/>
  <c r="AK19" i="37" s="1"/>
  <c r="AJ19" i="37" s="1"/>
  <c r="Y19" i="37"/>
  <c r="Q19" i="37"/>
  <c r="R19" i="37" s="1"/>
  <c r="S19" i="37" s="1"/>
  <c r="N19" i="37"/>
  <c r="F19" i="37"/>
  <c r="AC18" i="37"/>
  <c r="Z18" i="37"/>
  <c r="Y18" i="37"/>
  <c r="Q18" i="37"/>
  <c r="AC17" i="37"/>
  <c r="Z17" i="37"/>
  <c r="AK18" i="37" s="1"/>
  <c r="AJ18" i="37" s="1"/>
  <c r="Y17" i="37"/>
  <c r="Q17" i="37"/>
  <c r="AC16" i="37"/>
  <c r="Z16" i="37"/>
  <c r="Y16" i="37"/>
  <c r="Q16" i="37"/>
  <c r="AC15" i="37"/>
  <c r="Z15" i="37"/>
  <c r="Y15" i="37"/>
  <c r="Q15" i="37"/>
  <c r="AC14" i="37"/>
  <c r="Z14" i="37"/>
  <c r="Y14" i="37"/>
  <c r="AC13" i="37"/>
  <c r="Z13" i="37"/>
  <c r="Y13" i="37"/>
  <c r="Q13" i="37"/>
  <c r="R13" i="37" s="1"/>
  <c r="N13" i="37"/>
  <c r="O13" i="37" s="1"/>
  <c r="F13" i="37"/>
  <c r="F25" i="35"/>
  <c r="F31" i="35"/>
  <c r="F37" i="35"/>
  <c r="F43" i="35"/>
  <c r="F49" i="35"/>
  <c r="F55" i="35"/>
  <c r="F61" i="35"/>
  <c r="F67" i="35"/>
  <c r="F13" i="35"/>
  <c r="F15" i="1"/>
  <c r="F17" i="1"/>
  <c r="R14" i="1" s="1"/>
  <c r="F20" i="1"/>
  <c r="F26" i="1"/>
  <c r="F32" i="1"/>
  <c r="F38" i="1"/>
  <c r="F44" i="1"/>
  <c r="F50" i="1"/>
  <c r="F56" i="1"/>
  <c r="R13" i="35"/>
  <c r="S13" i="35" s="1"/>
  <c r="R19" i="35"/>
  <c r="R25" i="35"/>
  <c r="R31" i="35"/>
  <c r="R37" i="35"/>
  <c r="R43" i="35"/>
  <c r="R49" i="35"/>
  <c r="R55" i="35"/>
  <c r="R61" i="35"/>
  <c r="R67" i="35"/>
  <c r="W88" i="33"/>
  <c r="W87" i="33"/>
  <c r="AG56" i="37" l="1"/>
  <c r="AQ14" i="38"/>
  <c r="AP14" i="38" s="1"/>
  <c r="AO14" i="38"/>
  <c r="AN14" i="38"/>
  <c r="AR14" i="38" s="1"/>
  <c r="U49" i="38"/>
  <c r="V49" i="38" s="1"/>
  <c r="AG36" i="37"/>
  <c r="AH36" i="37" s="1"/>
  <c r="AG32" i="37"/>
  <c r="AH32" i="37" s="1"/>
  <c r="AG25" i="37"/>
  <c r="AI25" i="37" s="1"/>
  <c r="AG48" i="37"/>
  <c r="AI48" i="37" s="1"/>
  <c r="AK42" i="37"/>
  <c r="AJ42" i="37" s="1"/>
  <c r="AG16" i="37"/>
  <c r="AH16" i="37" s="1"/>
  <c r="AK38" i="37"/>
  <c r="AJ38" i="37" s="1"/>
  <c r="AG35" i="37"/>
  <c r="AH35" i="37" s="1"/>
  <c r="AG49" i="37"/>
  <c r="AI49" i="37" s="1"/>
  <c r="AG40" i="37"/>
  <c r="AI40" i="37" s="1"/>
  <c r="AG69" i="37"/>
  <c r="AH69" i="37" s="1"/>
  <c r="AG22" i="37"/>
  <c r="AH22" i="37" s="1"/>
  <c r="AG51" i="37"/>
  <c r="AH51" i="37" s="1"/>
  <c r="AG54" i="37"/>
  <c r="AI54" i="37" s="1"/>
  <c r="AK62" i="37"/>
  <c r="AJ62" i="37" s="1"/>
  <c r="AK33" i="37"/>
  <c r="AJ33" i="37" s="1"/>
  <c r="AK61" i="37"/>
  <c r="AJ61" i="37" s="1"/>
  <c r="AK66" i="37"/>
  <c r="AJ66" i="37" s="1"/>
  <c r="X19" i="38"/>
  <c r="U31" i="38"/>
  <c r="V31" i="38" s="1"/>
  <c r="X31" i="38" s="1"/>
  <c r="U43" i="38"/>
  <c r="V43" i="38" s="1"/>
  <c r="X43" i="38" s="1"/>
  <c r="X61" i="38"/>
  <c r="U37" i="38"/>
  <c r="V37" i="38" s="1"/>
  <c r="X37" i="38" s="1"/>
  <c r="AM13" i="38"/>
  <c r="AN13" i="38" s="1"/>
  <c r="U25" i="38"/>
  <c r="V25" i="38" s="1"/>
  <c r="X25" i="38" s="1"/>
  <c r="U67" i="38"/>
  <c r="V67" i="38" s="1"/>
  <c r="X67" i="38" s="1"/>
  <c r="AO13" i="38"/>
  <c r="X49" i="38"/>
  <c r="X55" i="38"/>
  <c r="P25" i="38"/>
  <c r="P43" i="38"/>
  <c r="AG13" i="37"/>
  <c r="AH13" i="37" s="1"/>
  <c r="AK22" i="37"/>
  <c r="AJ22" i="37" s="1"/>
  <c r="AK63" i="37"/>
  <c r="AJ63" i="37" s="1"/>
  <c r="AK68" i="37"/>
  <c r="AJ68" i="37" s="1"/>
  <c r="AK27" i="37"/>
  <c r="AJ27" i="37" s="1"/>
  <c r="AK34" i="37"/>
  <c r="AJ34" i="37" s="1"/>
  <c r="AK36" i="37"/>
  <c r="AJ36" i="37" s="1"/>
  <c r="AL36" i="37" s="1"/>
  <c r="AK37" i="37"/>
  <c r="AJ37" i="37" s="1"/>
  <c r="AG41" i="37"/>
  <c r="AH41" i="37" s="1"/>
  <c r="AK52" i="37"/>
  <c r="AJ52" i="37" s="1"/>
  <c r="AK54" i="37"/>
  <c r="AJ54" i="37" s="1"/>
  <c r="AK57" i="37"/>
  <c r="AJ57" i="37" s="1"/>
  <c r="AK59" i="37"/>
  <c r="AJ59" i="37" s="1"/>
  <c r="AG65" i="37"/>
  <c r="AI65" i="37" s="1"/>
  <c r="AG66" i="37"/>
  <c r="AH66" i="37" s="1"/>
  <c r="AG70" i="37"/>
  <c r="AH70" i="37" s="1"/>
  <c r="AK72" i="37"/>
  <c r="AJ72" i="37" s="1"/>
  <c r="AG27" i="37"/>
  <c r="AH27" i="37" s="1"/>
  <c r="AG15" i="37"/>
  <c r="AI15" i="37" s="1"/>
  <c r="AG18" i="37"/>
  <c r="AH18" i="37" s="1"/>
  <c r="AL18" i="37" s="1"/>
  <c r="AK29" i="37"/>
  <c r="AJ29" i="37" s="1"/>
  <c r="AK44" i="37"/>
  <c r="AJ44" i="37" s="1"/>
  <c r="AG46" i="37"/>
  <c r="AI46" i="37" s="1"/>
  <c r="AK48" i="37"/>
  <c r="AJ48" i="37" s="1"/>
  <c r="AG17" i="37"/>
  <c r="AH17" i="37" s="1"/>
  <c r="AG37" i="37"/>
  <c r="AI37" i="37" s="1"/>
  <c r="AK17" i="37"/>
  <c r="AJ17" i="37" s="1"/>
  <c r="AG24" i="37"/>
  <c r="AI24" i="37" s="1"/>
  <c r="AK14" i="37"/>
  <c r="AJ14" i="37" s="1"/>
  <c r="AG26" i="37"/>
  <c r="AH26" i="37" s="1"/>
  <c r="AK39" i="37"/>
  <c r="AJ39" i="37" s="1"/>
  <c r="AK41" i="37"/>
  <c r="AJ41" i="37" s="1"/>
  <c r="AG53" i="37"/>
  <c r="AI53" i="37" s="1"/>
  <c r="AG58" i="37"/>
  <c r="AI58" i="37" s="1"/>
  <c r="AG61" i="37"/>
  <c r="AH61" i="37" s="1"/>
  <c r="AG42" i="37"/>
  <c r="AI42" i="37" s="1"/>
  <c r="AG47" i="37"/>
  <c r="AG68" i="37"/>
  <c r="AI68" i="37" s="1"/>
  <c r="T61" i="37"/>
  <c r="S61" i="37"/>
  <c r="S25" i="37"/>
  <c r="T25" i="37"/>
  <c r="AH31" i="37"/>
  <c r="AI31" i="37"/>
  <c r="S55" i="37"/>
  <c r="T55" i="37"/>
  <c r="S13" i="37"/>
  <c r="AK13" i="37" s="1"/>
  <c r="AJ13" i="37" s="1"/>
  <c r="T13" i="37"/>
  <c r="T37" i="37"/>
  <c r="S37" i="37"/>
  <c r="AH21" i="37"/>
  <c r="AI21" i="37"/>
  <c r="AI64" i="37"/>
  <c r="AH64" i="37"/>
  <c r="T19" i="37"/>
  <c r="T49" i="37"/>
  <c r="AH56" i="37"/>
  <c r="AI56" i="37"/>
  <c r="AH30" i="37"/>
  <c r="AI30" i="37"/>
  <c r="AI45" i="37"/>
  <c r="AH45" i="37"/>
  <c r="AI60" i="37"/>
  <c r="AH60" i="37"/>
  <c r="T67" i="37"/>
  <c r="S67" i="37"/>
  <c r="AK20" i="37"/>
  <c r="AJ20" i="37" s="1"/>
  <c r="AG14" i="37"/>
  <c r="AK16" i="37"/>
  <c r="AJ16" i="37" s="1"/>
  <c r="O19" i="37"/>
  <c r="AG19" i="37"/>
  <c r="AK21" i="37"/>
  <c r="AJ21" i="37" s="1"/>
  <c r="AG23" i="37"/>
  <c r="AK26" i="37"/>
  <c r="AJ26" i="37" s="1"/>
  <c r="AG28" i="37"/>
  <c r="AK30" i="37"/>
  <c r="AJ30" i="37" s="1"/>
  <c r="T31" i="37"/>
  <c r="AK31" i="37"/>
  <c r="AJ31" i="37" s="1"/>
  <c r="AG33" i="37"/>
  <c r="AK35" i="37"/>
  <c r="AJ35" i="37" s="1"/>
  <c r="AI36" i="37"/>
  <c r="AG38" i="37"/>
  <c r="AK40" i="37"/>
  <c r="AJ40" i="37" s="1"/>
  <c r="O43" i="37"/>
  <c r="AG43" i="37"/>
  <c r="AK45" i="37"/>
  <c r="AJ45" i="37" s="1"/>
  <c r="AK50" i="37"/>
  <c r="AJ50" i="37" s="1"/>
  <c r="AG52" i="37"/>
  <c r="AK55" i="37"/>
  <c r="AJ55" i="37" s="1"/>
  <c r="AG57" i="37"/>
  <c r="AG62" i="37"/>
  <c r="AK64" i="37"/>
  <c r="AJ64" i="37" s="1"/>
  <c r="AG67" i="37"/>
  <c r="AK69" i="37"/>
  <c r="AJ69" i="37" s="1"/>
  <c r="AG71" i="37"/>
  <c r="AK24" i="37"/>
  <c r="AJ24" i="37" s="1"/>
  <c r="AK32" i="37"/>
  <c r="AJ32" i="37" s="1"/>
  <c r="AL32" i="37" s="1"/>
  <c r="AG34" i="37"/>
  <c r="AG39" i="37"/>
  <c r="AG44" i="37"/>
  <c r="AK46" i="37"/>
  <c r="AJ46" i="37" s="1"/>
  <c r="O49" i="37"/>
  <c r="AK51" i="37"/>
  <c r="AJ51" i="37" s="1"/>
  <c r="AK56" i="37"/>
  <c r="AJ56" i="37" s="1"/>
  <c r="AK60" i="37"/>
  <c r="AJ60" i="37" s="1"/>
  <c r="AK65" i="37"/>
  <c r="AJ65" i="37" s="1"/>
  <c r="AK70" i="37"/>
  <c r="AJ70" i="37" s="1"/>
  <c r="AG72" i="37"/>
  <c r="AK15" i="37"/>
  <c r="AJ15" i="37" s="1"/>
  <c r="AH48" i="37"/>
  <c r="AH63" i="37"/>
  <c r="AG20" i="37"/>
  <c r="AG29" i="37"/>
  <c r="AK43" i="37"/>
  <c r="AJ43" i="37" s="1"/>
  <c r="AG50" i="37"/>
  <c r="AG55" i="37"/>
  <c r="AG59" i="37"/>
  <c r="AK67" i="37"/>
  <c r="AJ67" i="37" s="1"/>
  <c r="AD72" i="35"/>
  <c r="AA72" i="35"/>
  <c r="Z72" i="35"/>
  <c r="AD71" i="35"/>
  <c r="AA71" i="35"/>
  <c r="Z71" i="35"/>
  <c r="AD70" i="35"/>
  <c r="AA70" i="35"/>
  <c r="Z70" i="35"/>
  <c r="AD69" i="35"/>
  <c r="AA69" i="35"/>
  <c r="Z69" i="35"/>
  <c r="AD68" i="35"/>
  <c r="AA68" i="35"/>
  <c r="Z68" i="35"/>
  <c r="AD67" i="35"/>
  <c r="AA67" i="35"/>
  <c r="Z67" i="35"/>
  <c r="O67" i="35"/>
  <c r="AD66" i="35"/>
  <c r="AA66" i="35"/>
  <c r="Z66" i="35"/>
  <c r="AD65" i="35"/>
  <c r="AA65" i="35"/>
  <c r="Z65" i="35"/>
  <c r="AD64" i="35"/>
  <c r="AA64" i="35"/>
  <c r="Z64" i="35"/>
  <c r="AD63" i="35"/>
  <c r="AA63" i="35"/>
  <c r="Z63" i="35"/>
  <c r="AD62" i="35"/>
  <c r="AA62" i="35"/>
  <c r="Z62" i="35"/>
  <c r="AD61" i="35"/>
  <c r="AA61" i="35"/>
  <c r="Z61" i="35"/>
  <c r="O61" i="35"/>
  <c r="P61" i="35" s="1"/>
  <c r="AD60" i="35"/>
  <c r="AA60" i="35"/>
  <c r="Z60" i="35"/>
  <c r="AD59" i="35"/>
  <c r="AA59" i="35"/>
  <c r="AL60" i="35" s="1"/>
  <c r="AK60" i="35" s="1"/>
  <c r="Z59" i="35"/>
  <c r="AD58" i="35"/>
  <c r="AA58" i="35"/>
  <c r="Z58" i="35"/>
  <c r="AD57" i="35"/>
  <c r="AA57" i="35"/>
  <c r="Z57" i="35"/>
  <c r="AD56" i="35"/>
  <c r="AA56" i="35"/>
  <c r="Z56" i="35"/>
  <c r="AD55" i="35"/>
  <c r="AA55" i="35"/>
  <c r="AH55" i="35" s="1"/>
  <c r="Z55" i="35"/>
  <c r="O55" i="35"/>
  <c r="P55" i="35" s="1"/>
  <c r="AD54" i="35"/>
  <c r="AA54" i="35"/>
  <c r="Z54" i="35"/>
  <c r="AD53" i="35"/>
  <c r="AA53" i="35"/>
  <c r="Z53" i="35"/>
  <c r="AD52" i="35"/>
  <c r="AA52" i="35"/>
  <c r="Z52" i="35"/>
  <c r="AD51" i="35"/>
  <c r="AA51" i="35"/>
  <c r="Z51" i="35"/>
  <c r="AD50" i="35"/>
  <c r="AA50" i="35"/>
  <c r="AL51" i="35" s="1"/>
  <c r="AK51" i="35" s="1"/>
  <c r="Z50" i="35"/>
  <c r="AD49" i="35"/>
  <c r="AA49" i="35"/>
  <c r="Z49" i="35"/>
  <c r="O49" i="35"/>
  <c r="P49" i="35" s="1"/>
  <c r="AD48" i="35"/>
  <c r="AA48" i="35"/>
  <c r="Z48" i="35"/>
  <c r="AD47" i="35"/>
  <c r="AA47" i="35"/>
  <c r="Z47" i="35"/>
  <c r="AD46" i="35"/>
  <c r="AA46" i="35"/>
  <c r="AH47" i="35" s="1"/>
  <c r="Z46" i="35"/>
  <c r="AD45" i="35"/>
  <c r="AA45" i="35"/>
  <c r="Z45" i="35"/>
  <c r="AD44" i="35"/>
  <c r="AA44" i="35"/>
  <c r="Z44" i="35"/>
  <c r="AD43" i="35"/>
  <c r="AA43" i="35"/>
  <c r="Z43" i="35"/>
  <c r="O43" i="35"/>
  <c r="P43" i="35" s="1"/>
  <c r="AD42" i="35"/>
  <c r="AA42" i="35"/>
  <c r="Z42" i="35"/>
  <c r="AD41" i="35"/>
  <c r="AA41" i="35"/>
  <c r="Z41" i="35"/>
  <c r="AD40" i="35"/>
  <c r="AA40" i="35"/>
  <c r="Z40" i="35"/>
  <c r="AD39" i="35"/>
  <c r="AA39" i="35"/>
  <c r="Z39" i="35"/>
  <c r="AD38" i="35"/>
  <c r="AA38" i="35"/>
  <c r="Z38" i="35"/>
  <c r="AD37" i="35"/>
  <c r="AA37" i="35"/>
  <c r="AH38" i="35" s="1"/>
  <c r="Z37" i="35"/>
  <c r="O37" i="35"/>
  <c r="P37" i="35" s="1"/>
  <c r="AD36" i="35"/>
  <c r="AA36" i="35"/>
  <c r="Z36" i="35"/>
  <c r="AD35" i="35"/>
  <c r="AA35" i="35"/>
  <c r="Z35" i="35"/>
  <c r="AD34" i="35"/>
  <c r="AA34" i="35"/>
  <c r="Z34" i="35"/>
  <c r="AD33" i="35"/>
  <c r="AA33" i="35"/>
  <c r="Z33" i="35"/>
  <c r="AH32" i="35"/>
  <c r="AJ32" i="35" s="1"/>
  <c r="AD32" i="35"/>
  <c r="AA32" i="35"/>
  <c r="Z32" i="35"/>
  <c r="AD31" i="35"/>
  <c r="AA31" i="35"/>
  <c r="AH31" i="35" s="1"/>
  <c r="Z31" i="35"/>
  <c r="O31" i="35"/>
  <c r="P31" i="35" s="1"/>
  <c r="AD30" i="35"/>
  <c r="AA30" i="35"/>
  <c r="Z30" i="35"/>
  <c r="AD29" i="35"/>
  <c r="AA29" i="35"/>
  <c r="AH30" i="35" s="1"/>
  <c r="Z29" i="35"/>
  <c r="AD28" i="35"/>
  <c r="AA28" i="35"/>
  <c r="AH28" i="35" s="1"/>
  <c r="AJ28" i="35" s="1"/>
  <c r="Z28" i="35"/>
  <c r="AD27" i="35"/>
  <c r="AA27" i="35"/>
  <c r="Z27" i="35"/>
  <c r="AD26" i="35"/>
  <c r="AA26" i="35"/>
  <c r="AH27" i="35" s="1"/>
  <c r="Z26" i="35"/>
  <c r="AD25" i="35"/>
  <c r="AA25" i="35"/>
  <c r="AL25" i="35" s="1"/>
  <c r="AK25" i="35" s="1"/>
  <c r="Z25" i="35"/>
  <c r="O25" i="35"/>
  <c r="P25" i="35" s="1"/>
  <c r="AD24" i="35"/>
  <c r="AA24" i="35"/>
  <c r="Z24" i="35"/>
  <c r="AD23" i="35"/>
  <c r="AA23" i="35"/>
  <c r="Z23" i="35"/>
  <c r="AD22" i="35"/>
  <c r="AA22" i="35"/>
  <c r="Z22" i="35"/>
  <c r="AD21" i="35"/>
  <c r="AA21" i="35"/>
  <c r="AL22" i="35" s="1"/>
  <c r="AK22" i="35" s="1"/>
  <c r="Z21" i="35"/>
  <c r="AD20" i="35"/>
  <c r="AA20" i="35"/>
  <c r="Z20" i="35"/>
  <c r="AD19" i="35"/>
  <c r="AA19" i="35"/>
  <c r="Z19" i="35"/>
  <c r="O19" i="35"/>
  <c r="AD18" i="35"/>
  <c r="AA18" i="35"/>
  <c r="Z18" i="35"/>
  <c r="AD17" i="35"/>
  <c r="AA17" i="35"/>
  <c r="Z17" i="35"/>
  <c r="AD16" i="35"/>
  <c r="AA16" i="35"/>
  <c r="Z16" i="35"/>
  <c r="AD15" i="35"/>
  <c r="AA15" i="35"/>
  <c r="Z15" i="35"/>
  <c r="AD14" i="35"/>
  <c r="AA14" i="35"/>
  <c r="Z14" i="35"/>
  <c r="AD13" i="35"/>
  <c r="AA13" i="35"/>
  <c r="Z13" i="35"/>
  <c r="O13" i="35"/>
  <c r="P13" i="35" s="1"/>
  <c r="AD72" i="33"/>
  <c r="AA72" i="33"/>
  <c r="Z72" i="33"/>
  <c r="R72" i="33"/>
  <c r="AD71" i="33"/>
  <c r="AA71" i="33"/>
  <c r="Z71" i="33"/>
  <c r="R71" i="33"/>
  <c r="AD70" i="33"/>
  <c r="AA70" i="33"/>
  <c r="AL71" i="33" s="1"/>
  <c r="AK71" i="33" s="1"/>
  <c r="Z70" i="33"/>
  <c r="R70" i="33"/>
  <c r="AD69" i="33"/>
  <c r="AA69" i="33"/>
  <c r="Z69" i="33"/>
  <c r="R69" i="33"/>
  <c r="AD68" i="33"/>
  <c r="AA68" i="33"/>
  <c r="Z68" i="33"/>
  <c r="R68" i="33"/>
  <c r="AD67" i="33"/>
  <c r="AA67" i="33"/>
  <c r="Z67" i="33"/>
  <c r="O67" i="33"/>
  <c r="AD66" i="33"/>
  <c r="AA66" i="33"/>
  <c r="Z66" i="33"/>
  <c r="R66" i="33"/>
  <c r="AD65" i="33"/>
  <c r="AA65" i="33"/>
  <c r="Z65" i="33"/>
  <c r="R65" i="33"/>
  <c r="AD64" i="33"/>
  <c r="AA64" i="33"/>
  <c r="Z64" i="33"/>
  <c r="R64" i="33"/>
  <c r="AD63" i="33"/>
  <c r="AA63" i="33"/>
  <c r="Z63" i="33"/>
  <c r="R63" i="33"/>
  <c r="AD62" i="33"/>
  <c r="AA62" i="33"/>
  <c r="AH63" i="33" s="1"/>
  <c r="Z62" i="33"/>
  <c r="R62" i="33"/>
  <c r="AD61" i="33"/>
  <c r="AA61" i="33"/>
  <c r="AH61" i="33" s="1"/>
  <c r="AJ61" i="33" s="1"/>
  <c r="Z61" i="33"/>
  <c r="O61" i="33"/>
  <c r="P61" i="33" s="1"/>
  <c r="AD60" i="33"/>
  <c r="AA60" i="33"/>
  <c r="Z60" i="33"/>
  <c r="R60" i="33"/>
  <c r="AD59" i="33"/>
  <c r="AA59" i="33"/>
  <c r="Z59" i="33"/>
  <c r="R59" i="33"/>
  <c r="AD58" i="33"/>
  <c r="AA58" i="33"/>
  <c r="Z58" i="33"/>
  <c r="R58" i="33"/>
  <c r="AD57" i="33"/>
  <c r="AA57" i="33"/>
  <c r="Z57" i="33"/>
  <c r="R57" i="33"/>
  <c r="AD56" i="33"/>
  <c r="AA56" i="33"/>
  <c r="Z56" i="33"/>
  <c r="R56" i="33"/>
  <c r="AD55" i="33"/>
  <c r="AA55" i="33"/>
  <c r="AH55" i="33" s="1"/>
  <c r="Z55" i="33"/>
  <c r="O55" i="33"/>
  <c r="P55" i="33" s="1"/>
  <c r="AD54" i="33"/>
  <c r="AA54" i="33"/>
  <c r="Z54" i="33"/>
  <c r="R54" i="33"/>
  <c r="AD53" i="33"/>
  <c r="AA53" i="33"/>
  <c r="Z53" i="33"/>
  <c r="R53" i="33"/>
  <c r="AD52" i="33"/>
  <c r="AA52" i="33"/>
  <c r="Z52" i="33"/>
  <c r="R52" i="33"/>
  <c r="AD51" i="33"/>
  <c r="AA51" i="33"/>
  <c r="Z51" i="33"/>
  <c r="R51" i="33"/>
  <c r="AD50" i="33"/>
  <c r="AA50" i="33"/>
  <c r="Z50" i="33"/>
  <c r="R50" i="33"/>
  <c r="AD49" i="33"/>
  <c r="AA49" i="33"/>
  <c r="Z49" i="33"/>
  <c r="O49" i="33"/>
  <c r="P49" i="33" s="1"/>
  <c r="AD48" i="33"/>
  <c r="AA48" i="33"/>
  <c r="Z48" i="33"/>
  <c r="R48" i="33"/>
  <c r="AD47" i="33"/>
  <c r="AA47" i="33"/>
  <c r="Z47" i="33"/>
  <c r="R47" i="33"/>
  <c r="AD46" i="33"/>
  <c r="AA46" i="33"/>
  <c r="Z46" i="33"/>
  <c r="R46" i="33"/>
  <c r="AD45" i="33"/>
  <c r="AA45" i="33"/>
  <c r="Z45" i="33"/>
  <c r="R45" i="33"/>
  <c r="AD44" i="33"/>
  <c r="AA44" i="33"/>
  <c r="Z44" i="33"/>
  <c r="R44" i="33"/>
  <c r="AD43" i="33"/>
  <c r="AA43" i="33"/>
  <c r="Z43" i="33"/>
  <c r="O43" i="33"/>
  <c r="P43" i="33" s="1"/>
  <c r="AD42" i="33"/>
  <c r="AA42" i="33"/>
  <c r="Z42" i="33"/>
  <c r="R42" i="33"/>
  <c r="AD41" i="33"/>
  <c r="AA41" i="33"/>
  <c r="Z41" i="33"/>
  <c r="R41" i="33"/>
  <c r="AD40" i="33"/>
  <c r="AA40" i="33"/>
  <c r="Z40" i="33"/>
  <c r="R40" i="33"/>
  <c r="AD39" i="33"/>
  <c r="AA39" i="33"/>
  <c r="Z39" i="33"/>
  <c r="R39" i="33"/>
  <c r="AD38" i="33"/>
  <c r="AA38" i="33"/>
  <c r="Z38" i="33"/>
  <c r="R38" i="33"/>
  <c r="AD37" i="33"/>
  <c r="AA37" i="33"/>
  <c r="Z37" i="33"/>
  <c r="O37" i="33"/>
  <c r="P37" i="33" s="1"/>
  <c r="AD36" i="33"/>
  <c r="AA36" i="33"/>
  <c r="Z36" i="33"/>
  <c r="R36" i="33"/>
  <c r="AD35" i="33"/>
  <c r="AA35" i="33"/>
  <c r="Z35" i="33"/>
  <c r="R35" i="33"/>
  <c r="AD34" i="33"/>
  <c r="AA34" i="33"/>
  <c r="Z34" i="33"/>
  <c r="R34" i="33"/>
  <c r="AD33" i="33"/>
  <c r="AA33" i="33"/>
  <c r="Z33" i="33"/>
  <c r="R33" i="33"/>
  <c r="AD32" i="33"/>
  <c r="AA32" i="33"/>
  <c r="Z32" i="33"/>
  <c r="R32" i="33"/>
  <c r="AD31" i="33"/>
  <c r="AA31" i="33"/>
  <c r="AH31" i="33" s="1"/>
  <c r="AJ31" i="33" s="1"/>
  <c r="Z31" i="33"/>
  <c r="O31" i="33"/>
  <c r="AD30" i="33"/>
  <c r="AA30" i="33"/>
  <c r="Z30" i="33"/>
  <c r="R30" i="33"/>
  <c r="AD29" i="33"/>
  <c r="AA29" i="33"/>
  <c r="Z29" i="33"/>
  <c r="R29" i="33"/>
  <c r="AD28" i="33"/>
  <c r="AA28" i="33"/>
  <c r="Z28" i="33"/>
  <c r="R28" i="33"/>
  <c r="AD27" i="33"/>
  <c r="AA27" i="33"/>
  <c r="Z27" i="33"/>
  <c r="R27" i="33"/>
  <c r="AD26" i="33"/>
  <c r="AA26" i="33"/>
  <c r="Z26" i="33"/>
  <c r="R26" i="33"/>
  <c r="AD25" i="33"/>
  <c r="AA25" i="33"/>
  <c r="AL25" i="33" s="1"/>
  <c r="AK25" i="33" s="1"/>
  <c r="Z25" i="33"/>
  <c r="O25" i="33"/>
  <c r="P25" i="33" s="1"/>
  <c r="AD24" i="33"/>
  <c r="AA24" i="33"/>
  <c r="Z24" i="33"/>
  <c r="R24" i="33"/>
  <c r="AD23" i="33"/>
  <c r="AA23" i="33"/>
  <c r="Z23" i="33"/>
  <c r="R23" i="33"/>
  <c r="AD22" i="33"/>
  <c r="AA22" i="33"/>
  <c r="Z22" i="33"/>
  <c r="R22" i="33"/>
  <c r="AD21" i="33"/>
  <c r="AA21" i="33"/>
  <c r="Z21" i="33"/>
  <c r="R21" i="33"/>
  <c r="AD20" i="33"/>
  <c r="AA20" i="33"/>
  <c r="Z20" i="33"/>
  <c r="R20" i="33"/>
  <c r="AD19" i="33"/>
  <c r="AA19" i="33"/>
  <c r="Z19" i="33"/>
  <c r="O19" i="33"/>
  <c r="AD18" i="33"/>
  <c r="AA18" i="33"/>
  <c r="Z18" i="33"/>
  <c r="AD17" i="33"/>
  <c r="AA17" i="33"/>
  <c r="Z17" i="33"/>
  <c r="AD16" i="33"/>
  <c r="AA16" i="33"/>
  <c r="Z16" i="33"/>
  <c r="AD15" i="33"/>
  <c r="AA15" i="33"/>
  <c r="Z15" i="33"/>
  <c r="AD14" i="33"/>
  <c r="AA14" i="33"/>
  <c r="Z14" i="33"/>
  <c r="AD13" i="33"/>
  <c r="AA13" i="33"/>
  <c r="O13" i="33"/>
  <c r="Z20" i="1"/>
  <c r="Z21" i="1"/>
  <c r="Z22" i="1"/>
  <c r="Z23" i="1"/>
  <c r="Z24" i="1"/>
  <c r="Z25" i="1"/>
  <c r="Z26" i="1"/>
  <c r="Z27" i="1"/>
  <c r="Z28" i="1"/>
  <c r="Z29" i="1"/>
  <c r="Z30" i="1"/>
  <c r="Z31" i="1"/>
  <c r="Z32" i="1"/>
  <c r="Z33" i="1"/>
  <c r="Z34" i="1"/>
  <c r="Z35" i="1"/>
  <c r="Z36" i="1"/>
  <c r="Z37" i="1"/>
  <c r="Z38" i="1"/>
  <c r="Z39" i="1"/>
  <c r="Z40" i="1"/>
  <c r="Z41" i="1"/>
  <c r="Z42" i="1"/>
  <c r="Z43" i="1"/>
  <c r="Z44" i="1"/>
  <c r="Z45" i="1"/>
  <c r="Z46" i="1"/>
  <c r="Z47" i="1"/>
  <c r="Z48" i="1"/>
  <c r="Z49" i="1"/>
  <c r="Z50" i="1"/>
  <c r="Z51" i="1"/>
  <c r="Z52" i="1"/>
  <c r="Z53" i="1"/>
  <c r="Z54" i="1"/>
  <c r="Z55" i="1"/>
  <c r="Z56" i="1"/>
  <c r="Z57" i="1"/>
  <c r="Z58" i="1"/>
  <c r="Z59" i="1"/>
  <c r="Z60" i="1"/>
  <c r="Z61" i="1"/>
  <c r="Z16" i="1"/>
  <c r="Z19" i="1"/>
  <c r="F13" i="1"/>
  <c r="R17" i="33"/>
  <c r="R15" i="33"/>
  <c r="R14" i="33"/>
  <c r="R16" i="33"/>
  <c r="R18" i="33"/>
  <c r="AL17" i="35" l="1"/>
  <c r="AK17" i="35" s="1"/>
  <c r="AL20" i="35"/>
  <c r="AK20" i="35" s="1"/>
  <c r="AL35" i="35"/>
  <c r="AK35" i="35" s="1"/>
  <c r="AL54" i="35"/>
  <c r="AK54" i="35" s="1"/>
  <c r="AH64" i="35"/>
  <c r="AJ64" i="35" s="1"/>
  <c r="AH42" i="37"/>
  <c r="AL42" i="37" s="1"/>
  <c r="AL14" i="35"/>
  <c r="AK14" i="35" s="1"/>
  <c r="AH33" i="35"/>
  <c r="AL39" i="35"/>
  <c r="AK39" i="35" s="1"/>
  <c r="AL44" i="35"/>
  <c r="AK44" i="35" s="1"/>
  <c r="AH53" i="35"/>
  <c r="AH58" i="35"/>
  <c r="AH63" i="35"/>
  <c r="AI63" i="35" s="1"/>
  <c r="AL68" i="35"/>
  <c r="AK68" i="35" s="1"/>
  <c r="AL72" i="35"/>
  <c r="AK72" i="35" s="1"/>
  <c r="AL40" i="35"/>
  <c r="AK40" i="35" s="1"/>
  <c r="AL59" i="35"/>
  <c r="AK59" i="35" s="1"/>
  <c r="AH69" i="35"/>
  <c r="AH46" i="37"/>
  <c r="AL50" i="35"/>
  <c r="AK50" i="35" s="1"/>
  <c r="AI22" i="37"/>
  <c r="AH16" i="35"/>
  <c r="AI16" i="35" s="1"/>
  <c r="AH68" i="37"/>
  <c r="AL68" i="37" s="1"/>
  <c r="AL61" i="37"/>
  <c r="AH40" i="37"/>
  <c r="AL40" i="37" s="1"/>
  <c r="AI51" i="37"/>
  <c r="AI41" i="37"/>
  <c r="AL21" i="35"/>
  <c r="AK21" i="35" s="1"/>
  <c r="AL36" i="35"/>
  <c r="AK36" i="35" s="1"/>
  <c r="AH41" i="35"/>
  <c r="AL46" i="35"/>
  <c r="AK46" i="35" s="1"/>
  <c r="AL66" i="35"/>
  <c r="AK66" i="35" s="1"/>
  <c r="AL71" i="35"/>
  <c r="AK71" i="35" s="1"/>
  <c r="AI35" i="37"/>
  <c r="AL27" i="37"/>
  <c r="AL22" i="37"/>
  <c r="AI16" i="37"/>
  <c r="AL57" i="35"/>
  <c r="AK57" i="35" s="1"/>
  <c r="AL62" i="35"/>
  <c r="AK62" i="35" s="1"/>
  <c r="AI32" i="37"/>
  <c r="AL48" i="37"/>
  <c r="AH25" i="37"/>
  <c r="AL25" i="37" s="1"/>
  <c r="AL66" i="37"/>
  <c r="AH65" i="33"/>
  <c r="AJ65" i="33" s="1"/>
  <c r="AL18" i="35"/>
  <c r="AK18" i="35" s="1"/>
  <c r="AL28" i="35"/>
  <c r="AK28" i="35" s="1"/>
  <c r="AI69" i="37"/>
  <c r="AH49" i="37"/>
  <c r="AL49" i="37" s="1"/>
  <c r="AL48" i="35"/>
  <c r="AK48" i="35" s="1"/>
  <c r="AJ55" i="35"/>
  <c r="AI55" i="35"/>
  <c r="AH49" i="35"/>
  <c r="AL63" i="37"/>
  <c r="AH66" i="35"/>
  <c r="AJ66" i="35" s="1"/>
  <c r="AI66" i="37"/>
  <c r="AH43" i="35"/>
  <c r="AH54" i="35"/>
  <c r="AJ54" i="35" s="1"/>
  <c r="AH65" i="37"/>
  <c r="AH39" i="35"/>
  <c r="AJ39" i="35" s="1"/>
  <c r="AH22" i="35"/>
  <c r="AI22" i="35" s="1"/>
  <c r="AM22" i="35" s="1"/>
  <c r="AL43" i="35"/>
  <c r="AK43" i="35" s="1"/>
  <c r="AH50" i="35"/>
  <c r="AJ50" i="35" s="1"/>
  <c r="AH59" i="35"/>
  <c r="AH48" i="35"/>
  <c r="AH52" i="35"/>
  <c r="AI52" i="35" s="1"/>
  <c r="AI26" i="37"/>
  <c r="AL24" i="35"/>
  <c r="AK24" i="35" s="1"/>
  <c r="AL33" i="35"/>
  <c r="AK33" i="35" s="1"/>
  <c r="AL65" i="35"/>
  <c r="AK65" i="35" s="1"/>
  <c r="AH54" i="37"/>
  <c r="AL13" i="37"/>
  <c r="AL37" i="35"/>
  <c r="AK37" i="35" s="1"/>
  <c r="AH65" i="35"/>
  <c r="AJ65" i="35" s="1"/>
  <c r="AH70" i="35"/>
  <c r="AH58" i="37"/>
  <c r="AL58" i="37" s="1"/>
  <c r="AH61" i="35"/>
  <c r="AJ61" i="35" s="1"/>
  <c r="AL49" i="35"/>
  <c r="AK49" i="35" s="1"/>
  <c r="AI13" i="37"/>
  <c r="AH21" i="35"/>
  <c r="AJ21" i="35" s="1"/>
  <c r="AH17" i="35"/>
  <c r="AJ17" i="35" s="1"/>
  <c r="AL18" i="33"/>
  <c r="AK18" i="33" s="1"/>
  <c r="AH18" i="35"/>
  <c r="AI18" i="35" s="1"/>
  <c r="AL31" i="35"/>
  <c r="AK31" i="35" s="1"/>
  <c r="AL56" i="35"/>
  <c r="AK56" i="35" s="1"/>
  <c r="AI61" i="37"/>
  <c r="AH36" i="35"/>
  <c r="AJ36" i="35" s="1"/>
  <c r="AL45" i="35"/>
  <c r="AK45" i="35" s="1"/>
  <c r="AH15" i="35"/>
  <c r="AJ15" i="35" s="1"/>
  <c r="AL29" i="35"/>
  <c r="AK29" i="35" s="1"/>
  <c r="AH42" i="35"/>
  <c r="AI42" i="35" s="1"/>
  <c r="AH44" i="35"/>
  <c r="AH60" i="35"/>
  <c r="AJ60" i="35" s="1"/>
  <c r="AL70" i="35"/>
  <c r="AK70" i="35" s="1"/>
  <c r="AI27" i="37"/>
  <c r="AQ13" i="38"/>
  <c r="AP13" i="38" s="1"/>
  <c r="AR13" i="38" s="1"/>
  <c r="AH24" i="37"/>
  <c r="AL24" i="37" s="1"/>
  <c r="AH44" i="33"/>
  <c r="AI44" i="33" s="1"/>
  <c r="AL46" i="33"/>
  <c r="AK46" i="33" s="1"/>
  <c r="AL60" i="33"/>
  <c r="AK60" i="33" s="1"/>
  <c r="AL29" i="33"/>
  <c r="AK29" i="33" s="1"/>
  <c r="AH33" i="33"/>
  <c r="AL35" i="33"/>
  <c r="AK35" i="33" s="1"/>
  <c r="AI17" i="37"/>
  <c r="AL17" i="37"/>
  <c r="AI18" i="37"/>
  <c r="AL54" i="37"/>
  <c r="AL56" i="37"/>
  <c r="AL16" i="37"/>
  <c r="AH37" i="37"/>
  <c r="AL37" i="37" s="1"/>
  <c r="AL51" i="37"/>
  <c r="AI70" i="37"/>
  <c r="AH15" i="37"/>
  <c r="AL15" i="37" s="1"/>
  <c r="AI47" i="37"/>
  <c r="AH47" i="37"/>
  <c r="AL47" i="37" s="1"/>
  <c r="AH53" i="37"/>
  <c r="AL53" i="37" s="1"/>
  <c r="AL41" i="37"/>
  <c r="AL21" i="37"/>
  <c r="AL69" i="37"/>
  <c r="AI39" i="37"/>
  <c r="AH39" i="37"/>
  <c r="AL39" i="37" s="1"/>
  <c r="AI62" i="37"/>
  <c r="AH62" i="37"/>
  <c r="AL62" i="37" s="1"/>
  <c r="AL31" i="37"/>
  <c r="AL70" i="37"/>
  <c r="AI29" i="37"/>
  <c r="AH29" i="37"/>
  <c r="AL29" i="37" s="1"/>
  <c r="AI14" i="37"/>
  <c r="AH14" i="37"/>
  <c r="AL14" i="37" s="1"/>
  <c r="AL26" i="37"/>
  <c r="AI72" i="37"/>
  <c r="AH72" i="37"/>
  <c r="AL72" i="37" s="1"/>
  <c r="AI44" i="37"/>
  <c r="AH44" i="37"/>
  <c r="AL44" i="37" s="1"/>
  <c r="AI43" i="37"/>
  <c r="AH43" i="37"/>
  <c r="AL43" i="37" s="1"/>
  <c r="AL45" i="37"/>
  <c r="AI34" i="37"/>
  <c r="AH34" i="37"/>
  <c r="AL34" i="37" s="1"/>
  <c r="AH19" i="37"/>
  <c r="AL19" i="37" s="1"/>
  <c r="AI19" i="37"/>
  <c r="AL64" i="37"/>
  <c r="AH23" i="37"/>
  <c r="AL23" i="37" s="1"/>
  <c r="AI23" i="37"/>
  <c r="AI59" i="37"/>
  <c r="AH59" i="37"/>
  <c r="AL59" i="37" s="1"/>
  <c r="AI55" i="37"/>
  <c r="AH55" i="37"/>
  <c r="AL55" i="37" s="1"/>
  <c r="AI57" i="37"/>
  <c r="AH57" i="37"/>
  <c r="AL57" i="37" s="1"/>
  <c r="AI20" i="37"/>
  <c r="AH20" i="37"/>
  <c r="AL20" i="37" s="1"/>
  <c r="AI67" i="37"/>
  <c r="AH67" i="37"/>
  <c r="AL67" i="37" s="1"/>
  <c r="AI50" i="37"/>
  <c r="AH50" i="37"/>
  <c r="AL50" i="37" s="1"/>
  <c r="AI38" i="37"/>
  <c r="AH38" i="37"/>
  <c r="AL38" i="37" s="1"/>
  <c r="AI28" i="37"/>
  <c r="AH28" i="37"/>
  <c r="AL28" i="37" s="1"/>
  <c r="AL60" i="37"/>
  <c r="AL30" i="37"/>
  <c r="AL35" i="37"/>
  <c r="AH33" i="37"/>
  <c r="AL33" i="37" s="1"/>
  <c r="AI33" i="37"/>
  <c r="AI71" i="37"/>
  <c r="AH71" i="37"/>
  <c r="AL71" i="37" s="1"/>
  <c r="AI52" i="37"/>
  <c r="AH52" i="37"/>
  <c r="AL52" i="37" s="1"/>
  <c r="AL46" i="37"/>
  <c r="AL65" i="37"/>
  <c r="AH13" i="35"/>
  <c r="AJ13" i="35" s="1"/>
  <c r="AI33" i="35"/>
  <c r="AJ33" i="35"/>
  <c r="AJ41" i="35"/>
  <c r="AI41" i="35"/>
  <c r="AJ52" i="35"/>
  <c r="AJ58" i="35"/>
  <c r="AI58" i="35"/>
  <c r="AJ69" i="35"/>
  <c r="AI69" i="35"/>
  <c r="AI27" i="35"/>
  <c r="AJ27" i="35"/>
  <c r="AJ16" i="35"/>
  <c r="AI38" i="35"/>
  <c r="AJ38" i="35"/>
  <c r="AJ47" i="35"/>
  <c r="AI47" i="35"/>
  <c r="AJ31" i="35"/>
  <c r="AI31" i="35"/>
  <c r="AM31" i="35" s="1"/>
  <c r="AJ63" i="35"/>
  <c r="AJ30" i="35"/>
  <c r="AI30" i="35"/>
  <c r="AI64" i="35"/>
  <c r="AI53" i="35"/>
  <c r="AJ53" i="35"/>
  <c r="AL41" i="35"/>
  <c r="AK41" i="35" s="1"/>
  <c r="P19" i="35"/>
  <c r="AH19" i="35"/>
  <c r="AH23" i="35"/>
  <c r="AI28" i="35"/>
  <c r="AM28" i="35" s="1"/>
  <c r="AL32" i="35"/>
  <c r="AK32" i="35" s="1"/>
  <c r="AH34" i="35"/>
  <c r="AH45" i="35"/>
  <c r="AL47" i="35"/>
  <c r="AK47" i="35" s="1"/>
  <c r="AH56" i="35"/>
  <c r="AL58" i="35"/>
  <c r="AK58" i="35" s="1"/>
  <c r="P67" i="35"/>
  <c r="AH67" i="35"/>
  <c r="AL69" i="35"/>
  <c r="AK69" i="35" s="1"/>
  <c r="AH71" i="35"/>
  <c r="AL26" i="35"/>
  <c r="AK26" i="35" s="1"/>
  <c r="AH14" i="35"/>
  <c r="AH25" i="35"/>
  <c r="AL27" i="35"/>
  <c r="AK27" i="35" s="1"/>
  <c r="AL38" i="35"/>
  <c r="AK38" i="35" s="1"/>
  <c r="AH40" i="35"/>
  <c r="AL42" i="35"/>
  <c r="AK42" i="35" s="1"/>
  <c r="AH51" i="35"/>
  <c r="AL53" i="35"/>
  <c r="AK53" i="35" s="1"/>
  <c r="AH62" i="35"/>
  <c r="AL64" i="35"/>
  <c r="AK64" i="35" s="1"/>
  <c r="AL63" i="35"/>
  <c r="AK63" i="35" s="1"/>
  <c r="AH29" i="35"/>
  <c r="AH20" i="35"/>
  <c r="AH24" i="35"/>
  <c r="AH35" i="35"/>
  <c r="AH46" i="35"/>
  <c r="AL55" i="35"/>
  <c r="AK55" i="35" s="1"/>
  <c r="AH57" i="35"/>
  <c r="AH68" i="35"/>
  <c r="AH72" i="35"/>
  <c r="AL15" i="35"/>
  <c r="AK15" i="35" s="1"/>
  <c r="AL30" i="35"/>
  <c r="AK30" i="35" s="1"/>
  <c r="AL52" i="35"/>
  <c r="AK52" i="35" s="1"/>
  <c r="AL16" i="35"/>
  <c r="AK16" i="35" s="1"/>
  <c r="AH26" i="35"/>
  <c r="AH37" i="35"/>
  <c r="AL61" i="35"/>
  <c r="AK61" i="35" s="1"/>
  <c r="AL67" i="35"/>
  <c r="AK67" i="35" s="1"/>
  <c r="AL23" i="35"/>
  <c r="AK23" i="35" s="1"/>
  <c r="AL34" i="35"/>
  <c r="AK34" i="35" s="1"/>
  <c r="AI32" i="35"/>
  <c r="AH53" i="33"/>
  <c r="AI53" i="33" s="1"/>
  <c r="AH54" i="33"/>
  <c r="AJ54" i="33" s="1"/>
  <c r="AL55" i="33"/>
  <c r="AK55" i="33" s="1"/>
  <c r="AL66" i="33"/>
  <c r="AK66" i="33" s="1"/>
  <c r="AL31" i="33"/>
  <c r="AK31" i="33" s="1"/>
  <c r="AH38" i="33"/>
  <c r="AJ38" i="33" s="1"/>
  <c r="AH39" i="33"/>
  <c r="AJ39" i="33" s="1"/>
  <c r="AH42" i="33"/>
  <c r="AI42" i="33" s="1"/>
  <c r="AL68" i="33"/>
  <c r="AK68" i="33" s="1"/>
  <c r="AH70" i="33"/>
  <c r="AI70" i="33" s="1"/>
  <c r="AL72" i="33"/>
  <c r="AK72" i="33" s="1"/>
  <c r="AJ55" i="33"/>
  <c r="AI55" i="33"/>
  <c r="AL22" i="33"/>
  <c r="AK22" i="33" s="1"/>
  <c r="AL37" i="33"/>
  <c r="AK37" i="33" s="1"/>
  <c r="AL57" i="33"/>
  <c r="AK57" i="33" s="1"/>
  <c r="AL24" i="33"/>
  <c r="AK24" i="33" s="1"/>
  <c r="AH72" i="33"/>
  <c r="AJ72" i="33" s="1"/>
  <c r="AL28" i="33"/>
  <c r="AK28" i="33" s="1"/>
  <c r="AH14" i="33"/>
  <c r="AI14" i="33" s="1"/>
  <c r="AL17" i="33"/>
  <c r="AK17" i="33" s="1"/>
  <c r="AL39" i="33"/>
  <c r="AK39" i="33" s="1"/>
  <c r="AL50" i="33"/>
  <c r="AK50" i="33" s="1"/>
  <c r="AH56" i="33"/>
  <c r="AJ56" i="33" s="1"/>
  <c r="AL63" i="33"/>
  <c r="AK63" i="33" s="1"/>
  <c r="AH50" i="33"/>
  <c r="AJ50" i="33" s="1"/>
  <c r="AH36" i="33"/>
  <c r="AJ36" i="33" s="1"/>
  <c r="AL45" i="33"/>
  <c r="AK45" i="33" s="1"/>
  <c r="AH49" i="33"/>
  <c r="AH46" i="33"/>
  <c r="AJ46" i="33" s="1"/>
  <c r="AL49" i="33"/>
  <c r="AK49" i="33" s="1"/>
  <c r="AL20" i="33"/>
  <c r="AK20" i="33" s="1"/>
  <c r="AL62" i="33"/>
  <c r="AK62" i="33" s="1"/>
  <c r="AH69" i="33"/>
  <c r="AJ69" i="33" s="1"/>
  <c r="P13" i="33"/>
  <c r="AH13" i="33" s="1"/>
  <c r="AI13" i="33" s="1"/>
  <c r="AH18" i="33"/>
  <c r="AI18" i="33" s="1"/>
  <c r="AH28" i="33"/>
  <c r="AJ28" i="33" s="1"/>
  <c r="AH35" i="33"/>
  <c r="AJ35" i="33" s="1"/>
  <c r="AH21" i="33"/>
  <c r="AJ21" i="33" s="1"/>
  <c r="AH41" i="33"/>
  <c r="AJ41" i="33" s="1"/>
  <c r="AH48" i="33"/>
  <c r="AI48" i="33" s="1"/>
  <c r="AH52" i="33"/>
  <c r="AI52" i="33" s="1"/>
  <c r="AL54" i="33"/>
  <c r="AK54" i="33" s="1"/>
  <c r="AH59" i="33"/>
  <c r="AJ59" i="33" s="1"/>
  <c r="AL65" i="33"/>
  <c r="AK65" i="33" s="1"/>
  <c r="AL23" i="33"/>
  <c r="AK23" i="33" s="1"/>
  <c r="AH66" i="33"/>
  <c r="AI66" i="33" s="1"/>
  <c r="AH16" i="33"/>
  <c r="AI16" i="33" s="1"/>
  <c r="AH20" i="33"/>
  <c r="AJ20" i="33" s="1"/>
  <c r="AH30" i="33"/>
  <c r="AI30" i="33" s="1"/>
  <c r="AH60" i="33"/>
  <c r="AL14" i="33"/>
  <c r="AK14" i="33" s="1"/>
  <c r="AH32" i="33"/>
  <c r="AJ32" i="33" s="1"/>
  <c r="AL40" i="33"/>
  <c r="AK40" i="33" s="1"/>
  <c r="AH47" i="33"/>
  <c r="AJ47" i="33" s="1"/>
  <c r="AL51" i="33"/>
  <c r="AK51" i="33" s="1"/>
  <c r="AL56" i="33"/>
  <c r="AK56" i="33" s="1"/>
  <c r="AH58" i="33"/>
  <c r="AJ58" i="33" s="1"/>
  <c r="AH64" i="33"/>
  <c r="AI64" i="33" s="1"/>
  <c r="AH17" i="33"/>
  <c r="AJ17" i="33" s="1"/>
  <c r="AH24" i="33"/>
  <c r="AJ24" i="33" s="1"/>
  <c r="AH68" i="33"/>
  <c r="AJ68" i="33" s="1"/>
  <c r="AH22" i="33"/>
  <c r="AI22" i="33" s="1"/>
  <c r="AH27" i="33"/>
  <c r="AJ27" i="33" s="1"/>
  <c r="AL34" i="33"/>
  <c r="AK34" i="33" s="1"/>
  <c r="AH57" i="33"/>
  <c r="AJ57" i="33" s="1"/>
  <c r="AJ63" i="33"/>
  <c r="AI63" i="33"/>
  <c r="AI21" i="33"/>
  <c r="AI41" i="33"/>
  <c r="AJ33" i="33"/>
  <c r="AI33" i="33"/>
  <c r="AL41" i="33"/>
  <c r="AK41" i="33" s="1"/>
  <c r="P19" i="33"/>
  <c r="AH19" i="33"/>
  <c r="AL21" i="33"/>
  <c r="AK21" i="33" s="1"/>
  <c r="AH23" i="33"/>
  <c r="AL32" i="33"/>
  <c r="AK32" i="33" s="1"/>
  <c r="AH34" i="33"/>
  <c r="AL36" i="33"/>
  <c r="AK36" i="33" s="1"/>
  <c r="AL43" i="33"/>
  <c r="AK43" i="33" s="1"/>
  <c r="AH45" i="33"/>
  <c r="AL47" i="33"/>
  <c r="AK47" i="33" s="1"/>
  <c r="AL58" i="33"/>
  <c r="AK58" i="33" s="1"/>
  <c r="AI61" i="33"/>
  <c r="P67" i="33"/>
  <c r="AH67" i="33"/>
  <c r="AL69" i="33"/>
  <c r="AK69" i="33" s="1"/>
  <c r="AH71" i="33"/>
  <c r="AL30" i="33"/>
  <c r="AK30" i="33" s="1"/>
  <c r="AL52" i="33"/>
  <c r="AK52" i="33" s="1"/>
  <c r="AH25" i="33"/>
  <c r="AL27" i="33"/>
  <c r="AK27" i="33" s="1"/>
  <c r="AH29" i="33"/>
  <c r="AL38" i="33"/>
  <c r="AK38" i="33" s="1"/>
  <c r="AH40" i="33"/>
  <c r="AL42" i="33"/>
  <c r="AK42" i="33" s="1"/>
  <c r="AH51" i="33"/>
  <c r="AL53" i="33"/>
  <c r="AK53" i="33" s="1"/>
  <c r="AH62" i="33"/>
  <c r="AL64" i="33"/>
  <c r="AK64" i="33" s="1"/>
  <c r="AL26" i="33"/>
  <c r="AK26" i="33" s="1"/>
  <c r="P31" i="33"/>
  <c r="AL33" i="33"/>
  <c r="AK33" i="33" s="1"/>
  <c r="AL44" i="33"/>
  <c r="AK44" i="33" s="1"/>
  <c r="AL48" i="33"/>
  <c r="AK48" i="33" s="1"/>
  <c r="AL59" i="33"/>
  <c r="AK59" i="33" s="1"/>
  <c r="AL70" i="33"/>
  <c r="AK70" i="33" s="1"/>
  <c r="AH15" i="33"/>
  <c r="AH26" i="33"/>
  <c r="AI31" i="33"/>
  <c r="AH37" i="33"/>
  <c r="AL61" i="33"/>
  <c r="AK61" i="33" s="1"/>
  <c r="AL19" i="33"/>
  <c r="AK19" i="33" s="1"/>
  <c r="AH43" i="33"/>
  <c r="AL67" i="33"/>
  <c r="AK67" i="33" s="1"/>
  <c r="AL16" i="33"/>
  <c r="AK16" i="33" s="1"/>
  <c r="AL15" i="33"/>
  <c r="AK15" i="33" s="1"/>
  <c r="O13" i="1"/>
  <c r="P13" i="1" s="1"/>
  <c r="AA13" i="1"/>
  <c r="AD13" i="1"/>
  <c r="AH14" i="1" l="1"/>
  <c r="AL14" i="1"/>
  <c r="AK14" i="1" s="1"/>
  <c r="AM18" i="35"/>
  <c r="AI15" i="35"/>
  <c r="AM15" i="35" s="1"/>
  <c r="AI65" i="35"/>
  <c r="AM65" i="35" s="1"/>
  <c r="AJ44" i="33"/>
  <c r="AI21" i="35"/>
  <c r="AM21" i="35" s="1"/>
  <c r="AJ30" i="33"/>
  <c r="AJ18" i="35"/>
  <c r="AI65" i="33"/>
  <c r="AI50" i="33"/>
  <c r="AJ52" i="33"/>
  <c r="AM55" i="35"/>
  <c r="AM18" i="33"/>
  <c r="AJ59" i="35"/>
  <c r="AI59" i="35"/>
  <c r="AM59" i="35" s="1"/>
  <c r="AJ70" i="33"/>
  <c r="AI66" i="35"/>
  <c r="AM66" i="35" s="1"/>
  <c r="AI54" i="35"/>
  <c r="AM54" i="35" s="1"/>
  <c r="AJ42" i="35"/>
  <c r="AJ43" i="35"/>
  <c r="AI43" i="35"/>
  <c r="AM43" i="35" s="1"/>
  <c r="AJ48" i="35"/>
  <c r="AI48" i="35"/>
  <c r="AM48" i="35" s="1"/>
  <c r="AI61" i="35"/>
  <c r="AM61" i="35" s="1"/>
  <c r="AJ44" i="35"/>
  <c r="AI44" i="35"/>
  <c r="AM44" i="35" s="1"/>
  <c r="AJ70" i="35"/>
  <c r="AI70" i="35"/>
  <c r="AM70" i="35" s="1"/>
  <c r="AI50" i="35"/>
  <c r="AM50" i="35" s="1"/>
  <c r="AI17" i="35"/>
  <c r="AM17" i="35" s="1"/>
  <c r="AJ22" i="35"/>
  <c r="AJ42" i="33"/>
  <c r="AI39" i="35"/>
  <c r="AM39" i="35" s="1"/>
  <c r="AI60" i="35"/>
  <c r="AM60" i="35" s="1"/>
  <c r="AJ49" i="35"/>
  <c r="AI49" i="35"/>
  <c r="AM49" i="35" s="1"/>
  <c r="AI72" i="33"/>
  <c r="AI69" i="33"/>
  <c r="AM69" i="33" s="1"/>
  <c r="AI36" i="35"/>
  <c r="AM36" i="35" s="1"/>
  <c r="AI68" i="33"/>
  <c r="AI54" i="33"/>
  <c r="AI38" i="33"/>
  <c r="AM38" i="33" s="1"/>
  <c r="AM33" i="35"/>
  <c r="AI24" i="33"/>
  <c r="AM24" i="33" s="1"/>
  <c r="AI56" i="33"/>
  <c r="AM56" i="33" s="1"/>
  <c r="AJ53" i="33"/>
  <c r="AI32" i="33"/>
  <c r="AM32" i="33" s="1"/>
  <c r="AI20" i="33"/>
  <c r="AM20" i="33" s="1"/>
  <c r="AI27" i="33"/>
  <c r="AM27" i="33" s="1"/>
  <c r="AJ64" i="33"/>
  <c r="AJ14" i="33"/>
  <c r="AI13" i="35"/>
  <c r="AM31" i="33"/>
  <c r="AM66" i="33"/>
  <c r="AM69" i="35"/>
  <c r="AM41" i="35"/>
  <c r="AM27" i="35"/>
  <c r="AM52" i="35"/>
  <c r="AM58" i="35"/>
  <c r="AM68" i="33"/>
  <c r="AM63" i="33"/>
  <c r="AJ51" i="35"/>
  <c r="AI51" i="35"/>
  <c r="AM51" i="35" s="1"/>
  <c r="AJ40" i="35"/>
  <c r="AI40" i="35"/>
  <c r="AM40" i="35" s="1"/>
  <c r="AJ19" i="35"/>
  <c r="AI19" i="35"/>
  <c r="AJ72" i="35"/>
  <c r="AI72" i="35"/>
  <c r="AM72" i="35" s="1"/>
  <c r="AJ29" i="35"/>
  <c r="AI29" i="35"/>
  <c r="AM29" i="35" s="1"/>
  <c r="AM47" i="35"/>
  <c r="AJ67" i="35"/>
  <c r="AI67" i="35"/>
  <c r="AM67" i="35" s="1"/>
  <c r="AM30" i="35"/>
  <c r="AJ37" i="35"/>
  <c r="AI37" i="35"/>
  <c r="AM37" i="35" s="1"/>
  <c r="AJ68" i="35"/>
  <c r="AI68" i="35"/>
  <c r="AM68" i="35" s="1"/>
  <c r="AJ45" i="35"/>
  <c r="AI45" i="35"/>
  <c r="AM45" i="35" s="1"/>
  <c r="AM63" i="35"/>
  <c r="AJ46" i="35"/>
  <c r="AI46" i="35"/>
  <c r="AM46" i="35" s="1"/>
  <c r="AJ56" i="35"/>
  <c r="AI56" i="35"/>
  <c r="AM56" i="35" s="1"/>
  <c r="AM53" i="35"/>
  <c r="AJ24" i="35"/>
  <c r="AI24" i="35"/>
  <c r="AM24" i="35" s="1"/>
  <c r="AI23" i="35"/>
  <c r="AM23" i="35" s="1"/>
  <c r="AJ23" i="35"/>
  <c r="AM16" i="35"/>
  <c r="AM32" i="35"/>
  <c r="AJ26" i="35"/>
  <c r="AI26" i="35"/>
  <c r="AM26" i="35" s="1"/>
  <c r="AJ57" i="35"/>
  <c r="AI57" i="35"/>
  <c r="AM57" i="35" s="1"/>
  <c r="AJ25" i="35"/>
  <c r="AI25" i="35"/>
  <c r="AM25" i="35" s="1"/>
  <c r="AJ35" i="35"/>
  <c r="AI35" i="35"/>
  <c r="AM35" i="35" s="1"/>
  <c r="AJ71" i="35"/>
  <c r="AI71" i="35"/>
  <c r="AM71" i="35" s="1"/>
  <c r="AJ20" i="35"/>
  <c r="AI20" i="35"/>
  <c r="AM20" i="35" s="1"/>
  <c r="AM42" i="35"/>
  <c r="AJ62" i="35"/>
  <c r="AI62" i="35"/>
  <c r="AM62" i="35" s="1"/>
  <c r="AJ14" i="35"/>
  <c r="AI14" i="35"/>
  <c r="AM14" i="35" s="1"/>
  <c r="AJ34" i="35"/>
  <c r="AI34" i="35"/>
  <c r="AM34" i="35" s="1"/>
  <c r="AM64" i="35"/>
  <c r="AM38" i="35"/>
  <c r="AM50" i="33"/>
  <c r="AM72" i="33"/>
  <c r="AI28" i="33"/>
  <c r="AM28" i="33" s="1"/>
  <c r="AJ22" i="33"/>
  <c r="AM22" i="33"/>
  <c r="AI57" i="33"/>
  <c r="AM57" i="33" s="1"/>
  <c r="AM65" i="33"/>
  <c r="AI46" i="33"/>
  <c r="AM46" i="33" s="1"/>
  <c r="AI39" i="33"/>
  <c r="AM39" i="33" s="1"/>
  <c r="AJ66" i="33"/>
  <c r="AM55" i="33"/>
  <c r="AI47" i="33"/>
  <c r="AM47" i="33" s="1"/>
  <c r="AI35" i="33"/>
  <c r="AM35" i="33" s="1"/>
  <c r="AI36" i="33"/>
  <c r="AM36" i="33" s="1"/>
  <c r="AJ48" i="33"/>
  <c r="AJ49" i="33"/>
  <c r="AI49" i="33"/>
  <c r="AM49" i="33" s="1"/>
  <c r="AJ13" i="33"/>
  <c r="AJ16" i="33"/>
  <c r="AJ18" i="33"/>
  <c r="AM54" i="33"/>
  <c r="AM53" i="33"/>
  <c r="AM70" i="33"/>
  <c r="AJ60" i="33"/>
  <c r="AI60" i="33"/>
  <c r="AM60" i="33" s="1"/>
  <c r="AI17" i="33"/>
  <c r="AM17" i="33" s="1"/>
  <c r="AM14" i="33"/>
  <c r="AI58" i="33"/>
  <c r="AM58" i="33" s="1"/>
  <c r="AI59" i="33"/>
  <c r="AM59" i="33" s="1"/>
  <c r="AJ15" i="33"/>
  <c r="AI15" i="33"/>
  <c r="AM15" i="33" s="1"/>
  <c r="AJ29" i="33"/>
  <c r="AI29" i="33"/>
  <c r="AM29" i="33" s="1"/>
  <c r="AM30" i="33"/>
  <c r="AM48" i="33"/>
  <c r="AJ45" i="33"/>
  <c r="AI45" i="33"/>
  <c r="AM45" i="33" s="1"/>
  <c r="AJ19" i="33"/>
  <c r="AI19" i="33"/>
  <c r="AM19" i="33" s="1"/>
  <c r="AJ37" i="33"/>
  <c r="AI37" i="33"/>
  <c r="AM37" i="33" s="1"/>
  <c r="AJ62" i="33"/>
  <c r="AI62" i="33"/>
  <c r="AM62" i="33" s="1"/>
  <c r="AJ25" i="33"/>
  <c r="AI25" i="33"/>
  <c r="AM25" i="33" s="1"/>
  <c r="AM61" i="33"/>
  <c r="AM64" i="33"/>
  <c r="AM41" i="33"/>
  <c r="AM16" i="33"/>
  <c r="AM44" i="33"/>
  <c r="AJ51" i="33"/>
  <c r="AI51" i="33"/>
  <c r="AM51" i="33" s="1"/>
  <c r="AJ34" i="33"/>
  <c r="AI34" i="33"/>
  <c r="AM34" i="33" s="1"/>
  <c r="AM33" i="33"/>
  <c r="AJ67" i="33"/>
  <c r="AI67" i="33"/>
  <c r="AM67" i="33" s="1"/>
  <c r="AJ43" i="33"/>
  <c r="AI43" i="33"/>
  <c r="AM43" i="33" s="1"/>
  <c r="AJ26" i="33"/>
  <c r="AI26" i="33"/>
  <c r="AM26" i="33" s="1"/>
  <c r="AJ71" i="33"/>
  <c r="AI71" i="33"/>
  <c r="AM71" i="33" s="1"/>
  <c r="AM42" i="33"/>
  <c r="AM21" i="33"/>
  <c r="AJ23" i="33"/>
  <c r="AI23" i="33"/>
  <c r="AM23" i="33" s="1"/>
  <c r="AJ40" i="33"/>
  <c r="AI40" i="33"/>
  <c r="AM40" i="33" s="1"/>
  <c r="AM52" i="33"/>
  <c r="AH13" i="1"/>
  <c r="AJ13" i="1" s="1"/>
  <c r="AI14" i="1" l="1"/>
  <c r="AM14" i="1" s="1"/>
  <c r="AJ14" i="1"/>
  <c r="AI13" i="1"/>
  <c r="O44" i="1" l="1"/>
  <c r="AA15" i="1" l="1"/>
  <c r="AA16" i="1"/>
  <c r="AL16" i="1" l="1"/>
  <c r="E24" i="22"/>
  <c r="E8" i="13"/>
  <c r="E7" i="13"/>
  <c r="E6" i="13"/>
  <c r="E5" i="13"/>
  <c r="R52" i="1"/>
  <c r="R19" i="1"/>
  <c r="R18" i="1"/>
  <c r="R46" i="1"/>
  <c r="R37" i="1"/>
  <c r="R45" i="1"/>
  <c r="R47" i="1"/>
  <c r="R22" i="1"/>
  <c r="R60" i="1"/>
  <c r="R51" i="1"/>
  <c r="R49" i="1"/>
  <c r="R27" i="1"/>
  <c r="R58" i="1"/>
  <c r="R23" i="1"/>
  <c r="R43" i="1"/>
  <c r="R57" i="1"/>
  <c r="R41" i="1"/>
  <c r="R16" i="1"/>
  <c r="R55" i="1"/>
  <c r="R24" i="1"/>
  <c r="R35" i="1"/>
  <c r="R21" i="1"/>
  <c r="R33" i="1"/>
  <c r="R31" i="1"/>
  <c r="R42" i="1"/>
  <c r="R36" i="1"/>
  <c r="R39" i="1"/>
  <c r="R48" i="1"/>
  <c r="R25" i="1"/>
  <c r="R28" i="1"/>
  <c r="R59" i="1"/>
  <c r="R40" i="1"/>
  <c r="R34" i="1"/>
  <c r="R30" i="1"/>
  <c r="R61" i="1"/>
  <c r="R54" i="1"/>
  <c r="R53" i="1"/>
  <c r="R29" i="1"/>
  <c r="F222" i="13" l="1"/>
  <c r="F212" i="13"/>
  <c r="F213" i="13"/>
  <c r="F214" i="13"/>
  <c r="F215" i="13"/>
  <c r="F216" i="13"/>
  <c r="F217" i="13"/>
  <c r="F218" i="13"/>
  <c r="F219" i="13"/>
  <c r="F220" i="13"/>
  <c r="F221" i="13"/>
  <c r="F211" i="13"/>
  <c r="AA44" i="1" l="1"/>
  <c r="AA39" i="1"/>
  <c r="AA33" i="1"/>
  <c r="R13" i="1" l="1"/>
  <c r="S13" i="1" s="1"/>
  <c r="T13" i="1" s="1"/>
  <c r="AL13" i="1" s="1"/>
  <c r="S31" i="35"/>
  <c r="R67" i="33"/>
  <c r="S67" i="33" s="1"/>
  <c r="S67" i="35"/>
  <c r="R61" i="33"/>
  <c r="S61" i="33" s="1"/>
  <c r="R55" i="33"/>
  <c r="S55" i="33" s="1"/>
  <c r="R43" i="33"/>
  <c r="S43" i="33" s="1"/>
  <c r="S25" i="35"/>
  <c r="S61" i="35"/>
  <c r="S43" i="35"/>
  <c r="R49" i="33"/>
  <c r="S49" i="33" s="1"/>
  <c r="S49" i="35"/>
  <c r="S19" i="35"/>
  <c r="R37" i="33"/>
  <c r="S37" i="33" s="1"/>
  <c r="R31" i="33"/>
  <c r="S31" i="33" s="1"/>
  <c r="R25" i="33"/>
  <c r="S25" i="33" s="1"/>
  <c r="S37" i="35"/>
  <c r="R19" i="33"/>
  <c r="S19" i="33" s="1"/>
  <c r="S55" i="35"/>
  <c r="R13" i="33"/>
  <c r="S13" i="33" s="1"/>
  <c r="AL44" i="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1" i="13"/>
  <c r="U13" i="1" l="1"/>
  <c r="T13" i="33"/>
  <c r="AK13" i="33" s="1"/>
  <c r="AM13" i="33" s="1"/>
  <c r="U13" i="33"/>
  <c r="T61" i="35"/>
  <c r="U61" i="35"/>
  <c r="T25" i="35"/>
  <c r="U25" i="35"/>
  <c r="T31" i="33"/>
  <c r="U31" i="33"/>
  <c r="U43" i="33"/>
  <c r="T43" i="33"/>
  <c r="T19" i="33"/>
  <c r="U19" i="33"/>
  <c r="U37" i="35"/>
  <c r="T37" i="35"/>
  <c r="T55" i="33"/>
  <c r="U55" i="33"/>
  <c r="T25" i="33"/>
  <c r="U25" i="33"/>
  <c r="T37" i="33"/>
  <c r="U37" i="33"/>
  <c r="T61" i="33"/>
  <c r="U61" i="33"/>
  <c r="T19" i="35"/>
  <c r="AL19" i="35" s="1"/>
  <c r="AK19" i="35" s="1"/>
  <c r="AM19" i="35" s="1"/>
  <c r="T67" i="35"/>
  <c r="U67" i="35"/>
  <c r="U49" i="35"/>
  <c r="T49" i="35"/>
  <c r="T67" i="33"/>
  <c r="U67" i="33"/>
  <c r="T55" i="35"/>
  <c r="U55" i="35"/>
  <c r="U31" i="35"/>
  <c r="T31" i="35"/>
  <c r="U49" i="33"/>
  <c r="T49" i="33"/>
  <c r="T13" i="35"/>
  <c r="AL13" i="35" s="1"/>
  <c r="AK13" i="35" s="1"/>
  <c r="AM13" i="35" s="1"/>
  <c r="U13" i="35"/>
  <c r="U43" i="35"/>
  <c r="T43" i="35"/>
  <c r="AK13" i="1"/>
  <c r="AM13" i="1" s="1"/>
  <c r="AD61" i="1"/>
  <c r="AA61" i="1"/>
  <c r="AD60" i="1"/>
  <c r="AA60" i="1"/>
  <c r="AD59" i="1"/>
  <c r="AA59" i="1"/>
  <c r="AD58" i="1"/>
  <c r="AA58" i="1"/>
  <c r="AD57" i="1"/>
  <c r="AA57" i="1"/>
  <c r="AD56" i="1"/>
  <c r="AA56" i="1"/>
  <c r="O56" i="1"/>
  <c r="P56" i="1" s="1"/>
  <c r="AD55" i="1"/>
  <c r="AA55" i="1"/>
  <c r="AD54" i="1"/>
  <c r="AA54" i="1"/>
  <c r="AD53" i="1"/>
  <c r="AA53" i="1"/>
  <c r="AD52" i="1"/>
  <c r="AA52" i="1"/>
  <c r="AD51" i="1"/>
  <c r="AA51" i="1"/>
  <c r="AD50" i="1"/>
  <c r="AA50" i="1"/>
  <c r="O50" i="1"/>
  <c r="P50" i="1" s="1"/>
  <c r="AD49" i="1"/>
  <c r="AA49" i="1"/>
  <c r="AD48" i="1"/>
  <c r="AA48" i="1"/>
  <c r="AD47" i="1"/>
  <c r="AA47" i="1"/>
  <c r="AD46" i="1"/>
  <c r="AA46" i="1"/>
  <c r="AD45" i="1"/>
  <c r="AA45" i="1"/>
  <c r="AD44" i="1"/>
  <c r="P44" i="1"/>
  <c r="AD43" i="1"/>
  <c r="AA43" i="1"/>
  <c r="AD42" i="1"/>
  <c r="AA42" i="1"/>
  <c r="AD41" i="1"/>
  <c r="AA41" i="1"/>
  <c r="AD40" i="1"/>
  <c r="AA40" i="1"/>
  <c r="AD39" i="1"/>
  <c r="AD38" i="1"/>
  <c r="AA38" i="1"/>
  <c r="O38" i="1"/>
  <c r="P38" i="1" s="1"/>
  <c r="AD37" i="1"/>
  <c r="AA37" i="1"/>
  <c r="AD36" i="1"/>
  <c r="AA36" i="1"/>
  <c r="AD35" i="1"/>
  <c r="AA35" i="1"/>
  <c r="AD34" i="1"/>
  <c r="AA34" i="1"/>
  <c r="AD33" i="1"/>
  <c r="AD32" i="1"/>
  <c r="AA32" i="1"/>
  <c r="O32" i="1"/>
  <c r="P32" i="1" s="1"/>
  <c r="AD31" i="1"/>
  <c r="AA31" i="1"/>
  <c r="AD30" i="1"/>
  <c r="AA30" i="1"/>
  <c r="AD29" i="1"/>
  <c r="AA29" i="1"/>
  <c r="AD28" i="1"/>
  <c r="AA28" i="1"/>
  <c r="AD27" i="1"/>
  <c r="AA27" i="1"/>
  <c r="AD26" i="1"/>
  <c r="AA26" i="1"/>
  <c r="O26" i="1"/>
  <c r="AD25" i="1"/>
  <c r="AA25" i="1"/>
  <c r="AD24" i="1"/>
  <c r="AA24" i="1"/>
  <c r="AD23" i="1"/>
  <c r="AA23" i="1"/>
  <c r="AD22" i="1"/>
  <c r="AA22" i="1"/>
  <c r="AD21" i="1"/>
  <c r="AA21" i="1"/>
  <c r="AD20" i="1"/>
  <c r="AA20" i="1"/>
  <c r="O20" i="1"/>
  <c r="P20" i="1" s="1"/>
  <c r="AD19" i="1"/>
  <c r="AA19" i="1"/>
  <c r="AA18" i="1"/>
  <c r="AD17" i="1"/>
  <c r="AA17" i="1"/>
  <c r="O17" i="1"/>
  <c r="P17" i="1" s="1"/>
  <c r="O15" i="1"/>
  <c r="AD16" i="1"/>
  <c r="AD15" i="1"/>
  <c r="AH18" i="1" l="1"/>
  <c r="AL18" i="1"/>
  <c r="AK18" i="1" s="1"/>
  <c r="P26" i="1"/>
  <c r="AL29" i="1"/>
  <c r="AL37" i="1"/>
  <c r="AL49" i="1"/>
  <c r="AL60" i="1"/>
  <c r="AL30" i="1"/>
  <c r="AL25" i="1"/>
  <c r="AL52" i="1"/>
  <c r="AL53" i="1"/>
  <c r="AL23" i="1"/>
  <c r="AL54" i="1"/>
  <c r="AL28" i="1"/>
  <c r="AL36" i="1"/>
  <c r="AL48" i="1"/>
  <c r="AL59" i="1"/>
  <c r="AL22" i="1"/>
  <c r="AL42" i="1"/>
  <c r="AK42" i="1" s="1"/>
  <c r="AL61" i="1"/>
  <c r="AL20" i="1"/>
  <c r="AL21" i="1"/>
  <c r="AL33" i="1"/>
  <c r="AL32" i="1"/>
  <c r="AL46" i="1"/>
  <c r="AL45" i="1"/>
  <c r="AL57" i="1"/>
  <c r="AL56" i="1"/>
  <c r="AL41" i="1"/>
  <c r="AL40" i="1"/>
  <c r="AL19" i="1"/>
  <c r="AL27" i="1"/>
  <c r="AL26" i="1"/>
  <c r="AL31" i="1"/>
  <c r="AL35" i="1"/>
  <c r="AL34" i="1"/>
  <c r="AL43" i="1"/>
  <c r="AK43" i="1" s="1"/>
  <c r="AL47" i="1"/>
  <c r="AL58" i="1"/>
  <c r="AL24" i="1"/>
  <c r="AL39" i="1"/>
  <c r="AL38" i="1"/>
  <c r="AL51" i="1"/>
  <c r="AL50" i="1"/>
  <c r="AL55" i="1"/>
  <c r="P15" i="1"/>
  <c r="AH15" i="1" s="1"/>
  <c r="AH56" i="1"/>
  <c r="AH50" i="1"/>
  <c r="AH44" i="1"/>
  <c r="AH38" i="1"/>
  <c r="AH42" i="1"/>
  <c r="AH43" i="1"/>
  <c r="AH32" i="1"/>
  <c r="AH26" i="1"/>
  <c r="AH20" i="1"/>
  <c r="AH17" i="1"/>
  <c r="AJ18" i="1" l="1"/>
  <c r="AI18" i="1"/>
  <c r="AM18" i="1" s="1"/>
  <c r="AI56" i="1"/>
  <c r="AJ56" i="1"/>
  <c r="AH57" i="1" s="1"/>
  <c r="AI57" i="1" s="1"/>
  <c r="AI50" i="1"/>
  <c r="AJ50" i="1"/>
  <c r="AH51" i="1" s="1"/>
  <c r="AJ51" i="1" s="1"/>
  <c r="AH52" i="1" s="1"/>
  <c r="AI44" i="1"/>
  <c r="AJ44" i="1"/>
  <c r="AH45" i="1" s="1"/>
  <c r="AJ45" i="1" s="1"/>
  <c r="AH46" i="1" s="1"/>
  <c r="AI43" i="1"/>
  <c r="AJ43" i="1"/>
  <c r="AI42" i="1"/>
  <c r="AJ42" i="1"/>
  <c r="AI38" i="1"/>
  <c r="AJ38" i="1"/>
  <c r="AI32" i="1"/>
  <c r="AJ32" i="1"/>
  <c r="AH33" i="1" s="1"/>
  <c r="AJ33" i="1" s="1"/>
  <c r="AH34" i="1" s="1"/>
  <c r="AI26" i="1"/>
  <c r="AJ26" i="1"/>
  <c r="AI20" i="1"/>
  <c r="AJ20" i="1"/>
  <c r="AH21" i="1" s="1"/>
  <c r="AJ21" i="1" s="1"/>
  <c r="AH22" i="1" s="1"/>
  <c r="AI22" i="1" s="1"/>
  <c r="AI17" i="1"/>
  <c r="AJ17" i="1"/>
  <c r="AI15" i="1"/>
  <c r="AH16" i="1"/>
  <c r="AI51" i="1" l="1"/>
  <c r="AI45" i="1"/>
  <c r="AH19" i="1"/>
  <c r="AI19" i="1" s="1"/>
  <c r="AI33" i="1"/>
  <c r="AI21" i="1"/>
  <c r="AI34" i="1"/>
  <c r="AJ34" i="1"/>
  <c r="AJ52" i="1"/>
  <c r="AH53" i="1" s="1"/>
  <c r="AI52" i="1"/>
  <c r="AJ46" i="1"/>
  <c r="AH47" i="1" s="1"/>
  <c r="AI46" i="1"/>
  <c r="AJ57" i="1"/>
  <c r="AH58" i="1" s="1"/>
  <c r="AH27" i="1"/>
  <c r="AH39" i="1"/>
  <c r="AJ22"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AM42" i="1"/>
  <c r="AM43" i="1"/>
  <c r="AI53" i="1" l="1"/>
  <c r="AJ53" i="1"/>
  <c r="AI47" i="1"/>
  <c r="AJ47" i="1"/>
  <c r="AH48" i="1" s="1"/>
  <c r="AJ19" i="1"/>
  <c r="AI58" i="1"/>
  <c r="AJ58" i="1"/>
  <c r="AH59" i="1" s="1"/>
  <c r="AI39" i="1"/>
  <c r="AJ39" i="1"/>
  <c r="AH40" i="1" s="1"/>
  <c r="AI40" i="1" s="1"/>
  <c r="AH35" i="1"/>
  <c r="AI27" i="1"/>
  <c r="AJ27" i="1"/>
  <c r="AH28" i="1" s="1"/>
  <c r="AI28" i="1" s="1"/>
  <c r="AH24" i="1"/>
  <c r="AI24" i="1" s="1"/>
  <c r="AH23" i="1"/>
  <c r="AI16" i="1"/>
  <c r="AJ16" i="1"/>
  <c r="AJ40" i="1" l="1"/>
  <c r="AH41" i="1" s="1"/>
  <c r="AI41" i="1" s="1"/>
  <c r="AJ28" i="1"/>
  <c r="AH29" i="1" s="1"/>
  <c r="AJ29" i="1" s="1"/>
  <c r="AH30" i="1" s="1"/>
  <c r="AI48" i="1"/>
  <c r="AJ48" i="1"/>
  <c r="AH49" i="1" s="1"/>
  <c r="AH54" i="1"/>
  <c r="AH55" i="1"/>
  <c r="AI35" i="1"/>
  <c r="AJ35" i="1"/>
  <c r="AH36" i="1" s="1"/>
  <c r="AI36" i="1" s="1"/>
  <c r="AJ59" i="1"/>
  <c r="AI59" i="1"/>
  <c r="AI23" i="1"/>
  <c r="AJ23" i="1"/>
  <c r="AJ24" i="1"/>
  <c r="AH25" i="1" s="1"/>
  <c r="AJ41" i="1" l="1"/>
  <c r="AI29" i="1"/>
  <c r="AI55" i="1"/>
  <c r="AJ55" i="1"/>
  <c r="AI54" i="1"/>
  <c r="AJ54" i="1"/>
  <c r="AI49" i="1"/>
  <c r="AJ49" i="1"/>
  <c r="AH60" i="1"/>
  <c r="AH61" i="1"/>
  <c r="AJ36" i="1"/>
  <c r="AH37" i="1" s="1"/>
  <c r="AI37" i="1" s="1"/>
  <c r="AJ30" i="1"/>
  <c r="AH31" i="1" s="1"/>
  <c r="AI30" i="1"/>
  <c r="AI25" i="1"/>
  <c r="AJ25" i="1"/>
  <c r="AI61" i="1" l="1"/>
  <c r="AJ61" i="1"/>
  <c r="AI60" i="1"/>
  <c r="AJ60" i="1"/>
  <c r="AI31" i="1"/>
  <c r="AJ31" i="1"/>
  <c r="AJ37" i="1"/>
  <c r="R32" i="1" l="1"/>
  <c r="S32" i="1" s="1"/>
  <c r="R20" i="1"/>
  <c r="S20" i="1" s="1"/>
  <c r="R17" i="1"/>
  <c r="S17" i="1" s="1"/>
  <c r="R44" i="1"/>
  <c r="S44" i="1" s="1"/>
  <c r="R38" i="1"/>
  <c r="S38" i="1" s="1"/>
  <c r="R26" i="1"/>
  <c r="S26" i="1" s="1"/>
  <c r="AD40" i="18" s="1"/>
  <c r="R56" i="1"/>
  <c r="S56" i="1" s="1"/>
  <c r="R50" i="1"/>
  <c r="S50" i="1" s="1"/>
  <c r="R15" i="1"/>
  <c r="S15" i="1" s="1"/>
  <c r="Z42" i="18" l="1"/>
  <c r="N42" i="18"/>
  <c r="AF26" i="18"/>
  <c r="N26" i="18"/>
  <c r="AF18" i="18"/>
  <c r="T10" i="18"/>
  <c r="N34" i="18"/>
  <c r="T34" i="18"/>
  <c r="T18" i="18"/>
  <c r="Z18" i="18"/>
  <c r="Z10" i="18"/>
  <c r="AL18" i="18"/>
  <c r="Z26" i="18"/>
  <c r="U50" i="1"/>
  <c r="T50" i="1"/>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T44" i="1"/>
  <c r="AJ42" i="18"/>
  <c r="AJ18" i="18"/>
  <c r="AD26" i="18"/>
  <c r="L10" i="18"/>
  <c r="AD10" i="18"/>
  <c r="X18" i="18"/>
  <c r="AD42" i="18"/>
  <c r="L18" i="18"/>
  <c r="R10" i="18"/>
  <c r="U44" i="1"/>
  <c r="T56" i="1"/>
  <c r="AB36" i="18"/>
  <c r="AH12" i="18"/>
  <c r="P28" i="18"/>
  <c r="AH20" i="18"/>
  <c r="P36" i="18"/>
  <c r="V12" i="18"/>
  <c r="AH28" i="18"/>
  <c r="AB20" i="18"/>
  <c r="J12" i="18"/>
  <c r="J20" i="18"/>
  <c r="U56" i="1"/>
  <c r="P44" i="18"/>
  <c r="AB44" i="18"/>
  <c r="V28" i="18"/>
  <c r="V36" i="18"/>
  <c r="J28" i="18"/>
  <c r="AH36" i="18"/>
  <c r="J44" i="18"/>
  <c r="P12" i="18"/>
  <c r="AB12" i="18"/>
  <c r="V44" i="18"/>
  <c r="AH44" i="18"/>
  <c r="V20" i="18"/>
  <c r="P20" i="18"/>
  <c r="J36" i="18"/>
  <c r="AB28" i="18"/>
  <c r="T38" i="18"/>
  <c r="AF22" i="18"/>
  <c r="N38" i="18"/>
  <c r="AF30" i="18"/>
  <c r="AL6" i="18"/>
  <c r="Z6" i="18"/>
  <c r="U17" i="1"/>
  <c r="T14" i="18"/>
  <c r="T22" i="18"/>
  <c r="N6" i="18"/>
  <c r="AL30" i="18"/>
  <c r="Z22" i="18"/>
  <c r="Z14" i="18"/>
  <c r="T17" i="1"/>
  <c r="AL17" i="1" s="1"/>
  <c r="Z30" i="18"/>
  <c r="AL38" i="18"/>
  <c r="AL14" i="18"/>
  <c r="AF6" i="18"/>
  <c r="AL22" i="18"/>
  <c r="T30" i="18"/>
  <c r="Z38" i="18"/>
  <c r="AF14" i="18"/>
  <c r="N30" i="18"/>
  <c r="N14" i="18"/>
  <c r="N22" i="18"/>
  <c r="AF38" i="18"/>
  <c r="T6" i="18"/>
  <c r="T26" i="1"/>
  <c r="X32" i="18"/>
  <c r="AD32" i="18"/>
  <c r="AJ8" i="18"/>
  <c r="L16" i="18"/>
  <c r="R32" i="18"/>
  <c r="AJ32" i="18"/>
  <c r="U26" i="1"/>
  <c r="R40" i="18"/>
  <c r="AJ40" i="18"/>
  <c r="AD24" i="18"/>
  <c r="AJ24" i="18"/>
  <c r="R24" i="18"/>
  <c r="AJ16" i="18"/>
  <c r="AD8" i="18"/>
  <c r="L32" i="18"/>
  <c r="L40" i="18"/>
  <c r="R16" i="18"/>
  <c r="L24" i="18"/>
  <c r="AD16" i="18"/>
  <c r="L8" i="18"/>
  <c r="R8" i="18"/>
  <c r="X40" i="18"/>
  <c r="X8" i="18"/>
  <c r="X16" i="18"/>
  <c r="X24" i="18"/>
  <c r="T20" i="1"/>
  <c r="J40" i="18"/>
  <c r="J16" i="18"/>
  <c r="P16" i="18"/>
  <c r="V8" i="18"/>
  <c r="J8" i="18"/>
  <c r="J24" i="18"/>
  <c r="AH16" i="18"/>
  <c r="AB16" i="18"/>
  <c r="AB40" i="18"/>
  <c r="P32" i="18"/>
  <c r="P40" i="18"/>
  <c r="AH24" i="18"/>
  <c r="AB32" i="18"/>
  <c r="J32" i="18"/>
  <c r="V16" i="18"/>
  <c r="V40" i="18"/>
  <c r="AH32" i="18"/>
  <c r="V24" i="18"/>
  <c r="V32" i="18"/>
  <c r="AH8" i="18"/>
  <c r="AB8" i="18"/>
  <c r="P8" i="18"/>
  <c r="U20" i="1"/>
  <c r="AH40" i="18"/>
  <c r="AB24" i="18"/>
  <c r="P24" i="18"/>
  <c r="AD38" i="18"/>
  <c r="L30" i="18"/>
  <c r="AD30" i="18"/>
  <c r="AJ6" i="18"/>
  <c r="L14" i="18"/>
  <c r="L22" i="18"/>
  <c r="X6" i="18"/>
  <c r="L6" i="18"/>
  <c r="U15" i="1"/>
  <c r="R38" i="18"/>
  <c r="AJ38" i="18"/>
  <c r="L38" i="18"/>
  <c r="AD6" i="18"/>
  <c r="R6" i="18"/>
  <c r="AJ30" i="18"/>
  <c r="R30" i="18"/>
  <c r="AD22" i="18"/>
  <c r="AJ14" i="18"/>
  <c r="AJ22" i="18"/>
  <c r="AD14" i="18"/>
  <c r="X38" i="18"/>
  <c r="X14" i="18"/>
  <c r="R22" i="18"/>
  <c r="X22" i="18"/>
  <c r="T15" i="1"/>
  <c r="AL15" i="1" s="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T38" i="1"/>
  <c r="AH34" i="18"/>
  <c r="AH42" i="18"/>
  <c r="AH18" i="18"/>
  <c r="AB10" i="18"/>
  <c r="J26" i="18"/>
  <c r="V18" i="18"/>
  <c r="V42" i="18"/>
  <c r="J42" i="18"/>
  <c r="P10" i="18"/>
  <c r="AB26" i="18"/>
  <c r="J34" i="18"/>
  <c r="J18" i="18"/>
  <c r="AH10" i="18"/>
  <c r="AB34" i="18"/>
  <c r="P26" i="18"/>
  <c r="P34" i="18"/>
  <c r="V34" i="18"/>
  <c r="AH26" i="18"/>
  <c r="J10" i="18"/>
  <c r="U38" i="1"/>
  <c r="P18" i="18"/>
  <c r="AB42" i="18"/>
  <c r="V10" i="18"/>
  <c r="AB18" i="18"/>
  <c r="P42" i="18"/>
  <c r="V26" i="18"/>
  <c r="Z32" i="18"/>
  <c r="N24" i="18"/>
  <c r="AL32" i="18"/>
  <c r="AL40" i="18"/>
  <c r="N8" i="18"/>
  <c r="AF24" i="18"/>
  <c r="Z40" i="18"/>
  <c r="Z16" i="18"/>
  <c r="N32" i="18"/>
  <c r="T32" i="18"/>
  <c r="N40" i="18"/>
  <c r="T8" i="18"/>
  <c r="T32" i="1"/>
  <c r="AF32" i="18"/>
  <c r="AL8" i="18"/>
  <c r="T24" i="18"/>
  <c r="N16" i="18"/>
  <c r="T16" i="18"/>
  <c r="Z24" i="18"/>
  <c r="AF16" i="18"/>
  <c r="U32" i="1"/>
  <c r="T40" i="18"/>
  <c r="AF8" i="18"/>
  <c r="AL24" i="18"/>
  <c r="Z8" i="18"/>
  <c r="AF40" i="18"/>
  <c r="AL16" i="18"/>
  <c r="AK20" i="1" l="1"/>
  <c r="AK56" i="1"/>
  <c r="AK32" i="1"/>
  <c r="AK44" i="1"/>
  <c r="AK15" i="1"/>
  <c r="AK17" i="1"/>
  <c r="AK38" i="1"/>
  <c r="AK26" i="1"/>
  <c r="AK39" i="1" l="1"/>
  <c r="AK45" i="1"/>
  <c r="AK51" i="1"/>
  <c r="AK27" i="1"/>
  <c r="AK33" i="1"/>
  <c r="AK21" i="1"/>
  <c r="J40" i="19"/>
  <c r="V30" i="19"/>
  <c r="AH20" i="19"/>
  <c r="J30" i="19"/>
  <c r="V20" i="19"/>
  <c r="AH10" i="19"/>
  <c r="P10" i="19"/>
  <c r="AB50" i="19"/>
  <c r="J50" i="19"/>
  <c r="AB40" i="19"/>
  <c r="P30" i="19"/>
  <c r="V50" i="19"/>
  <c r="P50" i="19"/>
  <c r="AB10" i="19"/>
  <c r="AH30" i="19"/>
  <c r="AH40" i="19"/>
  <c r="J10" i="19"/>
  <c r="AB20" i="19"/>
  <c r="AH50" i="19"/>
  <c r="AM26" i="1"/>
  <c r="V10" i="19"/>
  <c r="P20" i="19"/>
  <c r="J20" i="19"/>
  <c r="P40" i="19"/>
  <c r="V40" i="19"/>
  <c r="AB30" i="19"/>
  <c r="J11" i="19"/>
  <c r="V11" i="19"/>
  <c r="AB21" i="19"/>
  <c r="P31" i="19"/>
  <c r="J31" i="19"/>
  <c r="AB41" i="19"/>
  <c r="AM32" i="1"/>
  <c r="AH41" i="19"/>
  <c r="P41" i="19"/>
  <c r="J21" i="19"/>
  <c r="AB31" i="19"/>
  <c r="AB51" i="19"/>
  <c r="P21" i="19"/>
  <c r="V41" i="19"/>
  <c r="V31" i="19"/>
  <c r="AH21" i="19"/>
  <c r="AB11" i="19"/>
  <c r="P51" i="19"/>
  <c r="V21" i="19"/>
  <c r="AH31" i="19"/>
  <c r="V51" i="19"/>
  <c r="J51" i="19"/>
  <c r="AH51" i="19"/>
  <c r="AH11" i="19"/>
  <c r="J41" i="19"/>
  <c r="P11" i="19"/>
  <c r="AB36" i="19"/>
  <c r="AH16" i="19"/>
  <c r="P16" i="19"/>
  <c r="V46" i="19"/>
  <c r="J6" i="19"/>
  <c r="AB16" i="19"/>
  <c r="V26" i="19"/>
  <c r="V16" i="19"/>
  <c r="AB6" i="19"/>
  <c r="J26" i="19"/>
  <c r="P6" i="19"/>
  <c r="AH46" i="19"/>
  <c r="P46" i="19"/>
  <c r="AH26" i="19"/>
  <c r="AH36" i="19"/>
  <c r="V36" i="19"/>
  <c r="P36" i="19"/>
  <c r="V6" i="19"/>
  <c r="AH6" i="19"/>
  <c r="AB46" i="19"/>
  <c r="AB26" i="19"/>
  <c r="J16" i="19"/>
  <c r="P26" i="19"/>
  <c r="J36" i="19"/>
  <c r="J46" i="19"/>
  <c r="V25" i="19"/>
  <c r="AH25" i="19"/>
  <c r="P45" i="19"/>
  <c r="AH45" i="19"/>
  <c r="AH15" i="19"/>
  <c r="AB55" i="19"/>
  <c r="J45" i="19"/>
  <c r="AH35" i="19"/>
  <c r="V45" i="19"/>
  <c r="AH55" i="19"/>
  <c r="V15" i="19"/>
  <c r="J25" i="19"/>
  <c r="V35" i="19"/>
  <c r="AM56" i="1"/>
  <c r="P25" i="19"/>
  <c r="V55" i="19"/>
  <c r="J15" i="19"/>
  <c r="AB15" i="19"/>
  <c r="J35" i="19"/>
  <c r="AB35" i="19"/>
  <c r="J55" i="19"/>
  <c r="AB25" i="19"/>
  <c r="P35" i="19"/>
  <c r="P55" i="19"/>
  <c r="AB45" i="19"/>
  <c r="P15" i="19"/>
  <c r="J47" i="19"/>
  <c r="V27" i="19"/>
  <c r="AH7" i="19"/>
  <c r="P47" i="19"/>
  <c r="AB27" i="19"/>
  <c r="J17" i="19"/>
  <c r="V47" i="19"/>
  <c r="J37" i="19"/>
  <c r="AM15" i="1"/>
  <c r="AB37" i="19"/>
  <c r="J27" i="19"/>
  <c r="V7" i="19"/>
  <c r="AH37" i="19"/>
  <c r="P27" i="19"/>
  <c r="AB7" i="19"/>
  <c r="P17" i="19"/>
  <c r="V17" i="19"/>
  <c r="AH47" i="19"/>
  <c r="P37" i="19"/>
  <c r="AB17" i="19"/>
  <c r="J7" i="19"/>
  <c r="V37" i="19"/>
  <c r="AH17" i="19"/>
  <c r="P7" i="19"/>
  <c r="AH27" i="19"/>
  <c r="AB47" i="19"/>
  <c r="AM44"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K50" i="1"/>
  <c r="AM20"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M17" i="1"/>
  <c r="AH8" i="19"/>
  <c r="P18" i="19"/>
  <c r="AB28" i="19"/>
  <c r="P38" i="19"/>
  <c r="AB48" i="19"/>
  <c r="J28" i="19"/>
  <c r="V38" i="19"/>
  <c r="AH38" i="19"/>
  <c r="V8" i="19"/>
  <c r="J48" i="19"/>
  <c r="AH28" i="19"/>
  <c r="P48" i="19"/>
  <c r="AH48" i="19"/>
  <c r="V28" i="19"/>
  <c r="AB38" i="19"/>
  <c r="AB18" i="19"/>
  <c r="AH18" i="19"/>
  <c r="AB8" i="19"/>
  <c r="V48" i="19"/>
  <c r="J8" i="19"/>
  <c r="V18" i="19"/>
  <c r="P28" i="19"/>
  <c r="P8" i="19"/>
  <c r="J18" i="19"/>
  <c r="J38" i="19"/>
  <c r="AK34" i="1"/>
  <c r="V32" i="19"/>
  <c r="P42" i="19"/>
  <c r="J12" i="19"/>
  <c r="J32" i="19"/>
  <c r="AB52" i="19"/>
  <c r="AM38" i="1"/>
  <c r="J22" i="19"/>
  <c r="V22" i="19"/>
  <c r="J52" i="19"/>
  <c r="AH12" i="19"/>
  <c r="J42" i="19"/>
  <c r="AH42" i="19"/>
  <c r="P32" i="19"/>
  <c r="AB12" i="19"/>
  <c r="AH32" i="19"/>
  <c r="AB32" i="19"/>
  <c r="AB42" i="19"/>
  <c r="V42" i="19"/>
  <c r="V12" i="19"/>
  <c r="V52" i="19"/>
  <c r="AB22" i="19"/>
  <c r="AH52" i="19"/>
  <c r="AH22" i="19"/>
  <c r="P22" i="19"/>
  <c r="P12" i="19"/>
  <c r="P52" i="19"/>
  <c r="AK40" i="1"/>
  <c r="AK16" i="1"/>
  <c r="AK57" i="1" l="1"/>
  <c r="K45" i="19" s="1"/>
  <c r="AK41" i="1"/>
  <c r="S12" i="19" s="1"/>
  <c r="W37" i="19"/>
  <c r="AI7" i="19"/>
  <c r="W17" i="19"/>
  <c r="W27" i="19"/>
  <c r="Q47" i="19"/>
  <c r="W7" i="19"/>
  <c r="AI17" i="19"/>
  <c r="K47" i="19"/>
  <c r="AI47" i="19"/>
  <c r="Q27" i="19"/>
  <c r="AC27" i="19"/>
  <c r="AC47" i="19"/>
  <c r="AC37" i="19"/>
  <c r="AI37" i="19"/>
  <c r="AM16" i="1"/>
  <c r="AC17" i="19"/>
  <c r="K37" i="19"/>
  <c r="AC7" i="19"/>
  <c r="W47" i="19"/>
  <c r="Q37" i="19"/>
  <c r="AI27" i="19"/>
  <c r="Q7" i="19"/>
  <c r="K27" i="19"/>
  <c r="K17" i="19"/>
  <c r="K7" i="19"/>
  <c r="Q17" i="19"/>
  <c r="AC14" i="19"/>
  <c r="Q14" i="19"/>
  <c r="AI54" i="19"/>
  <c r="Q54" i="19"/>
  <c r="Q24" i="19"/>
  <c r="AI14" i="19"/>
  <c r="W24" i="19"/>
  <c r="AC44" i="19"/>
  <c r="K54" i="19"/>
  <c r="AI34" i="19"/>
  <c r="W14" i="19"/>
  <c r="K24" i="19"/>
  <c r="AC24" i="19"/>
  <c r="AI44" i="19"/>
  <c r="AI24" i="19"/>
  <c r="W44" i="19"/>
  <c r="Q44" i="19"/>
  <c r="AC54" i="19"/>
  <c r="AM51" i="1"/>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M33" i="1"/>
  <c r="P54" i="19"/>
  <c r="AH14" i="19"/>
  <c r="AB14" i="19"/>
  <c r="AH34" i="19"/>
  <c r="AB54" i="19"/>
  <c r="AH54" i="19"/>
  <c r="AM50" i="1"/>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M40" i="1"/>
  <c r="AD12" i="19"/>
  <c r="AD32" i="19"/>
  <c r="AD22" i="19"/>
  <c r="X52" i="19"/>
  <c r="AD52" i="19"/>
  <c r="L42" i="19"/>
  <c r="R42" i="19"/>
  <c r="AJ21" i="19"/>
  <c r="AD31" i="19"/>
  <c r="R21" i="19"/>
  <c r="AD41" i="19"/>
  <c r="AJ11" i="19"/>
  <c r="AJ51" i="19"/>
  <c r="AM34" i="1"/>
  <c r="L41" i="19"/>
  <c r="AD11" i="19"/>
  <c r="L21" i="19"/>
  <c r="L11" i="19"/>
  <c r="X51" i="19"/>
  <c r="X21" i="19"/>
  <c r="R11" i="19"/>
  <c r="R31" i="19"/>
  <c r="AJ41" i="19"/>
  <c r="L31" i="19"/>
  <c r="R51" i="19"/>
  <c r="X31" i="19"/>
  <c r="X11" i="19"/>
  <c r="X41" i="19"/>
  <c r="AJ31" i="19"/>
  <c r="AD51" i="19"/>
  <c r="R41" i="19"/>
  <c r="AD21" i="19"/>
  <c r="L51" i="19"/>
  <c r="AK22" i="1"/>
  <c r="AK46" i="1"/>
  <c r="K42" i="19"/>
  <c r="AC32" i="19"/>
  <c r="W42" i="19"/>
  <c r="AI52" i="19"/>
  <c r="K22" i="19"/>
  <c r="Q32" i="19"/>
  <c r="AI12" i="19"/>
  <c r="AC52" i="19"/>
  <c r="Q42" i="19"/>
  <c r="AC42" i="19"/>
  <c r="K12" i="19"/>
  <c r="Q22" i="19"/>
  <c r="W52" i="19"/>
  <c r="AI42" i="19"/>
  <c r="W32" i="19"/>
  <c r="AI22" i="19"/>
  <c r="W12" i="19"/>
  <c r="AI32" i="19"/>
  <c r="AC12" i="19"/>
  <c r="Q12" i="19"/>
  <c r="Q52" i="19"/>
  <c r="AM39" i="1"/>
  <c r="K32" i="19"/>
  <c r="W22" i="19"/>
  <c r="K52" i="19"/>
  <c r="AC22" i="19"/>
  <c r="AC40" i="19"/>
  <c r="W10" i="19"/>
  <c r="AC50" i="19"/>
  <c r="Q10" i="19"/>
  <c r="Q30" i="19"/>
  <c r="W50" i="19"/>
  <c r="K40" i="19"/>
  <c r="Q50" i="19"/>
  <c r="W20" i="19"/>
  <c r="AM27" i="1"/>
  <c r="K10" i="19"/>
  <c r="Q40" i="19"/>
  <c r="K30" i="19"/>
  <c r="AI50" i="19"/>
  <c r="AI20" i="19"/>
  <c r="K50" i="19"/>
  <c r="AI40" i="19"/>
  <c r="W40" i="19"/>
  <c r="K20" i="19"/>
  <c r="AC10" i="19"/>
  <c r="AI10" i="19"/>
  <c r="AC20" i="19"/>
  <c r="AI30" i="19"/>
  <c r="AC30" i="19"/>
  <c r="W30" i="19"/>
  <c r="Q20" i="19"/>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K52" i="1"/>
  <c r="K39" i="19"/>
  <c r="AC39" i="19"/>
  <c r="W29" i="19"/>
  <c r="AI49" i="19"/>
  <c r="W9" i="19"/>
  <c r="AC19" i="19"/>
  <c r="Q49" i="19"/>
  <c r="W49" i="19"/>
  <c r="AC9" i="19"/>
  <c r="AI9" i="19"/>
  <c r="Q29" i="19"/>
  <c r="W39" i="19"/>
  <c r="Q39" i="19"/>
  <c r="AM21"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M45" i="1"/>
  <c r="Q33" i="19"/>
  <c r="AI23" i="19"/>
  <c r="K53" i="19"/>
  <c r="AC23" i="19"/>
  <c r="AC13" i="19"/>
  <c r="W23" i="19"/>
  <c r="W33" i="19"/>
  <c r="Q13" i="19"/>
  <c r="W13" i="19"/>
  <c r="AI13" i="19"/>
  <c r="Q43" i="19"/>
  <c r="Q23" i="19"/>
  <c r="W53" i="19"/>
  <c r="AK35" i="1"/>
  <c r="AK37" i="1"/>
  <c r="AK36" i="1"/>
  <c r="AK2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M22" i="19" l="1"/>
  <c r="S22" i="19"/>
  <c r="Y52" i="19"/>
  <c r="S42" i="19"/>
  <c r="AM41" i="1"/>
  <c r="AE42" i="19"/>
  <c r="AE32" i="19"/>
  <c r="AE22" i="19"/>
  <c r="AK42" i="19"/>
  <c r="AK32" i="19"/>
  <c r="AK52" i="19"/>
  <c r="M12" i="19"/>
  <c r="S52" i="19"/>
  <c r="AK22" i="19"/>
  <c r="AK12" i="19"/>
  <c r="AE52" i="19"/>
  <c r="Y42" i="19"/>
  <c r="Q55" i="19"/>
  <c r="Y22" i="19"/>
  <c r="Y32" i="19"/>
  <c r="AE12" i="19"/>
  <c r="M52" i="19"/>
  <c r="Y12" i="19"/>
  <c r="S32" i="19"/>
  <c r="M32" i="19"/>
  <c r="M42" i="19"/>
  <c r="W45" i="19"/>
  <c r="K25" i="19"/>
  <c r="W55" i="19"/>
  <c r="AI25" i="19"/>
  <c r="AI45" i="19"/>
  <c r="Q25" i="19"/>
  <c r="AM57" i="1"/>
  <c r="AC35" i="19"/>
  <c r="AI15" i="19"/>
  <c r="Q35" i="19"/>
  <c r="W25" i="19"/>
  <c r="AC25" i="19"/>
  <c r="AI55" i="19"/>
  <c r="K15" i="19"/>
  <c r="Q15" i="19"/>
  <c r="K35" i="19"/>
  <c r="W35" i="19"/>
  <c r="W15" i="19"/>
  <c r="AC15" i="19"/>
  <c r="Q45" i="19"/>
  <c r="AC55" i="19"/>
  <c r="K55" i="19"/>
  <c r="AC45" i="19"/>
  <c r="AI35" i="19"/>
  <c r="AK58" i="1"/>
  <c r="AK19" i="1"/>
  <c r="R18" i="19" s="1"/>
  <c r="R40" i="19"/>
  <c r="AD10" i="19"/>
  <c r="X40" i="19"/>
  <c r="AJ10" i="19"/>
  <c r="R50" i="19"/>
  <c r="X10" i="19"/>
  <c r="R30" i="19"/>
  <c r="AM28" i="1"/>
  <c r="L10" i="19"/>
  <c r="L50" i="19"/>
  <c r="AJ20" i="19"/>
  <c r="AJ40" i="19"/>
  <c r="AD30" i="19"/>
  <c r="R20" i="19"/>
  <c r="AD50" i="19"/>
  <c r="AJ30" i="19"/>
  <c r="AJ50" i="19"/>
  <c r="X30" i="19"/>
  <c r="AD20" i="19"/>
  <c r="L40" i="19"/>
  <c r="X50" i="19"/>
  <c r="X20" i="19"/>
  <c r="AD40" i="19"/>
  <c r="R10" i="19"/>
  <c r="L30" i="19"/>
  <c r="L20" i="19"/>
  <c r="AK47" i="1"/>
  <c r="AK61" i="1"/>
  <c r="AD47" i="19"/>
  <c r="AJ27" i="19"/>
  <c r="AD27" i="19"/>
  <c r="AJ7" i="19"/>
  <c r="AJ37" i="19"/>
  <c r="L27" i="19"/>
  <c r="AD17" i="19"/>
  <c r="L37" i="19"/>
  <c r="R17" i="19"/>
  <c r="AJ17" i="19"/>
  <c r="X7" i="19"/>
  <c r="X47" i="19"/>
  <c r="L7" i="19"/>
  <c r="L17" i="19"/>
  <c r="R27" i="19"/>
  <c r="X27" i="19"/>
  <c r="R7" i="19"/>
  <c r="X17" i="19"/>
  <c r="AJ47" i="19"/>
  <c r="L47" i="19"/>
  <c r="R37" i="19"/>
  <c r="AD7" i="19"/>
  <c r="X37" i="19"/>
  <c r="R47" i="19"/>
  <c r="AD37" i="19"/>
  <c r="AJ43" i="19"/>
  <c r="AD33" i="19"/>
  <c r="X33" i="19"/>
  <c r="X13" i="19"/>
  <c r="AD43" i="19"/>
  <c r="L43" i="19"/>
  <c r="AM46" i="1"/>
  <c r="X23" i="19"/>
  <c r="R33" i="19"/>
  <c r="R43" i="19"/>
  <c r="AD53" i="19"/>
  <c r="AJ13" i="19"/>
  <c r="R23" i="19"/>
  <c r="R13" i="19"/>
  <c r="AJ53" i="19"/>
  <c r="L33" i="19"/>
  <c r="L23" i="19"/>
  <c r="X43" i="19"/>
  <c r="X53" i="19"/>
  <c r="AD13" i="19"/>
  <c r="L53" i="19"/>
  <c r="L13" i="19"/>
  <c r="AD23" i="19"/>
  <c r="AJ33" i="19"/>
  <c r="AJ23" i="19"/>
  <c r="R53" i="19"/>
  <c r="Z11" i="19"/>
  <c r="AF31" i="19"/>
  <c r="T51" i="19"/>
  <c r="N51" i="19"/>
  <c r="Z41" i="19"/>
  <c r="AF21" i="19"/>
  <c r="AL31" i="19"/>
  <c r="T31" i="19"/>
  <c r="Z31" i="19"/>
  <c r="N21" i="19"/>
  <c r="N31" i="19"/>
  <c r="AL11" i="19"/>
  <c r="T11" i="19"/>
  <c r="AF11" i="19"/>
  <c r="AL41" i="19"/>
  <c r="T21" i="19"/>
  <c r="Z21" i="19"/>
  <c r="AL51" i="19"/>
  <c r="N11" i="19"/>
  <c r="AF51" i="19"/>
  <c r="N41" i="19"/>
  <c r="Z51" i="19"/>
  <c r="AM36"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M37" i="1"/>
  <c r="AG11" i="19"/>
  <c r="AM41" i="19"/>
  <c r="AA21" i="19"/>
  <c r="AA51" i="19"/>
  <c r="U51" i="19"/>
  <c r="U31" i="19"/>
  <c r="AA11" i="19"/>
  <c r="AG21" i="19"/>
  <c r="O31" i="19"/>
  <c r="AK53" i="1"/>
  <c r="AK23" i="1"/>
  <c r="AK24" i="1"/>
  <c r="AK25" i="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K29" i="1"/>
  <c r="AE11" i="19"/>
  <c r="Y41" i="19"/>
  <c r="M41" i="19"/>
  <c r="Y21" i="19"/>
  <c r="AK41" i="19"/>
  <c r="S31" i="19"/>
  <c r="M31" i="19"/>
  <c r="M51" i="19"/>
  <c r="Y51" i="19"/>
  <c r="AK21" i="19"/>
  <c r="AK31" i="19"/>
  <c r="Y11" i="19"/>
  <c r="AE41" i="19"/>
  <c r="AE21" i="19"/>
  <c r="S51" i="19"/>
  <c r="AE51" i="19"/>
  <c r="AK51" i="19"/>
  <c r="M21" i="19"/>
  <c r="AE31" i="19"/>
  <c r="AM35" i="1"/>
  <c r="S41" i="19"/>
  <c r="AK11" i="19"/>
  <c r="S11" i="19"/>
  <c r="Y31" i="19"/>
  <c r="S21" i="19"/>
  <c r="M11" i="19"/>
  <c r="L54" i="19"/>
  <c r="AJ14" i="19"/>
  <c r="AD44" i="19"/>
  <c r="X54" i="19"/>
  <c r="R14" i="19"/>
  <c r="AD24" i="19"/>
  <c r="AD34" i="19"/>
  <c r="R54" i="19"/>
  <c r="L34" i="19"/>
  <c r="AJ34" i="19"/>
  <c r="X24" i="19"/>
  <c r="AJ24" i="19"/>
  <c r="X44" i="19"/>
  <c r="R24" i="19"/>
  <c r="AM52" i="1"/>
  <c r="X34" i="19"/>
  <c r="L14" i="19"/>
  <c r="AD14" i="19"/>
  <c r="L44" i="19"/>
  <c r="R44" i="19"/>
  <c r="AD54" i="19"/>
  <c r="X14" i="19"/>
  <c r="AJ44" i="19"/>
  <c r="R34" i="19"/>
  <c r="AJ54" i="19"/>
  <c r="L24" i="19"/>
  <c r="AD29" i="19"/>
  <c r="AD19" i="19"/>
  <c r="R39" i="19"/>
  <c r="R9" i="19"/>
  <c r="X49" i="19"/>
  <c r="X9" i="19"/>
  <c r="AD39" i="19"/>
  <c r="R29" i="19"/>
  <c r="L49" i="19"/>
  <c r="X19" i="19"/>
  <c r="X29" i="19"/>
  <c r="X39" i="19"/>
  <c r="L9" i="19"/>
  <c r="AM22" i="1"/>
  <c r="AD9" i="19"/>
  <c r="AJ49" i="19"/>
  <c r="L39" i="19"/>
  <c r="R19" i="19"/>
  <c r="AJ39" i="19"/>
  <c r="AJ29" i="19"/>
  <c r="AJ19" i="19"/>
  <c r="AJ9" i="19"/>
  <c r="AD49" i="19"/>
  <c r="L19" i="19"/>
  <c r="L29" i="19"/>
  <c r="R49" i="19"/>
  <c r="R15" i="19" l="1"/>
  <c r="R55" i="19"/>
  <c r="AD25" i="19"/>
  <c r="L55" i="19"/>
  <c r="AJ35" i="19"/>
  <c r="X55" i="19"/>
  <c r="X35" i="19"/>
  <c r="AM58" i="1"/>
  <c r="AD15" i="19"/>
  <c r="X25" i="19"/>
  <c r="X45" i="19"/>
  <c r="L35" i="19"/>
  <c r="R35" i="19"/>
  <c r="AJ15" i="19"/>
  <c r="L15" i="19"/>
  <c r="AJ25" i="19"/>
  <c r="AJ55" i="19"/>
  <c r="L45" i="19"/>
  <c r="AD35" i="19"/>
  <c r="R25" i="19"/>
  <c r="AD45" i="19"/>
  <c r="R45" i="19"/>
  <c r="AD55" i="19"/>
  <c r="X15" i="19"/>
  <c r="L25" i="19"/>
  <c r="AJ45" i="19"/>
  <c r="AK60" i="1"/>
  <c r="Z35" i="19" s="1"/>
  <c r="AK59" i="1"/>
  <c r="AJ48" i="19"/>
  <c r="L18" i="19"/>
  <c r="AD8" i="19"/>
  <c r="AJ8" i="19"/>
  <c r="AJ28" i="19"/>
  <c r="R48" i="19"/>
  <c r="X48" i="19"/>
  <c r="L8" i="19"/>
  <c r="AD28" i="19"/>
  <c r="X38" i="19"/>
  <c r="AM19" i="1"/>
  <c r="X8" i="19"/>
  <c r="L48" i="19"/>
  <c r="AD48" i="19"/>
  <c r="AD38" i="19"/>
  <c r="X18" i="19"/>
  <c r="R38" i="19"/>
  <c r="R8" i="19"/>
  <c r="L38" i="19"/>
  <c r="R28" i="19"/>
  <c r="AJ38" i="19"/>
  <c r="AD18" i="19"/>
  <c r="L28" i="19"/>
  <c r="AJ18" i="19"/>
  <c r="X28" i="19"/>
  <c r="AK30" i="1"/>
  <c r="AK31" i="1"/>
  <c r="AG39" i="19"/>
  <c r="AG29" i="19"/>
  <c r="AM19" i="19"/>
  <c r="O39" i="19"/>
  <c r="AM25"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M53" i="1"/>
  <c r="AE24" i="19"/>
  <c r="S14" i="19"/>
  <c r="AK17" i="19"/>
  <c r="S27" i="19"/>
  <c r="S37" i="19"/>
  <c r="AE27" i="19"/>
  <c r="Y47" i="19"/>
  <c r="S7" i="19"/>
  <c r="M17" i="19"/>
  <c r="AE17" i="19"/>
  <c r="AK27" i="19"/>
  <c r="Y7" i="19"/>
  <c r="Y37" i="19"/>
  <c r="AE37" i="19"/>
  <c r="Y27" i="19"/>
  <c r="M47" i="19"/>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E28" i="19"/>
  <c r="AA55" i="19"/>
  <c r="O45" i="19"/>
  <c r="AA15" i="19"/>
  <c r="AM55" i="19"/>
  <c r="O55" i="19"/>
  <c r="AG35" i="19"/>
  <c r="AM25" i="19"/>
  <c r="AM35" i="19"/>
  <c r="AA25" i="19"/>
  <c r="AM45" i="19"/>
  <c r="AG25" i="19"/>
  <c r="AA35" i="19"/>
  <c r="O25" i="19"/>
  <c r="U25" i="19"/>
  <c r="AG45" i="19"/>
  <c r="U35" i="19"/>
  <c r="AA45" i="19"/>
  <c r="AM15" i="19"/>
  <c r="U45" i="19"/>
  <c r="O35" i="19"/>
  <c r="O15" i="19"/>
  <c r="AM61" i="1"/>
  <c r="AG15" i="19"/>
  <c r="U15" i="19"/>
  <c r="AG55" i="19"/>
  <c r="U55" i="19"/>
  <c r="AE40" i="19"/>
  <c r="Y30" i="19"/>
  <c r="M20" i="19"/>
  <c r="AM29"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M24" i="1"/>
  <c r="T19" i="19"/>
  <c r="AL49" i="19"/>
  <c r="T29" i="19"/>
  <c r="AF29" i="19"/>
  <c r="T18" i="19"/>
  <c r="N48" i="19"/>
  <c r="N8" i="19"/>
  <c r="T28" i="19"/>
  <c r="AF38" i="19"/>
  <c r="Z28" i="19"/>
  <c r="Z18" i="19"/>
  <c r="AF8" i="19"/>
  <c r="AL8" i="19"/>
  <c r="Z48" i="19"/>
  <c r="AL48" i="19"/>
  <c r="AL28" i="19"/>
  <c r="N38" i="19"/>
  <c r="AL38" i="19"/>
  <c r="AF28" i="19"/>
  <c r="AF18" i="19"/>
  <c r="AL18" i="19"/>
  <c r="Z8" i="19"/>
  <c r="T48" i="19"/>
  <c r="T8" i="19"/>
  <c r="T38" i="19"/>
  <c r="Z38" i="19"/>
  <c r="AF48" i="19"/>
  <c r="N28" i="19"/>
  <c r="N18" i="19"/>
  <c r="S39" i="19"/>
  <c r="M49" i="19"/>
  <c r="AE19" i="19"/>
  <c r="S49" i="19"/>
  <c r="AK19" i="19"/>
  <c r="Y9" i="19"/>
  <c r="M29" i="19"/>
  <c r="AE49" i="19"/>
  <c r="Y39" i="19"/>
  <c r="AK49" i="19"/>
  <c r="AK29" i="19"/>
  <c r="AK39" i="19"/>
  <c r="S19" i="19"/>
  <c r="M19" i="19"/>
  <c r="AE9" i="19"/>
  <c r="AE39" i="19"/>
  <c r="M39" i="19"/>
  <c r="AK9" i="19"/>
  <c r="Y19" i="19"/>
  <c r="S29" i="19"/>
  <c r="S9" i="19"/>
  <c r="AE29" i="19"/>
  <c r="Y49" i="19"/>
  <c r="AM23" i="1"/>
  <c r="M9" i="19"/>
  <c r="Y29" i="19"/>
  <c r="AK48" i="1"/>
  <c r="AK49" i="1"/>
  <c r="AM46" i="19"/>
  <c r="U36" i="19"/>
  <c r="AG16" i="19"/>
  <c r="O6" i="19"/>
  <c r="AA36" i="19"/>
  <c r="AM16" i="19"/>
  <c r="U6" i="19"/>
  <c r="AG46" i="19"/>
  <c r="AA16" i="19"/>
  <c r="AA6" i="19"/>
  <c r="AG6" i="19"/>
  <c r="AA46" i="19"/>
  <c r="AM26" i="19"/>
  <c r="U16" i="19"/>
  <c r="O36" i="19"/>
  <c r="U26" i="19"/>
  <c r="O46" i="19"/>
  <c r="AA26" i="19"/>
  <c r="AM6" i="19"/>
  <c r="U46" i="19"/>
  <c r="AG26" i="19"/>
  <c r="O16" i="19"/>
  <c r="AG36" i="19"/>
  <c r="O26" i="19"/>
  <c r="AM36" i="19"/>
  <c r="AK54" i="1"/>
  <c r="AK55" i="1"/>
  <c r="O8" i="19"/>
  <c r="AA48" i="19"/>
  <c r="AM38" i="19"/>
  <c r="U48" i="19"/>
  <c r="AA18" i="19"/>
  <c r="AG18" i="19"/>
  <c r="AG48" i="19"/>
  <c r="AM18" i="19"/>
  <c r="AA28" i="19"/>
  <c r="AG28" i="19"/>
  <c r="AA8" i="19"/>
  <c r="U18" i="19"/>
  <c r="AG38" i="19"/>
  <c r="U38" i="19"/>
  <c r="AM8" i="19"/>
  <c r="AA38" i="19"/>
  <c r="AM48" i="19"/>
  <c r="U28" i="19"/>
  <c r="O38" i="19"/>
  <c r="U8" i="19"/>
  <c r="AG8" i="19"/>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M47" i="1"/>
  <c r="M33" i="19"/>
  <c r="AF6" i="19"/>
  <c r="N46" i="19"/>
  <c r="Z26" i="19"/>
  <c r="AL6" i="19"/>
  <c r="AL36" i="19"/>
  <c r="AF26" i="19"/>
  <c r="Z6" i="19"/>
  <c r="T26" i="19"/>
  <c r="Z46" i="19"/>
  <c r="AF46" i="19"/>
  <c r="T46" i="19"/>
  <c r="T6" i="19"/>
  <c r="AF36" i="19"/>
  <c r="N26" i="19"/>
  <c r="Z16" i="19"/>
  <c r="AL26" i="19"/>
  <c r="Z36" i="19"/>
  <c r="N36" i="19"/>
  <c r="AL46" i="19"/>
  <c r="T36" i="19"/>
  <c r="AF16" i="19"/>
  <c r="N6" i="19"/>
  <c r="N16" i="19"/>
  <c r="AL16" i="19"/>
  <c r="T16" i="19"/>
  <c r="AL35" i="19" l="1"/>
  <c r="AM60" i="1"/>
  <c r="N25" i="19"/>
  <c r="AF15" i="19"/>
  <c r="AF25" i="19"/>
  <c r="N15" i="19"/>
  <c r="Z25" i="19"/>
  <c r="N45" i="19"/>
  <c r="Z55" i="19"/>
  <c r="N35" i="19"/>
  <c r="AF35" i="19"/>
  <c r="Z45" i="19"/>
  <c r="Z15" i="19"/>
  <c r="AL45" i="19"/>
  <c r="AL25" i="19"/>
  <c r="AL55" i="19"/>
  <c r="AF45" i="19"/>
  <c r="AL15" i="19"/>
  <c r="N55" i="19"/>
  <c r="T55" i="19"/>
  <c r="T45" i="19"/>
  <c r="T25" i="19"/>
  <c r="AF55" i="19"/>
  <c r="T15" i="19"/>
  <c r="T35" i="19"/>
  <c r="Y35" i="19"/>
  <c r="Y45" i="19"/>
  <c r="M25" i="19"/>
  <c r="AE55" i="19"/>
  <c r="AE35" i="19"/>
  <c r="S55" i="19"/>
  <c r="M35" i="19"/>
  <c r="AK25" i="19"/>
  <c r="AE25" i="19"/>
  <c r="S45" i="19"/>
  <c r="M45" i="19"/>
  <c r="Y55" i="19"/>
  <c r="M55" i="19"/>
  <c r="S15" i="19"/>
  <c r="AE45" i="19"/>
  <c r="S35" i="19"/>
  <c r="S25" i="19"/>
  <c r="AK15" i="19"/>
  <c r="M15" i="19"/>
  <c r="AK35" i="19"/>
  <c r="AK55" i="19"/>
  <c r="Y25" i="19"/>
  <c r="AM59" i="1"/>
  <c r="Y15" i="19"/>
  <c r="AE15" i="19"/>
  <c r="AK45" i="19"/>
  <c r="AG24" i="19"/>
  <c r="O44" i="19"/>
  <c r="O24" i="19"/>
  <c r="AM14" i="19"/>
  <c r="AG34" i="19"/>
  <c r="O34" i="19"/>
  <c r="AA44" i="19"/>
  <c r="O14" i="19"/>
  <c r="AA54" i="19"/>
  <c r="U14" i="19"/>
  <c r="AM44" i="19"/>
  <c r="AA34" i="19"/>
  <c r="AM24" i="19"/>
  <c r="AM54" i="19"/>
  <c r="AG14" i="19"/>
  <c r="AM34" i="19"/>
  <c r="U54" i="19"/>
  <c r="AG44" i="19"/>
  <c r="AA24" i="19"/>
  <c r="AG54" i="19"/>
  <c r="U34" i="19"/>
  <c r="U24" i="19"/>
  <c r="AM55" i="1"/>
  <c r="AA14" i="19"/>
  <c r="O54" i="19"/>
  <c r="U44" i="19"/>
  <c r="U43" i="19"/>
  <c r="U13" i="19"/>
  <c r="AM53" i="19"/>
  <c r="AA53" i="19"/>
  <c r="AA43" i="19"/>
  <c r="O53" i="19"/>
  <c r="O23" i="19"/>
  <c r="O13" i="19"/>
  <c r="AG43" i="19"/>
  <c r="U33" i="19"/>
  <c r="U23" i="19"/>
  <c r="AM13" i="19"/>
  <c r="AM23" i="19"/>
  <c r="AG13" i="19"/>
  <c r="AA23" i="19"/>
  <c r="AG33" i="19"/>
  <c r="AA33" i="19"/>
  <c r="AM33" i="19"/>
  <c r="AA13" i="19"/>
  <c r="AM49"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M54" i="1"/>
  <c r="AF53" i="19"/>
  <c r="T43" i="19"/>
  <c r="Z53" i="19"/>
  <c r="N43" i="19"/>
  <c r="T23" i="19"/>
  <c r="AF43" i="19"/>
  <c r="Z13" i="19"/>
  <c r="Z43" i="19"/>
  <c r="AF23" i="19"/>
  <c r="AL13" i="19"/>
  <c r="Z23" i="19"/>
  <c r="AL43" i="19"/>
  <c r="AF13" i="19"/>
  <c r="AL23" i="19"/>
  <c r="N13" i="19"/>
  <c r="T33" i="19"/>
  <c r="AL53" i="19"/>
  <c r="N23" i="19"/>
  <c r="N53" i="19"/>
  <c r="AF33" i="19"/>
  <c r="N33" i="19"/>
  <c r="AM48" i="1"/>
  <c r="T53" i="19"/>
  <c r="AL33" i="19"/>
  <c r="T13" i="19"/>
  <c r="Z33" i="19"/>
  <c r="Z47" i="19"/>
  <c r="T7" i="19"/>
  <c r="AL37" i="19"/>
  <c r="T17" i="19"/>
  <c r="Z17" i="19"/>
  <c r="AF7" i="19"/>
  <c r="AF37" i="19"/>
  <c r="N17" i="19"/>
  <c r="AF27" i="19"/>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M31"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A17" i="19"/>
  <c r="O7" i="19"/>
  <c r="AA37" i="19"/>
  <c r="AA27" i="19"/>
  <c r="AM27" i="19"/>
  <c r="U17" i="19"/>
  <c r="U47" i="19"/>
  <c r="AG17" i="19"/>
  <c r="O47" i="19"/>
  <c r="Z40" i="19"/>
  <c r="AM30"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C11" authorId="0" shapeId="0" xr:uid="{00000000-0006-0000-0900-000001000000}">
      <text>
        <r>
          <rPr>
            <sz val="11"/>
            <color rgb="FF000000"/>
            <rFont val="Calibri"/>
            <family val="2"/>
            <charset val="1"/>
          </rPr>
          <t>¿CÓMO? 
Causa Inmediata
(Ver tabla de Clasificación de riesgos)</t>
        </r>
      </text>
    </comment>
    <comment ref="D11" authorId="0" shapeId="0" xr:uid="{00000000-0006-0000-0900-000002000000}">
      <text>
        <r>
          <rPr>
            <sz val="11"/>
            <color rgb="FF000000"/>
            <rFont val="Calibri"/>
            <family val="2"/>
            <charset val="1"/>
          </rPr>
          <t>¿</t>
        </r>
        <r>
          <rPr>
            <sz val="13"/>
            <color rgb="FF000000"/>
            <rFont val="Calibri"/>
            <family val="2"/>
            <charset val="1"/>
          </rPr>
          <t xml:space="preserve">PORQUÉ?Vulnerabilidad </t>
        </r>
        <r>
          <rPr>
            <sz val="12"/>
            <rFont val="Arial"/>
            <family val="2"/>
            <charset val="1"/>
          </rPr>
          <t>del activo evaluado en crítico</t>
        </r>
      </text>
    </comment>
    <comment ref="E11" authorId="0" shapeId="0" xr:uid="{00000000-0006-0000-0900-000003000000}">
      <text>
        <r>
          <rPr>
            <sz val="11"/>
            <color rgb="FF000000"/>
            <rFont val="Calibri"/>
            <family val="2"/>
            <charset val="1"/>
          </rPr>
          <t>Actividad clave del proceso o procedimiento o fase del proyecto</t>
        </r>
      </text>
    </comment>
    <comment ref="K11" authorId="0" shapeId="0" xr:uid="{00000000-0006-0000-0900-000004000000}">
      <text>
        <r>
          <rPr>
            <sz val="11"/>
            <color rgb="FF000000"/>
            <rFont val="Calibri"/>
            <family val="2"/>
            <charset val="1"/>
          </rPr>
          <t>Activo evaluado en crítico</t>
        </r>
      </text>
    </comment>
    <comment ref="L11" authorId="0" shapeId="0" xr:uid="{00000000-0006-0000-0900-000005000000}">
      <text>
        <r>
          <rPr>
            <sz val="11"/>
            <color rgb="FF000000"/>
            <rFont val="Calibri"/>
            <family val="2"/>
            <charset val="1"/>
          </rPr>
          <t>Ver Tabla Amenazas</t>
        </r>
      </text>
    </comment>
    <comment ref="M11" authorId="0" shapeId="0" xr:uid="{00000000-0006-0000-0900-000006000000}">
      <text>
        <r>
          <rPr>
            <sz val="11"/>
            <color rgb="FF000000"/>
            <rFont val="Calibri"/>
            <family val="2"/>
            <charset val="1"/>
          </rPr>
          <t>La p´robaiulidad y el impacto se determinan con base a la amenaza, no en las vulnerabilidades.</t>
        </r>
      </text>
    </comment>
    <comment ref="N11" authorId="0" shapeId="0" xr:uid="{00000000-0006-0000-0900-000007000000}">
      <text>
        <r>
          <rPr>
            <sz val="11"/>
            <color rgb="FF000000"/>
            <rFont val="Calibri"/>
            <family val="2"/>
            <charset val="1"/>
          </rPr>
          <t>No. veces que realiza la actividad al año (Ver Tabla de probabilidad)</t>
        </r>
      </text>
    </comment>
  </commentList>
</comments>
</file>

<file path=xl/sharedStrings.xml><?xml version="1.0" encoding="utf-8"?>
<sst xmlns="http://schemas.openxmlformats.org/spreadsheetml/2006/main" count="1406" uniqueCount="790">
  <si>
    <t>Matriz Mapa de Riesgos</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</si>
  <si>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color theme="9" tint="-0.249977111117893"/>
        <rFont val="Arial Narrow"/>
        <family val="2"/>
      </rPr>
      <t>Guía para la Administración del Riesgo y el diseño de controles V5</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</si>
  <si>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</si>
  <si>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t>
    </r>
    <r>
      <rPr>
        <b/>
        <sz val="11"/>
        <rFont val="Arial Narrow"/>
        <family val="2"/>
      </rPr>
      <t xml:space="preserve">DOFA </t>
    </r>
    <r>
      <rPr>
        <sz val="11"/>
        <rFont val="Arial Narrow"/>
        <family val="2"/>
      </rPr>
      <t xml:space="preserve">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</si>
  <si>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</si>
  <si>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</si>
  <si>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</si>
  <si>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Proceso</t>
  </si>
  <si>
    <t>Diligencie el nombre del proceso o proyecto al cual se le identificarán y valorarán los riesgos.</t>
  </si>
  <si>
    <t>Objetivo</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</si>
  <si>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</si>
  <si>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</si>
  <si>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</si>
  <si>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</si>
  <si>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</si>
  <si>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</si>
  <si>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</si>
  <si>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</si>
  <si>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</si>
  <si>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</si>
  <si>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</si>
  <si>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</si>
  <si>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</si>
  <si>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</si>
  <si>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</si>
  <si>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</si>
  <si>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</si>
  <si>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</si>
  <si>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</si>
  <si>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</si>
  <si>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</si>
  <si>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</si>
  <si>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</si>
  <si>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</si>
  <si>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</si>
  <si>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</si>
  <si>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</si>
  <si>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</si>
  <si>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</si>
  <si>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</si>
  <si>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</si>
  <si>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</si>
  <si>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</si>
  <si>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</si>
  <si>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</si>
  <si>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</si>
  <si>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</si>
  <si>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</si>
  <si>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</si>
  <si>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</si>
  <si>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</si>
  <si>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</si>
  <si>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</si>
  <si>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el registra la actualización de los riesgos a partir de 2023</t>
  </si>
  <si>
    <t>Versión inicial</t>
  </si>
  <si>
    <t>tipo de riesgos</t>
  </si>
  <si>
    <t>Fecha de cambio</t>
  </si>
  <si>
    <t>Aspecto(s) que cambiaron</t>
  </si>
  <si>
    <t>Descripción de los cambios efectuados</t>
  </si>
  <si>
    <t>na</t>
  </si>
  <si>
    <t>interno</t>
  </si>
  <si>
    <t xml:space="preserve">DIRECCIONAMIENTO ESTRATÉGICO </t>
  </si>
  <si>
    <t>COMUNICACIONES ESTRATÉGICAS</t>
  </si>
  <si>
    <t>SERVICIO A LA CIUDADANÍA Y RELACIONAMIENTO CON PARTES INTERESADAS</t>
  </si>
  <si>
    <t>ESTRATEGIA Y GOBIERNO DE TI</t>
  </si>
  <si>
    <t xml:space="preserve">PLANIFICACIÓN DE LA CONSERVACIÓN DE LA INFRAESTRUCTURA </t>
  </si>
  <si>
    <t>GESTIÓN DE LABORATORIO</t>
  </si>
  <si>
    <t>PRODUCCIÓN DE MEZCLA</t>
  </si>
  <si>
    <t>LOGÍSTICA Y MANEJO DE LA MAQUINARIA Y EQUIPO</t>
  </si>
  <si>
    <t xml:space="preserve">INTERVENCIÓN DE LA INFRAESTRUCTURA </t>
  </si>
  <si>
    <t>DESARROLLO MISIONAL Y COMERCIALIZACIÓN</t>
  </si>
  <si>
    <t>GESTIÓN JURÍDICA</t>
  </si>
  <si>
    <t>GESTIÓN CONTRACTUAL</t>
  </si>
  <si>
    <t>GESTIÓN FINANCIERA</t>
  </si>
  <si>
    <t>GESTIÓN DOCUMENTAL</t>
  </si>
  <si>
    <t xml:space="preserve">GESTIÓN DE RECURSOS FÍSICOS </t>
  </si>
  <si>
    <t>GESTIÓN DE TALENTO HUMANO</t>
  </si>
  <si>
    <t>GESTIÓN AMBIENTAL</t>
  </si>
  <si>
    <t>CONTROL DISCIPLINARIO INTERNO</t>
  </si>
  <si>
    <t>CONTROL Y  EVALUACIÓN INSTITUCIONAL</t>
  </si>
  <si>
    <t>SEGUIMIENTO Y MONITOREO DE CALIDAD TÉCNICA</t>
  </si>
  <si>
    <r>
      <rPr>
        <b/>
        <sz val="11"/>
        <color theme="1"/>
        <rFont val="Calibri"/>
        <family val="2"/>
        <scheme val="minor"/>
      </rPr>
      <t>8081</t>
    </r>
    <r>
      <rPr>
        <sz val="11"/>
        <color theme="1"/>
        <rFont val="Calibri"/>
        <family val="2"/>
        <scheme val="minor"/>
      </rPr>
      <t xml:space="preserve"> Conservación de la red vial y red de Ciclo infraestructura de Bogotá D.C</t>
    </r>
  </si>
  <si>
    <r>
      <rPr>
        <b/>
        <sz val="11"/>
        <color theme="1"/>
        <rFont val="Calibri"/>
        <family val="2"/>
        <scheme val="minor"/>
      </rPr>
      <t>8055</t>
    </r>
    <r>
      <rPr>
        <sz val="11"/>
        <color theme="1"/>
        <rFont val="Calibri"/>
        <family val="2"/>
        <scheme val="minor"/>
      </rPr>
      <t xml:space="preserve"> Conservación de la red de infraestructura peatonal en Bogotá D.C</t>
    </r>
  </si>
  <si>
    <r>
      <rPr>
        <b/>
        <sz val="11"/>
        <color theme="1"/>
        <rFont val="Calibri"/>
        <family val="2"/>
        <scheme val="minor"/>
      </rPr>
      <t>8095</t>
    </r>
    <r>
      <rPr>
        <sz val="11"/>
        <color theme="1"/>
        <rFont val="Calibri"/>
        <family val="2"/>
        <scheme val="minor"/>
      </rPr>
      <t xml:space="preserve"> Fortalecimiento de la gestión institucional de la UAERMV de Bogotá D.C</t>
    </r>
  </si>
  <si>
    <r>
      <rPr>
        <b/>
        <sz val="11"/>
        <color theme="1"/>
        <rFont val="Calibri"/>
        <family val="2"/>
        <scheme val="minor"/>
      </rPr>
      <t>8089</t>
    </r>
    <r>
      <rPr>
        <sz val="11"/>
        <color theme="1"/>
        <rFont val="Calibri"/>
        <family val="2"/>
        <scheme val="minor"/>
      </rPr>
      <t xml:space="preserve"> Fortalecimiento de los Componentes tecnológicos para garantizar la demanda en la operación de la UAERMV de Bogotá D.C</t>
    </r>
  </si>
  <si>
    <r>
      <rPr>
        <b/>
        <sz val="11"/>
        <color theme="1"/>
        <rFont val="Calibri"/>
        <family val="2"/>
        <scheme val="minor"/>
      </rPr>
      <t>8208</t>
    </r>
    <r>
      <rPr>
        <sz val="11"/>
        <color theme="1"/>
        <rFont val="Calibri"/>
        <family val="2"/>
        <scheme val="minor"/>
      </rPr>
      <t xml:space="preserve"> Proyecto Fortalecimiento de la atención y participación ciudadana con enfoques de género, diferencial y territorial en Bogotá D.C.</t>
    </r>
  </si>
  <si>
    <t>CONTEXTO  DE PROCESO</t>
  </si>
  <si>
    <t>Riesgo asociado</t>
  </si>
  <si>
    <t>FACTORES INTERNOS</t>
  </si>
  <si>
    <t>ORIGEN</t>
  </si>
  <si>
    <t>FORTALEZAS Y/O OPORTUNIDADES</t>
  </si>
  <si>
    <t>DEBILIDADES Y/O AMENAZAS</t>
  </si>
  <si>
    <t>DISEÑO DEL PROCESO:</t>
  </si>
  <si>
    <t>El proceso tiene un alcance con un objetivo claro que abarca el direccionamiento estratégico y el apoyo en la gestión para todos los procesos de la entidad.</t>
  </si>
  <si>
    <r>
      <rPr>
        <sz val="21"/>
        <color rgb="FF7030A0"/>
        <rFont val="Arial"/>
        <family val="2"/>
      </rPr>
      <t>El componente de</t>
    </r>
    <r>
      <rPr>
        <b/>
        <sz val="21"/>
        <color rgb="FF7030A0"/>
        <rFont val="Arial"/>
        <family val="2"/>
      </rPr>
      <t xml:space="preserve"> innovación y gestión del conocimiento</t>
    </r>
    <r>
      <rPr>
        <sz val="21"/>
        <color rgb="FF7030A0"/>
        <rFont val="Arial"/>
        <family val="2"/>
      </rPr>
      <t xml:space="preserve"> está por desarrollar dentro del proceso. La operatividad del banco de proyectos depende de la aplicación y la comprensión de la metodología de iniciativas de proyectos por parte de los procesos de la entidad.</t>
    </r>
    <r>
      <rPr>
        <sz val="21"/>
        <rFont val="Arial"/>
        <family val="2"/>
      </rPr>
      <t xml:space="preserve">
El proceso DESI al ser el que coordina la implementación del Sistema de Gestión de Calidad depende del compromiso y trabajo de los demás procesos para generar resultados y subsanar las no conformidades producto de las actividades internas.</t>
    </r>
  </si>
  <si>
    <t>R4</t>
  </si>
  <si>
    <t>INTERACCIONES CON OTROS PROCESOS:</t>
  </si>
  <si>
    <r>
      <t>El proceso DESI  interactúa de manera eficaz con el resto de procesos de la entidad a través de los colaboradores designados por los directivos de la entidad como enlaces</t>
    </r>
    <r>
      <rPr>
        <sz val="21"/>
        <color rgb="FFFF0000"/>
        <rFont val="Arial"/>
        <family val="2"/>
      </rPr>
      <t>,</t>
    </r>
    <r>
      <rPr>
        <sz val="21"/>
        <rFont val="Arial"/>
        <family val="2"/>
      </rPr>
      <t xml:space="preserve"> pues da lineamientos y asesora la formulación programación actualización y seguimiento integral a proyectos de inversión,  la implementación del Modelo Integrado de Planeación y Gestión en todos los procesos y procedimientos de la entidad.
El proceso DESI se apoya en el proceso de Atención a Partes Interesadas y Comunicaciones para mantener una comunicación permanente con el resto de procesos, y con la línea estratégica de la entidad (el consejo directivo de la entidad).</t>
    </r>
  </si>
  <si>
    <r>
      <t>El proceso DESI, al ser el que consolida y analiza la información de gestión, seguimiento e indicadores de todos los procesos de la entidad puede llegar a fallar en la oportunidad de entrega de la información al C</t>
    </r>
    <r>
      <rPr>
        <b/>
        <sz val="21"/>
        <rFont val="Arial"/>
        <family val="2"/>
      </rPr>
      <t>omité Institucional de Gestión y Desempeño,</t>
    </r>
    <r>
      <rPr>
        <sz val="21"/>
        <rFont val="Arial"/>
        <family val="2"/>
      </rPr>
      <t xml:space="preserve"> pues depende de los colaboradores que sirven de enlaces con los procesos (en particular depende de sus compromisos de: efectividad, constancia y rigurosidad en la información).</t>
    </r>
  </si>
  <si>
    <t>R1</t>
  </si>
  <si>
    <t>TRANSVERSALIDAD</t>
  </si>
  <si>
    <t xml:space="preserve">El proceso DESI es transversal a todos los procesos de la entidad, la línea estratégica desplegada a través del comité directivo y la Oficina Asesora de Planeación  genera políticas, lineamientos y directrices que abarcan a todos los procesos y se articulan dentro del sistema integrado de gestión de la entidad.
El proceso DESI también se encarga de la administración del sistema de gestión de la calidad en la entidad, que involucra a todos los procesos y que bajo su liderazgo permite el aseguramiento de estándares de calidad en todos los procedimientos. </t>
  </si>
  <si>
    <t>Con el fin de cumplir  oportunamente en la entrega de los productos para la toma de decisiones de los directivos de la entidad se puede incurrir en la extralimitación de labores de la Oficina Asesora de Planeación y sus colaboradores. 
Pues por cumplir con los plazos se pueden empezar a adelantar labores que están incluidas en las herramientas de gestión de los procesos que deben ser realizadas y planificadas por ellos mismos.</t>
  </si>
  <si>
    <t>PROCEDIMIENTOS ASOCIADOS:</t>
  </si>
  <si>
    <t xml:space="preserve">RESPONSABLES DEL PROCESO: </t>
  </si>
  <si>
    <t>Los responsables del proceso DESI son: el director general,  el jefe de la oficina asesora de planeación y los subdirectores. Este sistema de responsabilidades permite un alto grado de  autoridad y autonomía para la toma de decisiones y desagregación de actividades.</t>
  </si>
  <si>
    <t xml:space="preserve">No se cuenta con los suficientes servidores públicos para realizar la gestión necesaria en el marco del cumplimiento de los objetivos institucionales relacionados con su campo de acción. 
En consecuencia, el proceso debe recurrir a la vinculación de contratistas </t>
  </si>
  <si>
    <t>COMUNICACIÓN ENTRE LOS PROCESOS:</t>
  </si>
  <si>
    <t xml:space="preserve">Cuando el Comité directivo y el proceso DESI generan directrices, recomendaciones y solicitudes al resto de procesos de la entidad sus observaciones son tenidas en cuenta y se integran al accionar de los procesos. </t>
  </si>
  <si>
    <t xml:space="preserve">La comunicación puede ser dispendiosa si no se cuenta con la disposición y el compromiso de los responsables directivos.
</t>
  </si>
  <si>
    <t>ACTIVOS DE SEGURIDAD DIGITAL DEL PROCESO:</t>
  </si>
  <si>
    <t xml:space="preserve">El proceso cuenta con un repositorio de información documentada vigente en la intranet de la entidad llamado: SISGESTIÓN en la que se cuelgan los formatos y documentos del sistema integrado de gestión de la entidad. En este repositorio los colaboradores tienen facilidad para consultar la información actualizada.
Se cuenta con el aplicativo SAFIRO que sirve para hacer el seguimiento a las metas y proyectos de inversión de la entidad. </t>
  </si>
  <si>
    <t>El proceso está diseñado para funcionar apoyándose en sistemas de información, bases de datos y aplicativos, por lo que fallas en estos sistemas pueden afectar el normal flujo del proceso.
Los aplicativos informáticos del proceso están expuestos a una manipulación indebida de la información por parte de los administradores de las bases de datos.
Hace falta el desarrollo de una PMO (Project Management Office) una oficina o un software que permita el seguimiento a iniciativas de proyectos de innovación y de gestión del conocimiento.</t>
  </si>
  <si>
    <t>Posibilidad de recibir o solicitar cualquier dádiva o beneficio</t>
  </si>
  <si>
    <t>Posibilidad de omitir</t>
  </si>
  <si>
    <t>Proyecto de inversión</t>
  </si>
  <si>
    <t>Aceptar</t>
  </si>
  <si>
    <t>Posibilidad de afectación económica</t>
  </si>
  <si>
    <t>Verifica</t>
  </si>
  <si>
    <t>8055 Conservación de la red de infraestructura peatonal en Bogotá D.C.</t>
  </si>
  <si>
    <t>Evitar</t>
  </si>
  <si>
    <t>Posibilidad de afectación reputacional</t>
  </si>
  <si>
    <t>Valida</t>
  </si>
  <si>
    <t>8081 Conservación de la red vial y red de cicloinfraestructura de Bogotá D.C.</t>
  </si>
  <si>
    <t>Reducir (mitigar)</t>
  </si>
  <si>
    <t>Posibilidad de afectación Económica y Reputacional</t>
  </si>
  <si>
    <t>Coteja</t>
  </si>
  <si>
    <t>8095 Fortalecimiento de la gestión institucional de la UAERMV de Bogotá D.C.</t>
  </si>
  <si>
    <t>Reducir (compartir)</t>
  </si>
  <si>
    <t>Posibilidad de efecto dañosos sobre bienes</t>
  </si>
  <si>
    <t>Compara</t>
  </si>
  <si>
    <t>8089 Fortalecimiento de los Componentes tecnológicos para garantizar la demanda</t>
  </si>
  <si>
    <t>Posibilidad de efecto dañosos sobre recursos</t>
  </si>
  <si>
    <t>Revisa</t>
  </si>
  <si>
    <t>8208 Fortalecimiento de la atención y participación ciudadana con enfoques</t>
  </si>
  <si>
    <t>Posibilidad de efecto dañosos sobre interes a patrimonio</t>
  </si>
  <si>
    <t>NA</t>
  </si>
  <si>
    <t xml:space="preserve">Riesgo estrategico </t>
  </si>
  <si>
    <t>Objetivo Intitucional asociado</t>
  </si>
  <si>
    <t>Plan de accion (solo para la opción reducir)</t>
  </si>
  <si>
    <t>Si</t>
  </si>
  <si>
    <t>1. PDD Ejecutar las obras de conservación correspondientes a la red de infraestructura peatonal, con las que se espera contribuir a la generación de un espacio público seguro e inclusivo.</t>
  </si>
  <si>
    <t>Finalizado</t>
  </si>
  <si>
    <t>No</t>
  </si>
  <si>
    <t>2. PDD Intervenir puntos críticos y ejecutar obras de conservación de la red vial, vial rural y cicloinfraestructura, para el logro de una movilidad sostenible.</t>
  </si>
  <si>
    <t>En curso</t>
  </si>
  <si>
    <t xml:space="preserve">3. PDD Desarrollar estrategias de mejora y sostenibilidad del Modelo Integrado De Planeación y Gestión – MIPG y el Fortalecimiento de los Componentes tecnológicos para garantizar la demanda en la operación de la UMV </t>
  </si>
  <si>
    <t>Ejecucion y Administracion de procesos</t>
  </si>
  <si>
    <t>4. PDD Fortalecer los mecanismos de participación y diálogo con la ciudadanía, generando un ambiente de confianza institucional a través de la adopción de buenas prácticas de gobierno abierto.</t>
  </si>
  <si>
    <t xml:space="preserve">Gestión </t>
  </si>
  <si>
    <r>
      <t>Ejecución y administración de procesos</t>
    </r>
    <r>
      <rPr>
        <sz val="9"/>
        <color rgb="FF548DD4"/>
        <rFont val="Arial"/>
        <family val="2"/>
      </rPr>
      <t> </t>
    </r>
  </si>
  <si>
    <t>Relaciones Laborales</t>
  </si>
  <si>
    <t>1. Contar con un centro de monitoreo y control que permita la planeación, alistamiento y ejecución de las obras con el fin de tomar decisiones informadas en tiempo real, que facilite la coordinación interinstitucional e interoperabilidad.</t>
  </si>
  <si>
    <r>
      <t>Fallas tecnológicas</t>
    </r>
    <r>
      <rPr>
        <sz val="9"/>
        <color rgb="FF548DD4"/>
        <rFont val="Arial"/>
        <family val="2"/>
      </rPr>
      <t> </t>
    </r>
  </si>
  <si>
    <t>2. Fortalecer la capacidad operativa, logística y productiva a través la adquisición y renovación de la maquinaria, vehículos y equipos, disminuyendo la emisión de gases efecto invernadero y costos de operación.</t>
  </si>
  <si>
    <r>
      <t>Relaciones laborales</t>
    </r>
    <r>
      <rPr>
        <sz val="9"/>
        <color rgb="FF548DD4"/>
        <rFont val="Arial"/>
        <family val="2"/>
      </rPr>
      <t> </t>
    </r>
  </si>
  <si>
    <t>3. Fortalecer técnica y organizacionalmente a la Unidad a partir del impulso a la investigación, el desarrollo de productos y servicios, la modernización tecnológica y la innovación en materiales y métodos, su laboratorio para el control de calidad y su capacidad para ejecutar obras.</t>
  </si>
  <si>
    <r>
      <t>Usuarios, productos y prácticas</t>
    </r>
    <r>
      <rPr>
        <sz val="9"/>
        <color rgb="FF548DD4"/>
        <rFont val="Arial"/>
        <family val="2"/>
      </rPr>
      <t> </t>
    </r>
  </si>
  <si>
    <t>4. Incrementar la credibilidad, la reputación, la confianza, la legitimidad y el buen nombre de la Unidad a través de mecanismos de cumplimiento regulatorio de gestión de la integridad y la mitigación de los riesgos.</t>
  </si>
  <si>
    <r>
      <t>Daños a activos fijos/ eventos externos</t>
    </r>
    <r>
      <rPr>
        <sz val="9"/>
        <color rgb="FF548DD4"/>
        <rFont val="Arial"/>
        <family val="2"/>
      </rPr>
      <t> </t>
    </r>
  </si>
  <si>
    <t>5. Adecuar la infraestructura que facilite la conectividad multimodal en el espacio público de manera articulada con otras entidades.</t>
  </si>
  <si>
    <r>
      <t>Fiscal</t>
    </r>
    <r>
      <rPr>
        <sz val="9"/>
        <rFont val="Arial"/>
        <family val="2"/>
      </rPr>
      <t> </t>
    </r>
  </si>
  <si>
    <t>6. Generar una propuesta de política pública en el Distrito para la conservación de la infraestructura para la movilidad.</t>
  </si>
  <si>
    <t>Corrupción</t>
  </si>
  <si>
    <t>Fraude Externo</t>
  </si>
  <si>
    <t>Fraude Interno</t>
  </si>
  <si>
    <t>Soborno</t>
  </si>
  <si>
    <t>seguridad</t>
  </si>
  <si>
    <t xml:space="preserve">Por Pérdida de la integridad </t>
  </si>
  <si>
    <t xml:space="preserve">Por Pérdida de la confidencialidad </t>
  </si>
  <si>
    <t xml:space="preserve">Por Pérdida de la disponibilidad </t>
  </si>
  <si>
    <t>LA/FT</t>
  </si>
  <si>
    <t>Riesgo reputacional</t>
  </si>
  <si>
    <t>Riesgo legal</t>
  </si>
  <si>
    <t>Riesgo operativo</t>
  </si>
  <si>
    <t>Riesgo de contagio</t>
  </si>
  <si>
    <t>Acciones no autorizadas </t>
  </si>
  <si>
    <t>Compromiso de la información </t>
  </si>
  <si>
    <t>Compromiso de las funciones </t>
  </si>
  <si>
    <t>Daño físico </t>
  </si>
  <si>
    <t>TIPO</t>
  </si>
  <si>
    <t>AMENAZA</t>
  </si>
  <si>
    <t>Fallas técnicas </t>
  </si>
  <si>
    <t>Fuego</t>
  </si>
  <si>
    <t>Perdida de los servicios esenciales </t>
  </si>
  <si>
    <t>Agua</t>
  </si>
  <si>
    <t>Perturbación debida a la radiación </t>
  </si>
  <si>
    <t>Contaminación</t>
  </si>
  <si>
    <t>Eventos naturales </t>
  </si>
  <si>
    <t>Accidente Importante</t>
  </si>
  <si>
    <t>Destrucción del equipo o medios </t>
  </si>
  <si>
    <t>Polvo, corrosión, congelamiento </t>
  </si>
  <si>
    <t>Fenómenos climáticos </t>
  </si>
  <si>
    <t>Fenómenos sísmicos </t>
  </si>
  <si>
    <t>Fenómenos volcánicos </t>
  </si>
  <si>
    <t>Fenómenos meteorológicos </t>
  </si>
  <si>
    <t>Inundación </t>
  </si>
  <si>
    <t>Fallas en el sistema de suministro de agua o aire acondicionado </t>
  </si>
  <si>
    <t>Perdida de suministro de energía </t>
  </si>
  <si>
    <t>Falla en equipo de telecomunicaciones </t>
  </si>
  <si>
    <t>Radiación electromagnética </t>
  </si>
  <si>
    <t>Radiación térmica </t>
  </si>
  <si>
    <t>Impulsos electromagnéticos </t>
  </si>
  <si>
    <t>Interceptación de señales de interferencia comprometida </t>
  </si>
  <si>
    <t>Espionaje remoto </t>
  </si>
  <si>
    <t>Escucha encubierta </t>
  </si>
  <si>
    <t>Hurto de medios o documentos </t>
  </si>
  <si>
    <t>Hurto de equipo </t>
  </si>
  <si>
    <t>Recuperación de medios reciclados o desechados </t>
  </si>
  <si>
    <t>Divulgación </t>
  </si>
  <si>
    <t>Datos provenientes de fuentes no confiables </t>
  </si>
  <si>
    <t>Manipulación con hardware </t>
  </si>
  <si>
    <t>Manipulación con software </t>
  </si>
  <si>
    <t>Detección de la posición </t>
  </si>
  <si>
    <t>Fallas del equipo </t>
  </si>
  <si>
    <t>Mal funcionamiento del equipo </t>
  </si>
  <si>
    <t>Saturación del sistema de información </t>
  </si>
  <si>
    <t>Mal funcionamiento del software </t>
  </si>
  <si>
    <t>Incumplimiento en el mantenimiento del sistema de información. </t>
  </si>
  <si>
    <t>Uso no autorizado del equipo </t>
  </si>
  <si>
    <t>Copia fraudulenta del software </t>
  </si>
  <si>
    <t>Uso de software falso o copiado </t>
  </si>
  <si>
    <t>Corrupción de los datos </t>
  </si>
  <si>
    <t>Procesamiento ilegal de datos </t>
  </si>
  <si>
    <t>Error en el uso </t>
  </si>
  <si>
    <t>Abuso de derechos </t>
  </si>
  <si>
    <t>Falsificación de derechos </t>
  </si>
  <si>
    <t>Negación de acciones </t>
  </si>
  <si>
    <t>Numeral ISO/IEC 27002:2022</t>
  </si>
  <si>
    <t>Incumplimiento en la disponibilidad del personal </t>
  </si>
  <si>
    <t>Sin definir</t>
  </si>
  <si>
    <t>5.1</t>
  </si>
  <si>
    <t>Políticas para la seguridad de la información.</t>
  </si>
  <si>
    <t>5.2</t>
  </si>
  <si>
    <t>Roles y responsabilidades en la seguridad de la información.</t>
  </si>
  <si>
    <t>5.3</t>
  </si>
  <si>
    <t xml:space="preserve">Segregación de deberes. </t>
  </si>
  <si>
    <t>5.4</t>
  </si>
  <si>
    <t xml:space="preserve">Responsabilidades de la dirección. </t>
  </si>
  <si>
    <t>5.5</t>
  </si>
  <si>
    <t>Contacto con las autoridades.</t>
  </si>
  <si>
    <t>5.6</t>
  </si>
  <si>
    <t xml:space="preserve">Contacto con grupos de interés especial. </t>
  </si>
  <si>
    <t>5.7</t>
  </si>
  <si>
    <t>Inteligencia de amenazas.</t>
  </si>
  <si>
    <t>5.8</t>
  </si>
  <si>
    <t>Seguridad de la información en la gestión de proyectos.</t>
  </si>
  <si>
    <t>5.9</t>
  </si>
  <si>
    <t>Inventario de información y otros activos asociados.</t>
  </si>
  <si>
    <t>5.10</t>
  </si>
  <si>
    <t>Uso aceptable de la información y otros activos asociados.</t>
  </si>
  <si>
    <t>5.11</t>
  </si>
  <si>
    <t>Devolución de activos.</t>
  </si>
  <si>
    <t>5.12</t>
  </si>
  <si>
    <t>Clasificación de la información.</t>
  </si>
  <si>
    <t>5.13</t>
  </si>
  <si>
    <t>Etiquetado de la información.</t>
  </si>
  <si>
    <t>5.14</t>
  </si>
  <si>
    <t>Transferencia de la información.</t>
  </si>
  <si>
    <t>5.15</t>
  </si>
  <si>
    <t>Control de acceso.</t>
  </si>
  <si>
    <t>5.16</t>
  </si>
  <si>
    <t>Gestión de identidades.</t>
  </si>
  <si>
    <t>5.17</t>
  </si>
  <si>
    <t>Información de autenticación.</t>
  </si>
  <si>
    <t>5.18</t>
  </si>
  <si>
    <t>Derechos de acceso.</t>
  </si>
  <si>
    <t>5.19</t>
  </si>
  <si>
    <t>Seguridad de la información en la relación con los proveedores.</t>
  </si>
  <si>
    <t>5.20</t>
  </si>
  <si>
    <t>Abordar la seguridad a la información dentro de los acuerdos con proveedores.</t>
  </si>
  <si>
    <t>5.21</t>
  </si>
  <si>
    <t>Gestión de seguridad de la información en la cadena de suministro de las tecnologías de la información y las comunicaciones (TIC).</t>
  </si>
  <si>
    <t>5.22</t>
  </si>
  <si>
    <t>Seguimiento, revisión y gestión del cambio de los servicios de los proveedores .</t>
  </si>
  <si>
    <t>5.23</t>
  </si>
  <si>
    <t>Seguridad de la información para el uso de servicios en la nube.</t>
  </si>
  <si>
    <t>5.24</t>
  </si>
  <si>
    <t>Planificación y preparación de la gestión de incidentes de seguridad de la información.</t>
  </si>
  <si>
    <t>5.25</t>
  </si>
  <si>
    <t>Evaluación y decisión sobre eventos de seguridad de la información.</t>
  </si>
  <si>
    <t>5.26</t>
  </si>
  <si>
    <t>Respuesta a incidentes de seguridad de información.</t>
  </si>
  <si>
    <t>5.27</t>
  </si>
  <si>
    <t>Aprender de los incidentes de seguridad de la información.</t>
  </si>
  <si>
    <t>5.28</t>
  </si>
  <si>
    <t xml:space="preserve">Recopilación de evidencias. </t>
  </si>
  <si>
    <t>5.29</t>
  </si>
  <si>
    <t xml:space="preserve">Seguridad de la información durante una interrupción. </t>
  </si>
  <si>
    <t>5.30</t>
  </si>
  <si>
    <t>Preparación de las TIC para continuidad de negocio.</t>
  </si>
  <si>
    <t>5.31</t>
  </si>
  <si>
    <t>Requisitos legales, reglamentarios y contractuales.</t>
  </si>
  <si>
    <t>5.32</t>
  </si>
  <si>
    <t>Derechos de propiedad intelectual.</t>
  </si>
  <si>
    <t>5.33</t>
  </si>
  <si>
    <t>Protección de registros.</t>
  </si>
  <si>
    <t>5.34</t>
  </si>
  <si>
    <t>Privacidad y protección de la información de identificación personal (PII, por sus siglas en inglés).</t>
  </si>
  <si>
    <t>5.35</t>
  </si>
  <si>
    <t>Revisión independiente de la seguridad de la información.</t>
  </si>
  <si>
    <t>5.36</t>
  </si>
  <si>
    <t>Cumplimiento de políticas, reglas y estándares de seguridad de la información.</t>
  </si>
  <si>
    <t>5.37</t>
  </si>
  <si>
    <t>Procedimientos operativos documentados.</t>
  </si>
  <si>
    <t>6.1</t>
  </si>
  <si>
    <t xml:space="preserve">Selección. </t>
  </si>
  <si>
    <t>6.2</t>
  </si>
  <si>
    <t xml:space="preserve">Términos y condiciones de empleo. </t>
  </si>
  <si>
    <t>6.3</t>
  </si>
  <si>
    <t xml:space="preserve">Conciencia de seguridad de información, educación y formación. </t>
  </si>
  <si>
    <t>6.4</t>
  </si>
  <si>
    <t xml:space="preserve">Proceso disciplinario. </t>
  </si>
  <si>
    <t>6.5</t>
  </si>
  <si>
    <t xml:space="preserve">Responsabilidades después de la terminación o cambio de empleo. </t>
  </si>
  <si>
    <t>6.6</t>
  </si>
  <si>
    <t xml:space="preserve">Acuerdos de confidencialidad y no divulgación. </t>
  </si>
  <si>
    <t>6.7</t>
  </si>
  <si>
    <t xml:space="preserve">Trabajo remoto. </t>
  </si>
  <si>
    <t>6.8</t>
  </si>
  <si>
    <t>Informes de eventos de seguridad de la información.</t>
  </si>
  <si>
    <t>7.1</t>
  </si>
  <si>
    <t>Perímetro de seguridad física.</t>
  </si>
  <si>
    <t>7.2</t>
  </si>
  <si>
    <t xml:space="preserve">Entrada física </t>
  </si>
  <si>
    <t>7.3</t>
  </si>
  <si>
    <t xml:space="preserve">Asegurar oficinas, habitaciones e instalaciones </t>
  </si>
  <si>
    <t>7.4</t>
  </si>
  <si>
    <t xml:space="preserve">Monitoreo de la seguridad física. </t>
  </si>
  <si>
    <t>7.5</t>
  </si>
  <si>
    <t>Protección contra amenazas físicas y ambientales.</t>
  </si>
  <si>
    <t>7.6</t>
  </si>
  <si>
    <t>Trabajar en áreas seguras.</t>
  </si>
  <si>
    <t>7.7</t>
  </si>
  <si>
    <t>Escritorio y pantalla limpios.</t>
  </si>
  <si>
    <t>7.8</t>
  </si>
  <si>
    <t>Emplazamiento y protección de equipos.</t>
  </si>
  <si>
    <t>7.9</t>
  </si>
  <si>
    <t>Seguridad de los activos fuera de las instalaciones.</t>
  </si>
  <si>
    <t>7.10</t>
  </si>
  <si>
    <t>Medios de almacenamiento.</t>
  </si>
  <si>
    <t>7.11</t>
  </si>
  <si>
    <t>Servicios públicos de apoyo.</t>
  </si>
  <si>
    <t>7.12</t>
  </si>
  <si>
    <t>Seguridad y cableado.</t>
  </si>
  <si>
    <t>7.13</t>
  </si>
  <si>
    <t>Mantenimiento de equipos.</t>
  </si>
  <si>
    <t>7.14</t>
  </si>
  <si>
    <t>Disposición o reutilización segura de los equipos.</t>
  </si>
  <si>
    <t>8.1</t>
  </si>
  <si>
    <t>Dispositivos de punto final de usuario.</t>
  </si>
  <si>
    <t>8.2</t>
  </si>
  <si>
    <t xml:space="preserve">Derechos de acceso privilegiado. </t>
  </si>
  <si>
    <t>8.3</t>
  </si>
  <si>
    <t xml:space="preserve">Restricción de acceso a la información. </t>
  </si>
  <si>
    <t>8.4</t>
  </si>
  <si>
    <t>Acceso al código fuente.</t>
  </si>
  <si>
    <t>8.5</t>
  </si>
  <si>
    <t>Autenticación segura.</t>
  </si>
  <si>
    <t>8.6</t>
  </si>
  <si>
    <t>Gestión de la capacidad.</t>
  </si>
  <si>
    <t>8.7</t>
  </si>
  <si>
    <t>Protección contra malware.</t>
  </si>
  <si>
    <t>8.8</t>
  </si>
  <si>
    <t>Gestión de vulnerabilidades técnicas.</t>
  </si>
  <si>
    <t>8.9</t>
  </si>
  <si>
    <t>Gestión de la configuración.</t>
  </si>
  <si>
    <t>8.10</t>
  </si>
  <si>
    <t>Eliminación de información.</t>
  </si>
  <si>
    <t>8.11</t>
  </si>
  <si>
    <t>Enmascaramiento de datos.</t>
  </si>
  <si>
    <t>8.12</t>
  </si>
  <si>
    <t>Prevención de fuga de datos.</t>
  </si>
  <si>
    <t>8.13</t>
  </si>
  <si>
    <t>Copia de seguridad de la información.</t>
  </si>
  <si>
    <t>8.14</t>
  </si>
  <si>
    <t>Redundancia de las instalaciones de procesamiento de información.</t>
  </si>
  <si>
    <t>8.15</t>
  </si>
  <si>
    <t>Registro.</t>
  </si>
  <si>
    <t>8.16</t>
  </si>
  <si>
    <t>Actividades de seguimiento.</t>
  </si>
  <si>
    <t>8.17</t>
  </si>
  <si>
    <t>Sincronización de reloj.</t>
  </si>
  <si>
    <t>8.18</t>
  </si>
  <si>
    <t>Uso de programas de utilidad privilegiados.</t>
  </si>
  <si>
    <t>8.19</t>
  </si>
  <si>
    <t>Instalación de software en sistemas operativos.</t>
  </si>
  <si>
    <t>8.20</t>
  </si>
  <si>
    <t>Seguridad de redes.</t>
  </si>
  <si>
    <t>8.21</t>
  </si>
  <si>
    <t>Seguridad de los servicios de red.</t>
  </si>
  <si>
    <t>8.22</t>
  </si>
  <si>
    <t>Segregación de redes.</t>
  </si>
  <si>
    <t>8.23</t>
  </si>
  <si>
    <t>Filtrado web.</t>
  </si>
  <si>
    <t>8.24</t>
  </si>
  <si>
    <t>Uso de la criptografía.</t>
  </si>
  <si>
    <t>8.25</t>
  </si>
  <si>
    <t>Ciclo de vida de desarrollo seguro.</t>
  </si>
  <si>
    <t>8.26</t>
  </si>
  <si>
    <t>Requisitos de seguridad a las aplicaciones.</t>
  </si>
  <si>
    <t>8.27</t>
  </si>
  <si>
    <t>Arquitectura de sistemas seguros y principios de ingeniería.</t>
  </si>
  <si>
    <t>8.28</t>
  </si>
  <si>
    <t>Codificación segura.</t>
  </si>
  <si>
    <t>8.29</t>
  </si>
  <si>
    <t>Pruebas de seguridad en el desarrollo de aceptación.</t>
  </si>
  <si>
    <t>8.30</t>
  </si>
  <si>
    <t>Desarrollo externalizado.</t>
  </si>
  <si>
    <t>8.31</t>
  </si>
  <si>
    <t>Separación de entornos de desarrollo, evidencia y producción.</t>
  </si>
  <si>
    <t>8.32</t>
  </si>
  <si>
    <t>Gestión del cambio.</t>
  </si>
  <si>
    <t>8.33</t>
  </si>
  <si>
    <t>Información de las pruebas.</t>
  </si>
  <si>
    <t>8.34</t>
  </si>
  <si>
    <t>Protección de los sistemas de información durante las pruebas de auditoría.</t>
  </si>
  <si>
    <t>N.A.</t>
  </si>
  <si>
    <t>No aplica (Agregar a la declaración de aplicabilidad EGTI-FM-035)</t>
  </si>
  <si>
    <t>FORMATO MAPA RIESGOS DE PROCESO Y/O PROYECTO</t>
  </si>
  <si>
    <t>CÓDIGO: DES-FM-018</t>
  </si>
  <si>
    <t>VERSIÓN: 2</t>
  </si>
  <si>
    <t>FECHA DE APLICACIÓN: DICIEMBRE 2024</t>
  </si>
  <si>
    <t>Proceso y/o proyecto</t>
  </si>
  <si>
    <t>8208 Proyecto Fortalecimiento de la atención y participación ciudadana con enfoques de género, diferencial y territorial en Bogotá D.C.</t>
  </si>
  <si>
    <t>Objetivo:</t>
  </si>
  <si>
    <t>Alcance:</t>
  </si>
  <si>
    <t>Identificación del riesgo</t>
  </si>
  <si>
    <t>Contexto</t>
  </si>
  <si>
    <t>Instrumentos posiblemente afectados</t>
  </si>
  <si>
    <t>Análisis del riesgo inherente</t>
  </si>
  <si>
    <t>Evaluación del riesgo - Valoración de los controles</t>
  </si>
  <si>
    <t>Evaluación del riesgo - Nivel del riesgo residual</t>
  </si>
  <si>
    <t xml:space="preserve">Tratamiento del riesgo -Plan de acción </t>
  </si>
  <si>
    <t xml:space="preserve">Acción de Contigencia </t>
  </si>
  <si>
    <t xml:space="preserve">Referencia </t>
  </si>
  <si>
    <t>¿QUÉ?
Impacto</t>
  </si>
  <si>
    <r>
      <t>¿CÓMO? 
Causa Inmediata
(</t>
    </r>
    <r>
      <rPr>
        <sz val="12"/>
        <rFont val="Arial"/>
        <family val="2"/>
      </rPr>
      <t>Iniciar con la palabra por</t>
    </r>
    <r>
      <rPr>
        <b/>
        <sz val="12"/>
        <rFont val="Arial"/>
        <family val="2"/>
      </rPr>
      <t>)</t>
    </r>
  </si>
  <si>
    <r>
      <t>¿PORQUÉ? 
Causa Raíz
(</t>
    </r>
    <r>
      <rPr>
        <sz val="12"/>
        <rFont val="Arial"/>
        <family val="2"/>
      </rPr>
      <t>Iniciar con la debido a</t>
    </r>
    <r>
      <rPr>
        <b/>
        <sz val="12"/>
        <rFont val="Arial"/>
        <family val="2"/>
      </rPr>
      <t>)</t>
    </r>
  </si>
  <si>
    <t>Punto de riesgo
Actividad clave o fase del proyecto</t>
  </si>
  <si>
    <r>
      <t xml:space="preserve">Descripción del Riesgo
</t>
    </r>
    <r>
      <rPr>
        <sz val="12"/>
        <rFont val="Arial"/>
        <family val="2"/>
      </rPr>
      <t>Esta columna se diligencia sola</t>
    </r>
  </si>
  <si>
    <t>Internas</t>
  </si>
  <si>
    <t>Externas</t>
  </si>
  <si>
    <t>Efectos (Consecuencias)</t>
  </si>
  <si>
    <t>No. veces que realiza la actividad al año</t>
  </si>
  <si>
    <t>Probabilidad Inherente</t>
  </si>
  <si>
    <t>%</t>
  </si>
  <si>
    <t>Criterios de impacto</t>
  </si>
  <si>
    <t>Observación de criterio</t>
  </si>
  <si>
    <t>Impacto 
Inherente</t>
  </si>
  <si>
    <t>Severidad (Nivel de riesgo)</t>
  </si>
  <si>
    <t>No. Control</t>
  </si>
  <si>
    <t>Atributos</t>
  </si>
  <si>
    <t>Probabilidad Residual</t>
  </si>
  <si>
    <t>Probabilidad Residual Final</t>
  </si>
  <si>
    <t>Impacto Residual Final</t>
  </si>
  <si>
    <t>Zona de Riesgo Final</t>
  </si>
  <si>
    <t>Descripción de la acción basado en el analisis de causas</t>
  </si>
  <si>
    <t>Responsable
(Cargo o Rol)</t>
  </si>
  <si>
    <t>Producto - Evidencia</t>
  </si>
  <si>
    <t xml:space="preserve">Periocidad o fecha de finalización </t>
  </si>
  <si>
    <t>Acción</t>
  </si>
  <si>
    <t>Producto</t>
  </si>
  <si>
    <t>Objetivo Institucional  asociado</t>
  </si>
  <si>
    <t xml:space="preserve">Proyecto de Inversión asociado </t>
  </si>
  <si>
    <t>Responsable</t>
  </si>
  <si>
    <t>Complemento:  (periodicidad, cómo se realiza, evidencia y desviación)</t>
  </si>
  <si>
    <t>Tipo</t>
  </si>
  <si>
    <t>Implementación</t>
  </si>
  <si>
    <t>Calificación</t>
  </si>
  <si>
    <t>Documentación</t>
  </si>
  <si>
    <t>Frecuencia</t>
  </si>
  <si>
    <t>Evidencia</t>
  </si>
  <si>
    <t>Ejecución y administración de procesos </t>
  </si>
  <si>
    <t xml:space="preserve">     El riesgo afecta la imagen de la entidad con algunos usuarios de relevancia frente al logro de los objetivos</t>
  </si>
  <si>
    <t>Preventivo</t>
  </si>
  <si>
    <t>Manual</t>
  </si>
  <si>
    <t>Documentado</t>
  </si>
  <si>
    <t>Continua</t>
  </si>
  <si>
    <t>Sin Registro</t>
  </si>
  <si>
    <t>Detectivo</t>
  </si>
  <si>
    <t>Aleatoria</t>
  </si>
  <si>
    <t>Con Registro</t>
  </si>
  <si>
    <t>Matriz de Calor Inherente RIESGOS GESTIÓN</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</si>
  <si>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</si>
  <si>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</si>
  <si>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</si>
  <si>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</si>
  <si>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</si>
  <si>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</si>
  <si>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</si>
  <si>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</si>
  <si>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</si>
  <si>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</si>
  <si>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</si>
  <si>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</si>
  <si>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</si>
  <si>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</si>
  <si>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</si>
  <si>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 RIESGOS GESTIÓN</t>
  </si>
  <si>
    <t>8095 Fortalecimiento de la gestión institucional de la UAERMV de Bogotá D.C</t>
  </si>
  <si>
    <r>
      <t>¿CÓMO? 
circunstancia Inmediata
(</t>
    </r>
    <r>
      <rPr>
        <sz val="12"/>
        <rFont val="Arial"/>
        <family val="2"/>
      </rPr>
      <t>Iniciar con la palabra por</t>
    </r>
    <r>
      <rPr>
        <b/>
        <sz val="12"/>
        <rFont val="Arial"/>
        <family val="2"/>
      </rPr>
      <t>)</t>
    </r>
  </si>
  <si>
    <r>
      <t>¿PORQUÉ? 
Causa Raíz
(</t>
    </r>
    <r>
      <rPr>
        <sz val="12"/>
        <rFont val="Arial"/>
        <family val="2"/>
      </rPr>
      <t>Iniciar con la debido a o a causa</t>
    </r>
    <r>
      <rPr>
        <b/>
        <sz val="12"/>
        <rFont val="Arial"/>
        <family val="2"/>
      </rPr>
      <t>)</t>
    </r>
  </si>
  <si>
    <t xml:space="preserve">     Entre 650 y 1300 SMLMV </t>
  </si>
  <si>
    <t>Auxiliar</t>
  </si>
  <si>
    <t>Automático</t>
  </si>
  <si>
    <t>Sin Documentar</t>
  </si>
  <si>
    <t xml:space="preserve">     Entre 130 y 650 SMLMV </t>
  </si>
  <si>
    <t>BENEFICIO PRIVADO.</t>
  </si>
  <si>
    <t>ACCIÓN U OMISIÓN + USO DEL PODER + DESVIACIÓN DE LA GESTIÓN DE LO PÚBLICO + EL BENEFICIO PRIVADO.</t>
  </si>
  <si>
    <t xml:space="preserve">
Causa Raíz</t>
  </si>
  <si>
    <t>Criterios de impacto según las respuestas dadas</t>
  </si>
  <si>
    <t xml:space="preserve">     El riesgo afecta la imagen de de la entidad con efecto publicitario sostenido a nivel de sector administrativo, nivel departamental o municipal</t>
  </si>
  <si>
    <t>IMPACTO CORRUPCIÓN</t>
  </si>
  <si>
    <t>No.</t>
  </si>
  <si>
    <t>SI EL RIESGO DE CORRUPCIÓN SE MATERIALIZA PODRÍA...</t>
  </si>
  <si>
    <t>RESPUESTA</t>
  </si>
  <si>
    <t>SI</t>
  </si>
  <si>
    <t>NO</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</si>
  <si>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</si>
  <si>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</si>
  <si>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</si>
  <si>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</si>
  <si>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</si>
  <si>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</si>
  <si>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</si>
  <si>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</si>
  <si>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</si>
  <si>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</si>
  <si>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</si>
  <si>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</si>
  <si>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</si>
  <si>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</si>
  <si>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</si>
  <si>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</si>
  <si>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</si>
  <si>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</si>
  <si>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</si>
  <si>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 xml:space="preserve">TOTAL RESPUESTAS AFIRMATIVAS </t>
  </si>
  <si>
    <r>
      <t>Responder afirmativamente de 1 a 5 pregunta(s) genera un impacto</t>
    </r>
    <r>
      <rPr>
        <b/>
        <sz val="10"/>
        <rFont val="Arial"/>
        <family val="2"/>
      </rPr>
      <t xml:space="preserve"> Moderado</t>
    </r>
  </si>
  <si>
    <t>El equivalente para seleccionar en Criterios de impacto es:</t>
  </si>
  <si>
    <t xml:space="preserve">Responder afirmativamente de 6 a 11 preguntas genera un impacto Mayor </t>
  </si>
  <si>
    <t>Responder afirmativamente de 12 a 19 preguntas genera un impacto Catastrófico.</t>
  </si>
  <si>
    <t xml:space="preserve">     El riesgo afecta la imagen de la entidad a nivel nacional, con efecto publicitarios sostenible a nivel país</t>
  </si>
  <si>
    <t>8055 Conservación de la red de infraestructura peatonal en Bogotá D.C</t>
  </si>
  <si>
    <r>
      <rPr>
        <b/>
        <sz val="12"/>
        <rFont val="Arial"/>
        <family val="2"/>
        <charset val="1"/>
      </rPr>
      <t xml:space="preserve">¿QUÉ?
Impacto
</t>
    </r>
    <r>
      <rPr>
        <sz val="12"/>
        <rFont val="Arial"/>
        <family val="2"/>
        <charset val="1"/>
      </rPr>
      <t>(Lista)</t>
    </r>
  </si>
  <si>
    <r>
      <rPr>
        <b/>
        <sz val="12"/>
        <rFont val="Arial"/>
        <family val="2"/>
        <charset val="1"/>
      </rPr>
      <t xml:space="preserve">Tipo de riesgo
</t>
    </r>
    <r>
      <rPr>
        <sz val="12"/>
        <rFont val="Arial"/>
        <family val="2"/>
        <charset val="1"/>
      </rPr>
      <t>(Seleccionar en lista: por perdida integridad-disponibilidad-confiencialidad</t>
    </r>
    <r>
      <rPr>
        <b/>
        <sz val="12"/>
        <rFont val="Arial"/>
        <family val="2"/>
        <charset val="1"/>
      </rPr>
      <t>)</t>
    </r>
  </si>
  <si>
    <r>
      <rPr>
        <b/>
        <sz val="12"/>
        <rFont val="Arial"/>
        <family val="2"/>
        <charset val="1"/>
      </rPr>
      <t xml:space="preserve">Vulnerabilidades
</t>
    </r>
    <r>
      <rPr>
        <sz val="12"/>
        <rFont val="Arial"/>
        <family val="2"/>
        <charset val="1"/>
      </rPr>
      <t xml:space="preserve">(Causa Raíz)
</t>
    </r>
  </si>
  <si>
    <r>
      <rPr>
        <b/>
        <sz val="12"/>
        <rFont val="Arial"/>
        <family val="2"/>
        <charset val="1"/>
      </rPr>
      <t xml:space="preserve">Punto de riesgo
</t>
    </r>
    <r>
      <rPr>
        <sz val="12"/>
        <rFont val="Arial"/>
        <family val="2"/>
        <charset val="1"/>
      </rPr>
      <t>(En el proceso o fase del proyecto)</t>
    </r>
  </si>
  <si>
    <r>
      <rPr>
        <b/>
        <sz val="12"/>
        <rFont val="Arial"/>
        <family val="2"/>
        <charset val="1"/>
      </rPr>
      <t xml:space="preserve">Descripción del Riesgo
</t>
    </r>
    <r>
      <rPr>
        <sz val="12"/>
        <rFont val="Arial"/>
        <family val="2"/>
        <charset val="1"/>
      </rPr>
      <t>(Esta columna se diligencia sola)</t>
    </r>
  </si>
  <si>
    <r>
      <rPr>
        <b/>
        <sz val="12"/>
        <rFont val="Arial"/>
        <family val="2"/>
        <charset val="1"/>
      </rPr>
      <t xml:space="preserve">Tipo de activo de apoyo
</t>
    </r>
    <r>
      <rPr>
        <sz val="12"/>
        <rFont val="Arial"/>
        <family val="2"/>
        <charset val="1"/>
      </rPr>
      <t>(Lista)</t>
    </r>
  </si>
  <si>
    <t>Activo de apoyo</t>
  </si>
  <si>
    <t>Código activo de apoyo</t>
  </si>
  <si>
    <t>Código activo de información</t>
  </si>
  <si>
    <t>Activo de información</t>
  </si>
  <si>
    <r>
      <rPr>
        <b/>
        <sz val="12"/>
        <rFont val="Arial"/>
        <family val="2"/>
        <charset val="1"/>
      </rPr>
      <t xml:space="preserve">Tipo de 
Amenaza
</t>
    </r>
    <r>
      <rPr>
        <sz val="12"/>
        <rFont val="Arial"/>
        <family val="2"/>
        <charset val="1"/>
      </rPr>
      <t>(Lista)</t>
    </r>
  </si>
  <si>
    <t>Amenazas 
(Causa Inmediata)</t>
  </si>
  <si>
    <r>
      <rPr>
        <b/>
        <sz val="12"/>
        <rFont val="Arial"/>
        <family val="2"/>
        <charset val="1"/>
      </rPr>
      <t xml:space="preserve">Probabilidad Inherente
</t>
    </r>
    <r>
      <rPr>
        <sz val="12"/>
        <rFont val="Arial"/>
        <family val="2"/>
        <charset val="1"/>
      </rPr>
      <t>(Se genera con el valor de la frecuencia)</t>
    </r>
  </si>
  <si>
    <t>Impacto Afectación Económica (o presupuestal)</t>
  </si>
  <si>
    <t>Impacto Afectación Reputacional</t>
  </si>
  <si>
    <t>Mayor impacto</t>
  </si>
  <si>
    <t xml:space="preserve"> ISO/IEC 27002:2022</t>
  </si>
  <si>
    <t>Numeral</t>
  </si>
  <si>
    <t>Control</t>
  </si>
  <si>
    <t>SOFTWARE</t>
  </si>
  <si>
    <t>Mayor a 6500 SMLMV</t>
  </si>
  <si>
    <t>El riesgo afecta la imagen de alguna área de la organización</t>
  </si>
  <si>
    <t>Correctivo</t>
  </si>
  <si>
    <t>RED</t>
  </si>
  <si>
    <t>Afectación menor a 130 SMLMV</t>
  </si>
  <si>
    <t xml:space="preserve">     Afectación menor a 130 SMLMV .</t>
  </si>
  <si>
    <t>Tipologia de Riesgo</t>
  </si>
  <si>
    <t xml:space="preserve">Impacto </t>
  </si>
  <si>
    <t>Reputacional</t>
  </si>
  <si>
    <t>Legal</t>
  </si>
  <si>
    <t>Operativo</t>
  </si>
  <si>
    <t>Contagio</t>
  </si>
  <si>
    <t>Leve 20%</t>
  </si>
  <si>
    <t>EL riesgo afecta la imagen de alguna dependencia de la entidad</t>
  </si>
  <si>
    <t>Cumplimiento parcial de procesos, procedimientos y políticas operacionales</t>
  </si>
  <si>
    <t>Afecta levemente las operaciones de una dependencia o grupo de la entidad</t>
  </si>
  <si>
    <t>Causado por un tercero interesado en un contrato con la entidad</t>
  </si>
  <si>
    <t xml:space="preserve">Menor 40% </t>
  </si>
  <si>
    <t>EL riesgo afecta la imagen de   la entidad internamente, de conocimiento general nivel interno, de junta directiva y/o proveedores</t>
  </si>
  <si>
    <t xml:space="preserve">Cumplimiento parcial de normas internas establecidas (Resoluciones, Circulares y otras directrices)    </t>
  </si>
  <si>
    <t>Sustancialmente afecta la operaciones de una dependencia o grupo de la entidad</t>
  </si>
  <si>
    <t>Causado por un usuario de la entidad</t>
  </si>
  <si>
    <t>Moderado 60%</t>
  </si>
  <si>
    <t>EL riesgo afecta la imagen de   la entidad con algunos usuarios de relevancia frente al logro de los objetivos</t>
  </si>
  <si>
    <t>Cumplimiento parcial de legislación vigente aplicable a la Entidad</t>
  </si>
  <si>
    <t>Afecta durante un día la prestación de servicio ofrecido por la entidad</t>
  </si>
  <si>
    <t>Causado por un proveedor, contratista o funcionario de la entidad</t>
  </si>
  <si>
    <t>Mayor 80%</t>
  </si>
  <si>
    <t>EL riesgo afecta la imagen de   la entidad con efecto publicitario sostenido a nivel sector</t>
  </si>
  <si>
    <t>Incumplimiento de legislación vigente aplicable a la Entidad</t>
  </si>
  <si>
    <t>Afecta la continuidad de las operaciones de una dependencia o un grupo de la entidad durante 15 días</t>
  </si>
  <si>
    <t>Causado por un Director, Subdirector o funcionario de libre nombramiento y remoción de la entidad</t>
  </si>
  <si>
    <t>Catastrófico 100%</t>
  </si>
  <si>
    <t>EL riesgo afecta la imagen de   la entidad a nivel nacional, con efecto publicitario sostenido a nivel País</t>
  </si>
  <si>
    <t>Incumplimiento de acuerdos u obligaciones nacionales o internacionales</t>
  </si>
  <si>
    <t>Afecta la continuidad de las operaciones de una dependencia o un grupo de la entidad por un mes</t>
  </si>
  <si>
    <t>Causado por un Gerente publico o Adminitración del Distrito Capital de la entidad</t>
  </si>
  <si>
    <t>Tabla Criterios para definir el nivel de impacto</t>
  </si>
  <si>
    <t>Afectación Económica (o presupuestal)</t>
  </si>
  <si>
    <t>Pérdida Reputacional</t>
  </si>
  <si>
    <t xml:space="preserve">Equivalente </t>
  </si>
  <si>
    <t>Insignificante</t>
  </si>
  <si>
    <t xml:space="preserve">Afectación menor a 130 SMLMV </t>
  </si>
  <si>
    <t>Menor</t>
  </si>
  <si>
    <t xml:space="preserve">Entre 130 y 650 SMLMV </t>
  </si>
  <si>
    <t>El riesgo afecta la imagen de la entidad internamente, de conocimiento general, nivel interno, de junta dircetiva y accionistas y/o de provedores</t>
  </si>
  <si>
    <t xml:space="preserve">Entre 650 y 1300 SMLMV </t>
  </si>
  <si>
    <t>El riesgo afecta la imagen de la entidad con algunos usuarios de relevancia frente al logro de los objetivos</t>
  </si>
  <si>
    <t>Mayor</t>
  </si>
  <si>
    <t xml:space="preserve">Entre 1300 y 6500 SMLMV </t>
  </si>
  <si>
    <r>
      <t>El riesgo afecta la imagen de</t>
    </r>
    <r>
      <rPr>
        <sz val="26"/>
        <color theme="9" tint="-0.249977111117893"/>
        <rFont val="Arial Narrow"/>
        <family val="2"/>
      </rPr>
      <t xml:space="preserve">  la entidad </t>
    </r>
    <r>
      <rPr>
        <sz val="26"/>
        <color rgb="FF000000"/>
        <rFont val="Arial Narrow"/>
        <family val="2"/>
      </rPr>
      <t>con efecto publicitario sostenido a nivel de sector administrativo, nivel departamental o municipal</t>
    </r>
  </si>
  <si>
    <t>Catastrófico</t>
  </si>
  <si>
    <t xml:space="preserve">Mayor a 6500 SMLMV </t>
  </si>
  <si>
    <t>El riesgo afecta la imagen de la entidad a nivel nacional, con efecto publicitarios sostenible a nivel país</t>
  </si>
  <si>
    <t>Afectación_Económica_o_presupuestal</t>
  </si>
  <si>
    <t xml:space="preserve">     El riesgo afecta la imagen de alguna área de la organización</t>
  </si>
  <si>
    <t>Pérdida_Reputacional</t>
  </si>
  <si>
    <t xml:space="preserve">     El riesgo afecta la imagen de la entidad internamente, de conocimiento general, nivel interno, de junta dircetiva y accionistas y/o de provedores</t>
  </si>
  <si>
    <t xml:space="preserve">     Entre 1300 y 6500 SMLMV </t>
  </si>
  <si>
    <t xml:space="preserve">     Mayor a 6500 SMLMV </t>
  </si>
  <si>
    <t>Criterios</t>
  </si>
  <si>
    <t>Subcriterios</t>
  </si>
  <si>
    <t>Catastrofico</t>
  </si>
  <si>
    <t>Afectación Económica o presupuestal</t>
  </si>
  <si>
    <t>Afectación menor a 130 SMLMV .</t>
  </si>
  <si>
    <t>Entre 130 y 650 SMLMV</t>
  </si>
  <si>
    <t>Entre 650 y 1300 SMLMV</t>
  </si>
  <si>
    <t>Entre 1300 y 6500 SMLMV</t>
  </si>
  <si>
    <t>El riesgo afecta la imagen de de la entidad con efecto publicitario sostenido a nivel de sector administrativo, nivel departamental o municipal</t>
  </si>
  <si>
    <t>❌</t>
  </si>
  <si>
    <t>✔</t>
  </si>
  <si>
    <t>Leve</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</si>
  <si>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</si>
  <si>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</si>
  <si>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</si>
  <si>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</si>
  <si>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</si>
  <si>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</si>
  <si>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</si>
  <si>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</si>
  <si>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</si>
  <si>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</si>
  <si>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</si>
  <si>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</si>
  <si>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Tipo </t>
  </si>
  <si>
    <t>Clasificación </t>
  </si>
  <si>
    <t>Descripción </t>
  </si>
  <si>
    <t>Gestión</t>
  </si>
  <si>
    <t>Gestión </t>
  </si>
  <si>
    <r>
      <t>Ejecución y administración de procesos</t>
    </r>
    <r>
      <rPr>
        <sz val="9"/>
        <rFont val="Arial"/>
        <family val="2"/>
      </rPr>
      <t> </t>
    </r>
  </si>
  <si>
    <r>
      <t>Pérdidas derivadas de errores en la ejecución y administración de procesos.</t>
    </r>
    <r>
      <rPr>
        <b/>
        <sz val="9"/>
        <rFont val="Arial"/>
        <family val="2"/>
      </rPr>
      <t> </t>
    </r>
  </si>
  <si>
    <r>
      <t>Fallas tecnológicas</t>
    </r>
    <r>
      <rPr>
        <sz val="9"/>
        <rFont val="Arial"/>
        <family val="2"/>
      </rPr>
      <t> </t>
    </r>
  </si>
  <si>
    <r>
      <t>Errores en hardware, software, telecomunicaciones, interrupción de servicios básicos.</t>
    </r>
    <r>
      <rPr>
        <b/>
        <sz val="9"/>
        <rFont val="Arial"/>
        <family val="2"/>
      </rPr>
      <t> </t>
    </r>
  </si>
  <si>
    <t>Seguridad Digital</t>
  </si>
  <si>
    <r>
      <t>Relaciones laborales</t>
    </r>
    <r>
      <rPr>
        <sz val="9"/>
        <rFont val="Arial"/>
        <family val="2"/>
      </rPr>
      <t> </t>
    </r>
  </si>
  <si>
    <r>
      <t>Pérdidas que surgen de acciones contrarias a las leyes o acuerdos de empleo, salud o seguridad, del pago de demandas por daños personales o de discriminación.</t>
    </r>
    <r>
      <rPr>
        <b/>
        <sz val="9"/>
        <rFont val="Arial"/>
        <family val="2"/>
      </rPr>
      <t> </t>
    </r>
  </si>
  <si>
    <r>
      <t>Usuarios, productos y prácticas</t>
    </r>
    <r>
      <rPr>
        <sz val="9"/>
        <rFont val="Arial"/>
        <family val="2"/>
      </rPr>
      <t> </t>
    </r>
  </si>
  <si>
    <r>
      <t>Fallas negligentes o involuntarias de las obligaciones frente a los usuarios y que impiden satisfacer una obligación profesional frente a éstos.</t>
    </r>
    <r>
      <rPr>
        <b/>
        <sz val="9"/>
        <rFont val="Arial"/>
        <family val="2"/>
      </rPr>
      <t> </t>
    </r>
  </si>
  <si>
    <r>
      <t>Daños a activos fijos/ eventos externos</t>
    </r>
    <r>
      <rPr>
        <sz val="9"/>
        <rFont val="Arial"/>
        <family val="2"/>
      </rPr>
      <t> </t>
    </r>
  </si>
  <si>
    <r>
      <t>Pérdida por daños o extravíos de los activos fijos por desastres naturales u otros riesgos/eventos externos como atentados, vandalismo, orden público.</t>
    </r>
    <r>
      <rPr>
        <b/>
        <sz val="9"/>
        <rFont val="Arial"/>
        <family val="2"/>
      </rPr>
      <t> </t>
    </r>
  </si>
  <si>
    <r>
      <t>Efecto dañoso sobre recursos públicos o bienes o intereses patrimoniales de naturaleza pública, a causa de un evento potencial.</t>
    </r>
    <r>
      <rPr>
        <b/>
        <sz val="9"/>
        <rFont val="Arial"/>
        <family val="2"/>
      </rPr>
      <t> </t>
    </r>
  </si>
  <si>
    <t>Fraude externo</t>
  </si>
  <si>
    <t>Pérdida derivada de actos de fraude por personas ajenas a la organización (no participa personal de la entidad).</t>
  </si>
  <si>
    <t>Fraude interno</t>
  </si>
  <si>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</si>
  <si>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Cuando una persona da u ofrece “dinero u otra utilidad para que se realice u omita un acto propio del cargo de un funcionario público, o para que se ejecute uno contrario a sus deberes oficiales”</t>
  </si>
  <si>
    <t>Es la posibilidad de pérdida, disminución de ingresos o incremento en procesos judiciales en que incurre una entidad por desprestigio, mala imagen, publicidad negativa respecto de la institución y sus prácticas de negocios.</t>
  </si>
  <si>
    <t>Riesgo legal:</t>
  </si>
  <si>
    <t>Es la posibilidad de pérdida en que incurre una entidad por sanciones o indemnizaciones de daños como resultado del incumplimiento normativo o de obligaciones contractuales. Se presenta de igual forma cuando existen fallas en los contratos y transacciones por actuaciones, negligencia o actos involuntarios.</t>
  </si>
  <si>
    <t>Riesgo operativo:</t>
  </si>
  <si>
    <t>Es la posibilidad de incurrir en pérdidas por fallas, deficiencias o inadecuaciones, en el recurso humano, los procesos, la tecnología, la infraestructura o por la ocurrencia de eventos externos.</t>
  </si>
  <si>
    <t>Riesgo de contagio:</t>
  </si>
  <si>
    <t>Es la posibilidad de pérdida en que incurre una entidad por una acción o experiencia de un vinculado, entendido este como el relacionado o asociado, incluyendo a las personas naturales y/o jurídicas que ejercen influencia sobre la entidad.</t>
  </si>
  <si>
    <t xml:space="preserve">Pérdida de la confidencialidad </t>
  </si>
  <si>
    <t>Determina que la información no esté disponible ni sea revelada a individuos, entidades o procesos no autorizados.</t>
  </si>
  <si>
    <t xml:space="preserve">Pérdida de la integridad </t>
  </si>
  <si>
    <t>Determina la exactitud y completitud de la información, permitiendo que la información sea precisa, coherente y completa desde su creación hasta su destrucción.</t>
  </si>
  <si>
    <t xml:space="preserve">Pérdida de la disponibilidad </t>
  </si>
  <si>
    <t>Determina la accesibilidad y utilización de la información por solicitud de una persona entidad o proceso autorizada cuando así lo requiera esta, en el momento y en la forma que se requiere ahora y en el futuro, al igual que los recursos necesarios para su uso.</t>
  </si>
  <si>
    <t>TIPO DE ACTIVO</t>
  </si>
  <si>
    <t>INFORMACIÓN</t>
  </si>
  <si>
    <t>HARDWARE</t>
  </si>
  <si>
    <t>INSTALACIONES</t>
  </si>
  <si>
    <t>PROCESOS</t>
  </si>
  <si>
    <t>RECURSOS HUMANOS</t>
  </si>
  <si>
    <t>SERVICIOS</t>
  </si>
  <si>
    <t>EQUIPAMIENTO AUXILIAR</t>
  </si>
  <si>
    <t>COMPONENTES DE RED</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</si>
  <si>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</si>
  <si>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</si>
  <si>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</si>
  <si>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</si>
  <si>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</si>
  <si>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</si>
  <si>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</si>
  <si>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</si>
  <si>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</si>
  <si>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</si>
  <si>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</si>
  <si>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</si>
  <si>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</si>
  <si>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</si>
  <si>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</si>
  <si>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</si>
  <si>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</si>
  <si>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</si>
  <si>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</si>
  <si>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Registro Sustancial</t>
  </si>
  <si>
    <t>Registro Material</t>
  </si>
  <si>
    <t>Sin registro</t>
  </si>
  <si>
    <t>Reducir</t>
  </si>
  <si>
    <t>Control de cambios de mapa de riesgos del proceso y o proyecto</t>
  </si>
  <si>
    <t>Gestión Contractual Interna</t>
  </si>
  <si>
    <t>Sanciones o investigaciones disciplinarias, fiscales o penales.</t>
  </si>
  <si>
    <t>Listado de asistencia y presentación de la socialización adelantada.</t>
  </si>
  <si>
    <t>Comunicación oficial</t>
  </si>
  <si>
    <t>Abogado asignado para adelantar el proceso de contratación de prestación  de servicios profesionales y de apoyo a la gestión.</t>
  </si>
  <si>
    <t>Adelantar las etapas precontractual y contractual de los
procesos para suplir las
necesidades de bienes, servicios y
obra pública previstos en el plan
anual de adquisiciones de la
entidad.</t>
  </si>
  <si>
    <t>No aplicación de los principios y valores de integridad en el desarrollo de las actividades del proceso contractual.</t>
  </si>
  <si>
    <t>Documento publicado en Secop siempre y cuando se hayan presentado observaciones al informe de evaluación</t>
  </si>
  <si>
    <t>Responder cada una de las observaciones presentadas (si se presentan) dentro del proceso de selección al informe de evaluacion de ofertas.</t>
  </si>
  <si>
    <t>Debido a la no aplicación de los procesos de debida diligencia</t>
  </si>
  <si>
    <t>Adelantar las etapas precontractual y contractual de los
procesos para suplir las
necesidades de bienes, servicios y obra pública previstos en el plan anual de adquisiciones de la entidad.</t>
  </si>
  <si>
    <t>Falta de herramientas para realizar la debida diligencia en la verificación de requisitos establecidos para la contratación, que permita prevenir el ingreso de recursos relacionados con el LA/FT</t>
  </si>
  <si>
    <t xml:space="preserve">En el mercado pueden existir proveedores que en sus activos tengan recursos y/o bienes provenientes relacionadas con LA o FT de actividades ilicitas </t>
  </si>
  <si>
    <t>Afectación económica de la entidad por el ingreso de recursos provenientes de LA/FT, con apariencia de legalidad generando daño a la imagen institucional</t>
  </si>
  <si>
    <t>Gerencia de Contratación</t>
  </si>
  <si>
    <t>Presentación, lista de asistencia y grabación</t>
  </si>
  <si>
    <t>Formulario Interno de reporte de operaciones inusuales</t>
  </si>
  <si>
    <t>X</t>
  </si>
  <si>
    <t>2024 -v1</t>
  </si>
  <si>
    <t>2025 -v1</t>
  </si>
  <si>
    <t>gestión, corrupción y LA/FT</t>
  </si>
  <si>
    <t>Coordinar los diferentes procesos de contratación requeridos por la entidad, en las etapas precontractual, contractual y postcontractual, mediante la sujeción de la normatividad legal vigente, con el fin de garantizar la adquisición de bienes, servicios y obra pública para suplir las necesidades de la entidad, y el cumplimiento de las metas y los objetivos institucionales, bajo parámetros de efectividad, calidad y transparencia.</t>
  </si>
  <si>
    <t>Inicia con la identificación y programación de las necesidades de adquisición de bienes, servicios y obras públicas de la entidad y finaliza con la liquidación de los contratos (si a ello hay lugar) y el archivo final de todos los
documentos o cierre de expediente contractual.</t>
  </si>
  <si>
    <t>por no contemplar todos los aspectos que pueden afectar la ejecución de un contrato,</t>
  </si>
  <si>
    <t xml:space="preserve">debido a que no se respeten los lineamiento establecido por Colombia Compra Eficiente, en el diligenciamiento del formato Análisis de Riesgos Contractuales </t>
  </si>
  <si>
    <t>Falta de unidad de criterio en la estructuración de la matriz de riesgos entre los estructuradores técnicos y los jurídicos</t>
  </si>
  <si>
    <t>Variaciones en la TRM por encima de su comportamiento histórico o “normal”  que impacte el valor de los ítems</t>
  </si>
  <si>
    <t>Sobrecostos en la ejecución de los contratos y controversias contractuales</t>
  </si>
  <si>
    <t>El servidor público o colaborador (profesional) asignado por la Gerencia de Contratación, cada vez que adelante un proceso contractual selectivo</t>
  </si>
  <si>
    <t>Que los riesgos identificados para el proceso de selección sean coherentes con lo estipulado en los lineamientos de Colombia Compra Eficiente y del objeto a contratar. Como evidencia se deja en el aplicativo ORFEO registro de la aprobación de la matriz de riesgos del proceso de selección. 
En caso de que se evidencien inconsistencias en la matriz de riesgos del proceso selectivo, se realizarán en el aplicativo ORFEO las observaciones para sus ajustes por parte del servidor público o colaborador que revisó, .</t>
  </si>
  <si>
    <t>Socializar al equipo de GCON y los estructuradores de procesos selectivos, la metodología para el diligenciamiento del formato GCON-FM-089- Análisis de riesgos contractuales.</t>
  </si>
  <si>
    <t>Servidor Público o coplaborador asignado por la Gerencia de Contratación</t>
  </si>
  <si>
    <t>Realizar modificación a la matriz de riesgos previo a la recepción de ofertas</t>
  </si>
  <si>
    <t>Comunicación oficial o Adenda según el caso</t>
  </si>
  <si>
    <t>debido a que la información y documentos soporte publicados en el SECOP son diferentes al del expediente contractual en el aplicativo Orfeo que emplea la entidad</t>
  </si>
  <si>
    <t>por perdida de credibilidad y confianza de las partes interesadas,</t>
  </si>
  <si>
    <t>Errores en la incorporación de documentos en los expedientes electrónicos de contratos</t>
  </si>
  <si>
    <t>Cambios en la normatividad que regula la generación y organización de documentos contractuales</t>
  </si>
  <si>
    <t>Toma de decisiones erradas por no contar con la información completa y suficiente en los expedientes contractuales</t>
  </si>
  <si>
    <t>El servidor público o colaborador (profesional) del proceso GCON asignado por la Gerencia de Contratación para adelantar el proceso de selección</t>
  </si>
  <si>
    <r>
      <t xml:space="preserve">que en el expediente del proceso contractual en Orfeo se encuentre el formato de referencia cruzada, el cual debe ser concordante con el proceso de selección que se adelante a través de la plataforma del Secop II. 
Como evidencia: Formato de referencia cruzada diligenciado de cada proceso Selectivo, a excepción a los que corresponden a Tienda Virtual, publicado en el ORFEO. 
En caso de </t>
    </r>
    <r>
      <rPr>
        <sz val="12"/>
        <rFont val="Arial"/>
        <family val="2"/>
      </rPr>
      <t xml:space="preserve">identificar </t>
    </r>
    <r>
      <rPr>
        <sz val="12"/>
        <color theme="1"/>
        <rFont val="Arial"/>
        <family val="2"/>
      </rPr>
      <t>que no se encuentra cargado en el ORFEO deberá incluirlo en el respectivo expediente contractual.</t>
    </r>
  </si>
  <si>
    <t>Socializar al equipo de  GCON el formato de referencia cruzada, diligenciamiento y publicación en ORFEO.</t>
  </si>
  <si>
    <t>Realizar las gestiones pertinentes para reubicar los documenteo que se hayan incorporado de manera equivocada en el expediente contractual</t>
  </si>
  <si>
    <t>Ver Lista de Chequeo - Etapa Precontractualdo (GCON-FM-053)</t>
  </si>
  <si>
    <t>debido a la contratación de prestación de servicios profesionales y de apoyo a la gestión innecesarios, por no contar con la certificación de personal  insuficiente o idoneo dentro de la planta de personal.</t>
  </si>
  <si>
    <t>Inadecuada  organización de funciones para la contratación de prestación de servicios profesionales y de apoyo a la gestión.</t>
  </si>
  <si>
    <t xml:space="preserve">Cambios normativos que afecten las funciones de la entidad. </t>
  </si>
  <si>
    <t>El servidor público o colaborador (profesional) del proceso GCON asignado por la Gerencia de Contratación para adelantar el proceso contratación directa debe</t>
  </si>
  <si>
    <t xml:space="preserve">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t>
  </si>
  <si>
    <t>Servidor Público o colaborador asignado</t>
  </si>
  <si>
    <t>Realizar una socialización a las dependencias de la entidad, donde se resalte la importancia de diligenciar y solicitar la certificación de INEXISTENCIA O INSUFICIENCIA DE PERSONAL(GTHU-FM-031) para la contratación de prestación de servicios (profesionales y apoyo a la gestión).</t>
  </si>
  <si>
    <t xml:space="preserve">Adelantar las gestiones necesarias para que la dependencia generadora de la necesidad aporte la certificación de INEXISTENCIA O INSUFICIENCIA DE PERSONAL(GTHU-FM-031) correspondiente </t>
  </si>
  <si>
    <t>Aplicativo de gestión documental ORFEO</t>
  </si>
  <si>
    <t xml:space="preserve">El profesional de GCON asignado por la Gerencia de Contratación </t>
  </si>
  <si>
    <t>que el colaborador designado por los jefes dependencias como punto de control, realicen el seguimiento mensual al cargue en el SECOP II de los documentos requeridos.
Como evidencia se cuenta con archivo de los seguimientos realizados.
En el caso de que no se identifiquen seguimientos por las dependencias, se remitía correo electrónico al directivo responsable informando el estado.</t>
  </si>
  <si>
    <t>Adelantar las gestiones necesarias para que cada dependencia por medio de su punto de control remita el seguimiento correspondiente</t>
  </si>
  <si>
    <t>Comunicación remitiendo seguimiento correspondiente</t>
  </si>
  <si>
    <t>uno o más requisitos legales durante el proceso de selección de contratistas con el fin de favorecer a un proponente especifico  para obtener un  beneficio personal</t>
  </si>
  <si>
    <t>Un externo que proponga  acciones que vulneren los principios o valores de integridad</t>
  </si>
  <si>
    <t xml:space="preserve">Los profesionales (servidores públicos o colaboradores) designados por el ordenador del gasto para la evaluación de las propuestas de acuerdo a lo establecido en el cronograma del proceso contractual </t>
  </si>
  <si>
    <t>Servidor publico o colaborador designado</t>
  </si>
  <si>
    <t>Informar cuando se presenten las situaciones y evidencias identicadas durante la evaluación de ofertas que presuntamente se generaron por recibir dadivas o sobornos a la Oficina de Control Disciplinario Interno, para que se adelanten las investigaciones  correspondientes.</t>
  </si>
  <si>
    <t>Ordenador del Gasto</t>
  </si>
  <si>
    <t>Causado por un proveedor, colaborador o funcionario de la entidad</t>
  </si>
  <si>
    <t>por contratar o ceder a proveedores sancionados por el Consejo de Seguridad de las Naciones Unidas o que estén incluidos en otras listas restrictivas.</t>
  </si>
  <si>
    <t>El profesional asignado por la Gerencia de Contratación</t>
  </si>
  <si>
    <t>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
Evidencia: Informe de evaluación de requisitos juridicos.
En caso de que esta no este debidamente diligenciada se solicita al proponente la aclare o diligencie en su totalidad.</t>
  </si>
  <si>
    <t>Oficial de Cumplimiento</t>
  </si>
  <si>
    <t>Informar al Oficial de Cumplimiento del Sistema de LAFT, para el respectivo análisis de la situación reportada.</t>
  </si>
  <si>
    <t>Solicitar al Oficial de Cumplimiento del Sistema de LAFT la socialización a los equipos de GCON, estructuradores y enlaces de las dependencias, sobre la verificación de requisitos necesarios para identificar posibles contagios con recursos provenientes de LA y FT</t>
  </si>
  <si>
    <t>Oficial de Cumplimiento del Sistema de LAFT</t>
  </si>
  <si>
    <t>debido a la recepción de dadivas para beneficio personal de un funcionario público o un tercero para obtener un beneficio privado</t>
  </si>
  <si>
    <t>los requisitos legales durante el proceso de selección de contratistas.
Cada vez que tenga que adelantar un proceso de selección se establece un término para que los participantes y terceros interesados presente observaciones a la evaluación de ofertas. 
Las respuestas a las observaciones son proyectadas por el comite evaluador y revisadas por el profesional de la Gerencia de Contratación antes de su publicación en SECOP
Como evidencia se cuenta con el actas de evaluación por cada proceso selectivo. 
En caso de evidenciar algún tipo de anormalidad durante la evaluación de las ofertas, el ordenador del gasto podrá separarse de esta y dará cumplimiento a lo establecido en el estatuto de contratación para estos casos.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</si>
</sst>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 #,##0.00_-;\-&quot;$&quot;\ * #,##0.00_-;_-&quot;$&quot;\ * &quot;-&quot;??_-;_-@_-"/>
    <numFmt numFmtId="164" formatCode="0.0%"/>
    <numFmt numFmtId="165" formatCode="_-&quot;$&quot;\ * #,##0_-;\-&quot;$&quot;\ * #,##0_-;_-&quot;$&quot;\ * &quot;-&quot;??_-;_-@_-"/>
    <numFmt numFmtId="166" formatCode="&quot;$&quot;\ #,##0.00"/>
    <numFmt numFmtId="167" formatCode="mm/dd/yyyy"/>
  </numFmts>
  <fonts count="122" x14ac:knownFonts="1">
    <font>
      <sz val="11"/>
      <color theme="1"/>
      <name val="Calibri"/>
      <family val="2"/>
      <scheme val="minor"/>
    </font>
    <font>
      <sz val="11"/>
      <name val="Arial Narrow"/>
      <family val="2"/>
    </font>
    <font>
      <sz val="10"/>
      <color rgb="FF000000"/>
      <name val="Arial Narrow"/>
      <family val="2"/>
    </font>
    <font>
      <b/>
      <sz val="11"/>
      <color theme="1"/>
      <name val="Arial Narrow"/>
      <family val="2"/>
    </font>
    <font>
      <sz val="10"/>
      <color theme="1"/>
      <name val="Calibri"/>
      <family val="2"/>
      <scheme val="minor"/>
    </font>
    <font>
      <b/>
      <sz val="11"/>
      <color theme="9" tint="-0.249977111117893"/>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b/>
      <sz val="18"/>
      <color rgb="FF000000"/>
      <name val="Calibri"/>
      <family val="2"/>
    </font>
    <font>
      <b/>
      <sz val="18"/>
      <color theme="1"/>
      <name val="Arial Narrow"/>
      <family val="2"/>
    </font>
    <font>
      <b/>
      <sz val="22"/>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b/>
      <sz val="10"/>
      <color theme="9" tint="-0.249977111117893"/>
      <name val="Arial Narrow"/>
      <family val="2"/>
    </font>
    <font>
      <sz val="18"/>
      <color theme="1"/>
      <name val="Calibri"/>
      <family val="2"/>
      <scheme val="minor"/>
    </font>
    <font>
      <sz val="11"/>
      <color rgb="FF002060"/>
      <name val="Calibri"/>
      <family val="2"/>
      <scheme val="minor"/>
    </font>
    <font>
      <sz val="16"/>
      <color rgb="FF002060"/>
      <name val="Arial Narrow"/>
      <family val="2"/>
    </font>
    <font>
      <b/>
      <sz val="11"/>
      <color rgb="FF002060"/>
      <name val="Arial Narrow"/>
      <family val="2"/>
    </font>
    <font>
      <sz val="14"/>
      <color theme="1"/>
      <name val="Arial"/>
      <family val="2"/>
    </font>
    <font>
      <sz val="20"/>
      <name val="Arial"/>
      <family val="2"/>
    </font>
    <font>
      <sz val="21"/>
      <color theme="1"/>
      <name val="Arial"/>
      <family val="2"/>
    </font>
    <font>
      <sz val="21"/>
      <name val="Arial"/>
      <family val="2"/>
    </font>
    <font>
      <b/>
      <sz val="20"/>
      <name val="Arial"/>
      <family val="2"/>
    </font>
    <font>
      <sz val="18"/>
      <color theme="1"/>
      <name val="Arial"/>
      <family val="2"/>
    </font>
    <font>
      <b/>
      <sz val="21"/>
      <color theme="1"/>
      <name val="Arial"/>
      <family val="2"/>
    </font>
    <font>
      <b/>
      <sz val="21"/>
      <name val="Arial"/>
      <family val="2"/>
    </font>
    <font>
      <sz val="21"/>
      <color rgb="FF7030A0"/>
      <name val="Arial"/>
      <family val="2"/>
    </font>
    <font>
      <b/>
      <sz val="21"/>
      <color rgb="FF7030A0"/>
      <name val="Arial"/>
      <family val="2"/>
    </font>
    <font>
      <sz val="21"/>
      <color rgb="FFFF0000"/>
      <name val="Arial"/>
      <family val="2"/>
    </font>
    <font>
      <sz val="22"/>
      <color theme="1"/>
      <name val="Arial"/>
      <family val="2"/>
    </font>
    <font>
      <b/>
      <sz val="22"/>
      <color theme="1"/>
      <name val="Arial"/>
      <family val="2"/>
    </font>
    <font>
      <b/>
      <sz val="22"/>
      <name val="Arial"/>
      <family val="2"/>
    </font>
    <font>
      <sz val="11"/>
      <color theme="1"/>
      <name val="Arial"/>
      <family val="2"/>
    </font>
    <font>
      <b/>
      <sz val="14"/>
      <name val="Arial"/>
      <family val="2"/>
    </font>
    <font>
      <b/>
      <sz val="10"/>
      <name val="Arial"/>
      <family val="2"/>
    </font>
    <font>
      <b/>
      <sz val="11"/>
      <color theme="1"/>
      <name val="Arial"/>
      <family val="2"/>
    </font>
    <font>
      <b/>
      <sz val="9"/>
      <color theme="1"/>
      <name val="Arial"/>
      <family val="2"/>
    </font>
    <font>
      <sz val="9"/>
      <color theme="1"/>
      <name val="Arial"/>
      <family val="2"/>
    </font>
    <font>
      <b/>
      <sz val="18"/>
      <color theme="1"/>
      <name val="Arial"/>
      <family val="2"/>
    </font>
    <font>
      <b/>
      <sz val="16"/>
      <name val="Arial"/>
      <family val="2"/>
    </font>
    <font>
      <sz val="12"/>
      <name val="Arial"/>
      <family val="2"/>
    </font>
    <font>
      <b/>
      <sz val="12"/>
      <name val="Arial"/>
      <family val="2"/>
    </font>
    <font>
      <sz val="26"/>
      <color theme="9" tint="-0.249977111117893"/>
      <name val="Arial Narrow"/>
      <family val="2"/>
    </font>
    <font>
      <b/>
      <sz val="11"/>
      <color theme="1"/>
      <name val="Calibri"/>
      <family val="2"/>
      <scheme val="minor"/>
    </font>
    <font>
      <b/>
      <sz val="11"/>
      <color rgb="FF000000"/>
      <name val="Calibri"/>
      <family val="2"/>
      <scheme val="minor"/>
    </font>
    <font>
      <sz val="16"/>
      <name val="Arial"/>
      <family val="2"/>
    </font>
    <font>
      <sz val="12"/>
      <color theme="1"/>
      <name val="Arial"/>
      <family val="2"/>
    </font>
    <font>
      <b/>
      <sz val="10"/>
      <color theme="0"/>
      <name val="Arial Narrow"/>
      <family val="2"/>
    </font>
    <font>
      <sz val="8"/>
      <name val="Calibri"/>
      <family val="2"/>
      <scheme val="minor"/>
    </font>
    <font>
      <b/>
      <sz val="16"/>
      <color theme="5" tint="-0.249977111117893"/>
      <name val="Arial"/>
      <family val="2"/>
    </font>
    <font>
      <b/>
      <sz val="24"/>
      <color theme="1"/>
      <name val="Arial Narrow"/>
      <family val="2"/>
    </font>
    <font>
      <sz val="13"/>
      <name val="Arial"/>
      <family val="2"/>
    </font>
    <font>
      <b/>
      <sz val="9"/>
      <color rgb="FF548DD4"/>
      <name val="Arial"/>
      <family val="2"/>
    </font>
    <font>
      <sz val="9"/>
      <color rgb="FF548DD4"/>
      <name val="Arial"/>
      <family val="2"/>
    </font>
    <font>
      <b/>
      <sz val="9"/>
      <name val="Arial"/>
      <family val="2"/>
    </font>
    <font>
      <sz val="9"/>
      <name val="Arial"/>
      <family val="2"/>
    </font>
    <font>
      <sz val="11"/>
      <name val="Arial"/>
      <family val="2"/>
    </font>
    <font>
      <sz val="8"/>
      <color theme="1"/>
      <name val="Calibri"/>
      <family val="2"/>
      <scheme val="minor"/>
    </font>
    <font>
      <sz val="14"/>
      <color rgb="FF000000"/>
      <name val="Arial Narrow"/>
      <family val="2"/>
    </font>
    <font>
      <sz val="14"/>
      <color rgb="FFFFFFFF"/>
      <name val="Arial Narrow"/>
      <family val="2"/>
    </font>
    <font>
      <sz val="11"/>
      <color rgb="FF030303"/>
      <name val="Calibri"/>
      <family val="2"/>
      <scheme val="minor"/>
    </font>
    <font>
      <b/>
      <sz val="10"/>
      <color rgb="FF000000"/>
      <name val="Calibri"/>
      <family val="2"/>
      <scheme val="minor"/>
    </font>
    <font>
      <sz val="10"/>
      <color rgb="FF000000"/>
      <name val="Calibri"/>
      <family val="2"/>
      <scheme val="minor"/>
    </font>
    <font>
      <sz val="11"/>
      <color rgb="FF000000"/>
      <name val="Calibri"/>
      <family val="2"/>
      <scheme val="minor"/>
    </font>
    <font>
      <b/>
      <sz val="10"/>
      <color theme="1"/>
      <name val="Arial Narrow"/>
      <family val="2"/>
    </font>
    <font>
      <b/>
      <sz val="10"/>
      <color rgb="FF000000"/>
      <name val="Arial Narrow"/>
      <family val="2"/>
    </font>
    <font>
      <sz val="10"/>
      <color rgb="FFFFFFFF"/>
      <name val="Arial Narrow"/>
      <family val="2"/>
    </font>
    <font>
      <b/>
      <sz val="13"/>
      <name val="Arial"/>
      <family val="2"/>
    </font>
    <font>
      <sz val="11"/>
      <color rgb="FF000000"/>
      <name val="Calibri"/>
      <family val="2"/>
      <charset val="1"/>
    </font>
    <font>
      <sz val="16"/>
      <name val="Arial"/>
      <family val="2"/>
      <charset val="1"/>
    </font>
    <font>
      <b/>
      <sz val="16"/>
      <name val="Arial"/>
      <family val="2"/>
      <charset val="1"/>
    </font>
    <font>
      <b/>
      <sz val="16"/>
      <color rgb="FF953735"/>
      <name val="Arial"/>
      <family val="2"/>
      <charset val="1"/>
    </font>
    <font>
      <sz val="12"/>
      <name val="Arial"/>
      <family val="2"/>
      <charset val="1"/>
    </font>
    <font>
      <b/>
      <sz val="12"/>
      <name val="Arial"/>
      <family val="2"/>
      <charset val="1"/>
    </font>
    <font>
      <sz val="13"/>
      <name val="Arial"/>
      <family val="2"/>
      <charset val="1"/>
    </font>
    <font>
      <sz val="12"/>
      <color rgb="FF000000"/>
      <name val="Arial"/>
      <family val="2"/>
      <charset val="1"/>
    </font>
    <font>
      <sz val="13"/>
      <color rgb="FF000000"/>
      <name val="Calibri"/>
      <family val="2"/>
      <charset val="1"/>
    </font>
    <font>
      <sz val="11"/>
      <name val="Arial"/>
      <family val="2"/>
      <charset val="1"/>
    </font>
    <font>
      <sz val="8"/>
      <name val="Arial"/>
      <family val="2"/>
      <charset val="1"/>
    </font>
    <font>
      <b/>
      <sz val="8"/>
      <name val="Arial"/>
      <family val="2"/>
      <charset val="1"/>
    </font>
    <font>
      <sz val="12"/>
      <color theme="0" tint="-0.34998626667073579"/>
      <name val="Arial"/>
      <family val="2"/>
    </font>
    <font>
      <sz val="12"/>
      <color theme="0" tint="-0.34998626667073579"/>
      <name val="Arial"/>
      <family val="2"/>
      <charset val="1"/>
    </font>
    <font>
      <sz val="12"/>
      <color rgb="FF0070C0"/>
      <name val="Arial"/>
      <family val="2"/>
    </font>
    <font>
      <sz val="14"/>
      <name val="Arial"/>
      <family val="2"/>
    </font>
  </fonts>
  <fills count="42">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F2F2F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6" tint="0.39997558519241921"/>
        <bgColor indexed="64"/>
      </patternFill>
    </fill>
    <fill>
      <patternFill patternType="solid">
        <fgColor theme="7"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rgb="FFDAEEF3"/>
        <bgColor indexed="64"/>
      </patternFill>
    </fill>
    <fill>
      <patternFill patternType="solid">
        <fgColor rgb="FF4BACC6"/>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4" tint="0.39997558519241921"/>
        <bgColor indexed="64"/>
      </patternFill>
    </fill>
    <fill>
      <patternFill patternType="solid">
        <fgColor rgb="FFFFFFFF"/>
        <bgColor rgb="FFF2F2F2"/>
      </patternFill>
    </fill>
    <fill>
      <patternFill patternType="solid">
        <fgColor rgb="FFD9D9D9"/>
        <bgColor rgb="FFDDD9C3"/>
      </patternFill>
    </fill>
    <fill>
      <patternFill patternType="solid">
        <fgColor rgb="FFB9CDE5"/>
        <bgColor rgb="FFB7DEE8"/>
      </patternFill>
    </fill>
    <fill>
      <patternFill patternType="solid">
        <fgColor rgb="FFBFBFBF"/>
        <bgColor rgb="FFCCC1DA"/>
      </patternFill>
    </fill>
    <fill>
      <patternFill patternType="solid">
        <fgColor rgb="FFB7DEE8"/>
        <bgColor rgb="FFB9CDE5"/>
      </patternFill>
    </fill>
    <fill>
      <patternFill patternType="solid">
        <fgColor rgb="FFFCD5B5"/>
        <bgColor rgb="FFFFC7CE"/>
      </patternFill>
    </fill>
    <fill>
      <patternFill patternType="solid">
        <fgColor rgb="FFC3D69B"/>
        <bgColor rgb="FFD7E4BD"/>
      </patternFill>
    </fill>
  </fills>
  <borders count="123">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dotted">
        <color rgb="FFF79646"/>
      </left>
      <right/>
      <top/>
      <bottom style="dotted">
        <color rgb="FFF79646"/>
      </bottom>
      <diagonal/>
    </border>
    <border>
      <left style="dotted">
        <color rgb="FFF79646"/>
      </left>
      <right/>
      <top style="dotted">
        <color rgb="FFF79646"/>
      </top>
      <bottom style="dotted">
        <color rgb="FFF79646"/>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rgb="FF000000"/>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diagonal/>
    </border>
    <border>
      <left style="thin">
        <color indexed="64"/>
      </left>
      <right/>
      <top/>
      <bottom style="medium">
        <color indexed="64"/>
      </bottom>
      <diagonal/>
    </border>
    <border>
      <left style="hair">
        <color theme="6" tint="-0.499984740745262"/>
      </left>
      <right style="hair">
        <color theme="6" tint="-0.499984740745262"/>
      </right>
      <top style="hair">
        <color theme="6" tint="-0.499984740745262"/>
      </top>
      <bottom style="hair">
        <color theme="6" tint="-0.499984740745262"/>
      </bottom>
      <diagonal/>
    </border>
    <border>
      <left style="hair">
        <color theme="6" tint="-0.499984740745262"/>
      </left>
      <right style="hair">
        <color theme="6" tint="-0.499984740745262"/>
      </right>
      <top style="hair">
        <color theme="6" tint="-0.499984740745262"/>
      </top>
      <bottom/>
      <diagonal/>
    </border>
    <border>
      <left style="hair">
        <color theme="6" tint="-0.499984740745262"/>
      </left>
      <right style="hair">
        <color theme="6" tint="-0.499984740745262"/>
      </right>
      <top/>
      <bottom style="hair">
        <color theme="6" tint="-0.499984740745262"/>
      </bottom>
      <diagonal/>
    </border>
    <border>
      <left/>
      <right style="hair">
        <color theme="6" tint="-0.499984740745262"/>
      </right>
      <top/>
      <bottom/>
      <diagonal/>
    </border>
    <border>
      <left style="medium">
        <color theme="6" tint="-0.499984740745262"/>
      </left>
      <right style="hair">
        <color theme="6" tint="-0.499984740745262"/>
      </right>
      <top style="medium">
        <color theme="6" tint="-0.499984740745262"/>
      </top>
      <bottom style="hair">
        <color theme="6" tint="-0.499984740745262"/>
      </bottom>
      <diagonal/>
    </border>
    <border>
      <left style="hair">
        <color theme="6" tint="-0.499984740745262"/>
      </left>
      <right style="hair">
        <color theme="6" tint="-0.499984740745262"/>
      </right>
      <top style="medium">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hair">
        <color theme="6" tint="-0.499984740745262"/>
      </bottom>
      <diagonal/>
    </border>
    <border>
      <left style="medium">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style="hair">
        <color theme="6" tint="-0.499984740745262"/>
      </top>
      <bottom style="medium">
        <color theme="6" tint="-0.499984740745262"/>
      </bottom>
      <diagonal/>
    </border>
    <border>
      <left style="hair">
        <color theme="6" tint="-0.499984740745262"/>
      </left>
      <right style="hair">
        <color theme="6" tint="-0.499984740745262"/>
      </right>
      <top/>
      <bottom/>
      <diagonal/>
    </border>
    <border>
      <left style="medium">
        <color indexed="64"/>
      </left>
      <right style="hair">
        <color theme="6" tint="-0.499984740745262"/>
      </right>
      <top style="medium">
        <color indexed="64"/>
      </top>
      <bottom style="hair">
        <color theme="6" tint="-0.499984740745262"/>
      </bottom>
      <diagonal/>
    </border>
    <border>
      <left style="hair">
        <color theme="6" tint="-0.499984740745262"/>
      </left>
      <right style="medium">
        <color indexed="64"/>
      </right>
      <top style="medium">
        <color indexed="64"/>
      </top>
      <bottom style="hair">
        <color theme="6" tint="-0.499984740745262"/>
      </bottom>
      <diagonal/>
    </border>
    <border>
      <left style="medium">
        <color indexed="64"/>
      </left>
      <right style="hair">
        <color theme="6" tint="-0.499984740745262"/>
      </right>
      <top style="hair">
        <color theme="6" tint="-0.499984740745262"/>
      </top>
      <bottom style="hair">
        <color theme="6" tint="-0.499984740745262"/>
      </bottom>
      <diagonal/>
    </border>
    <border>
      <left style="hair">
        <color theme="6" tint="-0.499984740745262"/>
      </left>
      <right style="medium">
        <color indexed="64"/>
      </right>
      <top style="hair">
        <color theme="6" tint="-0.499984740745262"/>
      </top>
      <bottom style="hair">
        <color theme="6" tint="-0.499984740745262"/>
      </bottom>
      <diagonal/>
    </border>
    <border>
      <left style="medium">
        <color indexed="64"/>
      </left>
      <right style="hair">
        <color theme="6" tint="-0.499984740745262"/>
      </right>
      <top style="hair">
        <color theme="6" tint="-0.499984740745262"/>
      </top>
      <bottom style="medium">
        <color indexed="64"/>
      </bottom>
      <diagonal/>
    </border>
    <border>
      <left style="hair">
        <color theme="6" tint="-0.499984740745262"/>
      </left>
      <right style="medium">
        <color indexed="64"/>
      </right>
      <top style="hair">
        <color theme="6" tint="-0.499984740745262"/>
      </top>
      <bottom style="medium">
        <color indexed="64"/>
      </bottom>
      <diagonal/>
    </border>
    <border>
      <left style="hair">
        <color theme="6" tint="-0.499984740745262"/>
      </left>
      <right/>
      <top/>
      <bottom style="hair">
        <color theme="6" tint="-0.499984740745262"/>
      </bottom>
      <diagonal/>
    </border>
    <border>
      <left/>
      <right/>
      <top/>
      <bottom style="hair">
        <color theme="6" tint="-0.499984740745262"/>
      </bottom>
      <diagonal/>
    </border>
    <border>
      <left/>
      <right style="hair">
        <color theme="6" tint="-0.499984740745262"/>
      </right>
      <top/>
      <bottom style="hair">
        <color theme="6" tint="-0.4999847407452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hair">
        <color theme="6" tint="-0.499984740745262"/>
      </left>
      <right/>
      <top/>
      <bottom/>
      <diagonal/>
    </border>
    <border>
      <left style="hair">
        <color theme="6" tint="-0.499984740745262"/>
      </left>
      <right/>
      <top style="medium">
        <color theme="6" tint="-0.499984740745262"/>
      </top>
      <bottom style="hair">
        <color theme="6" tint="-0.499984740745262"/>
      </bottom>
      <diagonal/>
    </border>
    <border>
      <left style="hair">
        <color theme="6" tint="-0.499984740745262"/>
      </left>
      <right/>
      <top style="hair">
        <color theme="6" tint="-0.499984740745262"/>
      </top>
      <bottom style="medium">
        <color theme="6" tint="-0.499984740745262"/>
      </bottom>
      <diagonal/>
    </border>
    <border>
      <left style="hair">
        <color theme="6" tint="-0.499984740745262"/>
      </left>
      <right/>
      <top style="hair">
        <color theme="6" tint="-0.499984740745262"/>
      </top>
      <bottom style="hair">
        <color theme="6" tint="-0.499984740745262"/>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medium">
        <color rgb="FF92CDDC"/>
      </bottom>
      <diagonal/>
    </border>
    <border>
      <left style="medium">
        <color rgb="FF4F6228"/>
      </left>
      <right/>
      <top style="medium">
        <color rgb="FF4F6228"/>
      </top>
      <bottom style="medium">
        <color rgb="FF4F6228"/>
      </bottom>
      <diagonal/>
    </border>
    <border>
      <left style="medium">
        <color auto="1"/>
      </left>
      <right style="medium">
        <color auto="1"/>
      </right>
      <top style="medium">
        <color auto="1"/>
      </top>
      <bottom style="hair">
        <color rgb="FF4F6228"/>
      </bottom>
      <diagonal/>
    </border>
    <border>
      <left style="medium">
        <color auto="1"/>
      </left>
      <right style="medium">
        <color auto="1"/>
      </right>
      <top style="hair">
        <color rgb="FF4F6228"/>
      </top>
      <bottom style="hair">
        <color rgb="FF4F6228"/>
      </bottom>
      <diagonal/>
    </border>
    <border>
      <left style="medium">
        <color auto="1"/>
      </left>
      <right style="medium">
        <color auto="1"/>
      </right>
      <top style="hair">
        <color rgb="FF4F6228"/>
      </top>
      <bottom style="medium">
        <color auto="1"/>
      </bottom>
      <diagonal/>
    </border>
    <border>
      <left style="hair">
        <color rgb="FF4F6228"/>
      </left>
      <right/>
      <top/>
      <bottom style="hair">
        <color rgb="FF4F6228"/>
      </bottom>
      <diagonal/>
    </border>
    <border>
      <left/>
      <right/>
      <top/>
      <bottom style="hair">
        <color rgb="FF4F6228"/>
      </bottom>
      <diagonal/>
    </border>
    <border>
      <left style="hair">
        <color rgb="FF4F6228"/>
      </left>
      <right style="hair">
        <color rgb="FF4F6228"/>
      </right>
      <top/>
      <bottom style="hair">
        <color rgb="FF4F6228"/>
      </bottom>
      <diagonal/>
    </border>
    <border>
      <left/>
      <right style="hair">
        <color rgb="FF4F6228"/>
      </right>
      <top/>
      <bottom style="hair">
        <color rgb="FF4F6228"/>
      </bottom>
      <diagonal/>
    </border>
    <border>
      <left style="hair">
        <color rgb="FF4F6228"/>
      </left>
      <right style="hair">
        <color rgb="FF4F6228"/>
      </right>
      <top style="hair">
        <color rgb="FF4F6228"/>
      </top>
      <bottom style="hair">
        <color rgb="FF4F6228"/>
      </bottom>
      <diagonal/>
    </border>
    <border>
      <left style="dashed">
        <color rgb="FFE46C0A"/>
      </left>
      <right style="dashed">
        <color rgb="FFE46C0A"/>
      </right>
      <top/>
      <bottom style="dashed">
        <color rgb="FFE46C0A"/>
      </bottom>
      <diagonal/>
    </border>
    <border>
      <left style="dashed">
        <color rgb="FFE46C0A"/>
      </left>
      <right/>
      <top/>
      <bottom style="dashed">
        <color rgb="FFE46C0A"/>
      </bottom>
      <diagonal/>
    </border>
  </borders>
  <cellStyleXfs count="9">
    <xf numFmtId="0" fontId="0" fillId="0" borderId="0"/>
    <xf numFmtId="9" fontId="12" fillId="0" borderId="0" applyFont="0" applyFill="0" applyBorder="0" applyAlignment="0" applyProtection="0"/>
    <xf numFmtId="0" fontId="41" fillId="0" borderId="0"/>
    <xf numFmtId="0" fontId="42" fillId="0" borderId="0"/>
    <xf numFmtId="0" fontId="4" fillId="0" borderId="0"/>
    <xf numFmtId="44" fontId="12" fillId="0" borderId="0" applyFont="0" applyFill="0" applyBorder="0" applyAlignment="0" applyProtection="0"/>
    <xf numFmtId="44" fontId="12" fillId="0" borderId="0" applyFont="0" applyFill="0" applyBorder="0" applyAlignment="0" applyProtection="0"/>
    <xf numFmtId="0" fontId="106" fillId="0" borderId="0"/>
    <xf numFmtId="9" fontId="106" fillId="0" borderId="0" applyBorder="0" applyProtection="0"/>
  </cellStyleXfs>
  <cellXfs count="770">
    <xf numFmtId="0" fontId="0" fillId="0" borderId="0" xfId="0"/>
    <xf numFmtId="0" fontId="4" fillId="0" borderId="0" xfId="0" applyFont="1"/>
    <xf numFmtId="0" fontId="2" fillId="0" borderId="1" xfId="0" applyFont="1" applyBorder="1" applyAlignment="1">
      <alignment horizontal="left" vertical="center" wrapText="1" indent="1" readingOrder="1"/>
    </xf>
    <xf numFmtId="0" fontId="6" fillId="0" borderId="0" xfId="0" applyFont="1" applyAlignment="1">
      <alignment horizontal="center" vertical="center" wrapText="1"/>
    </xf>
    <xf numFmtId="0" fontId="7" fillId="6" borderId="0" xfId="0" applyFont="1" applyFill="1" applyAlignment="1">
      <alignment horizontal="center" vertical="center" wrapText="1" readingOrder="1"/>
    </xf>
    <xf numFmtId="0" fontId="8" fillId="5" borderId="4" xfId="0" applyFont="1" applyFill="1" applyBorder="1" applyAlignment="1">
      <alignment horizontal="center" vertical="center" wrapText="1" readingOrder="1"/>
    </xf>
    <xf numFmtId="0" fontId="8" fillId="0" borderId="4" xfId="0" applyFont="1" applyBorder="1" applyAlignment="1">
      <alignment horizontal="justify" vertical="center" wrapText="1" readingOrder="1"/>
    </xf>
    <xf numFmtId="9" fontId="8" fillId="0" borderId="4" xfId="0" applyNumberFormat="1" applyFont="1" applyBorder="1" applyAlignment="1">
      <alignment horizontal="center" vertical="center" wrapText="1" readingOrder="1"/>
    </xf>
    <xf numFmtId="0" fontId="8" fillId="7" borderId="1" xfId="0" applyFont="1" applyFill="1" applyBorder="1" applyAlignment="1">
      <alignment horizontal="center" vertical="center" wrapText="1" readingOrder="1"/>
    </xf>
    <xf numFmtId="0" fontId="8" fillId="0" borderId="1" xfId="0" applyFont="1" applyBorder="1" applyAlignment="1">
      <alignment horizontal="justify" vertical="center" wrapText="1" readingOrder="1"/>
    </xf>
    <xf numFmtId="9" fontId="8" fillId="0" borderId="1" xfId="0" applyNumberFormat="1" applyFont="1" applyBorder="1" applyAlignment="1">
      <alignment horizontal="center" vertical="center" wrapText="1" readingOrder="1"/>
    </xf>
    <xf numFmtId="0" fontId="8" fillId="4" borderId="1" xfId="0" applyFont="1" applyFill="1" applyBorder="1" applyAlignment="1">
      <alignment horizontal="center" vertical="center" wrapText="1" readingOrder="1"/>
    </xf>
    <xf numFmtId="0" fontId="8" fillId="8" borderId="1" xfId="0" applyFont="1" applyFill="1" applyBorder="1" applyAlignment="1">
      <alignment horizontal="center" vertical="center" wrapText="1" readingOrder="1"/>
    </xf>
    <xf numFmtId="0" fontId="9" fillId="9" borderId="1" xfId="0" applyFont="1" applyFill="1" applyBorder="1" applyAlignment="1">
      <alignment horizontal="center" vertical="center" wrapText="1" readingOrder="1"/>
    </xf>
    <xf numFmtId="0" fontId="13" fillId="0" borderId="0" xfId="0" applyFont="1"/>
    <xf numFmtId="0" fontId="11" fillId="0" borderId="0" xfId="0" applyFont="1"/>
    <xf numFmtId="0" fontId="24" fillId="0" borderId="0" xfId="0" applyFont="1" applyAlignment="1">
      <alignment vertical="center"/>
    </xf>
    <xf numFmtId="0" fontId="25" fillId="0" borderId="0" xfId="0" applyFont="1"/>
    <xf numFmtId="0" fontId="23" fillId="0" borderId="0" xfId="0" applyFont="1"/>
    <xf numFmtId="0" fontId="0" fillId="0" borderId="0" xfId="0" pivotButton="1"/>
    <xf numFmtId="0" fontId="10" fillId="0" borderId="0" xfId="0" applyFont="1" applyAlignment="1">
      <alignment horizontal="justify" vertical="center" wrapText="1" readingOrder="1"/>
    </xf>
    <xf numFmtId="0" fontId="27" fillId="6" borderId="0" xfId="0" applyFont="1" applyFill="1" applyAlignment="1">
      <alignment horizontal="center" vertical="center" wrapText="1" readingOrder="1"/>
    </xf>
    <xf numFmtId="0" fontId="28" fillId="5" borderId="4" xfId="0" applyFont="1" applyFill="1" applyBorder="1" applyAlignment="1">
      <alignment horizontal="center" vertical="center" wrapText="1" readingOrder="1"/>
    </xf>
    <xf numFmtId="0" fontId="28" fillId="7" borderId="1" xfId="0" applyFont="1" applyFill="1" applyBorder="1" applyAlignment="1">
      <alignment horizontal="center" vertical="center" wrapText="1" readingOrder="1"/>
    </xf>
    <xf numFmtId="0" fontId="28" fillId="4" borderId="1" xfId="0" applyFont="1" applyFill="1" applyBorder="1" applyAlignment="1">
      <alignment horizontal="center" vertical="center" wrapText="1" readingOrder="1"/>
    </xf>
    <xf numFmtId="0" fontId="28" fillId="8" borderId="1" xfId="0" applyFont="1" applyFill="1" applyBorder="1" applyAlignment="1">
      <alignment horizontal="center" vertical="center" wrapText="1" readingOrder="1"/>
    </xf>
    <xf numFmtId="0" fontId="29" fillId="9" borderId="1" xfId="0" applyFont="1" applyFill="1" applyBorder="1" applyAlignment="1">
      <alignment horizontal="center" vertical="center" wrapText="1" readingOrder="1"/>
    </xf>
    <xf numFmtId="0" fontId="28" fillId="0" borderId="4" xfId="0" applyFont="1" applyBorder="1" applyAlignment="1">
      <alignment horizontal="center" vertical="center" wrapText="1" readingOrder="1"/>
    </xf>
    <xf numFmtId="0" fontId="28" fillId="0" borderId="1" xfId="0" applyFont="1" applyBorder="1" applyAlignment="1">
      <alignment horizontal="center" vertical="center" wrapText="1" readingOrder="1"/>
    </xf>
    <xf numFmtId="0" fontId="17" fillId="11" borderId="5" xfId="0" applyFont="1" applyFill="1" applyBorder="1" applyAlignment="1" applyProtection="1">
      <alignment horizontal="center" vertical="center" wrapText="1" readingOrder="1"/>
      <protection hidden="1"/>
    </xf>
    <xf numFmtId="0" fontId="17" fillId="11" borderId="12" xfId="0" applyFont="1" applyFill="1" applyBorder="1" applyAlignment="1" applyProtection="1">
      <alignment horizontal="center" vertical="center" wrapText="1" readingOrder="1"/>
      <protection hidden="1"/>
    </xf>
    <xf numFmtId="0" fontId="17" fillId="11" borderId="6" xfId="0" applyFont="1" applyFill="1" applyBorder="1" applyAlignment="1" applyProtection="1">
      <alignment horizontal="center" vertical="center" wrapText="1" readingOrder="1"/>
      <protection hidden="1"/>
    </xf>
    <xf numFmtId="0" fontId="17" fillId="12" borderId="5" xfId="0" applyFont="1" applyFill="1" applyBorder="1" applyAlignment="1" applyProtection="1">
      <alignment horizontal="center" wrapText="1" readingOrder="1"/>
      <protection hidden="1"/>
    </xf>
    <xf numFmtId="0" fontId="17" fillId="12" borderId="12" xfId="0" applyFont="1" applyFill="1" applyBorder="1" applyAlignment="1" applyProtection="1">
      <alignment horizontal="center" wrapText="1" readingOrder="1"/>
      <protection hidden="1"/>
    </xf>
    <xf numFmtId="0" fontId="17" fillId="12" borderId="6" xfId="0" applyFont="1" applyFill="1" applyBorder="1" applyAlignment="1" applyProtection="1">
      <alignment horizontal="center" wrapText="1" readingOrder="1"/>
      <protection hidden="1"/>
    </xf>
    <xf numFmtId="0" fontId="17" fillId="11" borderId="7" xfId="0" applyFont="1" applyFill="1" applyBorder="1" applyAlignment="1" applyProtection="1">
      <alignment horizontal="center" vertical="center" wrapText="1" readingOrder="1"/>
      <protection hidden="1"/>
    </xf>
    <xf numFmtId="0" fontId="17" fillId="11" borderId="0" xfId="0" applyFont="1" applyFill="1" applyAlignment="1" applyProtection="1">
      <alignment horizontal="center" vertical="center" wrapText="1" readingOrder="1"/>
      <protection hidden="1"/>
    </xf>
    <xf numFmtId="0" fontId="17" fillId="11" borderId="8" xfId="0" applyFont="1" applyFill="1" applyBorder="1" applyAlignment="1" applyProtection="1">
      <alignment horizontal="center" vertical="center" wrapText="1" readingOrder="1"/>
      <protection hidden="1"/>
    </xf>
    <xf numFmtId="0" fontId="17" fillId="12" borderId="7" xfId="0" applyFont="1" applyFill="1" applyBorder="1" applyAlignment="1" applyProtection="1">
      <alignment horizontal="center" wrapText="1" readingOrder="1"/>
      <protection hidden="1"/>
    </xf>
    <xf numFmtId="0" fontId="17" fillId="12" borderId="0" xfId="0" applyFont="1" applyFill="1" applyAlignment="1" applyProtection="1">
      <alignment horizontal="center" wrapText="1" readingOrder="1"/>
      <protection hidden="1"/>
    </xf>
    <xf numFmtId="0" fontId="17" fillId="12" borderId="8" xfId="0" applyFont="1" applyFill="1" applyBorder="1" applyAlignment="1" applyProtection="1">
      <alignment horizontal="center" wrapText="1" readingOrder="1"/>
      <protection hidden="1"/>
    </xf>
    <xf numFmtId="0" fontId="17" fillId="11" borderId="9" xfId="0" applyFont="1" applyFill="1" applyBorder="1" applyAlignment="1" applyProtection="1">
      <alignment horizontal="center" vertical="center" wrapText="1" readingOrder="1"/>
      <protection hidden="1"/>
    </xf>
    <xf numFmtId="0" fontId="17" fillId="11" borderId="11" xfId="0" applyFont="1" applyFill="1" applyBorder="1" applyAlignment="1" applyProtection="1">
      <alignment horizontal="center" vertical="center" wrapText="1" readingOrder="1"/>
      <protection hidden="1"/>
    </xf>
    <xf numFmtId="0" fontId="17" fillId="11" borderId="10" xfId="0" applyFont="1" applyFill="1" applyBorder="1" applyAlignment="1" applyProtection="1">
      <alignment horizontal="center" vertical="center" wrapText="1" readingOrder="1"/>
      <protection hidden="1"/>
    </xf>
    <xf numFmtId="0" fontId="17" fillId="12" borderId="9" xfId="0" applyFont="1" applyFill="1" applyBorder="1" applyAlignment="1" applyProtection="1">
      <alignment horizontal="center" wrapText="1" readingOrder="1"/>
      <protection hidden="1"/>
    </xf>
    <xf numFmtId="0" fontId="17" fillId="12" borderId="11" xfId="0" applyFont="1" applyFill="1" applyBorder="1" applyAlignment="1" applyProtection="1">
      <alignment horizontal="center" wrapText="1" readingOrder="1"/>
      <protection hidden="1"/>
    </xf>
    <xf numFmtId="0" fontId="17" fillId="12" borderId="10" xfId="0" applyFont="1" applyFill="1" applyBorder="1" applyAlignment="1" applyProtection="1">
      <alignment horizontal="center" wrapText="1" readingOrder="1"/>
      <protection hidden="1"/>
    </xf>
    <xf numFmtId="0" fontId="17" fillId="13" borderId="5" xfId="0" applyFont="1" applyFill="1" applyBorder="1" applyAlignment="1" applyProtection="1">
      <alignment horizontal="center" wrapText="1" readingOrder="1"/>
      <protection hidden="1"/>
    </xf>
    <xf numFmtId="0" fontId="17" fillId="13" borderId="12" xfId="0" applyFont="1" applyFill="1" applyBorder="1" applyAlignment="1" applyProtection="1">
      <alignment horizontal="center" wrapText="1" readingOrder="1"/>
      <protection hidden="1"/>
    </xf>
    <xf numFmtId="0" fontId="17" fillId="13" borderId="6" xfId="0" applyFont="1" applyFill="1" applyBorder="1" applyAlignment="1" applyProtection="1">
      <alignment horizontal="center" wrapText="1" readingOrder="1"/>
      <protection hidden="1"/>
    </xf>
    <xf numFmtId="0" fontId="17" fillId="13" borderId="7" xfId="0" applyFont="1" applyFill="1" applyBorder="1" applyAlignment="1" applyProtection="1">
      <alignment horizontal="center" wrapText="1" readingOrder="1"/>
      <protection hidden="1"/>
    </xf>
    <xf numFmtId="0" fontId="17" fillId="13" borderId="0" xfId="0" applyFont="1" applyFill="1" applyAlignment="1" applyProtection="1">
      <alignment horizontal="center" wrapText="1" readingOrder="1"/>
      <protection hidden="1"/>
    </xf>
    <xf numFmtId="0" fontId="17" fillId="13" borderId="8" xfId="0" applyFont="1" applyFill="1" applyBorder="1" applyAlignment="1" applyProtection="1">
      <alignment horizontal="center" wrapText="1" readingOrder="1"/>
      <protection hidden="1"/>
    </xf>
    <xf numFmtId="0" fontId="17" fillId="13" borderId="9" xfId="0" applyFont="1" applyFill="1" applyBorder="1" applyAlignment="1" applyProtection="1">
      <alignment horizontal="center" wrapText="1" readingOrder="1"/>
      <protection hidden="1"/>
    </xf>
    <xf numFmtId="0" fontId="17" fillId="13" borderId="11" xfId="0" applyFont="1" applyFill="1" applyBorder="1" applyAlignment="1" applyProtection="1">
      <alignment horizontal="center" wrapText="1" readingOrder="1"/>
      <protection hidden="1"/>
    </xf>
    <xf numFmtId="0" fontId="17" fillId="13" borderId="10" xfId="0" applyFont="1" applyFill="1" applyBorder="1" applyAlignment="1" applyProtection="1">
      <alignment horizontal="center" wrapText="1" readingOrder="1"/>
      <protection hidden="1"/>
    </xf>
    <xf numFmtId="0" fontId="17" fillId="5" borderId="5" xfId="0" applyFont="1" applyFill="1" applyBorder="1" applyAlignment="1" applyProtection="1">
      <alignment horizontal="center" wrapText="1" readingOrder="1"/>
      <protection hidden="1"/>
    </xf>
    <xf numFmtId="0" fontId="17" fillId="5" borderId="12" xfId="0" applyFont="1" applyFill="1" applyBorder="1" applyAlignment="1" applyProtection="1">
      <alignment horizontal="center" wrapText="1" readingOrder="1"/>
      <protection hidden="1"/>
    </xf>
    <xf numFmtId="0" fontId="17" fillId="5" borderId="6" xfId="0" applyFont="1" applyFill="1" applyBorder="1" applyAlignment="1" applyProtection="1">
      <alignment horizontal="center" wrapText="1" readingOrder="1"/>
      <protection hidden="1"/>
    </xf>
    <xf numFmtId="0" fontId="17" fillId="5" borderId="7" xfId="0" applyFont="1" applyFill="1" applyBorder="1" applyAlignment="1" applyProtection="1">
      <alignment horizontal="center" wrapText="1" readingOrder="1"/>
      <protection hidden="1"/>
    </xf>
    <xf numFmtId="0" fontId="17" fillId="5" borderId="0" xfId="0" applyFont="1" applyFill="1" applyAlignment="1" applyProtection="1">
      <alignment horizontal="center" wrapText="1" readingOrder="1"/>
      <protection hidden="1"/>
    </xf>
    <xf numFmtId="0" fontId="17" fillId="5" borderId="8" xfId="0" applyFont="1" applyFill="1" applyBorder="1" applyAlignment="1" applyProtection="1">
      <alignment horizontal="center" wrapText="1" readingOrder="1"/>
      <protection hidden="1"/>
    </xf>
    <xf numFmtId="0" fontId="17" fillId="5" borderId="9" xfId="0" applyFont="1" applyFill="1" applyBorder="1" applyAlignment="1" applyProtection="1">
      <alignment horizontal="center" wrapText="1" readingOrder="1"/>
      <protection hidden="1"/>
    </xf>
    <xf numFmtId="0" fontId="17" fillId="5" borderId="11" xfId="0" applyFont="1" applyFill="1" applyBorder="1" applyAlignment="1" applyProtection="1">
      <alignment horizontal="center" wrapText="1" readingOrder="1"/>
      <protection hidden="1"/>
    </xf>
    <xf numFmtId="0" fontId="17" fillId="5" borderId="10"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0" fillId="3" borderId="0" xfId="0" applyFill="1"/>
    <xf numFmtId="0" fontId="43" fillId="3" borderId="40" xfId="2" applyFont="1" applyFill="1" applyBorder="1"/>
    <xf numFmtId="0" fontId="43" fillId="3" borderId="41" xfId="2" applyFont="1" applyFill="1" applyBorder="1"/>
    <xf numFmtId="0" fontId="43" fillId="3" borderId="42" xfId="2" applyFont="1" applyFill="1" applyBorder="1"/>
    <xf numFmtId="0" fontId="14" fillId="3" borderId="0" xfId="0" applyFont="1" applyFill="1" applyAlignment="1">
      <alignment vertical="center"/>
    </xf>
    <xf numFmtId="0" fontId="4" fillId="3" borderId="0" xfId="0" applyFont="1" applyFill="1"/>
    <xf numFmtId="0" fontId="31" fillId="3" borderId="0" xfId="0" applyFont="1" applyFill="1"/>
    <xf numFmtId="0" fontId="32" fillId="3" borderId="23" xfId="0" applyFont="1" applyFill="1" applyBorder="1" applyAlignment="1">
      <alignment horizontal="center" vertical="center" wrapText="1" readingOrder="1"/>
    </xf>
    <xf numFmtId="0" fontId="33" fillId="3" borderId="23" xfId="0" applyFont="1" applyFill="1" applyBorder="1" applyAlignment="1">
      <alignment horizontal="justify" vertical="center" wrapText="1" readingOrder="1"/>
    </xf>
    <xf numFmtId="9" fontId="32" fillId="3" borderId="32" xfId="0" applyNumberFormat="1"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3" fillId="3" borderId="22" xfId="0" applyFont="1" applyFill="1" applyBorder="1" applyAlignment="1">
      <alignment horizontal="justify" vertical="center" wrapText="1" readingOrder="1"/>
    </xf>
    <xf numFmtId="9" fontId="32" fillId="3" borderId="27" xfId="0" applyNumberFormat="1" applyFont="1" applyFill="1" applyBorder="1" applyAlignment="1">
      <alignment horizontal="center" vertical="center" wrapText="1" readingOrder="1"/>
    </xf>
    <xf numFmtId="0" fontId="33" fillId="3" borderId="27"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xf numFmtId="0" fontId="33" fillId="3" borderId="29" xfId="0" applyFont="1" applyFill="1" applyBorder="1" applyAlignment="1">
      <alignment horizontal="justify" vertical="center" wrapText="1" readingOrder="1"/>
    </xf>
    <xf numFmtId="0" fontId="33" fillId="3" borderId="30" xfId="0" applyFont="1" applyFill="1" applyBorder="1" applyAlignment="1">
      <alignment horizontal="center" vertical="center" wrapText="1" readingOrder="1"/>
    </xf>
    <xf numFmtId="0" fontId="40" fillId="3" borderId="0" xfId="0" applyFont="1" applyFill="1"/>
    <xf numFmtId="0" fontId="32" fillId="15" borderId="34" xfId="0" applyFont="1" applyFill="1" applyBorder="1" applyAlignment="1">
      <alignment horizontal="center" vertical="center" wrapText="1" readingOrder="1"/>
    </xf>
    <xf numFmtId="0" fontId="32" fillId="15" borderId="35" xfId="0" applyFont="1" applyFill="1" applyBorder="1" applyAlignment="1">
      <alignment horizontal="center" vertical="center" wrapText="1" readingOrder="1"/>
    </xf>
    <xf numFmtId="0" fontId="11" fillId="3" borderId="0" xfId="0" applyFont="1" applyFill="1"/>
    <xf numFmtId="0" fontId="10" fillId="3" borderId="0" xfId="0" applyFont="1" applyFill="1" applyAlignment="1">
      <alignment horizontal="justify" vertical="center" wrapText="1" readingOrder="1"/>
    </xf>
    <xf numFmtId="0" fontId="13" fillId="3" borderId="0" xfId="0" applyFont="1" applyFill="1"/>
    <xf numFmtId="0" fontId="3" fillId="3" borderId="0" xfId="0" applyFont="1" applyFill="1" applyAlignment="1">
      <alignment horizontal="left" vertical="center"/>
    </xf>
    <xf numFmtId="0" fontId="43" fillId="3" borderId="7" xfId="2" applyFont="1" applyFill="1" applyBorder="1"/>
    <xf numFmtId="0" fontId="48" fillId="3" borderId="0" xfId="0" applyFont="1" applyFill="1" applyAlignment="1">
      <alignment horizontal="left" vertical="center" wrapText="1"/>
    </xf>
    <xf numFmtId="0" fontId="49" fillId="3" borderId="0" xfId="0" applyFont="1" applyFill="1" applyAlignment="1">
      <alignment horizontal="left" vertical="top" wrapText="1"/>
    </xf>
    <xf numFmtId="0" fontId="43" fillId="3" borderId="0" xfId="2" applyFont="1" applyFill="1"/>
    <xf numFmtId="0" fontId="43" fillId="3" borderId="8" xfId="2" applyFont="1" applyFill="1" applyBorder="1"/>
    <xf numFmtId="0" fontId="43" fillId="3" borderId="9" xfId="2" applyFont="1" applyFill="1" applyBorder="1"/>
    <xf numFmtId="0" fontId="43" fillId="3" borderId="11" xfId="2" applyFont="1" applyFill="1" applyBorder="1"/>
    <xf numFmtId="0" fontId="43" fillId="3" borderId="10" xfId="2" applyFont="1" applyFill="1" applyBorder="1"/>
    <xf numFmtId="0" fontId="47" fillId="3" borderId="0" xfId="2" applyFont="1" applyFill="1" applyAlignment="1">
      <alignment horizontal="left" vertical="center" wrapText="1"/>
    </xf>
    <xf numFmtId="0" fontId="43" fillId="3" borderId="0" xfId="2" applyFont="1" applyFill="1" applyAlignment="1">
      <alignment horizontal="left" vertical="center" wrapText="1"/>
    </xf>
    <xf numFmtId="0" fontId="43" fillId="3" borderId="0" xfId="2" quotePrefix="1" applyFont="1" applyFill="1" applyAlignment="1">
      <alignment horizontal="left" vertical="center" wrapText="1"/>
    </xf>
    <xf numFmtId="0" fontId="45" fillId="3" borderId="7" xfId="2" quotePrefix="1" applyFont="1" applyFill="1" applyBorder="1" applyAlignment="1">
      <alignment horizontal="left" vertical="top" wrapText="1"/>
    </xf>
    <xf numFmtId="0" fontId="46" fillId="3" borderId="0" xfId="2" quotePrefix="1" applyFont="1" applyFill="1" applyAlignment="1">
      <alignment horizontal="left" vertical="top" wrapText="1"/>
    </xf>
    <xf numFmtId="0" fontId="46" fillId="3" borderId="8" xfId="2" quotePrefix="1" applyFont="1" applyFill="1" applyBorder="1" applyAlignment="1">
      <alignment horizontal="left" vertical="top" wrapText="1"/>
    </xf>
    <xf numFmtId="0" fontId="28" fillId="0" borderId="64" xfId="0" applyFont="1" applyBorder="1" applyAlignment="1">
      <alignment horizontal="justify" vertical="center" wrapText="1" readingOrder="1"/>
    </xf>
    <xf numFmtId="0" fontId="28" fillId="0" borderId="65" xfId="0" applyFont="1" applyBorder="1" applyAlignment="1">
      <alignment horizontal="justify" vertical="center" wrapText="1" readingOrder="1"/>
    </xf>
    <xf numFmtId="165" fontId="26" fillId="3" borderId="0" xfId="5" applyNumberFormat="1" applyFont="1" applyFill="1" applyAlignment="1">
      <alignment horizontal="center" vertical="center" wrapText="1"/>
    </xf>
    <xf numFmtId="165" fontId="0" fillId="3" borderId="0" xfId="5" applyNumberFormat="1" applyFont="1" applyFill="1" applyAlignment="1">
      <alignment horizontal="center" vertical="center"/>
    </xf>
    <xf numFmtId="0" fontId="53" fillId="3" borderId="0" xfId="0" applyFont="1" applyFill="1"/>
    <xf numFmtId="0" fontId="54" fillId="3" borderId="0" xfId="0" applyFont="1" applyFill="1" applyAlignment="1">
      <alignment horizontal="justify" vertical="center" wrapText="1" readingOrder="1"/>
    </xf>
    <xf numFmtId="0" fontId="53" fillId="0" borderId="0" xfId="0" applyFont="1"/>
    <xf numFmtId="0" fontId="55" fillId="3" borderId="0" xfId="0" applyFont="1" applyFill="1" applyAlignment="1">
      <alignment vertical="center"/>
    </xf>
    <xf numFmtId="44" fontId="0" fillId="0" borderId="0" xfId="5" applyFont="1" applyAlignment="1">
      <alignment horizontal="left" vertical="center"/>
    </xf>
    <xf numFmtId="0" fontId="0" fillId="0" borderId="0" xfId="0" applyAlignment="1">
      <alignment wrapText="1"/>
    </xf>
    <xf numFmtId="0" fontId="25" fillId="0" borderId="0" xfId="0" applyFont="1" applyAlignment="1">
      <alignment wrapText="1"/>
    </xf>
    <xf numFmtId="0" fontId="0" fillId="0" borderId="0" xfId="0" applyAlignment="1">
      <alignment vertical="center" wrapText="1"/>
    </xf>
    <xf numFmtId="0" fontId="56" fillId="0" borderId="0" xfId="0" applyFont="1"/>
    <xf numFmtId="0" fontId="57" fillId="0" borderId="0" xfId="0" applyFont="1"/>
    <xf numFmtId="0" fontId="58" fillId="0" borderId="0" xfId="0" applyFont="1"/>
    <xf numFmtId="0" fontId="59" fillId="0" borderId="0" xfId="0" applyFont="1" applyAlignment="1">
      <alignment wrapText="1"/>
    </xf>
    <xf numFmtId="0" fontId="58" fillId="0" borderId="0" xfId="0" applyFont="1" applyAlignment="1">
      <alignment wrapText="1"/>
    </xf>
    <xf numFmtId="0" fontId="56" fillId="0" borderId="8" xfId="0" applyFont="1" applyBorder="1"/>
    <xf numFmtId="0" fontId="61" fillId="0" borderId="8" xfId="0" applyFont="1" applyBorder="1"/>
    <xf numFmtId="0" fontId="62" fillId="19" borderId="69" xfId="0" applyFont="1" applyFill="1" applyBorder="1" applyAlignment="1">
      <alignment horizontal="center" vertical="center" wrapText="1"/>
    </xf>
    <xf numFmtId="0" fontId="63" fillId="19" borderId="10" xfId="0" applyFont="1" applyFill="1" applyBorder="1" applyAlignment="1">
      <alignment horizontal="center" vertical="center" wrapText="1"/>
    </xf>
    <xf numFmtId="0" fontId="62" fillId="19" borderId="33" xfId="0" applyFont="1" applyFill="1" applyBorder="1" applyAlignment="1">
      <alignment horizontal="center" vertical="center" wrapText="1"/>
    </xf>
    <xf numFmtId="0" fontId="61" fillId="0" borderId="0" xfId="0" applyFont="1"/>
    <xf numFmtId="0" fontId="62" fillId="19" borderId="69" xfId="0" applyFont="1" applyFill="1" applyBorder="1" applyAlignment="1">
      <alignment horizontal="center" vertical="center" textRotation="90" wrapText="1"/>
    </xf>
    <xf numFmtId="0" fontId="59" fillId="0" borderId="6" xfId="0" applyFont="1" applyBorder="1" applyAlignment="1">
      <alignment horizontal="justify" vertical="center" wrapText="1"/>
    </xf>
    <xf numFmtId="0" fontId="62" fillId="19" borderId="68" xfId="0" applyFont="1" applyFill="1" applyBorder="1" applyAlignment="1">
      <alignment horizontal="center" vertical="center" textRotation="90" wrapText="1"/>
    </xf>
    <xf numFmtId="0" fontId="59" fillId="0" borderId="68" xfId="0" applyFont="1" applyBorder="1" applyAlignment="1">
      <alignment horizontal="left" vertical="center" wrapText="1"/>
    </xf>
    <xf numFmtId="0" fontId="62" fillId="19" borderId="71" xfId="0" applyFont="1" applyFill="1" applyBorder="1" applyAlignment="1">
      <alignment horizontal="center" vertical="center" textRotation="90" wrapText="1"/>
    </xf>
    <xf numFmtId="0" fontId="59" fillId="0" borderId="69" xfId="0" applyFont="1" applyBorder="1" applyAlignment="1">
      <alignment horizontal="left" vertical="center" wrapText="1"/>
    </xf>
    <xf numFmtId="0" fontId="62" fillId="19" borderId="6" xfId="0" applyFont="1" applyFill="1" applyBorder="1" applyAlignment="1">
      <alignment horizontal="center" vertical="center" textRotation="90" wrapText="1"/>
    </xf>
    <xf numFmtId="0" fontId="66" fillId="0" borderId="68" xfId="0" applyFont="1" applyBorder="1" applyAlignment="1">
      <alignment horizontal="left" vertical="center" wrapText="1"/>
    </xf>
    <xf numFmtId="0" fontId="62" fillId="19" borderId="36" xfId="0" applyFont="1" applyFill="1" applyBorder="1" applyAlignment="1">
      <alignment horizontal="center" vertical="center" textRotation="90" wrapText="1"/>
    </xf>
    <xf numFmtId="0" fontId="67" fillId="0" borderId="8" xfId="0" applyFont="1" applyBorder="1"/>
    <xf numFmtId="0" fontId="68" fillId="20" borderId="6" xfId="0" applyFont="1" applyFill="1" applyBorder="1" applyAlignment="1">
      <alignment horizontal="center" vertical="center" textRotation="90" wrapText="1"/>
    </xf>
    <xf numFmtId="0" fontId="67" fillId="0" borderId="0" xfId="0" applyFont="1"/>
    <xf numFmtId="0" fontId="67" fillId="20" borderId="36" xfId="0" applyFont="1" applyFill="1" applyBorder="1"/>
    <xf numFmtId="0" fontId="69" fillId="20" borderId="69" xfId="0" applyFont="1" applyFill="1" applyBorder="1" applyAlignment="1">
      <alignment horizontal="center" vertical="center" wrapText="1"/>
    </xf>
    <xf numFmtId="0" fontId="68" fillId="20" borderId="69" xfId="0" applyFont="1" applyFill="1" applyBorder="1" applyAlignment="1">
      <alignment horizontal="center" vertical="center" wrapText="1"/>
    </xf>
    <xf numFmtId="0" fontId="63" fillId="0" borderId="0" xfId="0" applyFont="1" applyAlignment="1">
      <alignment horizontal="center" vertical="center"/>
    </xf>
    <xf numFmtId="0" fontId="62" fillId="0" borderId="0" xfId="0" applyFont="1" applyAlignment="1">
      <alignment horizontal="center" vertical="center"/>
    </xf>
    <xf numFmtId="0" fontId="59" fillId="0" borderId="0" xfId="0" applyFont="1"/>
    <xf numFmtId="0" fontId="70" fillId="0" borderId="0" xfId="0" applyFont="1" applyAlignment="1">
      <alignment vertical="center" wrapText="1"/>
    </xf>
    <xf numFmtId="0" fontId="70" fillId="0" borderId="73" xfId="0" applyFont="1" applyBorder="1" applyAlignment="1">
      <alignment horizontal="center" vertical="center" wrapText="1"/>
    </xf>
    <xf numFmtId="0" fontId="70" fillId="0" borderId="26" xfId="0" applyFont="1" applyBorder="1" applyAlignment="1">
      <alignment horizontal="center" vertical="center" wrapText="1"/>
    </xf>
    <xf numFmtId="0" fontId="72" fillId="16" borderId="29" xfId="0" applyFont="1" applyFill="1" applyBorder="1" applyAlignment="1">
      <alignment horizontal="center" vertical="center" wrapText="1"/>
    </xf>
    <xf numFmtId="0" fontId="72" fillId="16" borderId="30" xfId="0" applyFont="1" applyFill="1" applyBorder="1" applyAlignment="1">
      <alignment horizontal="center" vertical="center" wrapText="1"/>
    </xf>
    <xf numFmtId="0" fontId="74" fillId="19" borderId="69" xfId="0" applyFont="1" applyFill="1" applyBorder="1" applyAlignment="1">
      <alignment horizontal="center" vertical="center" wrapText="1"/>
    </xf>
    <xf numFmtId="0" fontId="74" fillId="19" borderId="36" xfId="0" applyFont="1" applyFill="1" applyBorder="1" applyAlignment="1">
      <alignment horizontal="center" vertical="center" wrapText="1"/>
    </xf>
    <xf numFmtId="0" fontId="75" fillId="0" borderId="10" xfId="0" applyFont="1" applyBorder="1" applyAlignment="1">
      <alignment horizontal="justify" vertical="center" wrapText="1"/>
    </xf>
    <xf numFmtId="0" fontId="59" fillId="0" borderId="5" xfId="0" applyFont="1" applyBorder="1" applyAlignment="1">
      <alignment horizontal="justify" vertical="center" wrapText="1"/>
    </xf>
    <xf numFmtId="0" fontId="59" fillId="0" borderId="5" xfId="0" applyFont="1" applyBorder="1" applyAlignment="1">
      <alignment horizontal="left" vertical="center" wrapText="1"/>
    </xf>
    <xf numFmtId="0" fontId="58" fillId="0" borderId="24" xfId="0" applyFont="1" applyBorder="1" applyAlignment="1">
      <alignment horizontal="left" vertical="center" wrapText="1"/>
    </xf>
    <xf numFmtId="0" fontId="58" fillId="0" borderId="5" xfId="0" applyFont="1" applyBorder="1" applyAlignment="1">
      <alignment horizontal="justify" vertical="center" wrapText="1"/>
    </xf>
    <xf numFmtId="0" fontId="61" fillId="0" borderId="79" xfId="0" applyFont="1" applyBorder="1" applyAlignment="1">
      <alignment horizontal="center" vertical="center"/>
    </xf>
    <xf numFmtId="0" fontId="61" fillId="0" borderId="78" xfId="0" applyFont="1" applyBorder="1" applyAlignment="1">
      <alignment horizontal="center" vertical="center"/>
    </xf>
    <xf numFmtId="0" fontId="67" fillId="0" borderId="80" xfId="0" applyFont="1" applyBorder="1" applyAlignment="1">
      <alignment horizontal="center" vertical="center"/>
    </xf>
    <xf numFmtId="0" fontId="82" fillId="0" borderId="78" xfId="0" applyFont="1" applyBorder="1" applyAlignment="1">
      <alignment vertical="center" wrapText="1"/>
    </xf>
    <xf numFmtId="0" fontId="81" fillId="0" borderId="78" xfId="0" applyFont="1" applyBorder="1" applyAlignment="1">
      <alignment vertical="center"/>
    </xf>
    <xf numFmtId="0" fontId="81" fillId="0" borderId="78" xfId="0" applyFont="1" applyBorder="1" applyAlignment="1">
      <alignment vertical="center" wrapText="1"/>
    </xf>
    <xf numFmtId="0" fontId="81" fillId="24" borderId="0" xfId="0" applyFont="1" applyFill="1" applyAlignment="1">
      <alignment horizontal="center" vertical="center"/>
    </xf>
    <xf numFmtId="0" fontId="74" fillId="24" borderId="69" xfId="0" applyFont="1" applyFill="1" applyBorder="1" applyAlignment="1">
      <alignment horizontal="center" vertical="center" wrapText="1"/>
    </xf>
    <xf numFmtId="0" fontId="74" fillId="24" borderId="36" xfId="0" applyFont="1" applyFill="1" applyBorder="1" applyAlignment="1">
      <alignment horizontal="center" vertical="center" wrapText="1"/>
    </xf>
    <xf numFmtId="0" fontId="0" fillId="3" borderId="0" xfId="0" applyFill="1" applyAlignment="1">
      <alignment vertical="top"/>
    </xf>
    <xf numFmtId="0" fontId="0" fillId="0" borderId="0" xfId="0" applyAlignment="1">
      <alignment vertical="top"/>
    </xf>
    <xf numFmtId="44" fontId="52" fillId="3" borderId="0" xfId="5" applyFont="1" applyFill="1" applyAlignment="1">
      <alignment vertical="top"/>
    </xf>
    <xf numFmtId="0" fontId="78" fillId="0" borderId="83" xfId="0" applyFont="1" applyBorder="1" applyAlignment="1" applyProtection="1">
      <alignment horizontal="center" vertical="center" wrapText="1"/>
      <protection locked="0"/>
    </xf>
    <xf numFmtId="0" fontId="78" fillId="0" borderId="83" xfId="0" applyFont="1" applyBorder="1" applyAlignment="1" applyProtection="1">
      <alignment horizontal="center" vertical="center"/>
      <protection hidden="1"/>
    </xf>
    <xf numFmtId="0" fontId="78" fillId="0" borderId="83" xfId="0" applyFont="1" applyBorder="1" applyAlignment="1" applyProtection="1">
      <alignment horizontal="center" vertical="center" textRotation="90"/>
      <protection locked="0"/>
    </xf>
    <xf numFmtId="9" fontId="78" fillId="0" borderId="83" xfId="0" applyNumberFormat="1" applyFont="1" applyBorder="1" applyAlignment="1" applyProtection="1">
      <alignment horizontal="center" vertical="center"/>
      <protection hidden="1"/>
    </xf>
    <xf numFmtId="164" fontId="78" fillId="0" borderId="83" xfId="1" applyNumberFormat="1" applyFont="1" applyFill="1" applyBorder="1" applyAlignment="1">
      <alignment horizontal="center" vertical="center"/>
    </xf>
    <xf numFmtId="0" fontId="79" fillId="0" borderId="83" xfId="0" applyFont="1" applyBorder="1" applyAlignment="1" applyProtection="1">
      <alignment horizontal="center" vertical="center" textRotation="90" wrapText="1"/>
      <protection hidden="1"/>
    </xf>
    <xf numFmtId="0" fontId="79" fillId="0" borderId="83" xfId="0" applyFont="1" applyBorder="1" applyAlignment="1" applyProtection="1">
      <alignment horizontal="center" vertical="center" textRotation="90"/>
      <protection hidden="1"/>
    </xf>
    <xf numFmtId="0" fontId="78" fillId="0" borderId="83" xfId="0" applyFont="1" applyBorder="1" applyAlignment="1" applyProtection="1">
      <alignment horizontal="center" vertical="center" textRotation="90" wrapText="1"/>
      <protection locked="0"/>
    </xf>
    <xf numFmtId="0" fontId="78" fillId="0" borderId="83" xfId="0" applyFont="1" applyBorder="1" applyAlignment="1" applyProtection="1">
      <alignment horizontal="center" vertical="center"/>
      <protection locked="0"/>
    </xf>
    <xf numFmtId="14" fontId="78" fillId="0" borderId="83" xfId="0" applyNumberFormat="1" applyFont="1" applyBorder="1" applyAlignment="1" applyProtection="1">
      <alignment horizontal="center" vertical="center"/>
      <protection locked="0"/>
    </xf>
    <xf numFmtId="0" fontId="78" fillId="0" borderId="0" xfId="0" applyFont="1"/>
    <xf numFmtId="0" fontId="83" fillId="3" borderId="0" xfId="0" applyFont="1" applyFill="1"/>
    <xf numFmtId="0" fontId="83" fillId="0" borderId="0" xfId="0" applyFont="1"/>
    <xf numFmtId="0" fontId="78" fillId="3" borderId="0" xfId="0" applyFont="1" applyFill="1" applyAlignment="1">
      <alignment horizontal="center" vertical="center"/>
    </xf>
    <xf numFmtId="0" fontId="78" fillId="3" borderId="0" xfId="0" applyFont="1" applyFill="1" applyAlignment="1">
      <alignment horizontal="left" vertical="center"/>
    </xf>
    <xf numFmtId="0" fontId="78" fillId="3" borderId="0" xfId="0" applyFont="1" applyFill="1"/>
    <xf numFmtId="0" fontId="78" fillId="3" borderId="0" xfId="0" applyFont="1" applyFill="1" applyAlignment="1">
      <alignment horizontal="center"/>
    </xf>
    <xf numFmtId="0" fontId="79" fillId="0" borderId="0" xfId="0" applyFont="1" applyAlignment="1">
      <alignment horizontal="left" vertical="center"/>
    </xf>
    <xf numFmtId="0" fontId="78" fillId="0" borderId="0" xfId="0" applyFont="1" applyAlignment="1" applyProtection="1">
      <alignment horizontal="left" vertical="center" wrapText="1"/>
      <protection locked="0"/>
    </xf>
    <xf numFmtId="0" fontId="79" fillId="0" borderId="0" xfId="0" applyFont="1"/>
    <xf numFmtId="0" fontId="78" fillId="0" borderId="0" xfId="0" applyFont="1" applyAlignment="1">
      <alignment horizontal="left" wrapText="1"/>
    </xf>
    <xf numFmtId="0" fontId="79" fillId="3" borderId="0" xfId="0" applyFont="1" applyFill="1" applyAlignment="1">
      <alignment horizontal="center" vertical="center"/>
    </xf>
    <xf numFmtId="0" fontId="79" fillId="0" borderId="0" xfId="0" applyFont="1" applyAlignment="1">
      <alignment horizontal="center" vertical="center"/>
    </xf>
    <xf numFmtId="0" fontId="79" fillId="2" borderId="0" xfId="0" applyFont="1" applyFill="1" applyAlignment="1">
      <alignment horizontal="center" vertical="center"/>
    </xf>
    <xf numFmtId="0" fontId="78" fillId="0" borderId="83" xfId="0" applyFont="1" applyBorder="1" applyAlignment="1">
      <alignment horizontal="center" vertical="center"/>
    </xf>
    <xf numFmtId="0" fontId="78" fillId="0" borderId="0" xfId="0" applyFont="1" applyAlignment="1">
      <alignment vertical="center"/>
    </xf>
    <xf numFmtId="0" fontId="78" fillId="0" borderId="3" xfId="0" applyFont="1" applyBorder="1" applyAlignment="1">
      <alignment horizontal="center" vertical="center"/>
    </xf>
    <xf numFmtId="0" fontId="78" fillId="0" borderId="0" xfId="0" applyFont="1" applyAlignment="1">
      <alignment wrapText="1"/>
    </xf>
    <xf numFmtId="0" fontId="78" fillId="0" borderId="0" xfId="0" applyFont="1" applyAlignment="1">
      <alignment horizontal="center" vertical="center"/>
    </xf>
    <xf numFmtId="0" fontId="78" fillId="0" borderId="0" xfId="0" applyFont="1" applyAlignment="1">
      <alignment horizontal="center"/>
    </xf>
    <xf numFmtId="166" fontId="28" fillId="0" borderId="64" xfId="0" applyNumberFormat="1" applyFont="1" applyBorder="1" applyAlignment="1">
      <alignment horizontal="center" vertical="center" wrapText="1" readingOrder="1"/>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0" fillId="21" borderId="7" xfId="0" applyFill="1" applyBorder="1"/>
    <xf numFmtId="0" fontId="0" fillId="21" borderId="0" xfId="0" applyFill="1"/>
    <xf numFmtId="0" fontId="0" fillId="0" borderId="8" xfId="0" applyBorder="1"/>
    <xf numFmtId="0" fontId="0" fillId="8" borderId="7" xfId="0" applyFill="1" applyBorder="1"/>
    <xf numFmtId="0" fontId="0" fillId="8" borderId="0" xfId="0" applyFill="1"/>
    <xf numFmtId="0" fontId="0" fillId="25" borderId="7" xfId="0" applyFill="1" applyBorder="1"/>
    <xf numFmtId="0" fontId="0" fillId="25" borderId="0" xfId="0" applyFill="1"/>
    <xf numFmtId="0" fontId="0" fillId="25" borderId="9" xfId="0" applyFill="1" applyBorder="1"/>
    <xf numFmtId="0" fontId="0" fillId="25" borderId="11" xfId="0" applyFill="1" applyBorder="1"/>
    <xf numFmtId="0" fontId="0" fillId="0" borderId="11" xfId="0" applyBorder="1"/>
    <xf numFmtId="0" fontId="0" fillId="0" borderId="10" xfId="0" applyBorder="1"/>
    <xf numFmtId="0" fontId="81" fillId="0" borderId="24" xfId="0" applyFont="1" applyBorder="1"/>
    <xf numFmtId="0" fontId="81" fillId="0" borderId="25" xfId="0" applyFont="1" applyBorder="1"/>
    <xf numFmtId="0" fontId="0" fillId="0" borderId="25" xfId="0" applyBorder="1"/>
    <xf numFmtId="0" fontId="0" fillId="0" borderId="36" xfId="0" applyBorder="1"/>
    <xf numFmtId="0" fontId="84" fillId="0" borderId="83" xfId="0" applyFont="1" applyBorder="1" applyAlignment="1" applyProtection="1">
      <alignment horizontal="justify" vertical="center" wrapText="1"/>
      <protection locked="0"/>
    </xf>
    <xf numFmtId="0" fontId="85" fillId="26" borderId="102" xfId="0" applyFont="1" applyFill="1" applyBorder="1" applyAlignment="1" applyProtection="1">
      <alignment horizontal="center" vertical="center" wrapText="1"/>
      <protection hidden="1"/>
    </xf>
    <xf numFmtId="0" fontId="85" fillId="26" borderId="103" xfId="0" applyFont="1" applyFill="1" applyBorder="1" applyAlignment="1" applyProtection="1">
      <alignment horizontal="center" vertical="center" wrapText="1"/>
      <protection hidden="1"/>
    </xf>
    <xf numFmtId="0" fontId="85" fillId="26" borderId="104" xfId="0" applyFont="1" applyFill="1" applyBorder="1" applyAlignment="1" applyProtection="1">
      <alignment horizontal="center" vertical="center" wrapText="1"/>
      <protection hidden="1"/>
    </xf>
    <xf numFmtId="0" fontId="0" fillId="3" borderId="0" xfId="0" applyFill="1" applyAlignment="1">
      <alignment horizontal="center" vertical="center"/>
    </xf>
    <xf numFmtId="14" fontId="0" fillId="3" borderId="0" xfId="0" applyNumberFormat="1" applyFill="1" applyAlignment="1">
      <alignment horizontal="center" vertical="center"/>
    </xf>
    <xf numFmtId="0" fontId="0" fillId="3" borderId="0" xfId="0" applyFill="1" applyAlignment="1">
      <alignment horizontal="center" vertical="center" wrapText="1"/>
    </xf>
    <xf numFmtId="0" fontId="70" fillId="0" borderId="0" xfId="0" applyFont="1" applyAlignment="1">
      <alignment vertical="center"/>
    </xf>
    <xf numFmtId="0" fontId="81" fillId="0" borderId="70" xfId="0" applyFont="1" applyBorder="1" applyAlignment="1">
      <alignment vertical="center"/>
    </xf>
    <xf numFmtId="0" fontId="81" fillId="3" borderId="0" xfId="0" applyFont="1" applyFill="1"/>
    <xf numFmtId="0" fontId="77" fillId="0" borderId="0" xfId="0" applyFont="1" applyAlignment="1">
      <alignment vertical="center"/>
    </xf>
    <xf numFmtId="0" fontId="87" fillId="0" borderId="0" xfId="0" applyFont="1" applyAlignment="1">
      <alignment vertical="center"/>
    </xf>
    <xf numFmtId="0" fontId="78" fillId="3" borderId="0" xfId="0" applyFont="1" applyFill="1" applyAlignment="1">
      <alignment wrapText="1"/>
    </xf>
    <xf numFmtId="0" fontId="78" fillId="0" borderId="0" xfId="0" applyFont="1" applyAlignment="1" applyProtection="1">
      <alignment vertical="center"/>
      <protection locked="0"/>
    </xf>
    <xf numFmtId="0" fontId="78" fillId="3" borderId="0" xfId="0" applyFont="1" applyFill="1" applyAlignment="1" applyProtection="1">
      <alignment vertical="center" wrapText="1"/>
      <protection locked="0"/>
    </xf>
    <xf numFmtId="0" fontId="79" fillId="3" borderId="0" xfId="0" applyFont="1" applyFill="1"/>
    <xf numFmtId="0" fontId="78" fillId="23" borderId="0" xfId="0" applyFont="1" applyFill="1" applyAlignment="1">
      <alignment horizontal="center" vertical="center"/>
    </xf>
    <xf numFmtId="0" fontId="78" fillId="23" borderId="0" xfId="0" applyFont="1" applyFill="1"/>
    <xf numFmtId="0" fontId="78" fillId="23" borderId="0" xfId="0" applyFont="1" applyFill="1" applyAlignment="1">
      <alignment horizontal="center"/>
    </xf>
    <xf numFmtId="0" fontId="78" fillId="23" borderId="0" xfId="0" applyFont="1" applyFill="1" applyAlignment="1">
      <alignment wrapText="1"/>
    </xf>
    <xf numFmtId="0" fontId="78" fillId="0" borderId="83" xfId="0" applyFont="1" applyBorder="1" applyAlignment="1">
      <alignment horizontal="center" vertical="center" wrapText="1"/>
    </xf>
    <xf numFmtId="0" fontId="70" fillId="0" borderId="0" xfId="0" applyFont="1" applyAlignment="1">
      <alignment horizontal="left" wrapText="1"/>
    </xf>
    <xf numFmtId="0" fontId="70" fillId="0" borderId="0" xfId="0" applyFont="1" applyAlignment="1">
      <alignment horizontal="left"/>
    </xf>
    <xf numFmtId="0" fontId="73" fillId="21" borderId="12" xfId="0" applyFont="1" applyFill="1" applyBorder="1" applyAlignment="1">
      <alignment horizontal="center" vertical="center" wrapText="1"/>
    </xf>
    <xf numFmtId="0" fontId="79" fillId="27" borderId="83" xfId="0" applyFont="1" applyFill="1" applyBorder="1" applyAlignment="1">
      <alignment horizontal="center" vertical="center" textRotation="90"/>
    </xf>
    <xf numFmtId="0" fontId="79" fillId="27" borderId="83"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79" fillId="27" borderId="83" xfId="0" applyFont="1" applyFill="1" applyBorder="1" applyAlignment="1">
      <alignment horizontal="center" vertical="center" textRotation="90"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5" xfId="0" applyFont="1" applyFill="1" applyBorder="1" applyAlignment="1">
      <alignment horizontal="center" vertical="center" wrapText="1"/>
    </xf>
    <xf numFmtId="0" fontId="79" fillId="2" borderId="83" xfId="0" applyFont="1" applyFill="1" applyBorder="1" applyAlignment="1">
      <alignment horizontal="center" vertical="center" textRotation="90" wrapText="1"/>
    </xf>
    <xf numFmtId="0" fontId="70" fillId="0" borderId="0" xfId="0" applyFont="1"/>
    <xf numFmtId="0" fontId="94" fillId="0" borderId="0" xfId="0" applyFont="1"/>
    <xf numFmtId="0" fontId="92" fillId="0" borderId="0" xfId="0" applyFont="1" applyAlignment="1">
      <alignment horizontal="left" vertical="center" wrapText="1"/>
    </xf>
    <xf numFmtId="0" fontId="93" fillId="0" borderId="0" xfId="0" applyFont="1" applyAlignment="1">
      <alignment horizontal="justify" vertical="center" wrapText="1"/>
    </xf>
    <xf numFmtId="0" fontId="92" fillId="30" borderId="0" xfId="0" applyFont="1" applyFill="1" applyAlignment="1">
      <alignment horizontal="center" vertical="center" wrapText="1"/>
    </xf>
    <xf numFmtId="0" fontId="92" fillId="0" borderId="0" xfId="0" applyFont="1" applyAlignment="1">
      <alignment horizontal="left" vertical="center" wrapText="1" indent="1"/>
    </xf>
    <xf numFmtId="0" fontId="0" fillId="31" borderId="0" xfId="0" applyFill="1"/>
    <xf numFmtId="0" fontId="0" fillId="0" borderId="7" xfId="0" applyBorder="1"/>
    <xf numFmtId="0" fontId="95" fillId="0" borderId="0" xfId="0" applyFont="1"/>
    <xf numFmtId="0" fontId="96" fillId="5" borderId="4" xfId="0" applyFont="1" applyFill="1" applyBorder="1" applyAlignment="1">
      <alignment horizontal="center" vertical="center" wrapText="1" readingOrder="1"/>
    </xf>
    <xf numFmtId="0" fontId="96" fillId="7" borderId="1" xfId="0" applyFont="1" applyFill="1" applyBorder="1" applyAlignment="1">
      <alignment horizontal="center" vertical="center" wrapText="1" readingOrder="1"/>
    </xf>
    <xf numFmtId="0" fontId="96" fillId="4" borderId="1" xfId="0" applyFont="1" applyFill="1" applyBorder="1" applyAlignment="1">
      <alignment horizontal="center" vertical="center" wrapText="1" readingOrder="1"/>
    </xf>
    <xf numFmtId="0" fontId="96" fillId="8" borderId="1" xfId="0" applyFont="1" applyFill="1" applyBorder="1" applyAlignment="1">
      <alignment horizontal="center" vertical="center" wrapText="1" readingOrder="1"/>
    </xf>
    <xf numFmtId="0" fontId="97" fillId="9" borderId="1" xfId="0" applyFont="1" applyFill="1" applyBorder="1" applyAlignment="1">
      <alignment horizontal="center" vertical="center" wrapText="1" readingOrder="1"/>
    </xf>
    <xf numFmtId="0" fontId="53" fillId="3" borderId="0" xfId="0" applyFont="1" applyFill="1" applyAlignment="1">
      <alignment wrapText="1"/>
    </xf>
    <xf numFmtId="44" fontId="53" fillId="3" borderId="0" xfId="5" applyFont="1" applyFill="1" applyAlignment="1">
      <alignment horizontal="left" vertical="center" wrapText="1"/>
    </xf>
    <xf numFmtId="44" fontId="81" fillId="0" borderId="0" xfId="5" applyFont="1" applyAlignment="1">
      <alignment horizontal="left" vertical="center" wrapText="1"/>
    </xf>
    <xf numFmtId="44" fontId="12" fillId="3" borderId="0" xfId="5" applyFont="1" applyFill="1" applyAlignment="1">
      <alignment horizontal="left" vertical="top" wrapText="1"/>
    </xf>
    <xf numFmtId="44" fontId="12" fillId="3" borderId="0" xfId="5" applyFont="1" applyFill="1" applyAlignment="1">
      <alignment horizontal="left" vertical="center" wrapText="1"/>
    </xf>
    <xf numFmtId="0" fontId="12" fillId="3" borderId="0" xfId="0" applyFont="1" applyFill="1" applyAlignment="1">
      <alignment wrapText="1"/>
    </xf>
    <xf numFmtId="165" fontId="12" fillId="3" borderId="0" xfId="5" applyNumberFormat="1" applyFont="1" applyFill="1" applyAlignment="1">
      <alignment horizontal="center" vertical="center" wrapText="1"/>
    </xf>
    <xf numFmtId="44" fontId="12" fillId="0" borderId="0" xfId="5" applyFont="1" applyAlignment="1">
      <alignment horizontal="left" vertical="center" wrapText="1"/>
    </xf>
    <xf numFmtId="44" fontId="98" fillId="0" borderId="0" xfId="5" applyFont="1" applyAlignment="1">
      <alignment horizontal="left" vertical="center" wrapText="1"/>
    </xf>
    <xf numFmtId="44" fontId="12" fillId="0" borderId="0" xfId="5" applyFont="1" applyAlignment="1">
      <alignment horizontal="left" vertical="top" wrapText="1"/>
    </xf>
    <xf numFmtId="0" fontId="99" fillId="32" borderId="0" xfId="0" applyFont="1" applyFill="1" applyAlignment="1">
      <alignment horizontal="left" vertical="center" wrapText="1" readingOrder="1"/>
    </xf>
    <xf numFmtId="0" fontId="100" fillId="0" borderId="4" xfId="0" applyFont="1" applyBorder="1" applyAlignment="1">
      <alignment horizontal="left" vertical="center" wrapText="1" readingOrder="1"/>
    </xf>
    <xf numFmtId="0" fontId="99" fillId="6" borderId="0" xfId="0" applyFont="1" applyFill="1" applyAlignment="1">
      <alignment horizontal="left" vertical="center" wrapText="1" readingOrder="1"/>
    </xf>
    <xf numFmtId="0" fontId="100" fillId="0" borderId="64" xfId="0" applyFont="1" applyBorder="1" applyAlignment="1">
      <alignment horizontal="left" vertical="center" wrapText="1" readingOrder="1"/>
    </xf>
    <xf numFmtId="0" fontId="82" fillId="6" borderId="0" xfId="0" applyFont="1" applyFill="1" applyAlignment="1">
      <alignment horizontal="left" vertical="center" wrapText="1" readingOrder="1"/>
    </xf>
    <xf numFmtId="0" fontId="101" fillId="0" borderId="64" xfId="0" applyFont="1" applyBorder="1" applyAlignment="1">
      <alignment horizontal="left" vertical="center" wrapText="1" readingOrder="1"/>
    </xf>
    <xf numFmtId="166" fontId="101" fillId="0" borderId="64" xfId="0" applyNumberFormat="1" applyFont="1" applyBorder="1" applyAlignment="1">
      <alignment horizontal="left" vertical="center" wrapText="1" readingOrder="1"/>
    </xf>
    <xf numFmtId="44" fontId="4" fillId="3" borderId="0" xfId="5" applyFont="1" applyFill="1" applyAlignment="1">
      <alignment vertical="top"/>
    </xf>
    <xf numFmtId="0" fontId="4" fillId="3" borderId="0" xfId="0" applyFont="1" applyFill="1" applyAlignment="1">
      <alignment vertical="top"/>
    </xf>
    <xf numFmtId="0" fontId="103" fillId="32" borderId="0" xfId="0" applyFont="1" applyFill="1" applyAlignment="1">
      <alignment horizontal="center" vertical="center" wrapText="1" readingOrder="1"/>
    </xf>
    <xf numFmtId="0" fontId="103" fillId="6" borderId="0" xfId="0" applyFont="1" applyFill="1" applyAlignment="1">
      <alignment horizontal="center" vertical="center" wrapText="1" readingOrder="1"/>
    </xf>
    <xf numFmtId="0" fontId="2" fillId="5" borderId="4" xfId="0" applyFont="1" applyFill="1" applyBorder="1" applyAlignment="1">
      <alignment horizontal="center" vertical="center" wrapText="1" readingOrder="1"/>
    </xf>
    <xf numFmtId="0" fontId="2" fillId="0" borderId="4" xfId="0" applyFont="1" applyBorder="1" applyAlignment="1">
      <alignment horizontal="center" vertical="center" wrapText="1" readingOrder="1"/>
    </xf>
    <xf numFmtId="0" fontId="2" fillId="0" borderId="64" xfId="0" applyFont="1" applyBorder="1" applyAlignment="1">
      <alignment horizontal="center" vertical="center" wrapText="1" readingOrder="1"/>
    </xf>
    <xf numFmtId="0" fontId="2" fillId="0" borderId="64" xfId="0" applyFont="1" applyBorder="1" applyAlignment="1">
      <alignment horizontal="justify" vertical="center" wrapText="1" readingOrder="1"/>
    </xf>
    <xf numFmtId="166" fontId="2" fillId="0" borderId="64" xfId="0" applyNumberFormat="1" applyFont="1" applyBorder="1" applyAlignment="1">
      <alignment horizontal="center" vertical="center" wrapText="1" readingOrder="1"/>
    </xf>
    <xf numFmtId="0" fontId="2" fillId="7" borderId="1" xfId="0" applyFont="1" applyFill="1" applyBorder="1" applyAlignment="1">
      <alignment horizontal="center" vertical="center" wrapText="1" readingOrder="1"/>
    </xf>
    <xf numFmtId="0" fontId="2" fillId="4" borderId="1" xfId="0" applyFont="1" applyFill="1" applyBorder="1" applyAlignment="1">
      <alignment horizontal="center" vertical="center" wrapText="1" readingOrder="1"/>
    </xf>
    <xf numFmtId="0" fontId="2" fillId="8" borderId="1" xfId="0" applyFont="1" applyFill="1" applyBorder="1" applyAlignment="1">
      <alignment horizontal="center" vertical="center" wrapText="1" readingOrder="1"/>
    </xf>
    <xf numFmtId="0" fontId="104" fillId="9" borderId="1" xfId="0" applyFont="1" applyFill="1" applyBorder="1" applyAlignment="1">
      <alignment horizontal="center" vertical="center" wrapText="1" readingOrder="1"/>
    </xf>
    <xf numFmtId="0" fontId="74" fillId="0" borderId="109" xfId="0" applyFont="1" applyBorder="1" applyAlignment="1">
      <alignment vertical="center" wrapText="1" readingOrder="1"/>
    </xf>
    <xf numFmtId="0" fontId="74" fillId="0" borderId="110" xfId="0" applyFont="1" applyBorder="1" applyAlignment="1">
      <alignment vertical="center" wrapText="1" readingOrder="1"/>
    </xf>
    <xf numFmtId="0" fontId="81" fillId="0" borderId="0" xfId="0" applyFont="1"/>
    <xf numFmtId="0" fontId="0" fillId="34" borderId="0" xfId="0" applyFill="1"/>
    <xf numFmtId="0" fontId="90" fillId="29" borderId="111" xfId="0" applyFont="1" applyFill="1" applyBorder="1" applyAlignment="1">
      <alignment horizontal="left" vertical="center" indent="1"/>
    </xf>
    <xf numFmtId="0" fontId="92" fillId="29" borderId="111" xfId="0" applyFont="1" applyFill="1" applyBorder="1" applyAlignment="1">
      <alignment horizontal="left" vertical="center" wrapText="1" indent="1"/>
    </xf>
    <xf numFmtId="0" fontId="0" fillId="2" borderId="0" xfId="0" applyFill="1"/>
    <xf numFmtId="0" fontId="0" fillId="0" borderId="0" xfId="0"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left" vertical="center" wrapText="1"/>
    </xf>
    <xf numFmtId="0" fontId="0" fillId="0" borderId="0" xfId="0" applyAlignment="1">
      <alignment horizontal="center" vertical="center"/>
    </xf>
    <xf numFmtId="0" fontId="108" fillId="0" borderId="0" xfId="7" applyFont="1" applyAlignment="1">
      <alignment vertical="center"/>
    </xf>
    <xf numFmtId="0" fontId="107" fillId="35" borderId="0" xfId="7" applyFont="1" applyFill="1"/>
    <xf numFmtId="0" fontId="107" fillId="0" borderId="0" xfId="7" applyFont="1"/>
    <xf numFmtId="0" fontId="109" fillId="0" borderId="0" xfId="7" applyFont="1" applyAlignment="1">
      <alignment vertical="center"/>
    </xf>
    <xf numFmtId="0" fontId="110" fillId="35" borderId="0" xfId="7" applyFont="1" applyFill="1" applyAlignment="1">
      <alignment horizontal="center" vertical="center"/>
    </xf>
    <xf numFmtId="0" fontId="110" fillId="35" borderId="0" xfId="7" applyFont="1" applyFill="1" applyAlignment="1">
      <alignment horizontal="left" vertical="center"/>
    </xf>
    <xf numFmtId="0" fontId="110" fillId="35" borderId="0" xfId="7" applyFont="1" applyFill="1"/>
    <xf numFmtId="0" fontId="110" fillId="35" borderId="0" xfId="7" applyFont="1" applyFill="1" applyAlignment="1">
      <alignment horizontal="center"/>
    </xf>
    <xf numFmtId="0" fontId="110" fillId="35" borderId="0" xfId="7" applyFont="1" applyFill="1" applyAlignment="1">
      <alignment wrapText="1"/>
    </xf>
    <xf numFmtId="0" fontId="110" fillId="0" borderId="0" xfId="7" applyFont="1"/>
    <xf numFmtId="0" fontId="110" fillId="0" borderId="0" xfId="7" applyFont="1" applyAlignment="1" applyProtection="1">
      <alignment vertical="center"/>
      <protection locked="0"/>
    </xf>
    <xf numFmtId="0" fontId="110" fillId="35" borderId="0" xfId="7" applyFont="1" applyFill="1" applyAlignment="1" applyProtection="1">
      <alignment vertical="center" wrapText="1"/>
      <protection locked="0"/>
    </xf>
    <xf numFmtId="0" fontId="111" fillId="35" borderId="0" xfId="7" applyFont="1" applyFill="1"/>
    <xf numFmtId="0" fontId="111" fillId="0" borderId="0" xfId="7" applyFont="1" applyAlignment="1">
      <alignment horizontal="left" vertical="center"/>
    </xf>
    <xf numFmtId="0" fontId="110" fillId="0" borderId="0" xfId="7" applyFont="1" applyAlignment="1" applyProtection="1">
      <alignment horizontal="center" vertical="center" wrapText="1"/>
      <protection locked="0"/>
    </xf>
    <xf numFmtId="0" fontId="110" fillId="0" borderId="0" xfId="7" applyFont="1" applyAlignment="1" applyProtection="1">
      <alignment horizontal="left" vertical="center" wrapText="1"/>
      <protection locked="0"/>
    </xf>
    <xf numFmtId="0" fontId="111" fillId="0" borderId="0" xfId="7" applyFont="1"/>
    <xf numFmtId="0" fontId="110" fillId="0" borderId="0" xfId="7" applyFont="1" applyAlignment="1">
      <alignment horizontal="left" wrapText="1"/>
    </xf>
    <xf numFmtId="0" fontId="111" fillId="37" borderId="117" xfId="7" applyFont="1" applyFill="1" applyBorder="1" applyAlignment="1">
      <alignment horizontal="center" vertical="center"/>
    </xf>
    <xf numFmtId="0" fontId="111" fillId="37" borderId="120" xfId="7" applyFont="1" applyFill="1" applyBorder="1" applyAlignment="1">
      <alignment horizontal="center" vertical="center" textRotation="90"/>
    </xf>
    <xf numFmtId="0" fontId="111" fillId="37" borderId="120" xfId="7" applyFont="1" applyFill="1" applyBorder="1" applyAlignment="1">
      <alignment horizontal="center" vertical="center" wrapText="1"/>
    </xf>
    <xf numFmtId="0" fontId="111" fillId="37" borderId="120" xfId="7" applyFont="1" applyFill="1" applyBorder="1" applyAlignment="1">
      <alignment horizontal="center" vertical="center" textRotation="90" wrapText="1"/>
    </xf>
    <xf numFmtId="0" fontId="111" fillId="35" borderId="0" xfId="7" applyFont="1" applyFill="1" applyAlignment="1">
      <alignment horizontal="center" vertical="center"/>
    </xf>
    <xf numFmtId="0" fontId="111" fillId="0" borderId="0" xfId="7" applyFont="1" applyAlignment="1">
      <alignment horizontal="center" vertical="center"/>
    </xf>
    <xf numFmtId="0" fontId="111" fillId="40" borderId="0" xfId="7" applyFont="1" applyFill="1" applyAlignment="1">
      <alignment horizontal="center" vertical="center"/>
    </xf>
    <xf numFmtId="0" fontId="110" fillId="0" borderId="120" xfId="7" applyFont="1" applyBorder="1" applyAlignment="1" applyProtection="1">
      <alignment horizontal="center" vertical="center" wrapText="1"/>
      <protection locked="0"/>
    </xf>
    <xf numFmtId="0" fontId="110" fillId="0" borderId="120" xfId="7" applyFont="1" applyBorder="1" applyAlignment="1" applyProtection="1">
      <alignment horizontal="center" vertical="center"/>
      <protection locked="0"/>
    </xf>
    <xf numFmtId="0" fontId="110" fillId="0" borderId="120" xfId="7" applyFont="1" applyBorder="1" applyAlignment="1">
      <alignment horizontal="center" vertical="center"/>
    </xf>
    <xf numFmtId="0" fontId="110" fillId="0" borderId="120" xfId="7" applyFont="1" applyBorder="1" applyAlignment="1">
      <alignment horizontal="center" vertical="center" wrapText="1"/>
    </xf>
    <xf numFmtId="0" fontId="113" fillId="0" borderId="120" xfId="7" applyFont="1" applyBorder="1" applyAlignment="1" applyProtection="1">
      <alignment horizontal="justify" vertical="center" wrapText="1"/>
      <protection locked="0"/>
    </xf>
    <xf numFmtId="0" fontId="110" fillId="0" borderId="120" xfId="7" applyFont="1" applyBorder="1" applyAlignment="1" applyProtection="1">
      <alignment horizontal="center" vertical="center"/>
      <protection hidden="1"/>
    </xf>
    <xf numFmtId="0" fontId="110" fillId="0" borderId="120" xfId="7" applyFont="1" applyBorder="1" applyAlignment="1" applyProtection="1">
      <alignment horizontal="center" vertical="center" textRotation="90" wrapText="1"/>
      <protection locked="0"/>
    </xf>
    <xf numFmtId="0" fontId="110" fillId="0" borderId="120" xfId="7" applyFont="1" applyBorder="1" applyAlignment="1" applyProtection="1">
      <alignment horizontal="center" vertical="center" textRotation="90"/>
      <protection locked="0"/>
    </xf>
    <xf numFmtId="167" fontId="110" fillId="0" borderId="120" xfId="7" applyNumberFormat="1" applyFont="1" applyBorder="1" applyAlignment="1" applyProtection="1">
      <alignment horizontal="center" vertical="center"/>
      <protection locked="0"/>
    </xf>
    <xf numFmtId="0" fontId="110" fillId="0" borderId="0" xfId="7" applyFont="1" applyAlignment="1">
      <alignment vertical="center"/>
    </xf>
    <xf numFmtId="0" fontId="110" fillId="0" borderId="121" xfId="7" applyFont="1" applyBorder="1" applyAlignment="1">
      <alignment horizontal="center" vertical="center"/>
    </xf>
    <xf numFmtId="0" fontId="110" fillId="0" borderId="0" xfId="7" applyFont="1" applyAlignment="1">
      <alignment wrapText="1"/>
    </xf>
    <xf numFmtId="0" fontId="110" fillId="41" borderId="0" xfId="7" applyFont="1" applyFill="1" applyAlignment="1">
      <alignment horizontal="center" vertical="center"/>
    </xf>
    <xf numFmtId="0" fontId="110" fillId="41" borderId="0" xfId="7" applyFont="1" applyFill="1"/>
    <xf numFmtId="0" fontId="110" fillId="41" borderId="0" xfId="7" applyFont="1" applyFill="1" applyAlignment="1">
      <alignment horizontal="center"/>
    </xf>
    <xf numFmtId="0" fontId="110" fillId="41" borderId="0" xfId="7" applyFont="1" applyFill="1" applyAlignment="1">
      <alignment wrapText="1"/>
    </xf>
    <xf numFmtId="0" fontId="110" fillId="0" borderId="0" xfId="7" applyFont="1" applyAlignment="1">
      <alignment horizontal="center" vertical="center"/>
    </xf>
    <xf numFmtId="0" fontId="110" fillId="0" borderId="0" xfId="7" applyFont="1" applyAlignment="1">
      <alignment horizontal="center"/>
    </xf>
    <xf numFmtId="0" fontId="106" fillId="0" borderId="0" xfId="7"/>
    <xf numFmtId="49" fontId="0" fillId="0" borderId="0" xfId="0" quotePrefix="1" applyNumberFormat="1" applyAlignment="1">
      <alignment horizontal="center" vertical="center" wrapText="1"/>
    </xf>
    <xf numFmtId="0" fontId="116" fillId="0" borderId="120" xfId="7" applyFont="1" applyBorder="1" applyAlignment="1" applyProtection="1">
      <alignment horizontal="center" vertical="center" textRotation="90" wrapText="1"/>
      <protection locked="0"/>
    </xf>
    <xf numFmtId="0" fontId="116" fillId="0" borderId="120" xfId="7" applyFont="1" applyBorder="1" applyAlignment="1" applyProtection="1">
      <alignment horizontal="center" vertical="center" textRotation="90"/>
      <protection locked="0"/>
    </xf>
    <xf numFmtId="9" fontId="116" fillId="0" borderId="120" xfId="7" applyNumberFormat="1" applyFont="1" applyBorder="1" applyAlignment="1" applyProtection="1">
      <alignment horizontal="center" vertical="center"/>
      <protection hidden="1"/>
    </xf>
    <xf numFmtId="164" fontId="116" fillId="0" borderId="120" xfId="8" applyNumberFormat="1" applyFont="1" applyBorder="1" applyAlignment="1" applyProtection="1">
      <alignment horizontal="center" vertical="center"/>
    </xf>
    <xf numFmtId="0" fontId="117" fillId="0" borderId="120" xfId="7" applyFont="1" applyBorder="1" applyAlignment="1" applyProtection="1">
      <alignment horizontal="center" vertical="center" textRotation="90" wrapText="1"/>
      <protection hidden="1"/>
    </xf>
    <xf numFmtId="0" fontId="117" fillId="0" borderId="120" xfId="7" applyFont="1" applyBorder="1" applyAlignment="1" applyProtection="1">
      <alignment horizontal="center" vertical="center" textRotation="90"/>
      <protection hidden="1"/>
    </xf>
    <xf numFmtId="0" fontId="115" fillId="0" borderId="22" xfId="7" applyFont="1" applyBorder="1" applyAlignment="1">
      <alignment horizontal="center" vertical="center" wrapText="1"/>
    </xf>
    <xf numFmtId="0" fontId="84" fillId="0" borderId="83" xfId="0" applyFont="1" applyBorder="1" applyAlignment="1" applyProtection="1">
      <alignment horizontal="justify" vertical="top" wrapText="1"/>
      <protection locked="0"/>
    </xf>
    <xf numFmtId="0" fontId="70" fillId="0" borderId="74" xfId="0" applyFont="1" applyBorder="1" applyAlignment="1">
      <alignment horizontal="center" wrapText="1"/>
    </xf>
    <xf numFmtId="0" fontId="70" fillId="0" borderId="75" xfId="0" applyFont="1" applyBorder="1" applyAlignment="1">
      <alignment horizontal="center" wrapText="1"/>
    </xf>
    <xf numFmtId="0" fontId="70" fillId="0" borderId="22" xfId="0" applyFont="1" applyBorder="1" applyAlignment="1">
      <alignment horizontal="center" wrapText="1"/>
    </xf>
    <xf numFmtId="0" fontId="70" fillId="0" borderId="27" xfId="0" applyFont="1" applyBorder="1" applyAlignment="1">
      <alignment horizontal="center" wrapText="1"/>
    </xf>
    <xf numFmtId="0" fontId="70" fillId="14" borderId="22" xfId="0" applyFont="1" applyFill="1" applyBorder="1" applyAlignment="1">
      <alignment horizontal="center" wrapText="1"/>
    </xf>
    <xf numFmtId="0" fontId="120" fillId="0" borderId="83" xfId="0" applyFont="1" applyBorder="1" applyAlignment="1" applyProtection="1">
      <alignment horizontal="center" vertical="center" textRotation="90" wrapText="1"/>
      <protection locked="0"/>
    </xf>
    <xf numFmtId="9" fontId="78" fillId="0" borderId="83" xfId="0" applyNumberFormat="1" applyFont="1" applyBorder="1" applyAlignment="1" applyProtection="1">
      <alignment horizontal="center" vertical="center" wrapText="1"/>
      <protection hidden="1"/>
    </xf>
    <xf numFmtId="0" fontId="78" fillId="0" borderId="83" xfId="0" applyFont="1" applyBorder="1" applyAlignment="1">
      <alignment horizontal="center" vertical="top" wrapText="1"/>
    </xf>
    <xf numFmtId="0" fontId="78" fillId="0" borderId="83" xfId="0" applyFont="1" applyBorder="1" applyAlignment="1" applyProtection="1">
      <alignment vertical="center" wrapText="1"/>
      <protection locked="0"/>
    </xf>
    <xf numFmtId="0" fontId="121" fillId="3" borderId="0" xfId="0" applyFont="1" applyFill="1" applyAlignment="1">
      <alignment horizontal="center" vertical="center"/>
    </xf>
    <xf numFmtId="0" fontId="71" fillId="0" borderId="0" xfId="0" applyFont="1" applyAlignment="1">
      <alignment horizontal="left" vertical="center"/>
    </xf>
    <xf numFmtId="0" fontId="121" fillId="0" borderId="3" xfId="0" applyFont="1" applyBorder="1" applyAlignment="1">
      <alignment horizontal="center" vertical="center"/>
    </xf>
    <xf numFmtId="0" fontId="121" fillId="0" borderId="0" xfId="0" applyFont="1" applyAlignment="1">
      <alignment horizontal="center" vertical="center"/>
    </xf>
    <xf numFmtId="0" fontId="121" fillId="0" borderId="0" xfId="0" applyFont="1"/>
    <xf numFmtId="0" fontId="78" fillId="0" borderId="84" xfId="0" applyFont="1" applyBorder="1" applyAlignment="1" applyProtection="1">
      <alignment vertical="center" wrapText="1"/>
      <protection locked="0"/>
    </xf>
    <xf numFmtId="0" fontId="78" fillId="0" borderId="84" xfId="0" applyFont="1" applyBorder="1" applyAlignment="1" applyProtection="1">
      <alignment vertical="top" wrapText="1"/>
      <protection locked="0"/>
    </xf>
    <xf numFmtId="0" fontId="78" fillId="21" borderId="83" xfId="0" applyFont="1" applyFill="1" applyBorder="1" applyAlignment="1" applyProtection="1">
      <alignment horizontal="center" vertical="center" wrapText="1"/>
      <protection locked="0"/>
    </xf>
    <xf numFmtId="0" fontId="78" fillId="21" borderId="83" xfId="0" applyFont="1" applyFill="1" applyBorder="1" applyAlignment="1" applyProtection="1">
      <alignment horizontal="center" vertical="center"/>
      <protection locked="0"/>
    </xf>
    <xf numFmtId="0" fontId="78" fillId="21" borderId="83" xfId="0" applyFont="1" applyFill="1" applyBorder="1" applyAlignment="1">
      <alignment horizontal="center" vertical="center"/>
    </xf>
    <xf numFmtId="0" fontId="78" fillId="21" borderId="83" xfId="0" applyFont="1" applyFill="1" applyBorder="1" applyAlignment="1">
      <alignment horizontal="center" vertical="center" wrapText="1"/>
    </xf>
    <xf numFmtId="0" fontId="84" fillId="21" borderId="83" xfId="0" applyFont="1" applyFill="1" applyBorder="1" applyAlignment="1" applyProtection="1">
      <alignment horizontal="justify" vertical="center" wrapText="1"/>
      <protection locked="0"/>
    </xf>
    <xf numFmtId="0" fontId="78" fillId="21" borderId="83" xfId="0" applyFont="1" applyFill="1" applyBorder="1" applyAlignment="1" applyProtection="1">
      <alignment horizontal="center" vertical="center"/>
      <protection hidden="1"/>
    </xf>
    <xf numFmtId="0" fontId="78" fillId="21" borderId="83" xfId="0" applyFont="1" applyFill="1" applyBorder="1" applyAlignment="1" applyProtection="1">
      <alignment horizontal="center" vertical="center" textRotation="90"/>
      <protection locked="0"/>
    </xf>
    <xf numFmtId="9" fontId="78" fillId="21" borderId="83" xfId="0" applyNumberFormat="1" applyFont="1" applyFill="1" applyBorder="1" applyAlignment="1" applyProtection="1">
      <alignment horizontal="center" vertical="center"/>
      <protection hidden="1"/>
    </xf>
    <xf numFmtId="164" fontId="78" fillId="21" borderId="83" xfId="1" applyNumberFormat="1" applyFont="1" applyFill="1" applyBorder="1" applyAlignment="1">
      <alignment horizontal="center" vertical="center"/>
    </xf>
    <xf numFmtId="0" fontId="79" fillId="21" borderId="83" xfId="0" applyFont="1" applyFill="1" applyBorder="1" applyAlignment="1" applyProtection="1">
      <alignment horizontal="center" vertical="center" textRotation="90" wrapText="1"/>
      <protection hidden="1"/>
    </xf>
    <xf numFmtId="0" fontId="79" fillId="21" borderId="83" xfId="0" applyFont="1" applyFill="1" applyBorder="1" applyAlignment="1" applyProtection="1">
      <alignment horizontal="center" vertical="center" textRotation="90"/>
      <protection hidden="1"/>
    </xf>
    <xf numFmtId="0" fontId="78" fillId="21" borderId="83" xfId="0" applyFont="1" applyFill="1" applyBorder="1" applyAlignment="1" applyProtection="1">
      <alignment horizontal="center" vertical="center" textRotation="90" wrapText="1"/>
      <protection locked="0"/>
    </xf>
    <xf numFmtId="14" fontId="78" fillId="21" borderId="83" xfId="0" applyNumberFormat="1" applyFont="1" applyFill="1" applyBorder="1" applyAlignment="1" applyProtection="1">
      <alignment horizontal="center" vertical="center"/>
      <protection locked="0"/>
    </xf>
    <xf numFmtId="0" fontId="78" fillId="21" borderId="0" xfId="0" applyFont="1" applyFill="1" applyAlignment="1">
      <alignment vertical="center"/>
    </xf>
    <xf numFmtId="0" fontId="78" fillId="21" borderId="0" xfId="0" applyFont="1" applyFill="1"/>
    <xf numFmtId="0" fontId="48" fillId="3" borderId="47" xfId="3" applyFont="1" applyFill="1" applyBorder="1" applyAlignment="1">
      <alignment horizontal="left" vertical="top" wrapText="1" readingOrder="1"/>
    </xf>
    <xf numFmtId="0" fontId="48" fillId="3" borderId="48" xfId="3" applyFont="1" applyFill="1" applyBorder="1" applyAlignment="1">
      <alignment horizontal="left" vertical="top" wrapText="1" readingOrder="1"/>
    </xf>
    <xf numFmtId="0" fontId="49" fillId="3" borderId="49" xfId="2" applyFont="1" applyFill="1" applyBorder="1" applyAlignment="1">
      <alignment horizontal="justify" vertical="center" wrapText="1"/>
    </xf>
    <xf numFmtId="0" fontId="49" fillId="3" borderId="50" xfId="2" applyFont="1" applyFill="1" applyBorder="1" applyAlignment="1">
      <alignment horizontal="justify" vertical="center" wrapText="1"/>
    </xf>
    <xf numFmtId="0" fontId="49" fillId="3" borderId="53" xfId="2" applyFont="1" applyFill="1" applyBorder="1" applyAlignment="1">
      <alignment horizontal="justify" vertical="center" wrapText="1"/>
    </xf>
    <xf numFmtId="0" fontId="49" fillId="3" borderId="54" xfId="2" applyFont="1" applyFill="1" applyBorder="1" applyAlignment="1">
      <alignment horizontal="justify" vertical="center" wrapText="1"/>
    </xf>
    <xf numFmtId="0" fontId="48" fillId="3" borderId="51" xfId="0" applyFont="1" applyFill="1" applyBorder="1" applyAlignment="1">
      <alignment horizontal="left" vertical="center" wrapText="1"/>
    </xf>
    <xf numFmtId="0" fontId="48" fillId="3" borderId="52" xfId="0" applyFont="1" applyFill="1" applyBorder="1" applyAlignment="1">
      <alignment horizontal="left" vertical="center" wrapText="1"/>
    </xf>
    <xf numFmtId="0" fontId="48" fillId="3" borderId="60" xfId="0" applyFont="1" applyFill="1" applyBorder="1" applyAlignment="1">
      <alignment horizontal="left" vertical="center" wrapText="1"/>
    </xf>
    <xf numFmtId="0" fontId="48" fillId="3" borderId="61" xfId="0" applyFont="1" applyFill="1" applyBorder="1" applyAlignment="1">
      <alignment horizontal="left" vertical="center" wrapText="1"/>
    </xf>
    <xf numFmtId="0" fontId="48" fillId="3" borderId="62" xfId="0" applyFont="1" applyFill="1" applyBorder="1" applyAlignment="1">
      <alignment horizontal="left" vertical="center" wrapText="1"/>
    </xf>
    <xf numFmtId="0" fontId="48" fillId="3" borderId="63" xfId="0" applyFont="1" applyFill="1" applyBorder="1" applyAlignment="1">
      <alignment horizontal="left" vertical="center" wrapText="1"/>
    </xf>
    <xf numFmtId="0" fontId="49" fillId="3" borderId="55" xfId="0" applyFont="1" applyFill="1" applyBorder="1" applyAlignment="1">
      <alignment horizontal="justify" vertical="center" wrapText="1"/>
    </xf>
    <xf numFmtId="0" fontId="49" fillId="3" borderId="56" xfId="0" applyFont="1" applyFill="1" applyBorder="1" applyAlignment="1">
      <alignment horizontal="justify" vertical="center" wrapText="1"/>
    </xf>
    <xf numFmtId="0" fontId="44" fillId="23" borderId="37" xfId="2" applyFont="1" applyFill="1" applyBorder="1" applyAlignment="1">
      <alignment horizontal="center" vertical="center" wrapText="1"/>
    </xf>
    <xf numFmtId="0" fontId="44" fillId="23" borderId="38" xfId="2" applyFont="1" applyFill="1" applyBorder="1" applyAlignment="1">
      <alignment horizontal="center" vertical="center" wrapText="1"/>
    </xf>
    <xf numFmtId="0" fontId="44" fillId="23" borderId="39" xfId="2" applyFont="1" applyFill="1" applyBorder="1" applyAlignment="1">
      <alignment horizontal="center" vertical="center" wrapText="1"/>
    </xf>
    <xf numFmtId="0" fontId="43" fillId="0" borderId="7" xfId="2" quotePrefix="1" applyFont="1" applyBorder="1" applyAlignment="1">
      <alignment horizontal="left" vertical="center" wrapText="1"/>
    </xf>
    <xf numFmtId="0" fontId="43" fillId="0" borderId="0" xfId="2" quotePrefix="1" applyFont="1" applyAlignment="1">
      <alignment horizontal="left" vertical="center" wrapText="1"/>
    </xf>
    <xf numFmtId="0" fontId="43" fillId="0" borderId="8" xfId="2" quotePrefix="1" applyFont="1" applyBorder="1" applyAlignment="1">
      <alignment horizontal="left" vertical="center" wrapText="1"/>
    </xf>
    <xf numFmtId="0" fontId="43" fillId="0" borderId="57" xfId="2" quotePrefix="1" applyFont="1" applyBorder="1" applyAlignment="1">
      <alignment horizontal="left" vertical="center" wrapText="1"/>
    </xf>
    <xf numFmtId="0" fontId="43" fillId="0" borderId="58" xfId="2" quotePrefix="1" applyFont="1" applyBorder="1" applyAlignment="1">
      <alignment horizontal="left" vertical="center" wrapText="1"/>
    </xf>
    <xf numFmtId="0" fontId="43" fillId="0" borderId="59" xfId="2" quotePrefix="1" applyFont="1" applyBorder="1" applyAlignment="1">
      <alignment horizontal="left" vertical="center" wrapText="1"/>
    </xf>
    <xf numFmtId="0" fontId="45" fillId="3" borderId="40" xfId="2" quotePrefix="1" applyFont="1" applyFill="1" applyBorder="1" applyAlignment="1">
      <alignment horizontal="left" vertical="top" wrapText="1"/>
    </xf>
    <xf numFmtId="0" fontId="46" fillId="3" borderId="41" xfId="2" quotePrefix="1" applyFont="1" applyFill="1" applyBorder="1" applyAlignment="1">
      <alignment horizontal="left" vertical="top" wrapText="1"/>
    </xf>
    <xf numFmtId="0" fontId="46" fillId="3" borderId="42" xfId="2" quotePrefix="1" applyFont="1" applyFill="1" applyBorder="1" applyAlignment="1">
      <alignment horizontal="left" vertical="top" wrapText="1"/>
    </xf>
    <xf numFmtId="0" fontId="43" fillId="0" borderId="7" xfId="2" quotePrefix="1" applyFont="1" applyBorder="1" applyAlignment="1">
      <alignment horizontal="left" vertical="top" wrapText="1"/>
    </xf>
    <xf numFmtId="0" fontId="43" fillId="0" borderId="0" xfId="2" quotePrefix="1" applyFont="1" applyAlignment="1">
      <alignment horizontal="left" vertical="top" wrapText="1"/>
    </xf>
    <xf numFmtId="0" fontId="43" fillId="0" borderId="8" xfId="2" quotePrefix="1" applyFont="1" applyBorder="1" applyAlignment="1">
      <alignment horizontal="left" vertical="top" wrapText="1"/>
    </xf>
    <xf numFmtId="0" fontId="48" fillId="14" borderId="43" xfId="3" applyFont="1" applyFill="1" applyBorder="1" applyAlignment="1">
      <alignment horizontal="center" vertical="center" wrapText="1"/>
    </xf>
    <xf numFmtId="0" fontId="48" fillId="14" borderId="44" xfId="3" applyFont="1" applyFill="1" applyBorder="1" applyAlignment="1">
      <alignment horizontal="center" vertical="center" wrapText="1"/>
    </xf>
    <xf numFmtId="0" fontId="48" fillId="14" borderId="45" xfId="2" applyFont="1" applyFill="1" applyBorder="1" applyAlignment="1">
      <alignment horizontal="center" vertical="center"/>
    </xf>
    <xf numFmtId="0" fontId="48" fillId="14" borderId="46" xfId="2" applyFont="1" applyFill="1" applyBorder="1" applyAlignment="1">
      <alignment horizontal="center" vertical="center"/>
    </xf>
    <xf numFmtId="0" fontId="1" fillId="3" borderId="57" xfId="2" quotePrefix="1" applyFont="1" applyFill="1" applyBorder="1" applyAlignment="1">
      <alignment horizontal="justify" vertical="center" wrapText="1"/>
    </xf>
    <xf numFmtId="0" fontId="1" fillId="3" borderId="58" xfId="2" quotePrefix="1" applyFont="1" applyFill="1" applyBorder="1" applyAlignment="1">
      <alignment horizontal="justify" vertical="center" wrapText="1"/>
    </xf>
    <xf numFmtId="0" fontId="1" fillId="3" borderId="59" xfId="2" quotePrefix="1" applyFont="1" applyFill="1" applyBorder="1" applyAlignment="1">
      <alignment horizontal="justify" vertical="center" wrapText="1"/>
    </xf>
    <xf numFmtId="0" fontId="60" fillId="17" borderId="66" xfId="0" applyFont="1" applyFill="1" applyBorder="1" applyAlignment="1">
      <alignment horizontal="center" vertical="center" wrapText="1"/>
    </xf>
    <xf numFmtId="0" fontId="60" fillId="17" borderId="67" xfId="0" applyFont="1" applyFill="1" applyBorder="1" applyAlignment="1">
      <alignment horizontal="center" vertical="center" wrapText="1"/>
    </xf>
    <xf numFmtId="0" fontId="60" fillId="18" borderId="68" xfId="0" applyFont="1" applyFill="1" applyBorder="1" applyAlignment="1">
      <alignment horizontal="center" vertical="center" textRotation="90"/>
    </xf>
    <xf numFmtId="0" fontId="60" fillId="18" borderId="70" xfId="0" applyFont="1" applyFill="1" applyBorder="1" applyAlignment="1">
      <alignment horizontal="center" vertical="center" textRotation="90"/>
    </xf>
    <xf numFmtId="0" fontId="60" fillId="18" borderId="72" xfId="0" applyFont="1" applyFill="1" applyBorder="1" applyAlignment="1">
      <alignment horizontal="center" vertical="center" textRotation="90"/>
    </xf>
    <xf numFmtId="0" fontId="76" fillId="22" borderId="81" xfId="0" applyFont="1" applyFill="1" applyBorder="1" applyAlignment="1">
      <alignment horizontal="center" vertical="center"/>
    </xf>
    <xf numFmtId="0" fontId="76" fillId="22" borderId="82" xfId="0" applyFont="1" applyFill="1" applyBorder="1" applyAlignment="1">
      <alignment horizontal="center" vertical="center"/>
    </xf>
    <xf numFmtId="0" fontId="74" fillId="0" borderId="71" xfId="0" applyFont="1" applyBorder="1" applyAlignment="1">
      <alignment horizontal="center" vertical="center" wrapText="1"/>
    </xf>
    <xf numFmtId="0" fontId="74" fillId="0" borderId="70" xfId="0" applyFont="1" applyBorder="1" applyAlignment="1">
      <alignment horizontal="center" vertical="center" wrapText="1"/>
    </xf>
    <xf numFmtId="0" fontId="74" fillId="0" borderId="77" xfId="0" applyFont="1" applyBorder="1" applyAlignment="1">
      <alignment horizontal="center" vertical="center" wrapText="1"/>
    </xf>
    <xf numFmtId="0" fontId="74" fillId="0" borderId="68" xfId="0" applyFont="1" applyBorder="1" applyAlignment="1">
      <alignment horizontal="center" vertical="center" wrapText="1"/>
    </xf>
    <xf numFmtId="0" fontId="94" fillId="3" borderId="24" xfId="0" applyFont="1" applyFill="1" applyBorder="1" applyAlignment="1" applyProtection="1">
      <alignment horizontal="justify" vertical="center" wrapText="1"/>
      <protection locked="0"/>
    </xf>
    <xf numFmtId="0" fontId="94" fillId="3" borderId="25" xfId="0" applyFont="1" applyFill="1" applyBorder="1" applyAlignment="1" applyProtection="1">
      <alignment horizontal="justify" vertical="center" wrapText="1"/>
      <protection locked="0"/>
    </xf>
    <xf numFmtId="0" fontId="94" fillId="3" borderId="36" xfId="0" applyFont="1" applyFill="1" applyBorder="1" applyAlignment="1" applyProtection="1">
      <alignment horizontal="justify" vertical="center" wrapText="1"/>
      <protection locked="0"/>
    </xf>
    <xf numFmtId="0" fontId="77" fillId="0" borderId="5" xfId="0" applyFont="1" applyBorder="1" applyAlignment="1">
      <alignment horizontal="center" vertical="center"/>
    </xf>
    <xf numFmtId="0" fontId="77" fillId="0" borderId="12" xfId="0" applyFont="1" applyBorder="1" applyAlignment="1">
      <alignment horizontal="center" vertical="center"/>
    </xf>
    <xf numFmtId="0" fontId="77" fillId="0" borderId="6" xfId="0" applyFont="1" applyBorder="1" applyAlignment="1">
      <alignment horizontal="center" vertical="center"/>
    </xf>
    <xf numFmtId="0" fontId="77" fillId="0" borderId="9" xfId="0" applyFont="1" applyBorder="1" applyAlignment="1">
      <alignment horizontal="center" vertical="center"/>
    </xf>
    <xf numFmtId="0" fontId="77" fillId="0" borderId="11" xfId="0" applyFont="1" applyBorder="1" applyAlignment="1">
      <alignment horizontal="center" vertical="center"/>
    </xf>
    <xf numFmtId="0" fontId="77" fillId="0" borderId="10" xfId="0" applyFont="1" applyBorder="1" applyAlignment="1">
      <alignment horizontal="center" vertical="center"/>
    </xf>
    <xf numFmtId="0" fontId="77" fillId="0" borderId="24" xfId="0" applyFont="1" applyBorder="1" applyAlignment="1">
      <alignment horizontal="left" vertical="center"/>
    </xf>
    <xf numFmtId="0" fontId="77" fillId="0" borderId="25" xfId="0" applyFont="1" applyBorder="1" applyAlignment="1">
      <alignment horizontal="left" vertical="center"/>
    </xf>
    <xf numFmtId="0" fontId="77" fillId="0" borderId="36" xfId="0" applyFont="1" applyBorder="1" applyAlignment="1">
      <alignment horizontal="left" vertical="center"/>
    </xf>
    <xf numFmtId="0" fontId="71" fillId="0" borderId="83" xfId="0" applyFont="1" applyBorder="1" applyAlignment="1">
      <alignment horizontal="center" vertical="center"/>
    </xf>
    <xf numFmtId="0" fontId="78" fillId="0" borderId="83" xfId="0" applyFont="1" applyBorder="1" applyAlignment="1" applyProtection="1">
      <alignment horizontal="center" vertical="center" wrapText="1"/>
      <protection locked="0"/>
    </xf>
    <xf numFmtId="0" fontId="83" fillId="0" borderId="87" xfId="0" applyFont="1" applyBorder="1" applyAlignment="1">
      <alignment horizontal="center" vertical="center"/>
    </xf>
    <xf numFmtId="0" fontId="83" fillId="0" borderId="88" xfId="0" applyFont="1" applyBorder="1" applyAlignment="1">
      <alignment horizontal="center" vertical="center"/>
    </xf>
    <xf numFmtId="0" fontId="83" fillId="0" borderId="106" xfId="0" applyFont="1" applyBorder="1" applyAlignment="1">
      <alignment horizontal="center" vertical="center"/>
    </xf>
    <xf numFmtId="0" fontId="83" fillId="0" borderId="89" xfId="0" applyFont="1" applyBorder="1" applyAlignment="1">
      <alignment horizontal="center" vertical="center"/>
    </xf>
    <xf numFmtId="0" fontId="83" fillId="0" borderId="83" xfId="0" applyFont="1" applyBorder="1" applyAlignment="1">
      <alignment horizontal="center" vertical="center"/>
    </xf>
    <xf numFmtId="0" fontId="83" fillId="0" borderId="108" xfId="0" applyFont="1" applyBorder="1" applyAlignment="1">
      <alignment horizontal="center" vertical="center"/>
    </xf>
    <xf numFmtId="0" fontId="83" fillId="0" borderId="90" xfId="0" applyFont="1" applyBorder="1" applyAlignment="1">
      <alignment horizontal="center" vertical="center"/>
    </xf>
    <xf numFmtId="0" fontId="83" fillId="0" borderId="91" xfId="0" applyFont="1" applyBorder="1" applyAlignment="1">
      <alignment horizontal="center" vertical="center"/>
    </xf>
    <xf numFmtId="0" fontId="83" fillId="0" borderId="107" xfId="0" applyFont="1" applyBorder="1" applyAlignment="1">
      <alignment horizontal="center" vertical="center"/>
    </xf>
    <xf numFmtId="0" fontId="78" fillId="0" borderId="83" xfId="0" applyFont="1" applyBorder="1" applyAlignment="1" applyProtection="1">
      <alignment horizontal="center" vertical="center"/>
      <protection locked="0"/>
    </xf>
    <xf numFmtId="0" fontId="79" fillId="0" borderId="83" xfId="0" applyFont="1" applyBorder="1" applyAlignment="1" applyProtection="1">
      <alignment horizontal="center" vertical="center" wrapText="1"/>
      <protection hidden="1"/>
    </xf>
    <xf numFmtId="9" fontId="78" fillId="0" borderId="83" xfId="0" applyNumberFormat="1" applyFont="1" applyBorder="1" applyAlignment="1" applyProtection="1">
      <alignment horizontal="center" vertical="center" wrapText="1"/>
      <protection hidden="1"/>
    </xf>
    <xf numFmtId="0" fontId="78" fillId="0" borderId="84" xfId="0" applyFont="1" applyBorder="1" applyAlignment="1" applyProtection="1">
      <alignment horizontal="center" vertical="center" wrapText="1"/>
      <protection locked="0"/>
    </xf>
    <xf numFmtId="0" fontId="78" fillId="0" borderId="92" xfId="0" applyFont="1" applyBorder="1" applyAlignment="1" applyProtection="1">
      <alignment horizontal="center" vertical="center" wrapText="1"/>
      <protection locked="0"/>
    </xf>
    <xf numFmtId="0" fontId="78" fillId="3" borderId="0" xfId="0" applyFont="1" applyFill="1" applyAlignment="1">
      <alignment horizontal="left" wrapText="1"/>
    </xf>
    <xf numFmtId="0" fontId="77" fillId="0" borderId="0" xfId="0" applyFont="1" applyAlignment="1">
      <alignment horizontal="center" vertical="center"/>
    </xf>
    <xf numFmtId="0" fontId="77" fillId="0" borderId="0" xfId="0" applyFont="1" applyAlignment="1">
      <alignment horizontal="left" vertical="center"/>
    </xf>
    <xf numFmtId="0" fontId="79" fillId="21" borderId="93" xfId="0" applyFont="1" applyFill="1" applyBorder="1" applyAlignment="1">
      <alignment horizontal="left" vertical="center"/>
    </xf>
    <xf numFmtId="0" fontId="79" fillId="21" borderId="94" xfId="0" applyFont="1" applyFill="1" applyBorder="1" applyAlignment="1">
      <alignment horizontal="left" vertical="center"/>
    </xf>
    <xf numFmtId="0" fontId="79" fillId="21" borderId="95" xfId="0" applyFont="1" applyFill="1" applyBorder="1" applyAlignment="1">
      <alignment horizontal="left" vertical="center"/>
    </xf>
    <xf numFmtId="0" fontId="79" fillId="21" borderId="96" xfId="0" applyFont="1" applyFill="1" applyBorder="1" applyAlignment="1">
      <alignment horizontal="left" vertical="center"/>
    </xf>
    <xf numFmtId="0" fontId="79" fillId="21" borderId="97" xfId="0" applyFont="1" applyFill="1" applyBorder="1" applyAlignment="1">
      <alignment horizontal="left" vertical="center"/>
    </xf>
    <xf numFmtId="0" fontId="79" fillId="21" borderId="98" xfId="0" applyFont="1" applyFill="1" applyBorder="1" applyAlignment="1">
      <alignment horizontal="left" vertical="center"/>
    </xf>
    <xf numFmtId="0" fontId="79" fillId="3" borderId="0" xfId="0" applyFont="1" applyFill="1" applyAlignment="1">
      <alignment horizontal="left" vertical="center"/>
    </xf>
    <xf numFmtId="0" fontId="89" fillId="0" borderId="24" xfId="0" applyFont="1" applyBorder="1" applyAlignment="1" applyProtection="1">
      <alignment horizontal="center" vertical="center"/>
      <protection locked="0"/>
    </xf>
    <xf numFmtId="0" fontId="89" fillId="0" borderId="25" xfId="0" applyFont="1" applyBorder="1" applyAlignment="1" applyProtection="1">
      <alignment horizontal="center" vertical="center"/>
      <protection locked="0"/>
    </xf>
    <xf numFmtId="0" fontId="89" fillId="0" borderId="36" xfId="0" applyFont="1" applyBorder="1" applyAlignment="1" applyProtection="1">
      <alignment horizontal="center" vertical="center"/>
      <protection locked="0"/>
    </xf>
    <xf numFmtId="0" fontId="79" fillId="0" borderId="84" xfId="0" applyFont="1" applyBorder="1" applyAlignment="1" applyProtection="1">
      <alignment horizontal="center" vertical="center"/>
      <protection hidden="1"/>
    </xf>
    <xf numFmtId="0" fontId="79" fillId="0" borderId="92" xfId="0" applyFont="1" applyBorder="1" applyAlignment="1" applyProtection="1">
      <alignment horizontal="center" vertical="center"/>
      <protection hidden="1"/>
    </xf>
    <xf numFmtId="9" fontId="78" fillId="0" borderId="84" xfId="0" applyNumberFormat="1" applyFont="1" applyBorder="1" applyAlignment="1" applyProtection="1">
      <alignment horizontal="center" vertical="center" wrapText="1"/>
      <protection hidden="1"/>
    </xf>
    <xf numFmtId="9" fontId="78" fillId="0" borderId="92" xfId="0" applyNumberFormat="1" applyFont="1" applyBorder="1" applyAlignment="1" applyProtection="1">
      <alignment horizontal="center" vertical="center" wrapText="1"/>
      <protection hidden="1"/>
    </xf>
    <xf numFmtId="9" fontId="78" fillId="0" borderId="84" xfId="0" applyNumberFormat="1" applyFont="1" applyBorder="1" applyAlignment="1" applyProtection="1">
      <alignment horizontal="center" vertical="center" wrapText="1"/>
      <protection locked="0"/>
    </xf>
    <xf numFmtId="9" fontId="78" fillId="0" borderId="92" xfId="0" applyNumberFormat="1" applyFont="1" applyBorder="1" applyAlignment="1" applyProtection="1">
      <alignment horizontal="center" vertical="center" wrapText="1"/>
      <protection locked="0"/>
    </xf>
    <xf numFmtId="0" fontId="79" fillId="0" borderId="84" xfId="0" applyFont="1" applyBorder="1" applyAlignment="1" applyProtection="1">
      <alignment horizontal="center" vertical="center" wrapText="1"/>
      <protection hidden="1"/>
    </xf>
    <xf numFmtId="0" fontId="79" fillId="0" borderId="92" xfId="0" applyFont="1" applyBorder="1" applyAlignment="1" applyProtection="1">
      <alignment horizontal="center" vertical="center" wrapText="1"/>
      <protection hidden="1"/>
    </xf>
    <xf numFmtId="0" fontId="79" fillId="27" borderId="99" xfId="0" applyFont="1" applyFill="1" applyBorder="1" applyAlignment="1">
      <alignment horizontal="center" vertical="center"/>
    </xf>
    <xf numFmtId="0" fontId="79" fillId="27" borderId="100" xfId="0" applyFont="1" applyFill="1" applyBorder="1" applyAlignment="1">
      <alignment horizontal="center" vertical="center"/>
    </xf>
    <xf numFmtId="0" fontId="79" fillId="27" borderId="101" xfId="0" applyFont="1" applyFill="1" applyBorder="1" applyAlignment="1">
      <alignment horizontal="center" vertical="center"/>
    </xf>
    <xf numFmtId="0" fontId="79" fillId="27" borderId="83" xfId="0" applyFont="1" applyFill="1" applyBorder="1" applyAlignment="1">
      <alignment horizontal="center" vertical="center" wrapText="1"/>
    </xf>
    <xf numFmtId="0" fontId="79" fillId="0" borderId="83" xfId="0" applyFont="1" applyBorder="1" applyAlignment="1" applyProtection="1">
      <alignment horizontal="center" vertical="center"/>
      <protection hidden="1"/>
    </xf>
    <xf numFmtId="9" fontId="78" fillId="0" borderId="83" xfId="0" applyNumberFormat="1" applyFont="1" applyBorder="1" applyAlignment="1" applyProtection="1">
      <alignment horizontal="center" vertical="center" wrapText="1"/>
      <protection locked="0"/>
    </xf>
    <xf numFmtId="0" fontId="78" fillId="0" borderId="85" xfId="0" applyFont="1" applyBorder="1" applyAlignment="1" applyProtection="1">
      <alignment horizontal="center" vertical="center" wrapText="1"/>
      <protection locked="0"/>
    </xf>
    <xf numFmtId="0" fontId="78" fillId="0" borderId="83" xfId="0" applyFont="1" applyBorder="1" applyAlignment="1" applyProtection="1">
      <alignment horizontal="justify" vertical="center" wrapText="1"/>
      <protection locked="0"/>
    </xf>
    <xf numFmtId="0" fontId="78" fillId="0" borderId="2" xfId="0" applyFont="1" applyBorder="1" applyAlignment="1">
      <alignment horizontal="left" vertical="center" wrapText="1"/>
    </xf>
    <xf numFmtId="0" fontId="78" fillId="0" borderId="21" xfId="0" applyFont="1" applyBorder="1" applyAlignment="1">
      <alignment horizontal="left" vertical="center" wrapText="1"/>
    </xf>
    <xf numFmtId="0" fontId="78" fillId="0" borderId="83" xfId="0" applyFont="1" applyBorder="1" applyAlignment="1" applyProtection="1">
      <alignment horizontal="left" vertical="center" wrapText="1"/>
      <protection locked="0"/>
    </xf>
    <xf numFmtId="0" fontId="71" fillId="0" borderId="84" xfId="0" applyFont="1" applyBorder="1" applyAlignment="1">
      <alignment horizontal="center" vertical="center"/>
    </xf>
    <xf numFmtId="0" fontId="71" fillId="0" borderId="92" xfId="0" applyFont="1" applyBorder="1" applyAlignment="1">
      <alignment horizontal="center" vertical="center"/>
    </xf>
    <xf numFmtId="0" fontId="72" fillId="27" borderId="83" xfId="0" applyFont="1" applyFill="1" applyBorder="1" applyAlignment="1">
      <alignment horizontal="center" vertical="center" textRotation="90"/>
    </xf>
    <xf numFmtId="0" fontId="79" fillId="27" borderId="83" xfId="0" applyFont="1" applyFill="1" applyBorder="1" applyAlignment="1">
      <alignment horizontal="center" vertical="center"/>
    </xf>
    <xf numFmtId="0" fontId="79" fillId="21" borderId="84" xfId="0" applyFont="1" applyFill="1" applyBorder="1" applyAlignment="1">
      <alignment horizontal="center" vertical="center" wrapText="1"/>
    </xf>
    <xf numFmtId="0" fontId="79" fillId="21" borderId="85" xfId="0" applyFont="1" applyFill="1" applyBorder="1" applyAlignment="1">
      <alignment horizontal="center" vertical="center" wrapText="1"/>
    </xf>
    <xf numFmtId="0" fontId="79" fillId="28" borderId="83" xfId="0" applyFont="1" applyFill="1" applyBorder="1" applyAlignment="1">
      <alignment horizontal="center" vertical="center" wrapText="1"/>
    </xf>
    <xf numFmtId="0" fontId="79" fillId="21" borderId="83" xfId="0" applyFont="1" applyFill="1" applyBorder="1" applyAlignment="1">
      <alignment horizontal="center" vertical="center" wrapText="1"/>
    </xf>
    <xf numFmtId="0" fontId="78" fillId="2" borderId="84" xfId="0" applyFont="1" applyFill="1" applyBorder="1" applyAlignment="1" applyProtection="1">
      <alignment horizontal="center" vertical="center" wrapText="1"/>
      <protection locked="0"/>
    </xf>
    <xf numFmtId="0" fontId="78" fillId="2" borderId="92" xfId="0" applyFont="1" applyFill="1" applyBorder="1" applyAlignment="1" applyProtection="1">
      <alignment horizontal="center" vertical="center" wrapText="1"/>
      <protection locked="0"/>
    </xf>
    <xf numFmtId="0" fontId="79" fillId="27" borderId="83" xfId="0" applyFont="1" applyFill="1" applyBorder="1" applyAlignment="1">
      <alignment horizontal="center" vertical="center" textRotation="90" wrapText="1"/>
    </xf>
    <xf numFmtId="0" fontId="79" fillId="21" borderId="83" xfId="0" applyFont="1" applyFill="1" applyBorder="1" applyAlignment="1">
      <alignment horizontal="center" vertical="center" textRotation="90" wrapText="1"/>
    </xf>
    <xf numFmtId="0" fontId="79" fillId="28" borderId="83" xfId="0" applyFont="1" applyFill="1" applyBorder="1" applyAlignment="1">
      <alignment horizontal="center" vertical="center"/>
    </xf>
    <xf numFmtId="0" fontId="78" fillId="2" borderId="83" xfId="0" applyFont="1" applyFill="1" applyBorder="1" applyAlignment="1" applyProtection="1">
      <alignment horizontal="center" vertical="center" wrapText="1"/>
      <protection locked="0"/>
    </xf>
    <xf numFmtId="0" fontId="78" fillId="0" borderId="84" xfId="0" applyFont="1" applyBorder="1" applyAlignment="1" applyProtection="1">
      <alignment horizontal="justify" vertical="center" wrapText="1"/>
      <protection locked="0"/>
    </xf>
    <xf numFmtId="0" fontId="78" fillId="0" borderId="92" xfId="0" applyFont="1" applyBorder="1" applyAlignment="1" applyProtection="1">
      <alignment horizontal="justify" vertical="center" wrapText="1"/>
      <protection locked="0"/>
    </xf>
    <xf numFmtId="0" fontId="79" fillId="21" borderId="99" xfId="0" applyFont="1" applyFill="1" applyBorder="1" applyAlignment="1">
      <alignment horizontal="center" vertical="center"/>
    </xf>
    <xf numFmtId="0" fontId="79" fillId="21" borderId="100" xfId="0" applyFont="1" applyFill="1" applyBorder="1" applyAlignment="1">
      <alignment horizontal="center" vertical="center"/>
    </xf>
    <xf numFmtId="0" fontId="79" fillId="21" borderId="101" xfId="0" applyFont="1" applyFill="1" applyBorder="1" applyAlignment="1">
      <alignment horizontal="center" vertical="center"/>
    </xf>
    <xf numFmtId="0" fontId="79" fillId="21" borderId="99" xfId="0" applyFont="1" applyFill="1" applyBorder="1" applyAlignment="1">
      <alignment horizontal="center" vertical="center" wrapText="1"/>
    </xf>
    <xf numFmtId="0" fontId="79" fillId="21" borderId="100" xfId="0" applyFont="1" applyFill="1" applyBorder="1" applyAlignment="1">
      <alignment horizontal="center" vertical="center" wrapText="1"/>
    </xf>
    <xf numFmtId="0" fontId="79" fillId="21" borderId="101" xfId="0" applyFont="1" applyFill="1" applyBorder="1" applyAlignment="1">
      <alignment horizontal="center" vertical="center" wrapText="1"/>
    </xf>
    <xf numFmtId="0" fontId="79" fillId="27" borderId="105" xfId="0" applyFont="1" applyFill="1" applyBorder="1" applyAlignment="1">
      <alignment horizontal="center" vertical="center" wrapText="1"/>
    </xf>
    <xf numFmtId="0" fontId="79" fillId="27" borderId="86" xfId="0" applyFont="1" applyFill="1" applyBorder="1" applyAlignment="1">
      <alignment horizontal="center" vertical="center" wrapText="1"/>
    </xf>
    <xf numFmtId="0" fontId="78" fillId="0" borderId="84" xfId="0" applyFont="1" applyBorder="1" applyAlignment="1" applyProtection="1">
      <alignment horizontal="center" vertical="center"/>
      <protection locked="0"/>
    </xf>
    <xf numFmtId="0" fontId="78" fillId="0" borderId="92" xfId="0" applyFont="1" applyBorder="1" applyAlignment="1" applyProtection="1">
      <alignment horizontal="center" vertical="center"/>
      <protection locked="0"/>
    </xf>
    <xf numFmtId="0" fontId="79" fillId="28" borderId="99" xfId="0" applyFont="1" applyFill="1" applyBorder="1" applyAlignment="1">
      <alignment horizontal="center" vertical="center"/>
    </xf>
    <xf numFmtId="0" fontId="79" fillId="28" borderId="100" xfId="0" applyFont="1" applyFill="1" applyBorder="1" applyAlignment="1">
      <alignment horizontal="center" vertical="center"/>
    </xf>
    <xf numFmtId="0" fontId="79" fillId="27" borderId="84" xfId="0" applyFont="1" applyFill="1" applyBorder="1" applyAlignment="1">
      <alignment horizontal="center" vertical="center" wrapText="1"/>
    </xf>
    <xf numFmtId="0" fontId="79" fillId="27" borderId="85" xfId="0" applyFont="1" applyFill="1" applyBorder="1" applyAlignment="1">
      <alignment horizontal="center" vertical="center" wrapText="1"/>
    </xf>
    <xf numFmtId="0" fontId="16" fillId="10" borderId="0" xfId="0" applyFont="1" applyFill="1" applyAlignment="1">
      <alignment horizontal="center" vertical="center" textRotation="90" wrapText="1" readingOrder="1"/>
    </xf>
    <xf numFmtId="0" fontId="16" fillId="10" borderId="8" xfId="0" applyFont="1" applyFill="1" applyBorder="1" applyAlignment="1">
      <alignment horizontal="center" vertical="center" textRotation="90" wrapText="1" readingOrder="1"/>
    </xf>
    <xf numFmtId="0" fontId="19" fillId="12" borderId="13" xfId="0" applyFont="1" applyFill="1" applyBorder="1" applyAlignment="1">
      <alignment horizontal="center" vertical="center" wrapText="1" readingOrder="1"/>
    </xf>
    <xf numFmtId="0" fontId="19" fillId="12" borderId="14" xfId="0" applyFont="1" applyFill="1" applyBorder="1" applyAlignment="1">
      <alignment horizontal="center" vertical="center" wrapText="1" readingOrder="1"/>
    </xf>
    <xf numFmtId="0" fontId="19" fillId="12" borderId="15" xfId="0" applyFont="1" applyFill="1" applyBorder="1" applyAlignment="1">
      <alignment horizontal="center" vertical="center" wrapText="1" readingOrder="1"/>
    </xf>
    <xf numFmtId="0" fontId="19" fillId="12" borderId="16" xfId="0" applyFont="1" applyFill="1" applyBorder="1" applyAlignment="1">
      <alignment horizontal="center" vertical="center" wrapText="1" readingOrder="1"/>
    </xf>
    <xf numFmtId="0" fontId="19" fillId="12" borderId="0" xfId="0" applyFont="1" applyFill="1" applyAlignment="1">
      <alignment horizontal="center" vertical="center" wrapText="1" readingOrder="1"/>
    </xf>
    <xf numFmtId="0" fontId="19" fillId="12" borderId="17" xfId="0" applyFont="1" applyFill="1" applyBorder="1" applyAlignment="1">
      <alignment horizontal="center" vertical="center" wrapText="1" readingOrder="1"/>
    </xf>
    <xf numFmtId="0" fontId="19" fillId="12" borderId="18" xfId="0" applyFont="1" applyFill="1" applyBorder="1" applyAlignment="1">
      <alignment horizontal="center" vertical="center" wrapText="1" readingOrder="1"/>
    </xf>
    <xf numFmtId="0" fontId="19" fillId="12" borderId="19" xfId="0" applyFont="1" applyFill="1" applyBorder="1" applyAlignment="1">
      <alignment horizontal="center" vertical="center" wrapText="1" readingOrder="1"/>
    </xf>
    <xf numFmtId="0" fontId="19" fillId="12" borderId="20" xfId="0" applyFont="1" applyFill="1" applyBorder="1" applyAlignment="1">
      <alignment horizontal="center" vertical="center" wrapText="1" readingOrder="1"/>
    </xf>
    <xf numFmtId="0" fontId="19" fillId="11" borderId="13" xfId="0" applyFont="1" applyFill="1" applyBorder="1" applyAlignment="1">
      <alignment horizontal="center" vertical="center" wrapText="1" readingOrder="1"/>
    </xf>
    <xf numFmtId="0" fontId="19" fillId="11" borderId="14" xfId="0" applyFont="1" applyFill="1" applyBorder="1" applyAlignment="1">
      <alignment horizontal="center" vertical="center" wrapText="1" readingOrder="1"/>
    </xf>
    <xf numFmtId="0" fontId="19" fillId="11" borderId="15" xfId="0" applyFont="1" applyFill="1" applyBorder="1" applyAlignment="1">
      <alignment horizontal="center" vertical="center" wrapText="1" readingOrder="1"/>
    </xf>
    <xf numFmtId="0" fontId="19" fillId="11" borderId="16" xfId="0" applyFont="1" applyFill="1" applyBorder="1" applyAlignment="1">
      <alignment horizontal="center" vertical="center" wrapText="1" readingOrder="1"/>
    </xf>
    <xf numFmtId="0" fontId="19" fillId="11" borderId="0" xfId="0" applyFont="1" applyFill="1" applyAlignment="1">
      <alignment horizontal="center" vertical="center" wrapText="1" readingOrder="1"/>
    </xf>
    <xf numFmtId="0" fontId="19" fillId="11" borderId="17" xfId="0" applyFont="1" applyFill="1" applyBorder="1" applyAlignment="1">
      <alignment horizontal="center" vertical="center" wrapText="1" readingOrder="1"/>
    </xf>
    <xf numFmtId="0" fontId="19" fillId="11" borderId="18" xfId="0" applyFont="1" applyFill="1" applyBorder="1" applyAlignment="1">
      <alignment horizontal="center" vertical="center" wrapText="1" readingOrder="1"/>
    </xf>
    <xf numFmtId="0" fontId="19" fillId="11" borderId="19" xfId="0" applyFont="1" applyFill="1" applyBorder="1" applyAlignment="1">
      <alignment horizontal="center" vertical="center" wrapText="1" readingOrder="1"/>
    </xf>
    <xf numFmtId="0" fontId="19" fillId="11" borderId="20" xfId="0" applyFont="1" applyFill="1" applyBorder="1" applyAlignment="1">
      <alignment horizontal="center" vertical="center" wrapText="1" readingOrder="1"/>
    </xf>
    <xf numFmtId="0" fontId="19" fillId="13" borderId="13" xfId="0" applyFont="1" applyFill="1" applyBorder="1" applyAlignment="1">
      <alignment horizontal="center" vertical="center" wrapText="1" readingOrder="1"/>
    </xf>
    <xf numFmtId="0" fontId="19" fillId="13" borderId="14" xfId="0" applyFont="1" applyFill="1" applyBorder="1" applyAlignment="1">
      <alignment horizontal="center" vertical="center" wrapText="1" readingOrder="1"/>
    </xf>
    <xf numFmtId="0" fontId="19" fillId="13" borderId="15" xfId="0" applyFont="1" applyFill="1" applyBorder="1" applyAlignment="1">
      <alignment horizontal="center" vertical="center" wrapText="1" readingOrder="1"/>
    </xf>
    <xf numFmtId="0" fontId="19" fillId="13" borderId="16" xfId="0" applyFont="1" applyFill="1" applyBorder="1" applyAlignment="1">
      <alignment horizontal="center" vertical="center" wrapText="1" readingOrder="1"/>
    </xf>
    <xf numFmtId="0" fontId="19" fillId="13" borderId="0" xfId="0" applyFont="1" applyFill="1" applyAlignment="1">
      <alignment horizontal="center" vertical="center" wrapText="1" readingOrder="1"/>
    </xf>
    <xf numFmtId="0" fontId="19" fillId="13" borderId="17" xfId="0" applyFont="1" applyFill="1" applyBorder="1" applyAlignment="1">
      <alignment horizontal="center" vertical="center" wrapText="1" readingOrder="1"/>
    </xf>
    <xf numFmtId="0" fontId="19" fillId="13" borderId="18" xfId="0" applyFont="1" applyFill="1" applyBorder="1" applyAlignment="1">
      <alignment horizontal="center" vertical="center" wrapText="1" readingOrder="1"/>
    </xf>
    <xf numFmtId="0" fontId="19" fillId="13" borderId="19" xfId="0" applyFont="1" applyFill="1" applyBorder="1" applyAlignment="1">
      <alignment horizontal="center" vertical="center" wrapText="1" readingOrder="1"/>
    </xf>
    <xf numFmtId="0" fontId="19" fillId="13" borderId="20" xfId="0" applyFont="1" applyFill="1" applyBorder="1" applyAlignment="1">
      <alignment horizontal="center" vertical="center" wrapText="1" readingOrder="1"/>
    </xf>
    <xf numFmtId="0" fontId="19" fillId="5" borderId="13" xfId="0" applyFont="1" applyFill="1" applyBorder="1" applyAlignment="1">
      <alignment horizontal="center" vertical="center" wrapText="1" readingOrder="1"/>
    </xf>
    <xf numFmtId="0" fontId="19" fillId="5" borderId="14" xfId="0" applyFont="1" applyFill="1" applyBorder="1" applyAlignment="1">
      <alignment horizontal="center" vertical="center" wrapText="1" readingOrder="1"/>
    </xf>
    <xf numFmtId="0" fontId="19" fillId="5" borderId="15" xfId="0" applyFont="1" applyFill="1" applyBorder="1" applyAlignment="1">
      <alignment horizontal="center" vertical="center" wrapText="1" readingOrder="1"/>
    </xf>
    <xf numFmtId="0" fontId="19" fillId="5" borderId="16" xfId="0" applyFont="1" applyFill="1" applyBorder="1" applyAlignment="1">
      <alignment horizontal="center" vertical="center" wrapText="1" readingOrder="1"/>
    </xf>
    <xf numFmtId="0" fontId="19" fillId="5" borderId="0" xfId="0" applyFont="1" applyFill="1" applyAlignment="1">
      <alignment horizontal="center" vertical="center" wrapText="1" readingOrder="1"/>
    </xf>
    <xf numFmtId="0" fontId="19" fillId="5" borderId="17" xfId="0" applyFont="1" applyFill="1" applyBorder="1" applyAlignment="1">
      <alignment horizontal="center" vertical="center" wrapText="1" readingOrder="1"/>
    </xf>
    <xf numFmtId="0" fontId="19" fillId="5" borderId="18" xfId="0" applyFont="1" applyFill="1" applyBorder="1" applyAlignment="1">
      <alignment horizontal="center" vertical="center" wrapText="1" readingOrder="1"/>
    </xf>
    <xf numFmtId="0" fontId="19" fillId="5" borderId="19" xfId="0" applyFont="1" applyFill="1" applyBorder="1" applyAlignment="1">
      <alignment horizontal="center" vertical="center" wrapText="1" readingOrder="1"/>
    </xf>
    <xf numFmtId="0" fontId="19" fillId="5" borderId="20" xfId="0" applyFont="1" applyFill="1" applyBorder="1" applyAlignment="1">
      <alignment horizontal="center" vertical="center" wrapText="1" readingOrder="1"/>
    </xf>
    <xf numFmtId="0" fontId="15" fillId="0" borderId="5" xfId="0" applyFont="1" applyBorder="1" applyAlignment="1">
      <alignment horizontal="center" vertical="center" wrapText="1"/>
    </xf>
    <xf numFmtId="0" fontId="15" fillId="0" borderId="12"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5" fillId="0" borderId="11" xfId="0" applyFont="1" applyBorder="1" applyAlignment="1">
      <alignment horizontal="center" vertical="center"/>
    </xf>
    <xf numFmtId="0" fontId="15" fillId="0" borderId="10" xfId="0" applyFont="1" applyBorder="1" applyAlignment="1">
      <alignment horizontal="center" vertical="center"/>
    </xf>
    <xf numFmtId="0" fontId="18" fillId="11" borderId="0" xfId="0" applyFont="1" applyFill="1" applyAlignment="1" applyProtection="1">
      <alignment horizontal="center" vertical="center" wrapText="1" readingOrder="1"/>
      <protection hidden="1"/>
    </xf>
    <xf numFmtId="0" fontId="18" fillId="11" borderId="8" xfId="0" applyFont="1" applyFill="1" applyBorder="1" applyAlignment="1" applyProtection="1">
      <alignment horizontal="center" vertical="center" wrapText="1" readingOrder="1"/>
      <protection hidden="1"/>
    </xf>
    <xf numFmtId="0" fontId="18" fillId="11" borderId="5" xfId="0" applyFont="1" applyFill="1" applyBorder="1" applyAlignment="1" applyProtection="1">
      <alignment horizontal="center" vertical="center" wrapText="1" readingOrder="1"/>
      <protection hidden="1"/>
    </xf>
    <xf numFmtId="0" fontId="18" fillId="11" borderId="12" xfId="0" applyFont="1" applyFill="1" applyBorder="1" applyAlignment="1" applyProtection="1">
      <alignment horizontal="center" vertical="center" wrapText="1" readingOrder="1"/>
      <protection hidden="1"/>
    </xf>
    <xf numFmtId="0" fontId="18" fillId="11" borderId="7" xfId="0" applyFont="1" applyFill="1" applyBorder="1" applyAlignment="1" applyProtection="1">
      <alignment horizontal="center" vertical="center" wrapText="1" readingOrder="1"/>
      <protection hidden="1"/>
    </xf>
    <xf numFmtId="0" fontId="18" fillId="11" borderId="6" xfId="0" applyFont="1" applyFill="1" applyBorder="1" applyAlignment="1" applyProtection="1">
      <alignment horizontal="center" vertical="center" wrapText="1" readingOrder="1"/>
      <protection hidden="1"/>
    </xf>
    <xf numFmtId="0" fontId="16" fillId="10" borderId="0" xfId="0" applyFont="1" applyFill="1" applyAlignment="1">
      <alignment horizontal="center" vertical="center" wrapText="1" readingOrder="1"/>
    </xf>
    <xf numFmtId="0" fontId="15" fillId="0" borderId="12" xfId="0" applyFont="1" applyBorder="1" applyAlignment="1">
      <alignment horizontal="center" vertical="center" wrapText="1"/>
    </xf>
    <xf numFmtId="0" fontId="18" fillId="11" borderId="9" xfId="0" applyFont="1" applyFill="1" applyBorder="1" applyAlignment="1" applyProtection="1">
      <alignment horizontal="center" vertical="center" wrapText="1" readingOrder="1"/>
      <protection hidden="1"/>
    </xf>
    <xf numFmtId="0" fontId="18" fillId="11" borderId="11" xfId="0" applyFont="1" applyFill="1" applyBorder="1" applyAlignment="1" applyProtection="1">
      <alignment horizontal="center" vertical="center" wrapText="1" readingOrder="1"/>
      <protection hidden="1"/>
    </xf>
    <xf numFmtId="0" fontId="18" fillId="11" borderId="10" xfId="0" applyFont="1" applyFill="1" applyBorder="1" applyAlignment="1" applyProtection="1">
      <alignment horizontal="center" vertical="center" wrapText="1" readingOrder="1"/>
      <protection hidden="1"/>
    </xf>
    <xf numFmtId="0" fontId="18" fillId="12" borderId="7" xfId="0" applyFont="1" applyFill="1" applyBorder="1" applyAlignment="1" applyProtection="1">
      <alignment horizontal="center" wrapText="1" readingOrder="1"/>
      <protection hidden="1"/>
    </xf>
    <xf numFmtId="0" fontId="18" fillId="12" borderId="0" xfId="0" applyFont="1" applyFill="1" applyAlignment="1" applyProtection="1">
      <alignment horizontal="center" wrapText="1" readingOrder="1"/>
      <protection hidden="1"/>
    </xf>
    <xf numFmtId="0" fontId="18" fillId="12" borderId="8" xfId="0" applyFont="1" applyFill="1" applyBorder="1" applyAlignment="1" applyProtection="1">
      <alignment horizontal="center" wrapText="1" readingOrder="1"/>
      <protection hidden="1"/>
    </xf>
    <xf numFmtId="0" fontId="18" fillId="12" borderId="9" xfId="0" applyFont="1" applyFill="1" applyBorder="1" applyAlignment="1" applyProtection="1">
      <alignment horizontal="center" wrapText="1" readingOrder="1"/>
      <protection hidden="1"/>
    </xf>
    <xf numFmtId="0" fontId="18" fillId="12" borderId="11" xfId="0" applyFont="1" applyFill="1" applyBorder="1" applyAlignment="1" applyProtection="1">
      <alignment horizontal="center" wrapText="1" readingOrder="1"/>
      <protection hidden="1"/>
    </xf>
    <xf numFmtId="0" fontId="18" fillId="12" borderId="10" xfId="0" applyFont="1" applyFill="1" applyBorder="1" applyAlignment="1" applyProtection="1">
      <alignment horizontal="center" wrapText="1" readingOrder="1"/>
      <protection hidden="1"/>
    </xf>
    <xf numFmtId="0" fontId="18" fillId="12" borderId="5" xfId="0" applyFont="1" applyFill="1" applyBorder="1" applyAlignment="1" applyProtection="1">
      <alignment horizontal="center" wrapText="1" readingOrder="1"/>
      <protection hidden="1"/>
    </xf>
    <xf numFmtId="0" fontId="18" fillId="12" borderId="12" xfId="0" applyFont="1" applyFill="1" applyBorder="1" applyAlignment="1" applyProtection="1">
      <alignment horizontal="center" wrapText="1" readingOrder="1"/>
      <protection hidden="1"/>
    </xf>
    <xf numFmtId="0" fontId="18" fillId="12" borderId="6" xfId="0" applyFont="1" applyFill="1" applyBorder="1" applyAlignment="1" applyProtection="1">
      <alignment horizontal="center" wrapText="1" readingOrder="1"/>
      <protection hidden="1"/>
    </xf>
    <xf numFmtId="0" fontId="18" fillId="13" borderId="7" xfId="0" applyFont="1" applyFill="1" applyBorder="1" applyAlignment="1" applyProtection="1">
      <alignment horizontal="center" wrapText="1" readingOrder="1"/>
      <protection hidden="1"/>
    </xf>
    <xf numFmtId="0" fontId="18" fillId="13" borderId="0" xfId="0" applyFont="1" applyFill="1" applyAlignment="1" applyProtection="1">
      <alignment horizontal="center" wrapText="1" readingOrder="1"/>
      <protection hidden="1"/>
    </xf>
    <xf numFmtId="0" fontId="18" fillId="13" borderId="8" xfId="0" applyFont="1" applyFill="1" applyBorder="1" applyAlignment="1" applyProtection="1">
      <alignment horizontal="center" wrapText="1" readingOrder="1"/>
      <protection hidden="1"/>
    </xf>
    <xf numFmtId="0" fontId="18" fillId="13" borderId="9" xfId="0" applyFont="1" applyFill="1" applyBorder="1" applyAlignment="1" applyProtection="1">
      <alignment horizontal="center" wrapText="1" readingOrder="1"/>
      <protection hidden="1"/>
    </xf>
    <xf numFmtId="0" fontId="18" fillId="13" borderId="11" xfId="0" applyFont="1" applyFill="1" applyBorder="1" applyAlignment="1" applyProtection="1">
      <alignment horizontal="center" wrapText="1" readingOrder="1"/>
      <protection hidden="1"/>
    </xf>
    <xf numFmtId="0" fontId="18" fillId="13" borderId="10" xfId="0" applyFont="1" applyFill="1" applyBorder="1" applyAlignment="1" applyProtection="1">
      <alignment horizontal="center" wrapText="1" readingOrder="1"/>
      <protection hidden="1"/>
    </xf>
    <xf numFmtId="0" fontId="18" fillId="13" borderId="5" xfId="0" applyFont="1" applyFill="1" applyBorder="1" applyAlignment="1" applyProtection="1">
      <alignment horizontal="center" wrapText="1" readingOrder="1"/>
      <protection hidden="1"/>
    </xf>
    <xf numFmtId="0" fontId="18" fillId="13" borderId="12" xfId="0" applyFont="1" applyFill="1" applyBorder="1" applyAlignment="1" applyProtection="1">
      <alignment horizontal="center" wrapText="1" readingOrder="1"/>
      <protection hidden="1"/>
    </xf>
    <xf numFmtId="0" fontId="18" fillId="13" borderId="6" xfId="0" applyFont="1" applyFill="1" applyBorder="1" applyAlignment="1" applyProtection="1">
      <alignment horizontal="center" wrapText="1" readingOrder="1"/>
      <protection hidden="1"/>
    </xf>
    <xf numFmtId="0" fontId="18" fillId="5" borderId="0" xfId="0" applyFont="1" applyFill="1" applyAlignment="1" applyProtection="1">
      <alignment horizontal="center" wrapText="1" readingOrder="1"/>
      <protection hidden="1"/>
    </xf>
    <xf numFmtId="0" fontId="18" fillId="5" borderId="8" xfId="0" applyFont="1" applyFill="1" applyBorder="1" applyAlignment="1" applyProtection="1">
      <alignment horizontal="center" wrapText="1" readingOrder="1"/>
      <protection hidden="1"/>
    </xf>
    <xf numFmtId="0" fontId="18" fillId="5" borderId="7" xfId="0" applyFont="1" applyFill="1" applyBorder="1" applyAlignment="1" applyProtection="1">
      <alignment horizontal="center" wrapText="1" readingOrder="1"/>
      <protection hidden="1"/>
    </xf>
    <xf numFmtId="0" fontId="18" fillId="5" borderId="9" xfId="0" applyFont="1" applyFill="1" applyBorder="1" applyAlignment="1" applyProtection="1">
      <alignment horizontal="center" wrapText="1" readingOrder="1"/>
      <protection hidden="1"/>
    </xf>
    <xf numFmtId="0" fontId="18" fillId="5" borderId="11" xfId="0" applyFont="1" applyFill="1" applyBorder="1" applyAlignment="1" applyProtection="1">
      <alignment horizontal="center" wrapText="1" readingOrder="1"/>
      <protection hidden="1"/>
    </xf>
    <xf numFmtId="0" fontId="18" fillId="5" borderId="10" xfId="0" applyFont="1" applyFill="1" applyBorder="1" applyAlignment="1" applyProtection="1">
      <alignment horizontal="center" wrapText="1" readingOrder="1"/>
      <protection hidden="1"/>
    </xf>
    <xf numFmtId="0" fontId="18" fillId="5" borderId="5" xfId="0" applyFont="1" applyFill="1" applyBorder="1" applyAlignment="1" applyProtection="1">
      <alignment horizontal="center" wrapText="1" readingOrder="1"/>
      <protection hidden="1"/>
    </xf>
    <xf numFmtId="0" fontId="18" fillId="5" borderId="12" xfId="0" applyFont="1" applyFill="1" applyBorder="1" applyAlignment="1" applyProtection="1">
      <alignment horizontal="center" wrapText="1" readingOrder="1"/>
      <protection hidden="1"/>
    </xf>
    <xf numFmtId="0" fontId="18" fillId="5" borderId="6" xfId="0" applyFont="1" applyFill="1" applyBorder="1" applyAlignment="1" applyProtection="1">
      <alignment horizontal="center" wrapText="1" readingOrder="1"/>
      <protection hidden="1"/>
    </xf>
    <xf numFmtId="0" fontId="22" fillId="24" borderId="0" xfId="0" applyFont="1" applyFill="1" applyAlignment="1">
      <alignment horizontal="center" vertical="center" wrapText="1"/>
    </xf>
    <xf numFmtId="0" fontId="36" fillId="11" borderId="13" xfId="0" applyFont="1" applyFill="1" applyBorder="1" applyAlignment="1">
      <alignment horizontal="center" vertical="center" wrapText="1" readingOrder="1"/>
    </xf>
    <xf numFmtId="0" fontId="36" fillId="11" borderId="14" xfId="0" applyFont="1" applyFill="1" applyBorder="1" applyAlignment="1">
      <alignment horizontal="center" vertical="center" wrapText="1" readingOrder="1"/>
    </xf>
    <xf numFmtId="0" fontId="36" fillId="11" borderId="15" xfId="0" applyFont="1" applyFill="1" applyBorder="1" applyAlignment="1">
      <alignment horizontal="center" vertical="center" wrapText="1" readingOrder="1"/>
    </xf>
    <xf numFmtId="0" fontId="36" fillId="11" borderId="16" xfId="0" applyFont="1" applyFill="1" applyBorder="1" applyAlignment="1">
      <alignment horizontal="center" vertical="center" wrapText="1" readingOrder="1"/>
    </xf>
    <xf numFmtId="0" fontId="36" fillId="11" borderId="0" xfId="0" applyFont="1" applyFill="1" applyAlignment="1">
      <alignment horizontal="center" vertical="center" wrapText="1" readingOrder="1"/>
    </xf>
    <xf numFmtId="0" fontId="36" fillId="11" borderId="17" xfId="0" applyFont="1" applyFill="1" applyBorder="1" applyAlignment="1">
      <alignment horizontal="center" vertical="center" wrapText="1" readingOrder="1"/>
    </xf>
    <xf numFmtId="0" fontId="36" fillId="11" borderId="18" xfId="0" applyFont="1" applyFill="1" applyBorder="1" applyAlignment="1">
      <alignment horizontal="center" vertical="center" wrapText="1" readingOrder="1"/>
    </xf>
    <xf numFmtId="0" fontId="36" fillId="11" borderId="19" xfId="0" applyFont="1" applyFill="1" applyBorder="1" applyAlignment="1">
      <alignment horizontal="center" vertical="center" wrapText="1" readingOrder="1"/>
    </xf>
    <xf numFmtId="0" fontId="36" fillId="11" borderId="20" xfId="0" applyFont="1" applyFill="1" applyBorder="1" applyAlignment="1">
      <alignment horizontal="center" vertical="center" wrapText="1" readingOrder="1"/>
    </xf>
    <xf numFmtId="0" fontId="37" fillId="0" borderId="5" xfId="0" applyFont="1" applyBorder="1" applyAlignment="1">
      <alignment horizontal="center" vertical="center" wrapText="1"/>
    </xf>
    <xf numFmtId="0" fontId="37" fillId="0" borderId="12" xfId="0" applyFont="1" applyBorder="1" applyAlignment="1">
      <alignment horizontal="center" vertical="center"/>
    </xf>
    <xf numFmtId="0" fontId="37" fillId="0" borderId="7" xfId="0" applyFont="1" applyBorder="1" applyAlignment="1">
      <alignment horizontal="center" vertical="center" wrapText="1"/>
    </xf>
    <xf numFmtId="0" fontId="37" fillId="0" borderId="0" xfId="0" applyFont="1" applyAlignment="1">
      <alignment horizontal="center" vertical="center"/>
    </xf>
    <xf numFmtId="0" fontId="37" fillId="0" borderId="7" xfId="0" applyFont="1" applyBorder="1" applyAlignment="1">
      <alignment horizontal="center"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36" fillId="12" borderId="13" xfId="0" applyFont="1" applyFill="1" applyBorder="1" applyAlignment="1">
      <alignment horizontal="center" vertical="center" wrapText="1" readingOrder="1"/>
    </xf>
    <xf numFmtId="0" fontId="36" fillId="12" borderId="14" xfId="0" applyFont="1" applyFill="1" applyBorder="1" applyAlignment="1">
      <alignment horizontal="center" vertical="center" wrapText="1" readingOrder="1"/>
    </xf>
    <xf numFmtId="0" fontId="36" fillId="12" borderId="15" xfId="0" applyFont="1" applyFill="1" applyBorder="1" applyAlignment="1">
      <alignment horizontal="center" vertical="center" wrapText="1" readingOrder="1"/>
    </xf>
    <xf numFmtId="0" fontId="36" fillId="12" borderId="16" xfId="0" applyFont="1" applyFill="1" applyBorder="1" applyAlignment="1">
      <alignment horizontal="center" vertical="center" wrapText="1" readingOrder="1"/>
    </xf>
    <xf numFmtId="0" fontId="36" fillId="12" borderId="0" xfId="0" applyFont="1" applyFill="1" applyAlignment="1">
      <alignment horizontal="center" vertical="center" wrapText="1" readingOrder="1"/>
    </xf>
    <xf numFmtId="0" fontId="36" fillId="12" borderId="17" xfId="0" applyFont="1" applyFill="1" applyBorder="1" applyAlignment="1">
      <alignment horizontal="center" vertical="center" wrapText="1" readingOrder="1"/>
    </xf>
    <xf numFmtId="0" fontId="36" fillId="12" borderId="18" xfId="0" applyFont="1" applyFill="1" applyBorder="1" applyAlignment="1">
      <alignment horizontal="center" vertical="center" wrapText="1" readingOrder="1"/>
    </xf>
    <xf numFmtId="0" fontId="36" fillId="12" borderId="19" xfId="0" applyFont="1" applyFill="1" applyBorder="1" applyAlignment="1">
      <alignment horizontal="center" vertical="center" wrapText="1" readingOrder="1"/>
    </xf>
    <xf numFmtId="0" fontId="36" fillId="12" borderId="20" xfId="0" applyFont="1" applyFill="1" applyBorder="1" applyAlignment="1">
      <alignment horizontal="center" vertical="center" wrapText="1" readingOrder="1"/>
    </xf>
    <xf numFmtId="0" fontId="88" fillId="24" borderId="0" xfId="0" applyFont="1" applyFill="1" applyAlignment="1">
      <alignment horizontal="center" vertical="center" wrapText="1"/>
    </xf>
    <xf numFmtId="0" fontId="21" fillId="24" borderId="0" xfId="0" applyFont="1" applyFill="1" applyAlignment="1">
      <alignment horizontal="center" vertical="center" wrapText="1"/>
    </xf>
    <xf numFmtId="0" fontId="37" fillId="0" borderId="6" xfId="0" applyFont="1" applyBorder="1" applyAlignment="1">
      <alignment horizontal="center" vertical="center"/>
    </xf>
    <xf numFmtId="0" fontId="37" fillId="0" borderId="8" xfId="0" applyFont="1" applyBorder="1" applyAlignment="1">
      <alignment horizontal="center" vertical="center"/>
    </xf>
    <xf numFmtId="0" fontId="37" fillId="0" borderId="10" xfId="0" applyFont="1" applyBorder="1" applyAlignment="1">
      <alignment horizontal="center" vertical="center"/>
    </xf>
    <xf numFmtId="0" fontId="36" fillId="5" borderId="13" xfId="0" applyFont="1" applyFill="1" applyBorder="1" applyAlignment="1">
      <alignment horizontal="center" vertical="center" wrapText="1" readingOrder="1"/>
    </xf>
    <xf numFmtId="0" fontId="36" fillId="5" borderId="14" xfId="0" applyFont="1" applyFill="1" applyBorder="1" applyAlignment="1">
      <alignment horizontal="center" vertical="center" wrapText="1" readingOrder="1"/>
    </xf>
    <xf numFmtId="0" fontId="36" fillId="5" borderId="15" xfId="0" applyFont="1" applyFill="1" applyBorder="1" applyAlignment="1">
      <alignment horizontal="center" vertical="center" wrapText="1" readingOrder="1"/>
    </xf>
    <xf numFmtId="0" fontId="36" fillId="5" borderId="16" xfId="0" applyFont="1" applyFill="1" applyBorder="1" applyAlignment="1">
      <alignment horizontal="center" vertical="center" wrapText="1" readingOrder="1"/>
    </xf>
    <xf numFmtId="0" fontId="36" fillId="5" borderId="0" xfId="0" applyFont="1" applyFill="1" applyAlignment="1">
      <alignment horizontal="center" vertical="center" wrapText="1" readingOrder="1"/>
    </xf>
    <xf numFmtId="0" fontId="36" fillId="5" borderId="17" xfId="0" applyFont="1" applyFill="1" applyBorder="1" applyAlignment="1">
      <alignment horizontal="center" vertical="center" wrapText="1" readingOrder="1"/>
    </xf>
    <xf numFmtId="0" fontId="36" fillId="5" borderId="18" xfId="0" applyFont="1" applyFill="1" applyBorder="1" applyAlignment="1">
      <alignment horizontal="center" vertical="center" wrapText="1" readingOrder="1"/>
    </xf>
    <xf numFmtId="0" fontId="36" fillId="5" borderId="19" xfId="0" applyFont="1" applyFill="1" applyBorder="1" applyAlignment="1">
      <alignment horizontal="center" vertical="center" wrapText="1" readingOrder="1"/>
    </xf>
    <xf numFmtId="0" fontId="36" fillId="5" borderId="20" xfId="0" applyFont="1" applyFill="1" applyBorder="1" applyAlignment="1">
      <alignment horizontal="center" vertical="center" wrapText="1" readingOrder="1"/>
    </xf>
    <xf numFmtId="0" fontId="36" fillId="13" borderId="13" xfId="0" applyFont="1" applyFill="1" applyBorder="1" applyAlignment="1">
      <alignment horizontal="center" vertical="center" wrapText="1" readingOrder="1"/>
    </xf>
    <xf numFmtId="0" fontId="36" fillId="13" borderId="14" xfId="0" applyFont="1" applyFill="1" applyBorder="1" applyAlignment="1">
      <alignment horizontal="center" vertical="center" wrapText="1" readingOrder="1"/>
    </xf>
    <xf numFmtId="0" fontId="36" fillId="13" borderId="15" xfId="0" applyFont="1" applyFill="1" applyBorder="1" applyAlignment="1">
      <alignment horizontal="center" vertical="center" wrapText="1" readingOrder="1"/>
    </xf>
    <xf numFmtId="0" fontId="36" fillId="13" borderId="16" xfId="0" applyFont="1" applyFill="1" applyBorder="1" applyAlignment="1">
      <alignment horizontal="center" vertical="center" wrapText="1" readingOrder="1"/>
    </xf>
    <xf numFmtId="0" fontId="36" fillId="13" borderId="0" xfId="0" applyFont="1" applyFill="1" applyAlignment="1">
      <alignment horizontal="center" vertical="center" wrapText="1" readingOrder="1"/>
    </xf>
    <xf numFmtId="0" fontId="36" fillId="13" borderId="17" xfId="0" applyFont="1" applyFill="1" applyBorder="1" applyAlignment="1">
      <alignment horizontal="center" vertical="center" wrapText="1" readingOrder="1"/>
    </xf>
    <xf numFmtId="0" fontId="36" fillId="13" borderId="18" xfId="0" applyFont="1" applyFill="1" applyBorder="1" applyAlignment="1">
      <alignment horizontal="center" vertical="center" wrapText="1" readingOrder="1"/>
    </xf>
    <xf numFmtId="0" fontId="36" fillId="13" borderId="19" xfId="0" applyFont="1" applyFill="1" applyBorder="1" applyAlignment="1">
      <alignment horizontal="center" vertical="center" wrapText="1" readingOrder="1"/>
    </xf>
    <xf numFmtId="0" fontId="36" fillId="13" borderId="20" xfId="0" applyFont="1" applyFill="1" applyBorder="1" applyAlignment="1">
      <alignment horizontal="center" vertical="center" wrapText="1" readingOrder="1"/>
    </xf>
    <xf numFmtId="0" fontId="37" fillId="0" borderId="12" xfId="0" applyFont="1" applyBorder="1" applyAlignment="1">
      <alignment horizontal="center" vertical="center" wrapText="1"/>
    </xf>
    <xf numFmtId="0" fontId="105" fillId="0" borderId="24" xfId="0" applyFont="1" applyBorder="1" applyAlignment="1" applyProtection="1">
      <alignment horizontal="center" vertical="center"/>
      <protection locked="0"/>
    </xf>
    <xf numFmtId="0" fontId="105" fillId="0" borderId="25" xfId="0" applyFont="1" applyBorder="1" applyAlignment="1" applyProtection="1">
      <alignment horizontal="center" vertical="center"/>
      <protection locked="0"/>
    </xf>
    <xf numFmtId="0" fontId="105" fillId="0" borderId="36" xfId="0" applyFont="1" applyBorder="1" applyAlignment="1" applyProtection="1">
      <alignment horizontal="center" vertical="center"/>
      <protection locked="0"/>
    </xf>
    <xf numFmtId="0" fontId="78" fillId="3" borderId="24" xfId="0" applyFont="1" applyFill="1" applyBorder="1" applyAlignment="1" applyProtection="1">
      <alignment horizontal="center" vertical="center" wrapText="1"/>
      <protection locked="0"/>
    </xf>
    <xf numFmtId="0" fontId="78" fillId="3" borderId="25" xfId="0" applyFont="1" applyFill="1" applyBorder="1" applyAlignment="1" applyProtection="1">
      <alignment horizontal="center" vertical="center" wrapText="1"/>
      <protection locked="0"/>
    </xf>
    <xf numFmtId="0" fontId="78" fillId="3" borderId="36" xfId="0" applyFont="1" applyFill="1" applyBorder="1" applyAlignment="1" applyProtection="1">
      <alignment horizontal="center" vertical="center" wrapText="1"/>
      <protection locked="0"/>
    </xf>
    <xf numFmtId="0" fontId="79" fillId="27" borderId="83" xfId="0" applyFont="1" applyFill="1" applyBorder="1" applyAlignment="1">
      <alignment horizontal="center" vertical="center" textRotation="90"/>
    </xf>
    <xf numFmtId="0" fontId="118" fillId="0" borderId="84" xfId="0" applyFont="1" applyBorder="1" applyAlignment="1" applyProtection="1">
      <alignment horizontal="center" vertical="center" wrapText="1"/>
      <protection locked="0"/>
    </xf>
    <xf numFmtId="0" fontId="118" fillId="0" borderId="92" xfId="0" applyFont="1" applyBorder="1" applyAlignment="1" applyProtection="1">
      <alignment horizontal="center" vertical="center" wrapText="1"/>
      <protection locked="0"/>
    </xf>
    <xf numFmtId="0" fontId="118" fillId="0" borderId="85" xfId="0" applyFont="1" applyBorder="1" applyAlignment="1" applyProtection="1">
      <alignment horizontal="center" vertical="center" wrapText="1"/>
      <protection locked="0"/>
    </xf>
    <xf numFmtId="0" fontId="79" fillId="0" borderId="83" xfId="0" applyFont="1" applyBorder="1" applyAlignment="1">
      <alignment horizontal="center" vertical="center"/>
    </xf>
    <xf numFmtId="0" fontId="118" fillId="0" borderId="83" xfId="0" applyFont="1" applyBorder="1" applyAlignment="1" applyProtection="1">
      <alignment horizontal="center" vertical="center" wrapText="1"/>
      <protection locked="0"/>
    </xf>
    <xf numFmtId="0" fontId="118" fillId="0" borderId="83" xfId="0" applyFont="1" applyBorder="1" applyAlignment="1" applyProtection="1">
      <alignment horizontal="justify" vertical="center" wrapText="1"/>
      <protection locked="0"/>
    </xf>
    <xf numFmtId="0" fontId="79" fillId="2" borderId="99" xfId="0" applyFont="1" applyFill="1" applyBorder="1" applyAlignment="1">
      <alignment horizontal="center" vertical="center"/>
    </xf>
    <xf numFmtId="0" fontId="79" fillId="2" borderId="100" xfId="0" applyFont="1" applyFill="1" applyBorder="1" applyAlignment="1">
      <alignment horizontal="center" vertical="center"/>
    </xf>
    <xf numFmtId="0" fontId="79" fillId="2" borderId="101" xfId="0" applyFont="1" applyFill="1" applyBorder="1" applyAlignment="1">
      <alignment horizontal="center" vertical="center"/>
    </xf>
    <xf numFmtId="0" fontId="79" fillId="2" borderId="105" xfId="0" applyFont="1" applyFill="1" applyBorder="1" applyAlignment="1">
      <alignment horizontal="center" vertical="center" wrapText="1"/>
    </xf>
    <xf numFmtId="0" fontId="79" fillId="2" borderId="86" xfId="0" applyFont="1" applyFill="1" applyBorder="1" applyAlignment="1">
      <alignment horizontal="center" vertical="center" wrapText="1"/>
    </xf>
    <xf numFmtId="0" fontId="79" fillId="2" borderId="83" xfId="0" applyFont="1" applyFill="1" applyBorder="1" applyAlignment="1">
      <alignment horizontal="center" vertical="center" textRotation="90"/>
    </xf>
    <xf numFmtId="0" fontId="79" fillId="2" borderId="83" xfId="0" applyFont="1" applyFill="1" applyBorder="1" applyAlignment="1">
      <alignment horizontal="center" vertical="center" wrapText="1"/>
    </xf>
    <xf numFmtId="0" fontId="79" fillId="2" borderId="83" xfId="0" applyFont="1" applyFill="1" applyBorder="1" applyAlignment="1">
      <alignment horizontal="center" vertical="center"/>
    </xf>
    <xf numFmtId="0" fontId="79" fillId="2" borderId="84" xfId="0" applyFont="1" applyFill="1" applyBorder="1" applyAlignment="1">
      <alignment horizontal="center" vertical="center" wrapText="1"/>
    </xf>
    <xf numFmtId="0" fontId="79" fillId="2" borderId="85" xfId="0" applyFont="1" applyFill="1" applyBorder="1" applyAlignment="1">
      <alignment horizontal="center" vertical="center" wrapText="1"/>
    </xf>
    <xf numFmtId="0" fontId="79" fillId="2" borderId="83" xfId="0" applyFont="1" applyFill="1" applyBorder="1" applyAlignment="1">
      <alignment horizontal="center" vertical="center" textRotation="90" wrapText="1"/>
    </xf>
    <xf numFmtId="0" fontId="79" fillId="21" borderId="83" xfId="0" applyFont="1" applyFill="1" applyBorder="1" applyAlignment="1">
      <alignment horizontal="center" vertical="center"/>
    </xf>
    <xf numFmtId="0" fontId="78" fillId="0" borderId="84" xfId="0" applyFont="1" applyBorder="1" applyAlignment="1" applyProtection="1">
      <alignment horizontal="left" vertical="center" wrapText="1"/>
      <protection locked="0"/>
    </xf>
    <xf numFmtId="0" fontId="78" fillId="0" borderId="92" xfId="0" applyFont="1" applyBorder="1" applyAlignment="1" applyProtection="1">
      <alignment horizontal="left" vertical="center" wrapText="1"/>
      <protection locked="0"/>
    </xf>
    <xf numFmtId="0" fontId="78" fillId="0" borderId="85" xfId="0" applyFont="1" applyBorder="1" applyAlignment="1" applyProtection="1">
      <alignment horizontal="left" vertical="center" wrapText="1"/>
      <protection locked="0"/>
    </xf>
    <xf numFmtId="0" fontId="70" fillId="0" borderId="12" xfId="0" applyFont="1" applyBorder="1" applyAlignment="1">
      <alignment horizontal="left" wrapText="1"/>
    </xf>
    <xf numFmtId="0" fontId="70" fillId="0" borderId="0" xfId="0" applyFont="1" applyAlignment="1">
      <alignment horizontal="left" wrapText="1"/>
    </xf>
    <xf numFmtId="0" fontId="70" fillId="4" borderId="12" xfId="0" applyFont="1" applyFill="1" applyBorder="1" applyAlignment="1">
      <alignment horizontal="center" vertical="center" wrapText="1"/>
    </xf>
    <xf numFmtId="0" fontId="70" fillId="4" borderId="0" xfId="0" applyFont="1" applyFill="1" applyAlignment="1">
      <alignment horizontal="center" vertical="center" wrapText="1"/>
    </xf>
    <xf numFmtId="0" fontId="73" fillId="21" borderId="34" xfId="0" applyFont="1" applyFill="1" applyBorder="1" applyAlignment="1">
      <alignment horizontal="center" vertical="center" wrapText="1"/>
    </xf>
    <xf numFmtId="0" fontId="73" fillId="21" borderId="35" xfId="0" applyFont="1" applyFill="1" applyBorder="1" applyAlignment="1">
      <alignment horizontal="center" vertical="center" wrapText="1"/>
    </xf>
    <xf numFmtId="0" fontId="70" fillId="0" borderId="22" xfId="0" applyFont="1" applyBorder="1" applyAlignment="1">
      <alignment horizontal="left" vertical="center" wrapText="1"/>
    </xf>
    <xf numFmtId="0" fontId="70" fillId="0" borderId="76" xfId="0" applyFont="1" applyBorder="1" applyAlignment="1">
      <alignment horizontal="left" vertical="center" wrapText="1"/>
    </xf>
    <xf numFmtId="0" fontId="73" fillId="21" borderId="33" xfId="0" applyFont="1" applyFill="1" applyBorder="1" applyAlignment="1">
      <alignment horizontal="center" vertical="center" wrapText="1"/>
    </xf>
    <xf numFmtId="0" fontId="71" fillId="16" borderId="24" xfId="0" applyFont="1" applyFill="1" applyBorder="1" applyAlignment="1">
      <alignment horizontal="center" vertical="center" wrapText="1"/>
    </xf>
    <xf numFmtId="0" fontId="71" fillId="16" borderId="25" xfId="0" applyFont="1" applyFill="1" applyBorder="1" applyAlignment="1">
      <alignment horizontal="center" vertical="center" wrapText="1"/>
    </xf>
    <xf numFmtId="0" fontId="71" fillId="16" borderId="36" xfId="0" applyFont="1" applyFill="1" applyBorder="1" applyAlignment="1">
      <alignment horizontal="center" vertical="center" wrapText="1"/>
    </xf>
    <xf numFmtId="0" fontId="72" fillId="16" borderId="73" xfId="0" applyFont="1" applyFill="1" applyBorder="1" applyAlignment="1">
      <alignment horizontal="center" vertical="center" wrapText="1"/>
    </xf>
    <xf numFmtId="0" fontId="72" fillId="16" borderId="28" xfId="0" applyFont="1" applyFill="1" applyBorder="1" applyAlignment="1">
      <alignment horizontal="center" vertical="center" wrapText="1"/>
    </xf>
    <xf numFmtId="0" fontId="72" fillId="16" borderId="74" xfId="0" applyFont="1" applyFill="1" applyBorder="1" applyAlignment="1">
      <alignment horizontal="center" vertical="center" wrapText="1"/>
    </xf>
    <xf numFmtId="0" fontId="72" fillId="16" borderId="29" xfId="0" applyFont="1" applyFill="1" applyBorder="1" applyAlignment="1">
      <alignment horizontal="center" vertical="center" wrapText="1"/>
    </xf>
    <xf numFmtId="0" fontId="72" fillId="16" borderId="75" xfId="0" applyFont="1" applyFill="1" applyBorder="1" applyAlignment="1">
      <alignment horizontal="center" vertical="center" wrapText="1"/>
    </xf>
    <xf numFmtId="0" fontId="70" fillId="0" borderId="74" xfId="0" applyFont="1" applyBorder="1" applyAlignment="1">
      <alignment horizontal="left" vertical="center" wrapText="1"/>
    </xf>
    <xf numFmtId="0" fontId="107" fillId="0" borderId="112" xfId="7" applyFont="1" applyBorder="1" applyAlignment="1">
      <alignment horizontal="center" vertical="center"/>
    </xf>
    <xf numFmtId="0" fontId="108" fillId="0" borderId="69" xfId="7" applyFont="1" applyBorder="1" applyAlignment="1">
      <alignment horizontal="center" vertical="center"/>
    </xf>
    <xf numFmtId="0" fontId="108" fillId="0" borderId="0" xfId="7" applyFont="1" applyAlignment="1">
      <alignment horizontal="center" vertical="center"/>
    </xf>
    <xf numFmtId="0" fontId="108" fillId="0" borderId="69" xfId="7" applyFont="1" applyBorder="1" applyAlignment="1">
      <alignment horizontal="left" vertical="center"/>
    </xf>
    <xf numFmtId="0" fontId="108" fillId="0" borderId="0" xfId="7" applyFont="1" applyAlignment="1">
      <alignment horizontal="left" vertical="center"/>
    </xf>
    <xf numFmtId="0" fontId="111" fillId="36" borderId="115" xfId="7" applyFont="1" applyFill="1" applyBorder="1" applyAlignment="1">
      <alignment horizontal="left" vertical="center"/>
    </xf>
    <xf numFmtId="0" fontId="110" fillId="35" borderId="69" xfId="7" applyFont="1" applyFill="1" applyBorder="1" applyAlignment="1" applyProtection="1">
      <alignment horizontal="center" vertical="center" wrapText="1"/>
      <protection locked="0"/>
    </xf>
    <xf numFmtId="0" fontId="110" fillId="35" borderId="0" xfId="7" applyFont="1" applyFill="1" applyAlignment="1">
      <alignment horizontal="left" wrapText="1"/>
    </xf>
    <xf numFmtId="0" fontId="111" fillId="37" borderId="116" xfId="7" applyFont="1" applyFill="1" applyBorder="1" applyAlignment="1">
      <alignment horizontal="center" vertical="center"/>
    </xf>
    <xf numFmtId="0" fontId="111" fillId="38" borderId="116" xfId="7" applyFont="1" applyFill="1" applyBorder="1" applyAlignment="1">
      <alignment horizontal="center" vertical="center"/>
    </xf>
    <xf numFmtId="0" fontId="111" fillId="37" borderId="119" xfId="7" applyFont="1" applyFill="1" applyBorder="1" applyAlignment="1">
      <alignment horizontal="center" vertical="center"/>
    </xf>
    <xf numFmtId="0" fontId="111" fillId="36" borderId="118" xfId="7" applyFont="1" applyFill="1" applyBorder="1" applyAlignment="1">
      <alignment horizontal="center" vertical="center" wrapText="1"/>
    </xf>
    <xf numFmtId="0" fontId="111" fillId="37" borderId="118" xfId="7" applyFont="1" applyFill="1" applyBorder="1" applyAlignment="1">
      <alignment horizontal="center" vertical="center"/>
    </xf>
    <xf numFmtId="0" fontId="111" fillId="36" borderId="113" xfId="7" applyFont="1" applyFill="1" applyBorder="1" applyAlignment="1">
      <alignment horizontal="left" vertical="center"/>
    </xf>
    <xf numFmtId="0" fontId="112" fillId="0" borderId="69" xfId="7" applyFont="1" applyBorder="1" applyAlignment="1" applyProtection="1">
      <alignment horizontal="center" vertical="center"/>
      <protection locked="0"/>
    </xf>
    <xf numFmtId="0" fontId="111" fillId="35" borderId="0" xfId="7" applyFont="1" applyFill="1" applyAlignment="1">
      <alignment horizontal="left" vertical="center"/>
    </xf>
    <xf numFmtId="0" fontId="111" fillId="36" borderId="114" xfId="7" applyFont="1" applyFill="1" applyBorder="1" applyAlignment="1">
      <alignment horizontal="left" vertical="center"/>
    </xf>
    <xf numFmtId="0" fontId="111" fillId="37" borderId="120" xfId="7" applyFont="1" applyFill="1" applyBorder="1" applyAlignment="1">
      <alignment horizontal="center" vertical="center" textRotation="90"/>
    </xf>
    <xf numFmtId="0" fontId="111" fillId="37" borderId="120" xfId="7" applyFont="1" applyFill="1" applyBorder="1" applyAlignment="1">
      <alignment horizontal="center" vertical="center" wrapText="1"/>
    </xf>
    <xf numFmtId="0" fontId="111" fillId="39" borderId="120" xfId="7" applyFont="1" applyFill="1" applyBorder="1" applyAlignment="1">
      <alignment horizontal="center" vertical="center" wrapText="1"/>
    </xf>
    <xf numFmtId="0" fontId="111" fillId="38" borderId="120" xfId="7" applyFont="1" applyFill="1" applyBorder="1" applyAlignment="1">
      <alignment horizontal="center" vertical="center" wrapText="1"/>
    </xf>
    <xf numFmtId="0" fontId="111" fillId="38" borderId="120" xfId="7" applyFont="1" applyFill="1" applyBorder="1" applyAlignment="1">
      <alignment horizontal="center" vertical="center"/>
    </xf>
    <xf numFmtId="0" fontId="111" fillId="36" borderId="118" xfId="7" applyFont="1" applyFill="1" applyBorder="1" applyAlignment="1">
      <alignment horizontal="center" vertical="center"/>
    </xf>
    <xf numFmtId="0" fontId="111" fillId="36" borderId="120" xfId="7" applyFont="1" applyFill="1" applyBorder="1" applyAlignment="1">
      <alignment horizontal="center" vertical="center" textRotation="90" wrapText="1"/>
    </xf>
    <xf numFmtId="0" fontId="111" fillId="37" borderId="120" xfId="7" applyFont="1" applyFill="1" applyBorder="1" applyAlignment="1">
      <alignment horizontal="center" vertical="center" textRotation="90" wrapText="1"/>
    </xf>
    <xf numFmtId="0" fontId="119" fillId="0" borderId="120" xfId="7" applyFont="1" applyBorder="1" applyAlignment="1" applyProtection="1">
      <alignment horizontal="center" vertical="center" wrapText="1"/>
      <protection locked="0"/>
    </xf>
    <xf numFmtId="0" fontId="111" fillId="36" borderId="120" xfId="7" applyFont="1" applyFill="1" applyBorder="1" applyAlignment="1">
      <alignment horizontal="center" vertical="center" wrapText="1"/>
    </xf>
    <xf numFmtId="0" fontId="111" fillId="0" borderId="120" xfId="7" applyFont="1" applyBorder="1" applyAlignment="1">
      <alignment horizontal="center" vertical="center"/>
    </xf>
    <xf numFmtId="0" fontId="110" fillId="0" borderId="120" xfId="7" applyFont="1" applyBorder="1" applyAlignment="1" applyProtection="1">
      <alignment horizontal="center" vertical="center" wrapText="1"/>
      <protection locked="0"/>
    </xf>
    <xf numFmtId="9" fontId="110" fillId="0" borderId="120" xfId="7" applyNumberFormat="1" applyFont="1" applyBorder="1" applyAlignment="1" applyProtection="1">
      <alignment horizontal="center" vertical="center" wrapText="1"/>
      <protection hidden="1"/>
    </xf>
    <xf numFmtId="0" fontId="111" fillId="0" borderId="120" xfId="7" applyFont="1" applyBorder="1" applyAlignment="1" applyProtection="1">
      <alignment horizontal="center" vertical="center" wrapText="1"/>
      <protection hidden="1"/>
    </xf>
    <xf numFmtId="0" fontId="111" fillId="0" borderId="120" xfId="7" applyFont="1" applyBorder="1" applyAlignment="1" applyProtection="1">
      <alignment horizontal="center" vertical="center"/>
      <protection hidden="1"/>
    </xf>
    <xf numFmtId="9" fontId="110" fillId="0" borderId="120" xfId="7" applyNumberFormat="1" applyFont="1" applyBorder="1" applyAlignment="1" applyProtection="1">
      <alignment horizontal="center" vertical="center" wrapText="1"/>
      <protection locked="0"/>
    </xf>
    <xf numFmtId="0" fontId="119" fillId="0" borderId="120" xfId="7" applyFont="1" applyBorder="1" applyAlignment="1" applyProtection="1">
      <alignment horizontal="center" vertical="center"/>
      <protection locked="0"/>
    </xf>
    <xf numFmtId="0" fontId="110" fillId="0" borderId="120" xfId="7" applyFont="1" applyBorder="1" applyAlignment="1" applyProtection="1">
      <alignment horizontal="center" vertical="center"/>
      <protection locked="0"/>
    </xf>
    <xf numFmtId="0" fontId="113" fillId="0" borderId="120" xfId="7" applyFont="1" applyBorder="1" applyAlignment="1" applyProtection="1">
      <alignment horizontal="center" vertical="center" wrapText="1"/>
      <protection locked="0"/>
    </xf>
    <xf numFmtId="0" fontId="110" fillId="0" borderId="122" xfId="7" applyFont="1" applyBorder="1" applyAlignment="1">
      <alignment horizontal="left" vertical="center" wrapText="1"/>
    </xf>
    <xf numFmtId="0" fontId="78" fillId="21" borderId="83" xfId="0" applyFont="1" applyFill="1" applyBorder="1" applyAlignment="1" applyProtection="1">
      <alignment horizontal="center" vertical="center" wrapText="1"/>
      <protection locked="0"/>
    </xf>
    <xf numFmtId="0" fontId="78" fillId="21" borderId="84" xfId="0" applyFont="1" applyFill="1" applyBorder="1" applyAlignment="1" applyProtection="1">
      <alignment horizontal="center" vertical="center" wrapText="1"/>
      <protection locked="0"/>
    </xf>
    <xf numFmtId="0" fontId="78" fillId="21" borderId="92" xfId="0" applyFont="1" applyFill="1" applyBorder="1" applyAlignment="1" applyProtection="1">
      <alignment horizontal="center" vertical="center" wrapText="1"/>
      <protection locked="0"/>
    </xf>
    <xf numFmtId="0" fontId="78" fillId="21" borderId="85" xfId="0" applyFont="1" applyFill="1" applyBorder="1" applyAlignment="1" applyProtection="1">
      <alignment horizontal="center" vertical="center" wrapText="1"/>
      <protection locked="0"/>
    </xf>
    <xf numFmtId="0" fontId="78" fillId="21" borderId="83" xfId="0" applyFont="1" applyFill="1" applyBorder="1" applyAlignment="1" applyProtection="1">
      <alignment horizontal="center" vertical="center"/>
      <protection locked="0"/>
    </xf>
    <xf numFmtId="0" fontId="79" fillId="21" borderId="83" xfId="0" applyFont="1" applyFill="1" applyBorder="1" applyAlignment="1" applyProtection="1">
      <alignment horizontal="center" vertical="center" wrapText="1"/>
      <protection hidden="1"/>
    </xf>
    <xf numFmtId="9" fontId="78" fillId="21" borderId="83" xfId="0" applyNumberFormat="1" applyFont="1" applyFill="1" applyBorder="1" applyAlignment="1" applyProtection="1">
      <alignment horizontal="center" vertical="center" wrapText="1"/>
      <protection hidden="1"/>
    </xf>
    <xf numFmtId="9" fontId="78" fillId="21" borderId="83" xfId="0" applyNumberFormat="1" applyFont="1" applyFill="1" applyBorder="1" applyAlignment="1" applyProtection="1">
      <alignment horizontal="center" vertical="center" wrapText="1"/>
      <protection locked="0"/>
    </xf>
    <xf numFmtId="0" fontId="79" fillId="21" borderId="83" xfId="0" applyFont="1" applyFill="1" applyBorder="1" applyAlignment="1" applyProtection="1">
      <alignment horizontal="center" vertical="center"/>
      <protection hidden="1"/>
    </xf>
    <xf numFmtId="0" fontId="78" fillId="21" borderId="83" xfId="0" applyFont="1" applyFill="1" applyBorder="1" applyAlignment="1" applyProtection="1">
      <alignment horizontal="justify" vertical="center" wrapText="1"/>
      <protection locked="0"/>
    </xf>
    <xf numFmtId="0" fontId="79" fillId="33" borderId="83" xfId="0" applyFont="1" applyFill="1" applyBorder="1" applyAlignment="1">
      <alignment horizontal="center" vertical="center" wrapText="1"/>
    </xf>
    <xf numFmtId="0" fontId="102" fillId="0" borderId="0" xfId="0" applyFont="1" applyAlignment="1">
      <alignment horizontal="center" vertical="center"/>
    </xf>
    <xf numFmtId="0" fontId="39" fillId="0" borderId="0" xfId="0" applyFont="1" applyAlignment="1">
      <alignment horizontal="center" vertical="center"/>
    </xf>
    <xf numFmtId="0" fontId="21" fillId="0" borderId="0" xfId="0" applyFont="1" applyAlignment="1">
      <alignment horizontal="center" vertical="center"/>
    </xf>
    <xf numFmtId="0" fontId="35" fillId="15" borderId="24" xfId="0" applyFont="1" applyFill="1" applyBorder="1" applyAlignment="1">
      <alignment horizontal="center" vertical="center" wrapText="1" readingOrder="1"/>
    </xf>
    <xf numFmtId="0" fontId="35" fillId="15" borderId="25" xfId="0" applyFont="1" applyFill="1" applyBorder="1" applyAlignment="1">
      <alignment horizontal="center" vertical="center" wrapText="1" readingOrder="1"/>
    </xf>
    <xf numFmtId="0" fontId="35" fillId="15" borderId="36" xfId="0" applyFont="1" applyFill="1" applyBorder="1" applyAlignment="1">
      <alignment horizontal="center" vertical="center" wrapText="1" readingOrder="1"/>
    </xf>
    <xf numFmtId="0" fontId="30" fillId="3" borderId="0" xfId="0" applyFont="1" applyFill="1" applyAlignment="1">
      <alignment horizontal="justify" vertical="center" wrapText="1"/>
    </xf>
    <xf numFmtId="0" fontId="32" fillId="15" borderId="33" xfId="0" applyFont="1" applyFill="1" applyBorder="1" applyAlignment="1">
      <alignment horizontal="center" vertical="center" wrapText="1" readingOrder="1"/>
    </xf>
    <xf numFmtId="0" fontId="32" fillId="15" borderId="34" xfId="0" applyFont="1" applyFill="1" applyBorder="1" applyAlignment="1">
      <alignment horizontal="center" vertical="center" wrapText="1" readingOrder="1"/>
    </xf>
    <xf numFmtId="0" fontId="32" fillId="3" borderId="31" xfId="0" applyFont="1" applyFill="1" applyBorder="1" applyAlignment="1">
      <alignment horizontal="center" vertical="center" wrapText="1" readingOrder="1"/>
    </xf>
    <xf numFmtId="0" fontId="32" fillId="3" borderId="26" xfId="0" applyFont="1" applyFill="1" applyBorder="1" applyAlignment="1">
      <alignment horizontal="center" vertical="center" wrapText="1" readingOrder="1"/>
    </xf>
    <xf numFmtId="0" fontId="32" fillId="3" borderId="23" xfId="0" applyFont="1" applyFill="1" applyBorder="1" applyAlignment="1">
      <alignment horizontal="center" vertical="center" wrapText="1" readingOrder="1"/>
    </xf>
    <xf numFmtId="0" fontId="32" fillId="3" borderId="22" xfId="0" applyFont="1" applyFill="1" applyBorder="1" applyAlignment="1">
      <alignment horizontal="center" vertical="center" wrapText="1" readingOrder="1"/>
    </xf>
    <xf numFmtId="0" fontId="32" fillId="3" borderId="28" xfId="0" applyFont="1" applyFill="1" applyBorder="1" applyAlignment="1">
      <alignment horizontal="center" vertical="center" wrapText="1" readingOrder="1"/>
    </xf>
    <xf numFmtId="0" fontId="32" fillId="3" borderId="29" xfId="0" applyFont="1" applyFill="1" applyBorder="1" applyAlignment="1">
      <alignment horizontal="center" vertical="center" wrapText="1" readingOrder="1"/>
    </xf>
  </cellXfs>
  <cellStyles count="9">
    <cellStyle name="Moneda" xfId="5" builtinId="4"/>
    <cellStyle name="Moneda 2" xfId="6" xr:uid="{00000000-0005-0000-0000-000001000000}"/>
    <cellStyle name="Normal" xfId="0" builtinId="0"/>
    <cellStyle name="Normal - Style1 2" xfId="2" xr:uid="{00000000-0005-0000-0000-000003000000}"/>
    <cellStyle name="Normal 2" xfId="4" xr:uid="{00000000-0005-0000-0000-000004000000}"/>
    <cellStyle name="Normal 2 2" xfId="3" xr:uid="{00000000-0005-0000-0000-000005000000}"/>
    <cellStyle name="Normal 3" xfId="7" xr:uid="{00000000-0005-0000-0000-000006000000}"/>
    <cellStyle name="Porcentaje" xfId="1" builtinId="5"/>
    <cellStyle name="Porcentaje 2" xfId="8" xr:uid="{00000000-0005-0000-0000-000008000000}"/>
  </cellStyles>
  <dxfs count="463">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92D050"/>
        </patternFill>
      </fill>
    </dxf>
    <dxf>
      <fill>
        <patternFill>
          <bgColor rgb="FFFFFF00"/>
        </patternFill>
      </fill>
    </dxf>
    <dxf>
      <fill>
        <patternFill>
          <bgColor rgb="FFE46C0A"/>
        </patternFill>
      </fill>
    </dxf>
    <dxf>
      <fill>
        <patternFill>
          <bgColor rgb="FFC00000"/>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rgb="FFE46C0A"/>
        </patternFill>
      </fill>
    </dxf>
    <dxf>
      <fill>
        <patternFill>
          <bgColor rgb="FFC00000"/>
        </patternFill>
      </fill>
    </dxf>
    <dxf>
      <font>
        <sz val="11"/>
        <color rgb="FFCC0000"/>
        <name val="Calibri"/>
      </font>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rgb="FFFFFFFF"/>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66"/>
        </patternFill>
      </fill>
    </dxf>
    <dxf>
      <fill>
        <patternFill>
          <bgColor rgb="FFFF0000"/>
        </patternFill>
      </fill>
    </dxf>
    <dxf>
      <fill>
        <patternFill>
          <bgColor rgb="FFFFC000"/>
        </patternFill>
      </fill>
    </dxf>
    <dxf>
      <font>
        <color auto="1"/>
      </font>
      <fill>
        <patternFill>
          <bgColor rgb="FF92D050"/>
        </patternFill>
      </fill>
    </dxf>
    <dxf>
      <fill>
        <patternFill>
          <bgColor rgb="FF00B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rgb="FFC00000"/>
        </patternFill>
      </fill>
    </dxf>
    <dxf>
      <fill>
        <patternFill>
          <bgColor theme="9" tint="-0.24994659260841701"/>
        </patternFill>
      </fill>
    </dxf>
    <dxf>
      <fill>
        <patternFill>
          <bgColor rgb="FF92D05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000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FF66"/>
        </patternFill>
      </fill>
    </dxf>
    <dxf>
      <fill>
        <patternFill>
          <bgColor rgb="FFFF0000"/>
        </patternFill>
      </fill>
    </dxf>
    <dxf>
      <font>
        <color auto="1"/>
      </font>
      <fill>
        <patternFill>
          <bgColor rgb="FF92D050"/>
        </patternFill>
      </fill>
    </dxf>
    <dxf>
      <fill>
        <patternFill>
          <bgColor rgb="FF00B050"/>
        </patternFill>
      </fill>
    </dxf>
    <dxf>
      <fill>
        <patternFill>
          <bgColor rgb="FFFFC000"/>
        </patternFill>
      </fill>
    </dxf>
    <dxf>
      <fill>
        <patternFill>
          <bgColor rgb="FFFFFF66"/>
        </patternFill>
      </fill>
    </dxf>
    <dxf>
      <fill>
        <patternFill>
          <bgColor rgb="FFFF0000"/>
        </patternFill>
      </fill>
    </dxf>
    <dxf>
      <fill>
        <patternFill>
          <bgColor rgb="FFFFFF66"/>
        </patternFill>
      </fill>
    </dxf>
    <dxf>
      <fill>
        <patternFill>
          <bgColor rgb="FFFFC000"/>
        </patternFill>
      </fill>
    </dxf>
    <dxf>
      <fill>
        <patternFill>
          <bgColor rgb="FFFF0000"/>
        </patternFill>
      </fill>
    </dxf>
    <dxf>
      <fill>
        <patternFill>
          <bgColor rgb="FF00B050"/>
        </patternFill>
      </fill>
    </dxf>
    <dxf>
      <font>
        <color auto="1"/>
      </font>
      <fill>
        <patternFill>
          <bgColor rgb="FF92D05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theme="9" tint="-0.24994659260841701"/>
        </patternFill>
      </fill>
    </dxf>
    <dxf>
      <fill>
        <patternFill>
          <bgColor rgb="FFC00000"/>
        </patternFill>
      </fill>
    </dxf>
    <dxf>
      <fill>
        <patternFill>
          <bgColor rgb="FFFFFF00"/>
        </patternFill>
      </fill>
    </dxf>
    <dxf>
      <fill>
        <patternFill>
          <bgColor rgb="FF92D050"/>
        </patternFill>
      </fill>
    </dxf>
    <dxf>
      <fill>
        <patternFill>
          <bgColor rgb="FFC00000"/>
        </patternFill>
      </fill>
    </dxf>
    <dxf>
      <fill>
        <patternFill>
          <bgColor theme="9" tint="-0.24994659260841701"/>
        </patternFill>
      </fill>
    </dxf>
    <dxf>
      <fill>
        <patternFill>
          <bgColor rgb="FFFFFF00"/>
        </patternFill>
      </fill>
    </dxf>
    <dxf>
      <fill>
        <patternFill>
          <bgColor rgb="FF92D05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FFFF00"/>
        </patternFill>
      </fill>
    </dxf>
    <dxf>
      <fill>
        <patternFill>
          <bgColor theme="9" tint="-0.24994659260841701"/>
        </patternFill>
      </fill>
    </dxf>
    <dxf>
      <fill>
        <patternFill>
          <bgColor rgb="FF92D05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0000"/>
        </patternFill>
      </fill>
    </dxf>
    <dxf>
      <fill>
        <patternFill>
          <bgColor rgb="FFFFC000"/>
        </patternFill>
      </fill>
    </dxf>
    <dxf>
      <font>
        <color rgb="FF9C0006"/>
      </font>
      <fill>
        <patternFill>
          <bgColor rgb="FFFFC7CE"/>
        </patternFill>
      </fill>
    </dxf>
    <dxf>
      <fill>
        <patternFill>
          <bgColor rgb="FFFFFF66"/>
        </patternFill>
      </fill>
    </dxf>
    <dxf>
      <fill>
        <patternFill>
          <bgColor rgb="FFFF0000"/>
        </patternFill>
      </fill>
    </dxf>
    <dxf>
      <fill>
        <patternFill>
          <bgColor rgb="FFFFC000"/>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00B050"/>
        </patternFill>
      </fill>
    </dxf>
    <dxf>
      <font>
        <color auto="1"/>
      </font>
      <fill>
        <patternFill>
          <bgColor rgb="FF92D050"/>
        </patternFill>
      </fill>
    </dxf>
    <dxf>
      <fill>
        <patternFill>
          <bgColor rgb="FFFFC000"/>
        </patternFill>
      </fill>
    </dxf>
    <dxf>
      <fill>
        <patternFill>
          <bgColor rgb="FFFF0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FFC000"/>
        </patternFill>
      </fill>
    </dxf>
    <dxf>
      <fill>
        <patternFill>
          <bgColor rgb="FFFF0000"/>
        </patternFill>
      </fill>
    </dxf>
    <dxf>
      <fill>
        <patternFill>
          <bgColor rgb="FFFFFF66"/>
        </patternFill>
      </fill>
    </dxf>
    <dxf>
      <fill>
        <patternFill>
          <bgColor rgb="FF00B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ill>
        <patternFill>
          <bgColor rgb="FF00B05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ont>
        <color auto="1"/>
      </font>
      <fill>
        <patternFill>
          <bgColor rgb="FF92D050"/>
        </patternFill>
      </fill>
    </dxf>
    <dxf>
      <fill>
        <patternFill>
          <bgColor rgb="FFFF0000"/>
        </patternFill>
      </fill>
    </dxf>
    <dxf>
      <fill>
        <patternFill>
          <bgColor rgb="FFFFC000"/>
        </patternFill>
      </fill>
    </dxf>
    <dxf>
      <fill>
        <patternFill>
          <bgColor rgb="FF00B050"/>
        </patternFill>
      </fill>
    </dxf>
    <dxf>
      <font>
        <b val="0"/>
        <i val="0"/>
        <strike val="0"/>
        <condense val="0"/>
        <extend val="0"/>
        <outline val="0"/>
        <shadow val="0"/>
        <u val="none"/>
        <vertAlign val="baseline"/>
        <sz val="9"/>
        <color auto="1"/>
        <name val="Arial"/>
        <scheme val="none"/>
      </font>
      <fill>
        <patternFill patternType="none">
          <fgColor indexed="64"/>
          <bgColor auto="1"/>
        </patternFill>
      </fill>
      <alignment horizontal="justify" vertical="center" textRotation="0" wrapText="1" indent="0" justifyLastLine="0" shrinkToFit="0" readingOrder="0"/>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Arial"/>
        <scheme val="none"/>
      </font>
      <fill>
        <patternFill patternType="none">
          <fgColor indexed="64"/>
          <bgColor auto="1"/>
        </patternFill>
      </fill>
      <alignment horizontal="center" vertical="center" textRotation="0" wrapText="1" indent="0" justifyLastLine="0" shrinkToFit="0" readingOrder="0"/>
    </dxf>
    <dxf>
      <font>
        <strike val="0"/>
        <outline val="0"/>
        <shadow val="0"/>
        <u val="none"/>
        <vertAlign val="baseline"/>
        <sz val="9"/>
        <color auto="1"/>
        <name val="Arial"/>
        <scheme val="none"/>
      </font>
      <fill>
        <patternFill patternType="none">
          <fgColor indexed="64"/>
          <bgColor auto="1"/>
        </patternFill>
      </fill>
    </dxf>
    <dxf>
      <font>
        <b/>
        <i val="0"/>
        <strike val="0"/>
        <condense val="0"/>
        <extend val="0"/>
        <outline val="0"/>
        <shadow val="0"/>
        <u val="none"/>
        <vertAlign val="baseline"/>
        <sz val="9"/>
        <color auto="1"/>
        <name val="Arial"/>
        <scheme val="none"/>
      </font>
      <fill>
        <patternFill patternType="solid">
          <fgColor indexed="64"/>
          <bgColor rgb="FF4BACC6"/>
        </patternFill>
      </fill>
      <alignment horizontal="center" vertical="center"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alignment wrapText="1" readingOrder="0"/>
    </dxf>
    <dxf>
      <alignment vertical="center" readingOrder="0"/>
    </dxf>
    <dxf>
      <alignment wrapText="1" readingOrder="0"/>
    </dxf>
    <dxf>
      <alignment wrapText="1" readingOrder="0"/>
    </dxf>
  </dxfs>
  <tableStyles count="0" defaultTableStyle="TableStyleMedium2" defaultPivotStyle="PivotStyleLight16"/>
  <colors>
    <mruColors>
      <color rgb="FFFFCC00"/>
      <color rgb="FFFFFF66"/>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97695</xdr:rowOff>
    </xdr:from>
    <xdr:to>
      <xdr:col>19</xdr:col>
      <xdr:colOff>33704</xdr:colOff>
      <xdr:row>38</xdr:row>
      <xdr:rowOff>278780</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rotWithShape="1">
        <a:blip xmlns:r="http://schemas.openxmlformats.org/officeDocument/2006/relationships" r:embed="rId1"/>
        <a:srcRect l="6821" t="55142" r="5500" b="13845"/>
        <a:stretch/>
      </xdr:blipFill>
      <xdr:spPr>
        <a:xfrm>
          <a:off x="0" y="24186420"/>
          <a:ext cx="38333729" cy="88488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5929" y="68036"/>
          <a:ext cx="1403803" cy="1123950"/>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DA272F65-4699-4A62-A68E-F16745D2B7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2DB39274-1C83-45E4-B0AB-9A8500C8335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190440</xdr:colOff>
      <xdr:row>0</xdr:row>
      <xdr:rowOff>68040</xdr:rowOff>
    </xdr:from>
    <xdr:to>
      <xdr:col>2</xdr:col>
      <xdr:colOff>1965</xdr:colOff>
      <xdr:row>3</xdr:row>
      <xdr:rowOff>305930</xdr:rowOff>
    </xdr:to>
    <xdr:pic>
      <xdr:nvPicPr>
        <xdr:cNvPr id="2" name="Imagen 1" descr="escudo negro">
          <a:extLst>
            <a:ext uri="{FF2B5EF4-FFF2-40B4-BE49-F238E27FC236}">
              <a16:creationId xmlns:a16="http://schemas.microsoft.com/office/drawing/2014/main" id="{63BE60AD-C6DB-49E4-926A-A7BA194B8990}"/>
            </a:ext>
          </a:extLst>
        </xdr:cNvPr>
        <xdr:cNvPicPr/>
      </xdr:nvPicPr>
      <xdr:blipFill>
        <a:blip xmlns:r="http://schemas.openxmlformats.org/officeDocument/2006/relationships" r:embed="rId1"/>
        <a:stretch/>
      </xdr:blipFill>
      <xdr:spPr>
        <a:xfrm>
          <a:off x="628590" y="68040"/>
          <a:ext cx="1326000" cy="1136415"/>
        </a:xfrm>
        <a:prstGeom prst="rect">
          <a:avLst/>
        </a:prstGeom>
        <a:ln w="0">
          <a:noFill/>
        </a:ln>
      </xdr:spPr>
    </xdr:pic>
    <xdr:clientData/>
  </xdr:twoCellAnchor>
</xdr:wsDr>
</file>

<file path=xl/drawings/drawing6.xml><?xml version="1.0" encoding="utf-8"?>
<xdr:wsDr xmlns:xdr="http://schemas.openxmlformats.org/drawingml/2006/spreadsheetDrawing" xmlns:a="http://schemas.openxmlformats.org/drawingml/2006/main">
  <xdr:oneCellAnchor>
    <xdr:from>
      <xdr:col>1</xdr:col>
      <xdr:colOff>190500</xdr:colOff>
      <xdr:row>0</xdr:row>
      <xdr:rowOff>68036</xdr:rowOff>
    </xdr:from>
    <xdr:ext cx="1403803" cy="1123950"/>
    <xdr:pic>
      <xdr:nvPicPr>
        <xdr:cNvPr id="2" name="Imagen 1" descr="escudo negro">
          <a:extLst>
            <a:ext uri="{FF2B5EF4-FFF2-40B4-BE49-F238E27FC236}">
              <a16:creationId xmlns:a16="http://schemas.microsoft.com/office/drawing/2014/main" id="{A1CF0E48-F612-4383-9C1F-E5353CFA43D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28650" y="68036"/>
          <a:ext cx="1403803" cy="1123950"/>
        </a:xfrm>
        <a:prstGeom prst="rect">
          <a:avLst/>
        </a:prstGeom>
        <a:noFill/>
        <a:ln>
          <a:noFill/>
        </a:ln>
      </xdr:spPr>
    </xdr:pic>
    <xdr:clientData/>
  </xdr:oneCellAnchor>
</xdr:wsDr>
</file>

<file path=xl/drawings/drawing7.xml><?xml version="1.0" encoding="utf-8"?>
<xdr:wsDr xmlns:xdr="http://schemas.openxmlformats.org/drawingml/2006/spreadsheetDrawing" xmlns:a="http://schemas.openxmlformats.org/drawingml/2006/main">
  <xdr:twoCellAnchor editAs="oneCell">
    <xdr:from>
      <xdr:col>0</xdr:col>
      <xdr:colOff>28575</xdr:colOff>
      <xdr:row>0</xdr:row>
      <xdr:rowOff>0</xdr:rowOff>
    </xdr:from>
    <xdr:to>
      <xdr:col>12</xdr:col>
      <xdr:colOff>182273</xdr:colOff>
      <xdr:row>29</xdr:row>
      <xdr:rowOff>172245</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28575" y="0"/>
          <a:ext cx="9297698" cy="5696745"/>
        </a:xfrm>
        <a:prstGeom prst="rect">
          <a:avLst/>
        </a:prstGeom>
      </xdr:spPr>
    </xdr:pic>
    <xdr:clientData/>
  </xdr:twoCellAnchor>
  <xdr:twoCellAnchor editAs="oneCell">
    <xdr:from>
      <xdr:col>0</xdr:col>
      <xdr:colOff>0</xdr:colOff>
      <xdr:row>31</xdr:row>
      <xdr:rowOff>0</xdr:rowOff>
    </xdr:from>
    <xdr:to>
      <xdr:col>11</xdr:col>
      <xdr:colOff>534644</xdr:colOff>
      <xdr:row>57</xdr:row>
      <xdr:rowOff>19744</xdr:rowOff>
    </xdr:to>
    <xdr:pic>
      <xdr:nvPicPr>
        <xdr:cNvPr id="3" name="Imagen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a:stretch>
          <a:fillRect/>
        </a:stretch>
      </xdr:blipFill>
      <xdr:spPr>
        <a:xfrm>
          <a:off x="0" y="5905500"/>
          <a:ext cx="8916644" cy="4972744"/>
        </a:xfrm>
        <a:prstGeom prst="rect">
          <a:avLst/>
        </a:prstGeom>
      </xdr:spPr>
    </xdr:pic>
    <xdr:clientData/>
  </xdr:twoCellAnchor>
  <xdr:twoCellAnchor editAs="oneCell">
    <xdr:from>
      <xdr:col>12</xdr:col>
      <xdr:colOff>733425</xdr:colOff>
      <xdr:row>0</xdr:row>
      <xdr:rowOff>28575</xdr:rowOff>
    </xdr:from>
    <xdr:to>
      <xdr:col>25</xdr:col>
      <xdr:colOff>210859</xdr:colOff>
      <xdr:row>28</xdr:row>
      <xdr:rowOff>181741</xdr:rowOff>
    </xdr:to>
    <xdr:pic>
      <xdr:nvPicPr>
        <xdr:cNvPr id="4" name="Imagen 3">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stretch>
          <a:fillRect/>
        </a:stretch>
      </xdr:blipFill>
      <xdr:spPr>
        <a:xfrm>
          <a:off x="9877425" y="28575"/>
          <a:ext cx="9383434" cy="5487166"/>
        </a:xfrm>
        <a:prstGeom prst="rect">
          <a:avLst/>
        </a:prstGeom>
      </xdr:spPr>
    </xdr:pic>
    <xdr:clientData/>
  </xdr:twoCellAnchor>
  <xdr:twoCellAnchor editAs="oneCell">
    <xdr:from>
      <xdr:col>13</xdr:col>
      <xdr:colOff>0</xdr:colOff>
      <xdr:row>32</xdr:row>
      <xdr:rowOff>0</xdr:rowOff>
    </xdr:from>
    <xdr:to>
      <xdr:col>25</xdr:col>
      <xdr:colOff>429961</xdr:colOff>
      <xdr:row>62</xdr:row>
      <xdr:rowOff>38903</xdr:rowOff>
    </xdr:to>
    <xdr:pic>
      <xdr:nvPicPr>
        <xdr:cNvPr id="5" name="Imagen 4">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a:stretch>
          <a:fillRect/>
        </a:stretch>
      </xdr:blipFill>
      <xdr:spPr>
        <a:xfrm>
          <a:off x="9906000" y="6096000"/>
          <a:ext cx="9573961" cy="57539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uaermv-my.sharepoint.com/Users/natalia.norato/OneDrive%20-%20uaermv/NATA%20SIG/2018/12.%20DICIEMBRE/SIG-FM-007-V7%20Formato%20Mapa%20de%20Riesgos%20de%20Proceso%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angela.cifuentes/Downloads/DESI-FM-018-V9_Formato_Mapa_de_Riesgos_de_Proces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uaermv-my.sharepoint.com/umv/OneDrive%20-%20uaermv/UMV/Documentos/ENLACE%202023/MAPA%20RIESGOS%202023/2024/MAPA%20RIESGOS%20-%20GABRI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PA DE RIESGOS 2019"/>
      <sheetName val="FORMULAS"/>
      <sheetName val="TIPOLOGÍA DE RIESGOS"/>
      <sheetName val="PROBABILIDAD"/>
      <sheetName val="IMPACTO GESTIÓN"/>
      <sheetName val="IMPACTO CORRUPCIÓN"/>
      <sheetName val="IMPACTO SEGURIDAD I"/>
      <sheetName val="EJEMPLO CONTROLES"/>
      <sheetName val="OPCIONES DE MANEJO DEL RIESGO"/>
      <sheetName val="MAPA DE CALOR"/>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S"/>
      <sheetName val="MAPA DE RIESGOS PROCESOS"/>
      <sheetName val="TIPOLOGÍA DE RIESGOS"/>
      <sheetName val="PROBABILIDAD"/>
      <sheetName val="IMPACTO GESTIÓN"/>
      <sheetName val="IMPACTO SEGURIDAD I"/>
      <sheetName val="IMPACTO CORRUPCIÓN"/>
      <sheetName val="IMPACTO SOBORNO"/>
      <sheetName val="EJEMPLO CONTROLES"/>
      <sheetName val="OPCIONES DE MANEJO DEL RIESGO"/>
      <sheetName val="MAPA DE CALOR"/>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uctivo control cambio"/>
      <sheetName val="Revisión DOFA"/>
      <sheetName val="Listas"/>
      <sheetName val="Riesgos de Gestión"/>
      <sheetName val="Matriz Calor Inherente"/>
      <sheetName val="Matriz Calor Residual"/>
      <sheetName val="Riesgos de Corrupción"/>
      <sheetName val="Impacto Corrupción "/>
      <sheetName val="Riesgos de Seguridad "/>
      <sheetName val="Riesgos de LA FT "/>
      <sheetName val="Impacto LA-FT"/>
      <sheetName val="Tabla Impacto"/>
      <sheetName val="Tabla probabilidad"/>
      <sheetName val="Clasificación de riesgos"/>
      <sheetName val="Amenazas"/>
      <sheetName val="Ejemplos de riesgos"/>
      <sheetName val="Tabla Valoración controles"/>
      <sheetName val="Hoja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Natalia Norato Mora" refreshedDate="44522.492354513888"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5">
        <s v="Afectación menor a 130 SMLMV ."/>
        <s v="Entre 130 y 650 SMLMV "/>
        <s v="Entre 650 y 1300 SMLMV "/>
        <s v="Entre 1300 y 6500 SMLMV "/>
        <s v="Mayor a 6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 v="Entre 100 y 500 SMLMV " u="1"/>
        <s v="Mayor a 500 SMLMV " u="1"/>
        <s v="Entre 50 y 100 SMLMV " u="1"/>
        <s v="Entre 10 y 50 SMLMV " u="1"/>
        <s v="Afectación menor a 10 SMLMV ."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C00-000000000000}" name="TablaDinámica1" cacheId="1"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10:E222" firstHeaderRow="1" firstDataRow="1" firstDataCol="2"/>
  <pivotFields count="2">
    <pivotField axis="axisRow" compact="0" showAll="0" defaultSubtotal="0">
      <items count="2">
        <item x="0"/>
        <item x="1"/>
      </items>
    </pivotField>
    <pivotField axis="axisRow" compact="0" showAll="0" defaultSubtotal="0">
      <items count="15">
        <item m="1" x="14"/>
        <item x="5"/>
        <item x="6"/>
        <item x="7"/>
        <item x="8"/>
        <item x="9"/>
        <item m="1" x="13"/>
        <item m="1" x="12"/>
        <item m="1" x="10"/>
        <item m="1" x="11"/>
        <item n="Afectación menor a 130 SMLMV" x="0"/>
        <item n="Entre 130 y 650 SMLMV" x="1"/>
        <item n="Entre 650 y 1300 SMLMV" x="2"/>
        <item n="Entre 1300 y 6500 SMLMV" x="3"/>
        <item n="Mayor a 6500 SMLMV" x="4"/>
      </items>
    </pivotField>
  </pivotFields>
  <rowFields count="2">
    <field x="0"/>
    <field x="1"/>
  </rowFields>
  <rowItems count="12">
    <i>
      <x/>
    </i>
    <i r="1">
      <x v="10"/>
    </i>
    <i r="1">
      <x v="11"/>
    </i>
    <i r="1">
      <x v="12"/>
    </i>
    <i r="1">
      <x v="13"/>
    </i>
    <i r="1">
      <x v="14"/>
    </i>
    <i>
      <x v="1"/>
    </i>
    <i r="1">
      <x v="1"/>
    </i>
    <i r="1">
      <x v="2"/>
    </i>
    <i r="1">
      <x v="3"/>
    </i>
    <i r="1">
      <x v="4"/>
    </i>
    <i r="1">
      <x v="5"/>
    </i>
  </rowItems>
  <colItems count="1">
    <i/>
  </colItems>
  <formats count="4">
    <format dxfId="462">
      <pivotArea dataOnly="0" labelOnly="1" outline="0" fieldPosition="0">
        <references count="1">
          <reference field="0" count="1">
            <x v="1"/>
          </reference>
        </references>
      </pivotArea>
    </format>
    <format dxfId="461">
      <pivotArea dataOnly="0" labelOnly="1" outline="0" fieldPosition="0">
        <references count="2">
          <reference field="0" count="1" selected="0">
            <x v="1"/>
          </reference>
          <reference field="1" count="5">
            <x v="1"/>
            <x v="2"/>
            <x v="3"/>
            <x v="4"/>
            <x v="5"/>
          </reference>
        </references>
      </pivotArea>
    </format>
    <format dxfId="460">
      <pivotArea dataOnly="0" labelOnly="1" outline="0" fieldPosition="0">
        <references count="2">
          <reference field="0" count="1" selected="0">
            <x v="1"/>
          </reference>
          <reference field="1" count="5">
            <x v="1"/>
            <x v="2"/>
            <x v="3"/>
            <x v="4"/>
            <x v="5"/>
          </reference>
        </references>
      </pivotArea>
    </format>
    <format dxfId="459">
      <pivotArea dataOnly="0" labelOnly="1" outline="0" fieldPosition="0">
        <references count="1">
          <reference field="0" count="1">
            <x v="0"/>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10:C220" totalsRowShown="0" headerRowDxfId="458" dataDxfId="457">
  <autoFilter ref="B210:C220" xr:uid="{00000000-0009-0000-0100-000001000000}"/>
  <tableColumns count="2">
    <tableColumn id="1" xr3:uid="{00000000-0010-0000-0000-000001000000}" name="Criterios" dataDxfId="456"/>
    <tableColumn id="2" xr3:uid="{00000000-0010-0000-0000-000002000000}" name="Subcriterios" dataDxfId="4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a2" displayName="Tabla2" ref="B3:D19" totalsRowShown="0" headerRowDxfId="454" dataDxfId="453">
  <autoFilter ref="B3:D19" xr:uid="{00000000-0009-0000-0100-000002000000}"/>
  <tableColumns count="3">
    <tableColumn id="1" xr3:uid="{00000000-0010-0000-0100-000001000000}" name="Tipo " dataDxfId="452"/>
    <tableColumn id="2" xr3:uid="{00000000-0010-0000-0100-000002000000}" name="Clasificación " dataDxfId="451"/>
    <tableColumn id="3" xr3:uid="{00000000-0010-0000-0100-000003000000}" name="Descripción " dataDxfId="450"/>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5.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10.bin"/><Relationship Id="rId1" Type="http://schemas.openxmlformats.org/officeDocument/2006/relationships/pivotTable" Target="../pivotTables/pivotTable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00"/>
  </sheetPr>
  <dimension ref="B1:H318"/>
  <sheetViews>
    <sheetView topLeftCell="A40" zoomScale="110" zoomScaleNormal="110" workbookViewId="0">
      <selection activeCell="F51" sqref="F51"/>
    </sheetView>
  </sheetViews>
  <sheetFormatPr baseColWidth="10" defaultColWidth="11.42578125" defaultRowHeight="15" x14ac:dyDescent="0.25"/>
  <cols>
    <col min="1" max="1" width="2.7109375" style="66" customWidth="1"/>
    <col min="2" max="2" width="24.7109375" style="66" customWidth="1"/>
    <col min="3" max="3" width="36.28515625" style="66" customWidth="1"/>
    <col min="4" max="4" width="16" style="66" customWidth="1"/>
    <col min="5" max="5" width="24.7109375" style="66" customWidth="1"/>
    <col min="6" max="6" width="27.7109375" style="66" customWidth="1"/>
    <col min="7" max="8" width="24.7109375" style="66" customWidth="1"/>
    <col min="9" max="16384" width="11.42578125" style="66"/>
  </cols>
  <sheetData>
    <row r="1" spans="2:8" ht="15.75" thickBot="1" x14ac:dyDescent="0.3"/>
    <row r="2" spans="2:8" ht="18" x14ac:dyDescent="0.25">
      <c r="B2" s="403" t="s">
        <v>0</v>
      </c>
      <c r="C2" s="404"/>
      <c r="D2" s="404"/>
      <c r="E2" s="404"/>
      <c r="F2" s="404"/>
      <c r="G2" s="404"/>
      <c r="H2" s="405"/>
    </row>
    <row r="3" spans="2:8" x14ac:dyDescent="0.25">
      <c r="B3" s="67"/>
      <c r="C3" s="68"/>
      <c r="D3" s="68"/>
      <c r="E3" s="68"/>
      <c r="F3" s="68"/>
      <c r="G3" s="68"/>
      <c r="H3" s="69"/>
    </row>
    <row r="4" spans="2:8" ht="63" customHeight="1" x14ac:dyDescent="0.25">
      <c r="B4" s="406" t="s">
        <v>1</v>
      </c>
      <c r="C4" s="407"/>
      <c r="D4" s="407"/>
      <c r="E4" s="407"/>
      <c r="F4" s="407"/>
      <c r="G4" s="407"/>
      <c r="H4" s="408"/>
    </row>
    <row r="5" spans="2:8" ht="63" customHeight="1" x14ac:dyDescent="0.25">
      <c r="B5" s="409"/>
      <c r="C5" s="410"/>
      <c r="D5" s="410"/>
      <c r="E5" s="410"/>
      <c r="F5" s="410"/>
      <c r="G5" s="410"/>
      <c r="H5" s="411"/>
    </row>
    <row r="6" spans="2:8" ht="16.5" x14ac:dyDescent="0.25">
      <c r="B6" s="412" t="s">
        <v>2</v>
      </c>
      <c r="C6" s="413"/>
      <c r="D6" s="413"/>
      <c r="E6" s="413"/>
      <c r="F6" s="413"/>
      <c r="G6" s="413"/>
      <c r="H6" s="414"/>
    </row>
    <row r="7" spans="2:8" ht="95.25" customHeight="1" x14ac:dyDescent="0.25">
      <c r="B7" s="422" t="s">
        <v>3</v>
      </c>
      <c r="C7" s="423"/>
      <c r="D7" s="423"/>
      <c r="E7" s="423"/>
      <c r="F7" s="423"/>
      <c r="G7" s="423"/>
      <c r="H7" s="424"/>
    </row>
    <row r="8" spans="2:8" ht="16.5" x14ac:dyDescent="0.25">
      <c r="B8" s="101"/>
      <c r="C8" s="102"/>
      <c r="D8" s="102"/>
      <c r="E8" s="102"/>
      <c r="F8" s="102"/>
      <c r="G8" s="102"/>
      <c r="H8" s="103"/>
    </row>
    <row r="9" spans="2:8" ht="16.5" customHeight="1" x14ac:dyDescent="0.25">
      <c r="B9" s="415" t="s">
        <v>4</v>
      </c>
      <c r="C9" s="416"/>
      <c r="D9" s="416"/>
      <c r="E9" s="416"/>
      <c r="F9" s="416"/>
      <c r="G9" s="416"/>
      <c r="H9" s="417"/>
    </row>
    <row r="10" spans="2:8" ht="44.25" customHeight="1" x14ac:dyDescent="0.25">
      <c r="B10" s="415"/>
      <c r="C10" s="416"/>
      <c r="D10" s="416"/>
      <c r="E10" s="416"/>
      <c r="F10" s="416"/>
      <c r="G10" s="416"/>
      <c r="H10" s="417"/>
    </row>
    <row r="11" spans="2:8" ht="15.75" thickBot="1" x14ac:dyDescent="0.3">
      <c r="B11" s="90"/>
      <c r="C11" s="93"/>
      <c r="D11" s="98"/>
      <c r="E11" s="99"/>
      <c r="F11" s="99"/>
      <c r="G11" s="100"/>
      <c r="H11" s="94"/>
    </row>
    <row r="12" spans="2:8" ht="15.75" thickTop="1" x14ac:dyDescent="0.25">
      <c r="B12" s="90"/>
      <c r="C12" s="418" t="s">
        <v>5</v>
      </c>
      <c r="D12" s="419"/>
      <c r="E12" s="420" t="s">
        <v>6</v>
      </c>
      <c r="F12" s="421"/>
      <c r="G12" s="93"/>
      <c r="H12" s="94"/>
    </row>
    <row r="13" spans="2:8" ht="35.25" customHeight="1" x14ac:dyDescent="0.25">
      <c r="B13" s="90"/>
      <c r="C13" s="389" t="s">
        <v>7</v>
      </c>
      <c r="D13" s="390"/>
      <c r="E13" s="391" t="s">
        <v>8</v>
      </c>
      <c r="F13" s="392"/>
      <c r="G13" s="93"/>
      <c r="H13" s="94"/>
    </row>
    <row r="14" spans="2:8" ht="17.25" customHeight="1" x14ac:dyDescent="0.25">
      <c r="B14" s="90"/>
      <c r="C14" s="389" t="s">
        <v>9</v>
      </c>
      <c r="D14" s="390"/>
      <c r="E14" s="391" t="s">
        <v>10</v>
      </c>
      <c r="F14" s="392"/>
      <c r="G14" s="93"/>
      <c r="H14" s="94"/>
    </row>
    <row r="15" spans="2:8" ht="19.5" customHeight="1" x14ac:dyDescent="0.25">
      <c r="B15" s="90"/>
      <c r="C15" s="389" t="s">
        <v>11</v>
      </c>
      <c r="D15" s="390"/>
      <c r="E15" s="391" t="s">
        <v>12</v>
      </c>
      <c r="F15" s="392"/>
      <c r="G15" s="93"/>
      <c r="H15" s="94"/>
    </row>
    <row r="16" spans="2:8" ht="69.75" customHeight="1" x14ac:dyDescent="0.25">
      <c r="B16" s="90"/>
      <c r="C16" s="389" t="s">
        <v>13</v>
      </c>
      <c r="D16" s="390"/>
      <c r="E16" s="391" t="s">
        <v>14</v>
      </c>
      <c r="F16" s="392"/>
      <c r="G16" s="93"/>
      <c r="H16" s="94"/>
    </row>
    <row r="17" spans="2:8" ht="34.5" customHeight="1" x14ac:dyDescent="0.25">
      <c r="B17" s="90"/>
      <c r="C17" s="395" t="s">
        <v>15</v>
      </c>
      <c r="D17" s="396"/>
      <c r="E17" s="393" t="s">
        <v>16</v>
      </c>
      <c r="F17" s="394"/>
      <c r="G17" s="93"/>
      <c r="H17" s="94"/>
    </row>
    <row r="18" spans="2:8" ht="27.75" customHeight="1" x14ac:dyDescent="0.25">
      <c r="B18" s="90"/>
      <c r="C18" s="395" t="s">
        <v>17</v>
      </c>
      <c r="D18" s="396"/>
      <c r="E18" s="393" t="s">
        <v>18</v>
      </c>
      <c r="F18" s="394"/>
      <c r="G18" s="93"/>
      <c r="H18" s="94"/>
    </row>
    <row r="19" spans="2:8" ht="28.5" customHeight="1" x14ac:dyDescent="0.25">
      <c r="B19" s="90"/>
      <c r="C19" s="395" t="s">
        <v>19</v>
      </c>
      <c r="D19" s="396"/>
      <c r="E19" s="393" t="s">
        <v>20</v>
      </c>
      <c r="F19" s="394"/>
      <c r="G19" s="93"/>
      <c r="H19" s="94"/>
    </row>
    <row r="20" spans="2:8" ht="72.75" customHeight="1" x14ac:dyDescent="0.25">
      <c r="B20" s="90"/>
      <c r="C20" s="395" t="s">
        <v>21</v>
      </c>
      <c r="D20" s="396"/>
      <c r="E20" s="393" t="s">
        <v>22</v>
      </c>
      <c r="F20" s="394"/>
      <c r="G20" s="93"/>
      <c r="H20" s="94"/>
    </row>
    <row r="21" spans="2:8" ht="34.5" customHeight="1" x14ac:dyDescent="0.25">
      <c r="B21" s="90"/>
      <c r="C21" s="395" t="s">
        <v>23</v>
      </c>
      <c r="D21" s="396"/>
      <c r="E21" s="393" t="s">
        <v>24</v>
      </c>
      <c r="F21" s="394"/>
      <c r="G21" s="93"/>
      <c r="H21" s="94"/>
    </row>
    <row r="22" spans="2:8" ht="71.25" customHeight="1" x14ac:dyDescent="0.25">
      <c r="B22" s="90"/>
      <c r="C22" s="395" t="s">
        <v>25</v>
      </c>
      <c r="D22" s="396"/>
      <c r="E22" s="393" t="s">
        <v>26</v>
      </c>
      <c r="F22" s="394"/>
      <c r="G22" s="93"/>
      <c r="H22" s="94"/>
    </row>
    <row r="23" spans="2:8" ht="55.5" customHeight="1" x14ac:dyDescent="0.25">
      <c r="B23" s="90"/>
      <c r="C23" s="397" t="s">
        <v>27</v>
      </c>
      <c r="D23" s="398"/>
      <c r="E23" s="393" t="s">
        <v>28</v>
      </c>
      <c r="F23" s="394"/>
      <c r="G23" s="93"/>
      <c r="H23" s="94"/>
    </row>
    <row r="24" spans="2:8" ht="42" customHeight="1" x14ac:dyDescent="0.25">
      <c r="B24" s="90"/>
      <c r="C24" s="397" t="s">
        <v>29</v>
      </c>
      <c r="D24" s="398"/>
      <c r="E24" s="393" t="s">
        <v>30</v>
      </c>
      <c r="F24" s="394"/>
      <c r="G24" s="93"/>
      <c r="H24" s="94"/>
    </row>
    <row r="25" spans="2:8" ht="59.25" customHeight="1" x14ac:dyDescent="0.25">
      <c r="B25" s="90"/>
      <c r="C25" s="397" t="s">
        <v>31</v>
      </c>
      <c r="D25" s="398"/>
      <c r="E25" s="393" t="s">
        <v>32</v>
      </c>
      <c r="F25" s="394"/>
      <c r="G25" s="93"/>
      <c r="H25" s="94"/>
    </row>
    <row r="26" spans="2:8" ht="23.25" customHeight="1" x14ac:dyDescent="0.25">
      <c r="B26" s="90"/>
      <c r="C26" s="397" t="s">
        <v>33</v>
      </c>
      <c r="D26" s="398"/>
      <c r="E26" s="393" t="s">
        <v>34</v>
      </c>
      <c r="F26" s="394"/>
      <c r="G26" s="93"/>
      <c r="H26" s="94"/>
    </row>
    <row r="27" spans="2:8" ht="30.75" customHeight="1" x14ac:dyDescent="0.25">
      <c r="B27" s="90"/>
      <c r="C27" s="397" t="s">
        <v>35</v>
      </c>
      <c r="D27" s="398"/>
      <c r="E27" s="393" t="s">
        <v>36</v>
      </c>
      <c r="F27" s="394"/>
      <c r="G27" s="93"/>
      <c r="H27" s="94"/>
    </row>
    <row r="28" spans="2:8" ht="35.25" customHeight="1" x14ac:dyDescent="0.25">
      <c r="B28" s="90"/>
      <c r="C28" s="397" t="s">
        <v>37</v>
      </c>
      <c r="D28" s="398"/>
      <c r="E28" s="393" t="s">
        <v>38</v>
      </c>
      <c r="F28" s="394"/>
      <c r="G28" s="93"/>
      <c r="H28" s="94"/>
    </row>
    <row r="29" spans="2:8" ht="33" customHeight="1" x14ac:dyDescent="0.25">
      <c r="B29" s="90"/>
      <c r="C29" s="397" t="s">
        <v>37</v>
      </c>
      <c r="D29" s="398"/>
      <c r="E29" s="393" t="s">
        <v>38</v>
      </c>
      <c r="F29" s="394"/>
      <c r="G29" s="93"/>
      <c r="H29" s="94"/>
    </row>
    <row r="30" spans="2:8" ht="30" customHeight="1" x14ac:dyDescent="0.25">
      <c r="B30" s="90"/>
      <c r="C30" s="397" t="s">
        <v>39</v>
      </c>
      <c r="D30" s="398"/>
      <c r="E30" s="393" t="s">
        <v>40</v>
      </c>
      <c r="F30" s="394"/>
      <c r="G30" s="93"/>
      <c r="H30" s="94"/>
    </row>
    <row r="31" spans="2:8" ht="35.25" customHeight="1" x14ac:dyDescent="0.25">
      <c r="B31" s="90"/>
      <c r="C31" s="397" t="s">
        <v>41</v>
      </c>
      <c r="D31" s="398"/>
      <c r="E31" s="393" t="s">
        <v>42</v>
      </c>
      <c r="F31" s="394"/>
      <c r="G31" s="93"/>
      <c r="H31" s="94"/>
    </row>
    <row r="32" spans="2:8" ht="31.5" customHeight="1" x14ac:dyDescent="0.25">
      <c r="B32" s="90"/>
      <c r="C32" s="397" t="s">
        <v>43</v>
      </c>
      <c r="D32" s="398"/>
      <c r="E32" s="393" t="s">
        <v>44</v>
      </c>
      <c r="F32" s="394"/>
      <c r="G32" s="93"/>
      <c r="H32" s="94"/>
    </row>
    <row r="33" spans="2:8" ht="35.25" customHeight="1" x14ac:dyDescent="0.25">
      <c r="B33" s="90"/>
      <c r="C33" s="397" t="s">
        <v>45</v>
      </c>
      <c r="D33" s="398"/>
      <c r="E33" s="393" t="s">
        <v>46</v>
      </c>
      <c r="F33" s="394"/>
      <c r="G33" s="93"/>
      <c r="H33" s="94"/>
    </row>
    <row r="34" spans="2:8" ht="59.25" customHeight="1" x14ac:dyDescent="0.25">
      <c r="B34" s="90"/>
      <c r="C34" s="397" t="s">
        <v>47</v>
      </c>
      <c r="D34" s="398"/>
      <c r="E34" s="393" t="s">
        <v>48</v>
      </c>
      <c r="F34" s="394"/>
      <c r="G34" s="93"/>
      <c r="H34" s="94"/>
    </row>
    <row r="35" spans="2:8" ht="29.25" customHeight="1" x14ac:dyDescent="0.25">
      <c r="B35" s="90"/>
      <c r="C35" s="397" t="s">
        <v>49</v>
      </c>
      <c r="D35" s="398"/>
      <c r="E35" s="393" t="s">
        <v>50</v>
      </c>
      <c r="F35" s="394"/>
      <c r="G35" s="93"/>
      <c r="H35" s="94"/>
    </row>
    <row r="36" spans="2:8" ht="82.5" customHeight="1" x14ac:dyDescent="0.25">
      <c r="B36" s="90"/>
      <c r="C36" s="397" t="s">
        <v>51</v>
      </c>
      <c r="D36" s="398"/>
      <c r="E36" s="393" t="s">
        <v>52</v>
      </c>
      <c r="F36" s="394"/>
      <c r="G36" s="93"/>
      <c r="H36" s="94"/>
    </row>
    <row r="37" spans="2:8" ht="6.75" customHeight="1" thickBot="1" x14ac:dyDescent="0.3">
      <c r="B37" s="90"/>
      <c r="C37" s="399"/>
      <c r="D37" s="400"/>
      <c r="E37" s="401"/>
      <c r="F37" s="402"/>
      <c r="G37" s="93"/>
      <c r="H37" s="94"/>
    </row>
    <row r="38" spans="2:8" ht="15.75" thickTop="1" x14ac:dyDescent="0.25">
      <c r="B38" s="90"/>
      <c r="C38" s="91"/>
      <c r="D38" s="91"/>
      <c r="E38" s="92"/>
      <c r="F38" s="92"/>
      <c r="G38" s="93"/>
      <c r="H38" s="94"/>
    </row>
    <row r="39" spans="2:8" ht="15.75" thickBot="1" x14ac:dyDescent="0.3">
      <c r="B39" s="95"/>
      <c r="C39" s="96"/>
      <c r="D39" s="96"/>
      <c r="E39" s="96"/>
      <c r="F39" s="96"/>
      <c r="G39" s="96"/>
      <c r="H39" s="97"/>
    </row>
    <row r="41" spans="2:8" x14ac:dyDescent="0.25">
      <c r="B41" s="227" t="s">
        <v>716</v>
      </c>
    </row>
    <row r="42" spans="2:8" x14ac:dyDescent="0.25">
      <c r="B42" s="66" t="s">
        <v>53</v>
      </c>
    </row>
    <row r="43" spans="2:8" ht="28.5" customHeight="1" thickBot="1" x14ac:dyDescent="0.3">
      <c r="B43" s="219" t="s">
        <v>54</v>
      </c>
      <c r="C43" s="219" t="s">
        <v>55</v>
      </c>
      <c r="D43" s="219" t="s">
        <v>56</v>
      </c>
      <c r="E43" s="220" t="s">
        <v>57</v>
      </c>
      <c r="F43" s="221" t="s">
        <v>58</v>
      </c>
    </row>
    <row r="44" spans="2:8" x14ac:dyDescent="0.25">
      <c r="B44" s="222" t="s">
        <v>735</v>
      </c>
      <c r="C44" s="222" t="s">
        <v>59</v>
      </c>
      <c r="D44" s="223">
        <v>45322</v>
      </c>
      <c r="E44" s="222" t="s">
        <v>59</v>
      </c>
      <c r="F44" s="222"/>
    </row>
    <row r="45" spans="2:8" x14ac:dyDescent="0.25">
      <c r="B45" s="222" t="s">
        <v>736</v>
      </c>
      <c r="C45" s="222" t="s">
        <v>737</v>
      </c>
      <c r="D45" s="223">
        <v>45688</v>
      </c>
      <c r="E45" s="222" t="s">
        <v>60</v>
      </c>
      <c r="F45" s="224"/>
    </row>
    <row r="294" spans="3:3" x14ac:dyDescent="0.25">
      <c r="C294" s="294" t="s">
        <v>61</v>
      </c>
    </row>
    <row r="295" spans="3:3" x14ac:dyDescent="0.25">
      <c r="C295" s="294" t="s">
        <v>62</v>
      </c>
    </row>
    <row r="296" spans="3:3" ht="36" x14ac:dyDescent="0.25">
      <c r="C296" s="294" t="s">
        <v>63</v>
      </c>
    </row>
    <row r="297" spans="3:3" x14ac:dyDescent="0.25">
      <c r="C297" s="294" t="s">
        <v>64</v>
      </c>
    </row>
    <row r="298" spans="3:3" ht="24" x14ac:dyDescent="0.25">
      <c r="C298" s="294" t="s">
        <v>65</v>
      </c>
    </row>
    <row r="299" spans="3:3" x14ac:dyDescent="0.25">
      <c r="C299" s="294" t="s">
        <v>66</v>
      </c>
    </row>
    <row r="300" spans="3:3" x14ac:dyDescent="0.25">
      <c r="C300" s="294" t="s">
        <v>67</v>
      </c>
    </row>
    <row r="301" spans="3:3" ht="24" x14ac:dyDescent="0.25">
      <c r="C301" s="294" t="s">
        <v>68</v>
      </c>
    </row>
    <row r="302" spans="3:3" x14ac:dyDescent="0.25">
      <c r="C302" s="294" t="s">
        <v>69</v>
      </c>
    </row>
    <row r="303" spans="3:3" ht="24" x14ac:dyDescent="0.25">
      <c r="C303" s="294" t="s">
        <v>70</v>
      </c>
    </row>
    <row r="304" spans="3:3" x14ac:dyDescent="0.25">
      <c r="C304" s="294" t="s">
        <v>71</v>
      </c>
    </row>
    <row r="305" spans="3:3" x14ac:dyDescent="0.25">
      <c r="C305" s="294" t="s">
        <v>72</v>
      </c>
    </row>
    <row r="306" spans="3:3" x14ac:dyDescent="0.25">
      <c r="C306" s="294" t="s">
        <v>73</v>
      </c>
    </row>
    <row r="307" spans="3:3" x14ac:dyDescent="0.25">
      <c r="C307" s="294" t="s">
        <v>74</v>
      </c>
    </row>
    <row r="308" spans="3:3" x14ac:dyDescent="0.25">
      <c r="C308" s="294" t="s">
        <v>75</v>
      </c>
    </row>
    <row r="309" spans="3:3" x14ac:dyDescent="0.25">
      <c r="C309" s="294" t="s">
        <v>76</v>
      </c>
    </row>
    <row r="310" spans="3:3" x14ac:dyDescent="0.25">
      <c r="C310" s="294" t="s">
        <v>77</v>
      </c>
    </row>
    <row r="311" spans="3:3" x14ac:dyDescent="0.25">
      <c r="C311" s="294" t="s">
        <v>78</v>
      </c>
    </row>
    <row r="312" spans="3:3" x14ac:dyDescent="0.25">
      <c r="C312" s="294" t="s">
        <v>79</v>
      </c>
    </row>
    <row r="313" spans="3:3" ht="24" x14ac:dyDescent="0.25">
      <c r="C313" s="295" t="s">
        <v>80</v>
      </c>
    </row>
    <row r="314" spans="3:3" x14ac:dyDescent="0.25">
      <c r="C314" t="s">
        <v>81</v>
      </c>
    </row>
    <row r="315" spans="3:3" x14ac:dyDescent="0.25">
      <c r="C315" t="s">
        <v>82</v>
      </c>
    </row>
    <row r="316" spans="3:3" x14ac:dyDescent="0.25">
      <c r="C316" t="s">
        <v>83</v>
      </c>
    </row>
    <row r="317" spans="3:3" x14ac:dyDescent="0.25">
      <c r="C317" t="s">
        <v>84</v>
      </c>
    </row>
    <row r="318" spans="3:3" x14ac:dyDescent="0.25">
      <c r="C318" s="66" t="s">
        <v>85</v>
      </c>
    </row>
  </sheetData>
  <mergeCells count="57">
    <mergeCell ref="B2:H2"/>
    <mergeCell ref="B4:H5"/>
    <mergeCell ref="B6:H6"/>
    <mergeCell ref="B9:H10"/>
    <mergeCell ref="C12:D12"/>
    <mergeCell ref="E12:F12"/>
    <mergeCell ref="B7:H7"/>
    <mergeCell ref="C13:D13"/>
    <mergeCell ref="E13:F13"/>
    <mergeCell ref="C17:D17"/>
    <mergeCell ref="E17:F17"/>
    <mergeCell ref="C21:D21"/>
    <mergeCell ref="C18:D18"/>
    <mergeCell ref="C19:D19"/>
    <mergeCell ref="C20:D20"/>
    <mergeCell ref="E18:F18"/>
    <mergeCell ref="E19:F19"/>
    <mergeCell ref="E20:F20"/>
    <mergeCell ref="E21:F21"/>
    <mergeCell ref="C16:D16"/>
    <mergeCell ref="E16:F16"/>
    <mergeCell ref="C14:D14"/>
    <mergeCell ref="E14:F14"/>
    <mergeCell ref="C26:D26"/>
    <mergeCell ref="E26:F26"/>
    <mergeCell ref="E34:F34"/>
    <mergeCell ref="C32:D32"/>
    <mergeCell ref="C31:D31"/>
    <mergeCell ref="E31:F31"/>
    <mergeCell ref="E32:F32"/>
    <mergeCell ref="C27:D27"/>
    <mergeCell ref="E27:F27"/>
    <mergeCell ref="E28:F28"/>
    <mergeCell ref="C28:D28"/>
    <mergeCell ref="C37:D37"/>
    <mergeCell ref="E37:F37"/>
    <mergeCell ref="C33:D33"/>
    <mergeCell ref="C29:D29"/>
    <mergeCell ref="E29:F29"/>
    <mergeCell ref="C30:D30"/>
    <mergeCell ref="E30:F30"/>
    <mergeCell ref="E33:F33"/>
    <mergeCell ref="C34:D34"/>
    <mergeCell ref="C35:D35"/>
    <mergeCell ref="E35:F35"/>
    <mergeCell ref="C36:D36"/>
    <mergeCell ref="E36:F36"/>
    <mergeCell ref="C15:D15"/>
    <mergeCell ref="E15:F15"/>
    <mergeCell ref="E22:F22"/>
    <mergeCell ref="C22:D22"/>
    <mergeCell ref="C25:D25"/>
    <mergeCell ref="E25:F25"/>
    <mergeCell ref="E23:F23"/>
    <mergeCell ref="C23:D23"/>
    <mergeCell ref="C24:D24"/>
    <mergeCell ref="E24:F24"/>
  </mergeCells>
  <phoneticPr fontId="86" type="noConversion"/>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BFBFBF"/>
  </sheetPr>
  <dimension ref="A1:AMD76"/>
  <sheetViews>
    <sheetView topLeftCell="A5" zoomScale="60" zoomScaleNormal="60" workbookViewId="0">
      <selection activeCell="A13" sqref="A13:A18"/>
    </sheetView>
  </sheetViews>
  <sheetFormatPr baseColWidth="10" defaultColWidth="11.42578125" defaultRowHeight="15.75" x14ac:dyDescent="0.25"/>
  <cols>
    <col min="1" max="1" width="6.5703125" style="346" customWidth="1"/>
    <col min="2" max="2" width="22.7109375" style="346" customWidth="1"/>
    <col min="3" max="3" width="27.28515625" style="346" customWidth="1"/>
    <col min="4" max="5" width="25.28515625" style="346" customWidth="1"/>
    <col min="6" max="6" width="51.28515625" style="346" customWidth="1"/>
    <col min="7" max="13" width="19.7109375" style="346" customWidth="1"/>
    <col min="14" max="14" width="16.7109375" style="347" customWidth="1"/>
    <col min="15" max="15" width="16.7109375" style="314" customWidth="1"/>
    <col min="16" max="16" width="8.5703125" style="314" customWidth="1"/>
    <col min="17" max="17" width="17.42578125" style="314" customWidth="1"/>
    <col min="18" max="18" width="8.28515625" style="314" customWidth="1"/>
    <col min="19" max="19" width="33.28515625" style="314" customWidth="1"/>
    <col min="20" max="20" width="9.42578125" style="314" customWidth="1"/>
    <col min="21" max="21" width="13.28515625" style="314" customWidth="1"/>
    <col min="22" max="22" width="19" style="314" customWidth="1"/>
    <col min="23" max="23" width="17.5703125" style="314" customWidth="1"/>
    <col min="24" max="24" width="15" style="314" customWidth="1"/>
    <col min="25" max="25" width="5.28515625" style="314" customWidth="1"/>
    <col min="26" max="26" width="29.7109375" style="314" customWidth="1"/>
    <col min="27" max="27" width="11.7109375" style="314" customWidth="1"/>
    <col min="28" max="28" width="33.5703125" style="314" customWidth="1"/>
    <col min="29" max="29" width="32.7109375" style="314" customWidth="1"/>
    <col min="30" max="31" width="19.7109375" style="314" customWidth="1"/>
    <col min="32" max="32" width="19.7109375" style="314" hidden="1" customWidth="1"/>
    <col min="33" max="33" width="8.28515625" style="314" customWidth="1"/>
    <col min="34" max="34" width="6.7109375" style="314" customWidth="1"/>
    <col min="35" max="35" width="5" style="314" hidden="1" customWidth="1"/>
    <col min="36" max="36" width="5.5703125" style="314" customWidth="1"/>
    <col min="37" max="37" width="7.28515625" style="314" customWidth="1"/>
    <col min="38" max="38" width="6.7109375" style="314" customWidth="1"/>
    <col min="39" max="39" width="9.28515625" style="314" customWidth="1"/>
    <col min="40" max="40" width="8.5703125" style="314" customWidth="1"/>
    <col min="41" max="45" width="10.7109375" style="314" customWidth="1"/>
    <col min="46" max="46" width="33.28515625" style="341" customWidth="1"/>
    <col min="47" max="47" width="23" style="314" customWidth="1"/>
    <col min="48" max="48" width="18.7109375" style="314" customWidth="1"/>
    <col min="49" max="49" width="23.7109375" style="314" customWidth="1"/>
    <col min="50" max="50" width="22.42578125" style="314" customWidth="1"/>
    <col min="51" max="51" width="16.42578125" style="314" customWidth="1"/>
    <col min="52" max="52" width="20.5703125" style="314" customWidth="1"/>
    <col min="53" max="1018" width="11.42578125" style="314"/>
    <col min="1019" max="16384" width="11.42578125" style="348"/>
  </cols>
  <sheetData>
    <row r="1" spans="1:280" s="307" customFormat="1" ht="21" thickBot="1" x14ac:dyDescent="0.35">
      <c r="A1" s="707"/>
      <c r="B1" s="707"/>
      <c r="C1" s="707"/>
      <c r="D1" s="708" t="s">
        <v>419</v>
      </c>
      <c r="E1" s="708"/>
      <c r="F1" s="708"/>
      <c r="G1" s="708"/>
      <c r="H1" s="708"/>
      <c r="I1" s="708"/>
      <c r="J1" s="708"/>
      <c r="K1" s="708"/>
      <c r="L1" s="708"/>
      <c r="M1" s="708"/>
      <c r="N1" s="708"/>
      <c r="O1" s="708"/>
      <c r="P1" s="708"/>
      <c r="Q1" s="708"/>
      <c r="R1" s="708"/>
      <c r="S1" s="708"/>
      <c r="T1" s="708"/>
      <c r="U1" s="708"/>
      <c r="V1" s="708"/>
      <c r="W1" s="708"/>
      <c r="X1" s="305"/>
      <c r="Y1" s="305"/>
      <c r="Z1" s="305"/>
      <c r="AA1" s="305"/>
      <c r="AB1" s="305"/>
      <c r="AC1" s="305"/>
      <c r="AD1" s="305"/>
      <c r="AE1" s="305"/>
      <c r="AF1" s="709"/>
      <c r="AG1" s="709"/>
      <c r="AH1" s="709"/>
      <c r="AI1" s="709"/>
      <c r="AJ1" s="709"/>
      <c r="AK1" s="709"/>
      <c r="AL1" s="709"/>
      <c r="AM1" s="709"/>
      <c r="AN1" s="709"/>
      <c r="AO1" s="709"/>
      <c r="AP1" s="709"/>
      <c r="AQ1" s="709"/>
      <c r="AR1" s="709"/>
      <c r="AS1" s="709"/>
      <c r="AT1" s="709"/>
      <c r="AU1" s="709"/>
      <c r="AV1" s="709"/>
      <c r="AW1" s="709"/>
      <c r="AX1" s="709"/>
      <c r="AY1" s="709"/>
      <c r="AZ1" s="709"/>
      <c r="BA1" s="306"/>
      <c r="BB1" s="306"/>
      <c r="BC1" s="306"/>
      <c r="BD1" s="306"/>
      <c r="BE1" s="306"/>
      <c r="BF1" s="306"/>
      <c r="BG1" s="306"/>
      <c r="BH1" s="306"/>
      <c r="BI1" s="306"/>
      <c r="BJ1" s="306"/>
      <c r="BK1" s="306"/>
      <c r="BL1" s="306"/>
      <c r="BM1" s="306"/>
      <c r="BN1" s="306"/>
      <c r="BO1" s="306"/>
      <c r="BP1" s="306"/>
      <c r="BQ1" s="306"/>
      <c r="BR1" s="306"/>
      <c r="BS1" s="306"/>
      <c r="BT1" s="306"/>
      <c r="BU1" s="306"/>
      <c r="BV1" s="306"/>
      <c r="BW1" s="306"/>
      <c r="BX1" s="306"/>
    </row>
    <row r="2" spans="1:280" s="307" customFormat="1" ht="21" thickBot="1" x14ac:dyDescent="0.35">
      <c r="A2" s="707"/>
      <c r="B2" s="707"/>
      <c r="C2" s="707"/>
      <c r="D2" s="708"/>
      <c r="E2" s="708"/>
      <c r="F2" s="708"/>
      <c r="G2" s="708"/>
      <c r="H2" s="708"/>
      <c r="I2" s="708"/>
      <c r="J2" s="708"/>
      <c r="K2" s="708"/>
      <c r="L2" s="708"/>
      <c r="M2" s="708"/>
      <c r="N2" s="708"/>
      <c r="O2" s="708"/>
      <c r="P2" s="708"/>
      <c r="Q2" s="708"/>
      <c r="R2" s="708"/>
      <c r="S2" s="708"/>
      <c r="T2" s="708"/>
      <c r="U2" s="708"/>
      <c r="V2" s="708"/>
      <c r="W2" s="708"/>
      <c r="X2" s="305"/>
      <c r="Y2" s="305"/>
      <c r="Z2" s="305"/>
      <c r="AA2" s="305"/>
      <c r="AB2" s="305"/>
      <c r="AC2" s="305"/>
      <c r="AD2" s="305"/>
      <c r="AE2" s="305"/>
      <c r="AF2" s="709"/>
      <c r="AG2" s="709"/>
      <c r="AH2" s="709"/>
      <c r="AI2" s="709"/>
      <c r="AJ2" s="709"/>
      <c r="AK2" s="709"/>
      <c r="AL2" s="709"/>
      <c r="AM2" s="709"/>
      <c r="AN2" s="709"/>
      <c r="AO2" s="709"/>
      <c r="AP2" s="709"/>
      <c r="AQ2" s="709"/>
      <c r="AR2" s="709"/>
      <c r="AS2" s="709"/>
      <c r="AT2" s="709"/>
      <c r="AU2" s="709"/>
      <c r="AV2" s="709"/>
      <c r="AW2" s="709"/>
      <c r="AX2" s="709"/>
      <c r="AY2" s="709"/>
      <c r="AZ2" s="709"/>
      <c r="BA2" s="306"/>
      <c r="BB2" s="306"/>
      <c r="BC2" s="306"/>
      <c r="BD2" s="306"/>
      <c r="BE2" s="306"/>
      <c r="BF2" s="306"/>
      <c r="BG2" s="306"/>
      <c r="BH2" s="306"/>
      <c r="BI2" s="306"/>
      <c r="BJ2" s="306"/>
      <c r="BK2" s="306"/>
      <c r="BL2" s="306"/>
      <c r="BM2" s="306"/>
      <c r="BN2" s="306"/>
      <c r="BO2" s="306"/>
      <c r="BP2" s="306"/>
      <c r="BQ2" s="306"/>
      <c r="BR2" s="306"/>
      <c r="BS2" s="306"/>
      <c r="BT2" s="306"/>
      <c r="BU2" s="306"/>
      <c r="BV2" s="306"/>
      <c r="BW2" s="306"/>
      <c r="BX2" s="306"/>
    </row>
    <row r="3" spans="1:280" s="307" customFormat="1" ht="27.75" customHeight="1" thickBot="1" x14ac:dyDescent="0.35">
      <c r="A3" s="707"/>
      <c r="B3" s="707"/>
      <c r="C3" s="707"/>
      <c r="D3" s="710" t="s">
        <v>420</v>
      </c>
      <c r="E3" s="710"/>
      <c r="F3" s="710"/>
      <c r="G3" s="710"/>
      <c r="H3" s="710"/>
      <c r="I3" s="710"/>
      <c r="J3" s="710"/>
      <c r="K3" s="710"/>
      <c r="L3" s="710"/>
      <c r="M3" s="710"/>
      <c r="N3" s="445" t="s">
        <v>421</v>
      </c>
      <c r="O3" s="446"/>
      <c r="P3" s="446"/>
      <c r="Q3" s="446"/>
      <c r="R3" s="446"/>
      <c r="S3" s="446"/>
      <c r="T3" s="446"/>
      <c r="U3" s="446"/>
      <c r="V3" s="446"/>
      <c r="W3" s="447"/>
      <c r="X3" s="305"/>
      <c r="Y3" s="308"/>
      <c r="Z3" s="308"/>
      <c r="AA3" s="308"/>
      <c r="AB3" s="308"/>
      <c r="AC3" s="305"/>
      <c r="AD3" s="305"/>
      <c r="AE3" s="305"/>
      <c r="AF3" s="711"/>
      <c r="AG3" s="711"/>
      <c r="AH3" s="711"/>
      <c r="AI3" s="711"/>
      <c r="AJ3" s="711"/>
      <c r="AK3" s="711"/>
      <c r="AL3" s="711"/>
      <c r="AM3" s="711"/>
      <c r="AN3" s="711"/>
      <c r="AO3" s="711"/>
      <c r="AP3" s="711"/>
      <c r="AQ3" s="711"/>
      <c r="AR3" s="711"/>
      <c r="AS3" s="711"/>
      <c r="AT3" s="711"/>
      <c r="AU3" s="711"/>
      <c r="AV3" s="711"/>
      <c r="AW3" s="711"/>
      <c r="AX3" s="711"/>
      <c r="AY3" s="711"/>
      <c r="AZ3" s="711"/>
      <c r="BA3" s="306"/>
      <c r="BB3" s="306"/>
      <c r="BC3" s="306"/>
      <c r="BD3" s="306"/>
      <c r="BE3" s="306"/>
      <c r="BF3" s="306"/>
      <c r="BG3" s="306"/>
      <c r="BH3" s="306"/>
      <c r="BI3" s="306"/>
      <c r="BJ3" s="306"/>
      <c r="BK3" s="306"/>
      <c r="BL3" s="306"/>
      <c r="BM3" s="306"/>
      <c r="BN3" s="306"/>
      <c r="BO3" s="306"/>
      <c r="BP3" s="306"/>
      <c r="BQ3" s="306"/>
      <c r="BR3" s="306"/>
      <c r="BS3" s="306"/>
      <c r="BT3" s="306"/>
      <c r="BU3" s="306"/>
      <c r="BV3" s="306"/>
      <c r="BW3" s="306"/>
      <c r="BX3" s="306"/>
    </row>
    <row r="4" spans="1:280" s="307" customFormat="1" ht="27.75" customHeight="1" thickBot="1" x14ac:dyDescent="0.35">
      <c r="A4" s="707"/>
      <c r="B4" s="707"/>
      <c r="C4" s="707"/>
      <c r="D4" s="710" t="s">
        <v>422</v>
      </c>
      <c r="E4" s="710"/>
      <c r="F4" s="710"/>
      <c r="G4" s="710"/>
      <c r="H4" s="710"/>
      <c r="I4" s="710"/>
      <c r="J4" s="710"/>
      <c r="K4" s="710"/>
      <c r="L4" s="710"/>
      <c r="M4" s="710"/>
      <c r="N4" s="710"/>
      <c r="O4" s="710"/>
      <c r="P4" s="710"/>
      <c r="Q4" s="710"/>
      <c r="R4" s="710"/>
      <c r="S4" s="710"/>
      <c r="T4" s="710"/>
      <c r="U4" s="710"/>
      <c r="V4" s="710"/>
      <c r="W4" s="710"/>
      <c r="X4" s="305"/>
      <c r="Y4" s="305"/>
      <c r="Z4" s="305"/>
      <c r="AA4" s="305"/>
      <c r="AB4" s="305"/>
      <c r="AC4" s="305"/>
      <c r="AD4" s="305"/>
      <c r="AE4" s="305"/>
      <c r="AF4" s="711"/>
      <c r="AG4" s="711"/>
      <c r="AH4" s="711"/>
      <c r="AI4" s="711"/>
      <c r="AJ4" s="711"/>
      <c r="AK4" s="711"/>
      <c r="AL4" s="711"/>
      <c r="AM4" s="711"/>
      <c r="AN4" s="711"/>
      <c r="AO4" s="711"/>
      <c r="AP4" s="711"/>
      <c r="AQ4" s="711"/>
      <c r="AR4" s="711"/>
      <c r="AS4" s="711"/>
      <c r="AT4" s="711"/>
      <c r="AU4" s="711"/>
      <c r="AV4" s="711"/>
      <c r="AW4" s="711"/>
      <c r="AX4" s="711"/>
      <c r="AY4" s="711"/>
      <c r="AZ4" s="711"/>
      <c r="BA4" s="306"/>
      <c r="BB4" s="306"/>
      <c r="BC4" s="306"/>
      <c r="BD4" s="306"/>
      <c r="BE4" s="306"/>
      <c r="BF4" s="306"/>
      <c r="BG4" s="306"/>
      <c r="BH4" s="306"/>
      <c r="BI4" s="306"/>
      <c r="BJ4" s="306"/>
      <c r="BK4" s="306"/>
      <c r="BL4" s="306"/>
      <c r="BM4" s="306"/>
      <c r="BN4" s="306"/>
      <c r="BO4" s="306"/>
      <c r="BP4" s="306"/>
      <c r="BQ4" s="306"/>
      <c r="BR4" s="306"/>
      <c r="BS4" s="306"/>
      <c r="BT4" s="306"/>
      <c r="BU4" s="306"/>
      <c r="BV4" s="306"/>
      <c r="BW4" s="306"/>
      <c r="BX4" s="306"/>
    </row>
    <row r="5" spans="1:280" ht="16.5" thickBot="1" x14ac:dyDescent="0.3">
      <c r="A5" s="309"/>
      <c r="B5" s="310"/>
      <c r="C5" s="309"/>
      <c r="D5" s="309"/>
      <c r="E5" s="309"/>
      <c r="F5" s="309"/>
      <c r="G5" s="309"/>
      <c r="H5" s="309"/>
      <c r="I5" s="309"/>
      <c r="J5" s="309"/>
      <c r="K5" s="309"/>
      <c r="L5" s="309"/>
      <c r="M5" s="309"/>
      <c r="N5" s="312"/>
      <c r="O5" s="311"/>
      <c r="P5" s="311"/>
      <c r="Q5" s="311"/>
      <c r="R5" s="311"/>
      <c r="S5" s="311"/>
      <c r="T5" s="311"/>
      <c r="U5" s="311"/>
      <c r="V5" s="311"/>
      <c r="W5" s="311"/>
      <c r="X5" s="311"/>
      <c r="Y5" s="311"/>
      <c r="Z5" s="311"/>
      <c r="AA5" s="311"/>
      <c r="AB5" s="311"/>
      <c r="AC5" s="311"/>
      <c r="AD5" s="311"/>
      <c r="AE5" s="311"/>
      <c r="AF5" s="311"/>
      <c r="AG5" s="311"/>
      <c r="AH5" s="311"/>
      <c r="AI5" s="311"/>
      <c r="AJ5" s="311"/>
      <c r="AK5" s="311"/>
      <c r="AL5" s="311"/>
      <c r="AM5" s="311"/>
      <c r="AN5" s="311"/>
      <c r="AO5" s="311"/>
      <c r="AP5" s="311"/>
      <c r="AQ5" s="311"/>
      <c r="AR5" s="311"/>
      <c r="AS5" s="311"/>
      <c r="AT5" s="313"/>
      <c r="AU5" s="311"/>
      <c r="AV5" s="311"/>
      <c r="AW5" s="311"/>
      <c r="AX5" s="311"/>
      <c r="AY5" s="311"/>
      <c r="AZ5" s="311"/>
      <c r="BA5" s="311"/>
      <c r="BB5" s="311"/>
      <c r="BC5" s="311"/>
      <c r="BD5" s="311"/>
      <c r="BE5" s="311"/>
      <c r="BF5" s="311"/>
      <c r="BG5" s="311"/>
      <c r="BH5" s="311"/>
      <c r="BI5" s="311"/>
      <c r="BJ5" s="311"/>
      <c r="BK5" s="311"/>
      <c r="BL5" s="311"/>
      <c r="BM5" s="311"/>
      <c r="BN5" s="311"/>
      <c r="BO5" s="311"/>
      <c r="BP5" s="311"/>
      <c r="BQ5" s="311"/>
      <c r="BR5" s="311"/>
      <c r="BS5" s="311"/>
      <c r="BT5" s="311"/>
      <c r="BU5" s="311"/>
      <c r="BV5" s="311"/>
      <c r="BW5" s="311"/>
      <c r="BX5" s="311"/>
    </row>
    <row r="6" spans="1:280" ht="27" customHeight="1" thickBot="1" x14ac:dyDescent="0.3">
      <c r="A6" s="720" t="s">
        <v>423</v>
      </c>
      <c r="B6" s="720"/>
      <c r="C6" s="721" t="s">
        <v>544</v>
      </c>
      <c r="D6" s="721"/>
      <c r="E6" s="721"/>
      <c r="F6" s="721"/>
      <c r="G6" s="721"/>
      <c r="H6" s="721"/>
      <c r="I6" s="721"/>
      <c r="J6" s="721"/>
      <c r="K6" s="721"/>
      <c r="L6" s="721"/>
      <c r="M6" s="721"/>
      <c r="N6" s="721"/>
      <c r="O6" s="721"/>
      <c r="P6" s="721"/>
      <c r="Q6" s="721"/>
      <c r="R6" s="721"/>
      <c r="S6" s="721"/>
      <c r="T6" s="721"/>
      <c r="U6" s="721"/>
      <c r="V6" s="721"/>
      <c r="W6" s="721"/>
      <c r="X6" s="315"/>
      <c r="Y6" s="315"/>
      <c r="Z6" s="315"/>
      <c r="AA6" s="315"/>
      <c r="AB6" s="315"/>
      <c r="AC6" s="722"/>
      <c r="AD6" s="722"/>
      <c r="AE6" s="722"/>
      <c r="AF6" s="722"/>
      <c r="AG6" s="722"/>
      <c r="AH6" s="714"/>
      <c r="AI6" s="714"/>
      <c r="AJ6" s="714"/>
      <c r="AK6" s="714"/>
      <c r="AL6" s="714"/>
      <c r="AM6" s="714"/>
      <c r="AN6" s="714"/>
      <c r="AO6" s="714"/>
      <c r="AP6" s="714"/>
      <c r="AQ6" s="714"/>
      <c r="AR6" s="714"/>
      <c r="AS6" s="714"/>
      <c r="AT6" s="714"/>
      <c r="AU6" s="714"/>
      <c r="AV6" s="714"/>
      <c r="AW6" s="714"/>
      <c r="AX6" s="714"/>
      <c r="AY6" s="714"/>
      <c r="AZ6" s="714"/>
      <c r="BA6" s="311"/>
      <c r="BB6" s="311"/>
      <c r="BC6" s="311"/>
      <c r="BD6" s="311"/>
      <c r="BE6" s="311"/>
      <c r="BF6" s="311"/>
      <c r="BG6" s="311"/>
      <c r="BH6" s="311"/>
      <c r="BI6" s="311"/>
      <c r="BJ6" s="311"/>
      <c r="BK6" s="311"/>
      <c r="BL6" s="311"/>
      <c r="BM6" s="311"/>
      <c r="BN6" s="311"/>
      <c r="BO6" s="311"/>
      <c r="BP6" s="311"/>
      <c r="BQ6" s="311"/>
      <c r="BR6" s="311"/>
      <c r="BS6" s="311"/>
      <c r="BT6" s="311"/>
      <c r="BU6" s="311"/>
      <c r="BV6" s="311"/>
      <c r="BW6" s="311"/>
      <c r="BX6" s="311"/>
    </row>
    <row r="7" spans="1:280" ht="27" customHeight="1" thickBot="1" x14ac:dyDescent="0.3">
      <c r="A7" s="723" t="s">
        <v>425</v>
      </c>
      <c r="B7" s="723"/>
      <c r="C7" s="713"/>
      <c r="D7" s="713"/>
      <c r="E7" s="713"/>
      <c r="F7" s="713"/>
      <c r="G7" s="713"/>
      <c r="H7" s="713"/>
      <c r="I7" s="713"/>
      <c r="J7" s="713"/>
      <c r="K7" s="713"/>
      <c r="L7" s="713"/>
      <c r="M7" s="713"/>
      <c r="N7" s="713"/>
      <c r="O7" s="713"/>
      <c r="P7" s="713"/>
      <c r="Q7" s="713"/>
      <c r="R7" s="713"/>
      <c r="S7" s="713"/>
      <c r="T7" s="713"/>
      <c r="U7" s="713"/>
      <c r="V7" s="713"/>
      <c r="W7" s="713"/>
      <c r="X7" s="316"/>
      <c r="Y7" s="316"/>
      <c r="Z7" s="316"/>
      <c r="AA7" s="316"/>
      <c r="AB7" s="316"/>
      <c r="AC7" s="317"/>
      <c r="AD7" s="317"/>
      <c r="AE7" s="317"/>
      <c r="AF7" s="317"/>
      <c r="AG7" s="317"/>
      <c r="AH7" s="714"/>
      <c r="AI7" s="714"/>
      <c r="AJ7" s="714"/>
      <c r="AK7" s="714"/>
      <c r="AL7" s="714"/>
      <c r="AM7" s="714"/>
      <c r="AN7" s="714"/>
      <c r="AO7" s="714"/>
      <c r="AP7" s="714"/>
      <c r="AQ7" s="714"/>
      <c r="AR7" s="714"/>
      <c r="AS7" s="714"/>
      <c r="AT7" s="714"/>
      <c r="AU7" s="714"/>
      <c r="AV7" s="714"/>
      <c r="AW7" s="714"/>
      <c r="AX7" s="714"/>
      <c r="AY7" s="714"/>
      <c r="AZ7" s="714"/>
      <c r="BA7" s="311"/>
      <c r="BB7" s="311"/>
      <c r="BC7" s="311"/>
      <c r="BD7" s="311"/>
      <c r="BE7" s="311"/>
      <c r="BF7" s="311"/>
      <c r="BG7" s="311"/>
      <c r="BH7" s="311"/>
      <c r="BI7" s="311"/>
      <c r="BJ7" s="311"/>
      <c r="BK7" s="311"/>
      <c r="BL7" s="311"/>
      <c r="BM7" s="311"/>
      <c r="BN7" s="311"/>
      <c r="BO7" s="311"/>
      <c r="BP7" s="311"/>
      <c r="BQ7" s="311"/>
      <c r="BR7" s="311"/>
      <c r="BS7" s="311"/>
      <c r="BT7" s="311"/>
      <c r="BU7" s="311"/>
      <c r="BV7" s="311"/>
      <c r="BW7" s="311"/>
      <c r="BX7" s="311"/>
    </row>
    <row r="8" spans="1:280" ht="27" customHeight="1" thickBot="1" x14ac:dyDescent="0.3">
      <c r="A8" s="712" t="s">
        <v>426</v>
      </c>
      <c r="B8" s="712"/>
      <c r="C8" s="713"/>
      <c r="D8" s="713"/>
      <c r="E8" s="713"/>
      <c r="F8" s="713"/>
      <c r="G8" s="713"/>
      <c r="H8" s="713"/>
      <c r="I8" s="713"/>
      <c r="J8" s="713"/>
      <c r="K8" s="713"/>
      <c r="L8" s="713"/>
      <c r="M8" s="713"/>
      <c r="N8" s="713"/>
      <c r="O8" s="713"/>
      <c r="P8" s="713"/>
      <c r="Q8" s="713"/>
      <c r="R8" s="713"/>
      <c r="S8" s="713"/>
      <c r="T8" s="713"/>
      <c r="U8" s="713"/>
      <c r="V8" s="713"/>
      <c r="W8" s="713"/>
      <c r="X8" s="316"/>
      <c r="Y8" s="316"/>
      <c r="Z8" s="316"/>
      <c r="AA8" s="316"/>
      <c r="AB8" s="316"/>
      <c r="AC8" s="317"/>
      <c r="AD8" s="317"/>
      <c r="AE8" s="317"/>
      <c r="AF8" s="317"/>
      <c r="AG8" s="317"/>
      <c r="AH8" s="714"/>
      <c r="AI8" s="714"/>
      <c r="AJ8" s="714"/>
      <c r="AK8" s="714"/>
      <c r="AL8" s="714"/>
      <c r="AM8" s="714"/>
      <c r="AN8" s="714"/>
      <c r="AO8" s="714"/>
      <c r="AP8" s="714"/>
      <c r="AQ8" s="714"/>
      <c r="AR8" s="714"/>
      <c r="AS8" s="714"/>
      <c r="AT8" s="714"/>
      <c r="AU8" s="714"/>
      <c r="AV8" s="714"/>
      <c r="AW8" s="714"/>
      <c r="AX8" s="714"/>
      <c r="AY8" s="714"/>
      <c r="AZ8" s="714"/>
      <c r="BA8" s="311"/>
      <c r="BB8" s="311"/>
      <c r="BC8" s="311"/>
      <c r="BD8" s="311"/>
      <c r="BE8" s="311"/>
      <c r="BF8" s="311"/>
      <c r="BG8" s="311"/>
      <c r="BH8" s="311"/>
      <c r="BI8" s="311"/>
      <c r="BJ8" s="311"/>
      <c r="BK8" s="311"/>
      <c r="BL8" s="311"/>
      <c r="BM8" s="311"/>
      <c r="BN8" s="311"/>
      <c r="BO8" s="311"/>
      <c r="BP8" s="311"/>
      <c r="BQ8" s="311"/>
      <c r="BR8" s="311"/>
      <c r="BS8" s="311"/>
      <c r="BT8" s="311"/>
      <c r="BU8" s="311"/>
      <c r="BV8" s="311"/>
      <c r="BW8" s="311"/>
      <c r="BX8" s="311"/>
    </row>
    <row r="9" spans="1:280" x14ac:dyDescent="0.25">
      <c r="A9" s="318"/>
      <c r="B9" s="318"/>
      <c r="C9" s="319"/>
      <c r="D9" s="319"/>
      <c r="E9" s="320"/>
      <c r="F9" s="320"/>
      <c r="G9" s="320"/>
      <c r="H9" s="320"/>
      <c r="I9" s="320"/>
      <c r="J9" s="320"/>
      <c r="K9" s="320"/>
      <c r="L9" s="320"/>
      <c r="M9" s="320"/>
      <c r="N9" s="320"/>
      <c r="O9" s="320"/>
      <c r="P9" s="320"/>
      <c r="Q9" s="320"/>
      <c r="R9" s="320"/>
      <c r="S9" s="320"/>
      <c r="T9" s="320"/>
      <c r="U9" s="320"/>
      <c r="V9" s="320"/>
      <c r="W9" s="320"/>
      <c r="X9" s="320"/>
      <c r="Y9" s="320"/>
      <c r="Z9" s="320"/>
      <c r="AA9" s="320"/>
      <c r="AB9" s="320"/>
      <c r="AC9" s="321"/>
      <c r="AD9" s="321"/>
      <c r="AE9" s="321"/>
      <c r="AF9" s="321"/>
      <c r="AG9" s="321"/>
      <c r="AH9" s="322"/>
      <c r="AI9" s="322"/>
      <c r="AJ9" s="322"/>
      <c r="AK9" s="322"/>
      <c r="AL9" s="322"/>
      <c r="AM9" s="322"/>
      <c r="AN9" s="322"/>
      <c r="AO9" s="322"/>
      <c r="AP9" s="322"/>
      <c r="AQ9" s="322"/>
      <c r="AR9" s="322"/>
      <c r="AS9" s="322"/>
      <c r="AT9" s="322"/>
      <c r="AU9" s="322"/>
      <c r="AV9" s="322"/>
      <c r="AW9" s="322"/>
      <c r="AX9" s="322"/>
      <c r="AY9" s="322"/>
      <c r="AZ9" s="322"/>
    </row>
    <row r="10" spans="1:280" ht="27.75" customHeight="1" x14ac:dyDescent="0.25">
      <c r="A10" s="715" t="s">
        <v>427</v>
      </c>
      <c r="B10" s="715"/>
      <c r="C10" s="715"/>
      <c r="D10" s="715"/>
      <c r="E10" s="715"/>
      <c r="F10" s="715"/>
      <c r="G10" s="323"/>
      <c r="H10" s="323"/>
      <c r="I10" s="323"/>
      <c r="J10" s="323"/>
      <c r="K10" s="323"/>
      <c r="L10" s="323"/>
      <c r="M10" s="323"/>
      <c r="N10" s="716" t="s">
        <v>430</v>
      </c>
      <c r="O10" s="716"/>
      <c r="P10" s="716"/>
      <c r="Q10" s="716"/>
      <c r="R10" s="716"/>
      <c r="S10" s="716"/>
      <c r="T10" s="716"/>
      <c r="U10" s="716"/>
      <c r="V10" s="716"/>
      <c r="W10" s="716"/>
      <c r="X10" s="716"/>
      <c r="Y10" s="717" t="s">
        <v>431</v>
      </c>
      <c r="Z10" s="717"/>
      <c r="AA10" s="717"/>
      <c r="AB10" s="717"/>
      <c r="AC10" s="717"/>
      <c r="AD10" s="717"/>
      <c r="AE10" s="717"/>
      <c r="AF10" s="717"/>
      <c r="AG10" s="717"/>
      <c r="AH10" s="717"/>
      <c r="AI10" s="717"/>
      <c r="AJ10" s="717"/>
      <c r="AK10" s="717"/>
      <c r="AL10" s="717"/>
      <c r="AM10" s="717"/>
      <c r="AN10" s="718" t="s">
        <v>432</v>
      </c>
      <c r="AO10" s="718"/>
      <c r="AP10" s="718"/>
      <c r="AQ10" s="718"/>
      <c r="AR10" s="718"/>
      <c r="AS10" s="719" t="s">
        <v>433</v>
      </c>
      <c r="AT10" s="719"/>
      <c r="AU10" s="719"/>
      <c r="AV10" s="719"/>
      <c r="AW10" s="719"/>
      <c r="AX10" s="729" t="s">
        <v>434</v>
      </c>
      <c r="AY10" s="729"/>
      <c r="AZ10" s="729"/>
      <c r="BA10" s="311"/>
      <c r="BB10" s="311"/>
      <c r="BC10" s="311"/>
      <c r="BD10" s="311"/>
      <c r="BE10" s="311"/>
      <c r="BF10" s="311"/>
      <c r="BG10" s="311"/>
      <c r="BH10" s="311"/>
      <c r="BI10" s="311"/>
      <c r="BJ10" s="311"/>
      <c r="BK10" s="311"/>
      <c r="BL10" s="311"/>
      <c r="BM10" s="311"/>
      <c r="BN10" s="311"/>
      <c r="BO10" s="311"/>
      <c r="BP10" s="311"/>
      <c r="BQ10" s="311"/>
      <c r="BR10" s="311"/>
      <c r="BS10" s="311"/>
      <c r="BT10" s="311"/>
      <c r="BU10" s="311"/>
      <c r="BV10" s="311"/>
      <c r="BW10" s="311"/>
      <c r="BX10" s="311"/>
    </row>
    <row r="11" spans="1:280" ht="15" customHeight="1" x14ac:dyDescent="0.25">
      <c r="A11" s="724" t="s">
        <v>435</v>
      </c>
      <c r="B11" s="725" t="s">
        <v>545</v>
      </c>
      <c r="C11" s="725" t="s">
        <v>546</v>
      </c>
      <c r="D11" s="725" t="s">
        <v>547</v>
      </c>
      <c r="E11" s="725" t="s">
        <v>548</v>
      </c>
      <c r="F11" s="725" t="s">
        <v>549</v>
      </c>
      <c r="G11" s="726" t="s">
        <v>550</v>
      </c>
      <c r="H11" s="726" t="s">
        <v>551</v>
      </c>
      <c r="I11" s="726" t="s">
        <v>552</v>
      </c>
      <c r="J11" s="726" t="s">
        <v>553</v>
      </c>
      <c r="K11" s="726" t="s">
        <v>554</v>
      </c>
      <c r="L11" s="726" t="s">
        <v>555</v>
      </c>
      <c r="M11" s="726" t="s">
        <v>556</v>
      </c>
      <c r="N11" s="727" t="s">
        <v>471</v>
      </c>
      <c r="O11" s="727" t="s">
        <v>557</v>
      </c>
      <c r="P11" s="728" t="s">
        <v>446</v>
      </c>
      <c r="Q11" s="727" t="s">
        <v>558</v>
      </c>
      <c r="R11" s="727" t="s">
        <v>446</v>
      </c>
      <c r="S11" s="727" t="s">
        <v>559</v>
      </c>
      <c r="T11" s="727" t="s">
        <v>446</v>
      </c>
      <c r="U11" s="727" t="s">
        <v>560</v>
      </c>
      <c r="V11" s="727" t="s">
        <v>449</v>
      </c>
      <c r="W11" s="728" t="s">
        <v>446</v>
      </c>
      <c r="X11" s="727" t="s">
        <v>450</v>
      </c>
      <c r="Y11" s="731" t="s">
        <v>451</v>
      </c>
      <c r="Z11" s="326"/>
      <c r="AA11" s="326"/>
      <c r="AB11" s="326"/>
      <c r="AC11" s="725" t="s">
        <v>31</v>
      </c>
      <c r="AD11" s="725" t="s">
        <v>561</v>
      </c>
      <c r="AE11" s="725"/>
      <c r="AF11" s="725" t="s">
        <v>33</v>
      </c>
      <c r="AG11" s="725" t="s">
        <v>452</v>
      </c>
      <c r="AH11" s="725"/>
      <c r="AI11" s="725"/>
      <c r="AJ11" s="725"/>
      <c r="AK11" s="725"/>
      <c r="AL11" s="725"/>
      <c r="AM11" s="731" t="s">
        <v>453</v>
      </c>
      <c r="AN11" s="730" t="s">
        <v>454</v>
      </c>
      <c r="AO11" s="730" t="s">
        <v>446</v>
      </c>
      <c r="AP11" s="730" t="s">
        <v>455</v>
      </c>
      <c r="AQ11" s="730" t="s">
        <v>446</v>
      </c>
      <c r="AR11" s="730" t="s">
        <v>456</v>
      </c>
      <c r="AS11" s="731" t="s">
        <v>49</v>
      </c>
      <c r="AT11" s="725" t="s">
        <v>457</v>
      </c>
      <c r="AU11" s="725" t="s">
        <v>458</v>
      </c>
      <c r="AV11" s="725" t="s">
        <v>459</v>
      </c>
      <c r="AW11" s="725" t="s">
        <v>460</v>
      </c>
      <c r="AX11" s="733" t="s">
        <v>461</v>
      </c>
      <c r="AY11" s="733" t="s">
        <v>462</v>
      </c>
      <c r="AZ11" s="733" t="s">
        <v>465</v>
      </c>
      <c r="BA11" s="311"/>
      <c r="BB11" s="311"/>
      <c r="BC11" s="311"/>
      <c r="BD11" s="311"/>
      <c r="BE11" s="311"/>
      <c r="BF11" s="311"/>
      <c r="BG11" s="311"/>
      <c r="BH11" s="311"/>
      <c r="BI11" s="311"/>
      <c r="BJ11" s="311"/>
      <c r="BK11" s="311"/>
      <c r="BL11" s="311"/>
      <c r="BM11" s="311"/>
      <c r="BN11" s="311"/>
      <c r="BO11" s="311"/>
      <c r="BP11" s="311"/>
      <c r="BQ11" s="311"/>
      <c r="BR11" s="311"/>
      <c r="BS11" s="311"/>
      <c r="BT11" s="311"/>
      <c r="BU11" s="311"/>
      <c r="BV11" s="311"/>
      <c r="BW11" s="311"/>
    </row>
    <row r="12" spans="1:280" s="329" customFormat="1" ht="99" x14ac:dyDescent="0.25">
      <c r="A12" s="724"/>
      <c r="B12" s="725"/>
      <c r="C12" s="725"/>
      <c r="D12" s="725"/>
      <c r="E12" s="725"/>
      <c r="F12" s="725"/>
      <c r="G12" s="726"/>
      <c r="H12" s="726"/>
      <c r="I12" s="726"/>
      <c r="J12" s="726"/>
      <c r="K12" s="726"/>
      <c r="L12" s="726"/>
      <c r="M12" s="726"/>
      <c r="N12" s="727"/>
      <c r="O12" s="727"/>
      <c r="P12" s="728"/>
      <c r="Q12" s="727"/>
      <c r="R12" s="727"/>
      <c r="S12" s="727"/>
      <c r="T12" s="727"/>
      <c r="U12" s="727"/>
      <c r="V12" s="727"/>
      <c r="W12" s="727"/>
      <c r="X12" s="727"/>
      <c r="Y12" s="731"/>
      <c r="Z12" s="325" t="s">
        <v>465</v>
      </c>
      <c r="AA12" s="325" t="s">
        <v>461</v>
      </c>
      <c r="AB12" s="325" t="s">
        <v>466</v>
      </c>
      <c r="AC12" s="725"/>
      <c r="AD12" s="324" t="s">
        <v>562</v>
      </c>
      <c r="AE12" s="324" t="s">
        <v>563</v>
      </c>
      <c r="AF12" s="725"/>
      <c r="AG12" s="324" t="s">
        <v>467</v>
      </c>
      <c r="AH12" s="324" t="s">
        <v>468</v>
      </c>
      <c r="AI12" s="324" t="s">
        <v>469</v>
      </c>
      <c r="AJ12" s="324" t="s">
        <v>470</v>
      </c>
      <c r="AK12" s="324" t="s">
        <v>471</v>
      </c>
      <c r="AL12" s="324" t="s">
        <v>472</v>
      </c>
      <c r="AM12" s="731"/>
      <c r="AN12" s="730"/>
      <c r="AO12" s="730"/>
      <c r="AP12" s="730"/>
      <c r="AQ12" s="730"/>
      <c r="AR12" s="730"/>
      <c r="AS12" s="731"/>
      <c r="AT12" s="725"/>
      <c r="AU12" s="725"/>
      <c r="AV12" s="725"/>
      <c r="AW12" s="725"/>
      <c r="AX12" s="733"/>
      <c r="AY12" s="733"/>
      <c r="AZ12" s="733"/>
      <c r="BA12" s="327"/>
      <c r="BB12" s="327"/>
      <c r="BC12" s="327"/>
      <c r="BD12" s="327"/>
      <c r="BE12" s="327"/>
      <c r="BF12" s="327"/>
      <c r="BG12" s="327"/>
      <c r="BH12" s="327"/>
      <c r="BI12" s="327"/>
      <c r="BJ12" s="327"/>
      <c r="BK12" s="327"/>
      <c r="BL12" s="327"/>
      <c r="BM12" s="327"/>
      <c r="BN12" s="327"/>
      <c r="BO12" s="327"/>
      <c r="BP12" s="327"/>
      <c r="BQ12" s="327"/>
      <c r="BR12" s="327"/>
      <c r="BS12" s="327"/>
      <c r="BT12" s="327"/>
      <c r="BU12" s="327"/>
      <c r="BV12" s="327"/>
      <c r="BW12" s="327"/>
      <c r="BX12" s="328"/>
      <c r="BY12" s="328"/>
      <c r="BZ12" s="328"/>
      <c r="CA12" s="328"/>
      <c r="CB12" s="328"/>
      <c r="CC12" s="328"/>
      <c r="CD12" s="328"/>
      <c r="CE12" s="328"/>
      <c r="CF12" s="328"/>
      <c r="CG12" s="328"/>
      <c r="CH12" s="328"/>
      <c r="CI12" s="328"/>
      <c r="CJ12" s="328"/>
      <c r="CK12" s="328"/>
      <c r="CL12" s="328"/>
      <c r="CM12" s="328"/>
      <c r="CN12" s="328"/>
      <c r="CO12" s="328"/>
      <c r="CP12" s="328"/>
      <c r="CQ12" s="328"/>
      <c r="CR12" s="328"/>
      <c r="CS12" s="328"/>
      <c r="CT12" s="328"/>
      <c r="CU12" s="328"/>
      <c r="CV12" s="328"/>
      <c r="CW12" s="328"/>
      <c r="CX12" s="328"/>
      <c r="CY12" s="328"/>
      <c r="CZ12" s="328"/>
      <c r="DA12" s="328"/>
      <c r="DB12" s="328"/>
      <c r="DC12" s="328"/>
      <c r="DD12" s="328"/>
      <c r="DE12" s="328"/>
      <c r="DF12" s="328"/>
      <c r="DG12" s="328"/>
      <c r="DH12" s="328"/>
      <c r="DI12" s="328"/>
      <c r="DJ12" s="328"/>
      <c r="DK12" s="328"/>
      <c r="DL12" s="328"/>
      <c r="DM12" s="328"/>
      <c r="DN12" s="328"/>
      <c r="DO12" s="328"/>
      <c r="DP12" s="328"/>
      <c r="DQ12" s="328"/>
      <c r="DR12" s="328"/>
      <c r="DS12" s="328"/>
      <c r="DT12" s="328"/>
      <c r="DU12" s="328"/>
      <c r="DV12" s="328"/>
      <c r="DW12" s="328"/>
      <c r="DX12" s="328"/>
      <c r="DY12" s="328"/>
      <c r="DZ12" s="328"/>
      <c r="EA12" s="328"/>
      <c r="EB12" s="328"/>
      <c r="EC12" s="328"/>
      <c r="ED12" s="328"/>
      <c r="EE12" s="328"/>
      <c r="EF12" s="328"/>
      <c r="EG12" s="328"/>
      <c r="EH12" s="328"/>
      <c r="EI12" s="328"/>
      <c r="EJ12" s="328"/>
      <c r="EK12" s="328"/>
      <c r="EL12" s="328"/>
      <c r="EM12" s="328"/>
      <c r="EN12" s="328"/>
      <c r="EO12" s="328"/>
      <c r="EP12" s="328"/>
      <c r="EQ12" s="328"/>
      <c r="ER12" s="328"/>
      <c r="ES12" s="328"/>
      <c r="ET12" s="328"/>
      <c r="EU12" s="328"/>
      <c r="EV12" s="328"/>
      <c r="EW12" s="328"/>
      <c r="EX12" s="328"/>
      <c r="EY12" s="328"/>
      <c r="EZ12" s="328"/>
      <c r="FA12" s="328"/>
      <c r="FB12" s="328"/>
      <c r="FC12" s="328"/>
      <c r="FD12" s="328"/>
      <c r="FE12" s="328"/>
      <c r="FF12" s="328"/>
      <c r="FG12" s="328"/>
      <c r="FH12" s="328"/>
      <c r="FI12" s="328"/>
      <c r="FJ12" s="328"/>
      <c r="FK12" s="328"/>
      <c r="FL12" s="328"/>
      <c r="FM12" s="328"/>
      <c r="FN12" s="328"/>
      <c r="FO12" s="328"/>
      <c r="FP12" s="328"/>
      <c r="FQ12" s="328"/>
      <c r="FR12" s="328"/>
      <c r="FS12" s="328"/>
      <c r="FT12" s="328"/>
      <c r="FU12" s="328"/>
      <c r="FV12" s="328"/>
      <c r="FW12" s="328"/>
      <c r="FX12" s="328"/>
      <c r="FY12" s="328"/>
      <c r="FZ12" s="328"/>
      <c r="GA12" s="328"/>
      <c r="GB12" s="328"/>
      <c r="GC12" s="328"/>
      <c r="GD12" s="328"/>
      <c r="GE12" s="328"/>
      <c r="GF12" s="328"/>
      <c r="GG12" s="328"/>
      <c r="GH12" s="328"/>
      <c r="GI12" s="328"/>
      <c r="GJ12" s="328"/>
      <c r="GK12" s="328"/>
      <c r="GL12" s="328"/>
      <c r="GM12" s="328"/>
      <c r="GN12" s="328"/>
      <c r="GO12" s="328"/>
      <c r="GP12" s="328"/>
      <c r="GQ12" s="328"/>
      <c r="GR12" s="328"/>
      <c r="GS12" s="328"/>
      <c r="GT12" s="328"/>
      <c r="GU12" s="328"/>
      <c r="GV12" s="328"/>
      <c r="GW12" s="328"/>
      <c r="GX12" s="328"/>
      <c r="GY12" s="328"/>
      <c r="GZ12" s="328"/>
      <c r="HA12" s="328"/>
      <c r="HB12" s="328"/>
      <c r="HC12" s="328"/>
      <c r="HD12" s="328"/>
      <c r="HE12" s="328"/>
      <c r="HF12" s="328"/>
      <c r="HG12" s="328"/>
      <c r="HH12" s="328"/>
      <c r="HI12" s="328"/>
      <c r="HJ12" s="328"/>
      <c r="HK12" s="328"/>
      <c r="HL12" s="328"/>
      <c r="HM12" s="328"/>
      <c r="HN12" s="328"/>
      <c r="HO12" s="328"/>
      <c r="HP12" s="328"/>
      <c r="HQ12" s="328"/>
      <c r="HR12" s="328"/>
      <c r="HS12" s="328"/>
      <c r="HT12" s="328"/>
      <c r="HU12" s="328"/>
      <c r="HV12" s="328"/>
      <c r="HW12" s="328"/>
      <c r="HX12" s="328"/>
      <c r="HY12" s="328"/>
      <c r="HZ12" s="328"/>
      <c r="IA12" s="328"/>
      <c r="IB12" s="328"/>
      <c r="IC12" s="328"/>
      <c r="ID12" s="328"/>
      <c r="IE12" s="328"/>
      <c r="IF12" s="328"/>
      <c r="IG12" s="328"/>
      <c r="IH12" s="328"/>
      <c r="II12" s="328"/>
      <c r="IJ12" s="328"/>
      <c r="IK12" s="328"/>
      <c r="IL12" s="328"/>
      <c r="IM12" s="328"/>
      <c r="IN12" s="328"/>
      <c r="IO12" s="328"/>
      <c r="IP12" s="328"/>
      <c r="IQ12" s="328"/>
      <c r="IR12" s="328"/>
      <c r="IS12" s="328"/>
      <c r="IT12" s="328"/>
      <c r="IU12" s="328"/>
      <c r="IV12" s="328"/>
      <c r="IW12" s="328"/>
      <c r="IX12" s="328"/>
      <c r="IY12" s="328"/>
      <c r="IZ12" s="328"/>
      <c r="JA12" s="328"/>
      <c r="JB12" s="328"/>
      <c r="JC12" s="328"/>
      <c r="JD12" s="328"/>
      <c r="JE12" s="328"/>
      <c r="JF12" s="328"/>
      <c r="JG12" s="328"/>
      <c r="JH12" s="328"/>
      <c r="JI12" s="328"/>
      <c r="JJ12" s="328"/>
      <c r="JK12" s="328"/>
      <c r="JL12" s="328"/>
      <c r="JM12" s="328"/>
      <c r="JN12" s="328"/>
      <c r="JO12" s="328"/>
      <c r="JP12" s="328"/>
      <c r="JQ12" s="328"/>
      <c r="JR12" s="328"/>
      <c r="JS12" s="328"/>
      <c r="JT12" s="328"/>
    </row>
    <row r="13" spans="1:280" s="339" customFormat="1" ht="15" x14ac:dyDescent="0.25">
      <c r="A13" s="734">
        <v>1</v>
      </c>
      <c r="B13" s="732"/>
      <c r="C13" s="732"/>
      <c r="D13" s="732"/>
      <c r="E13" s="732"/>
      <c r="F13" s="732"/>
      <c r="G13" s="732"/>
      <c r="H13" s="732"/>
      <c r="I13" s="732"/>
      <c r="J13" s="732"/>
      <c r="K13" s="732"/>
      <c r="L13" s="732"/>
      <c r="M13" s="732"/>
      <c r="N13" s="740"/>
      <c r="O13" s="737"/>
      <c r="P13" s="736"/>
      <c r="Q13" s="739"/>
      <c r="R13" s="736"/>
      <c r="S13" s="739"/>
      <c r="T13" s="736"/>
      <c r="U13" s="736"/>
      <c r="V13" s="737"/>
      <c r="W13" s="736"/>
      <c r="X13" s="738"/>
      <c r="Y13" s="332">
        <v>1</v>
      </c>
      <c r="Z13" s="333"/>
      <c r="AA13" s="333"/>
      <c r="AB13" s="333"/>
      <c r="AC13" s="334" t="str">
        <f t="shared" ref="AC13:AC72" si="0">+CONCATENATE(Z13," ",AA13," ",AB13)</f>
        <v xml:space="preserve">  </v>
      </c>
      <c r="AD13" s="335"/>
      <c r="AE13" s="356" t="e">
        <f>INDEX(Listas!B86:B180,MATCH(TEXT(AD13,"0.00"),Listas!A86:A180,0))</f>
        <v>#N/A</v>
      </c>
      <c r="AF13" s="335" t="str">
        <f t="shared" ref="AF13" si="1">IF(OR(AG13="Preventivo",AG13="Detectivo"),"Probabilidad",IF(AG13="Correctivo","Impacto",""))</f>
        <v/>
      </c>
      <c r="AG13" s="350"/>
      <c r="AH13" s="351"/>
      <c r="AI13" s="352" t="str">
        <f t="shared" ref="AI13" si="2">IF(AND(AG13="Preventivo",AH13="Automático"),"50%",IF(AND(AG13="Preventivo",AH13="Manual"),"40%",IF(AND(AG13="Detectivo",AH13="Automático"),"40%",IF(AND(AG13="Detectivo",AH13="Manual"),"30%",IF(AND(AG13="Correctivo",AH13="Automático"),"35%",IF(AND(AG13="Correctivo",AH13="Manual"),"25%",""))))))</f>
        <v/>
      </c>
      <c r="AJ13" s="351"/>
      <c r="AK13" s="351"/>
      <c r="AL13" s="351"/>
      <c r="AM13" s="353" t="str">
        <f>IFERROR(IF(AF13="Probabilidad",(P13-(+P13*AI13)),IF(AF13="Impacto",P13,"")),"")</f>
        <v/>
      </c>
      <c r="AN13" s="354" t="str">
        <f t="shared" ref="AN13" si="3">IFERROR(IF(AM13="","",IF(AM13&lt;=0.2,"Muy Baja",IF(AM13&lt;=0.4,"Baja",IF(AM13&lt;=0.6,"Media",IF(AM13&lt;=0.8,"Alta","Muy Alta"))))),"")</f>
        <v/>
      </c>
      <c r="AO13" s="352" t="str">
        <f t="shared" ref="AO13" si="4">+AM13</f>
        <v/>
      </c>
      <c r="AP13" s="354" t="str">
        <f t="shared" ref="AP13" si="5">IFERROR(IF(AQ13="","",IF(AQ13&lt;=0.2,"Leve",IF(AQ13&lt;=0.4,"Menor",IF(AQ13&lt;=0.6,"Moderado",IF(AQ13&lt;=0.8,"Mayor","Catastrófico"))))),"")</f>
        <v/>
      </c>
      <c r="AQ13" s="352" t="str">
        <f>IFERROR(IF(AF13="Impacto",(W13-(+W13*AI13)),IF(AF13="Probabilidad",W13,"")),"")</f>
        <v/>
      </c>
      <c r="AR13" s="355" t="str">
        <f t="shared" ref="AR13" si="6">IFERROR(IF(OR(AND(AN13="Muy Baja",AP13="Leve"),AND(AN13="Muy Baja",AP13="Menor"),AND(AN13="Baja",AP13="Leve")),"Bajo",IF(OR(AND(AN13="Muy baja",AP13="Moderado"),AND(AN13="Baja",AP13="Menor"),AND(AN13="Baja",AP13="Moderado"),AND(AN13="Media",AP13="Leve"),AND(AN13="Media",AP13="Menor"),AND(AN13="Media",AP13="Moderado"),AND(AN13="Alta",AP13="Leve"),AND(AN13="Alta",AP13="Menor")),"Moderado",IF(OR(AND(AN13="Muy Baja",AP13="Mayor"),AND(AN13="Baja",AP13="Mayor"),AND(AN13="Media",AP13="Mayor"),AND(AN13="Alta",AP13="Moderado"),AND(AN13="Alta",AP13="Mayor"),AND(AN13="Muy Alta",AP13="Leve"),AND(AN13="Muy Alta",AP13="Menor"),AND(AN13="Muy Alta",AP13="Moderado"),AND(AN13="Muy Alta",AP13="Mayor")),"Alto",IF(OR(AND(AN13="Muy Baja",AP13="Catastrófico"),AND(AN13="Baja",AP13="Catastrófico"),AND(AN13="Media",AP13="Catastrófico"),AND(AN13="Alta",AP13="Catastrófico"),AND(AN13="Muy Alta",AP13="Catastrófico")),"Extremo","")))),"")</f>
        <v/>
      </c>
      <c r="AS13" s="350"/>
      <c r="AT13" s="330"/>
      <c r="AU13" s="331"/>
      <c r="AV13" s="331"/>
      <c r="AW13" s="338"/>
      <c r="AX13" s="735"/>
      <c r="AY13" s="735"/>
      <c r="AZ13" s="735"/>
    </row>
    <row r="14" spans="1:280" x14ac:dyDescent="0.25">
      <c r="A14" s="734"/>
      <c r="B14" s="732"/>
      <c r="C14" s="732"/>
      <c r="D14" s="732"/>
      <c r="E14" s="732"/>
      <c r="F14" s="732"/>
      <c r="G14" s="732"/>
      <c r="H14" s="732"/>
      <c r="I14" s="732"/>
      <c r="J14" s="732"/>
      <c r="K14" s="732"/>
      <c r="L14" s="732"/>
      <c r="M14" s="732"/>
      <c r="N14" s="740"/>
      <c r="O14" s="737"/>
      <c r="P14" s="736"/>
      <c r="Q14" s="739"/>
      <c r="R14" s="736"/>
      <c r="S14" s="739"/>
      <c r="T14" s="736"/>
      <c r="U14" s="736"/>
      <c r="V14" s="737"/>
      <c r="W14" s="736"/>
      <c r="X14" s="738"/>
      <c r="Y14" s="332">
        <v>2</v>
      </c>
      <c r="Z14" s="333"/>
      <c r="AA14" s="332"/>
      <c r="AB14" s="332"/>
      <c r="AC14" s="334" t="str">
        <f t="shared" si="0"/>
        <v xml:space="preserve">  </v>
      </c>
      <c r="AD14" s="335"/>
      <c r="AE14" s="356" t="e">
        <f>INDEX(Listas!B87:B181,MATCH(TEXT(AD14,"0.00"),Listas!A87:A181,0))</f>
        <v>#N/A</v>
      </c>
      <c r="AF14" s="335" t="str">
        <f t="shared" ref="AF14" si="7">IF(OR(AG14="Preventivo",AG14="Detectivo"),"Probabilidad",IF(AG14="Correctivo","Impacto",""))</f>
        <v/>
      </c>
      <c r="AG14" s="350"/>
      <c r="AH14" s="351"/>
      <c r="AI14" s="352" t="str">
        <f t="shared" ref="AI14" si="8">IF(AND(AG14="Preventivo",AH14="Automático"),"50%",IF(AND(AG14="Preventivo",AH14="Manual"),"40%",IF(AND(AG14="Detectivo",AH14="Automático"),"40%",IF(AND(AG14="Detectivo",AH14="Manual"),"30%",IF(AND(AG14="Correctivo",AH14="Automático"),"35%",IF(AND(AG14="Correctivo",AH14="Manual"),"25%",""))))))</f>
        <v/>
      </c>
      <c r="AJ14" s="351"/>
      <c r="AK14" s="351"/>
      <c r="AL14" s="351"/>
      <c r="AM14" s="353" t="str">
        <f t="shared" ref="AM14" si="9">IFERROR(IF(AF14="Probabilidad",(P14-(+P14*AI14)),IF(AF14="Impacto",P14,"")),"")</f>
        <v/>
      </c>
      <c r="AN14" s="354" t="str">
        <f t="shared" ref="AN14" si="10">IFERROR(IF(AM14="","",IF(AM14&lt;=0.2,"Muy Baja",IF(AM14&lt;=0.4,"Baja",IF(AM14&lt;=0.6,"Media",IF(AM14&lt;=0.8,"Alta","Muy Alta"))))),"")</f>
        <v/>
      </c>
      <c r="AO14" s="352" t="str">
        <f t="shared" ref="AO14" si="11">+AM14</f>
        <v/>
      </c>
      <c r="AP14" s="354" t="str">
        <f t="shared" ref="AP14" si="12">IFERROR(IF(AQ14="","",IF(AQ14&lt;=0.2,"Leve",IF(AQ14&lt;=0.4,"Menor",IF(AQ14&lt;=0.6,"Moderado",IF(AQ14&lt;=0.8,"Mayor","Catastrófico"))))),"")</f>
        <v/>
      </c>
      <c r="AQ14" s="352" t="str">
        <f t="shared" ref="AQ14" si="13">IFERROR(IF(AF14="Impacto",(W14-(+W14*AI14)),IF(AF14="Probabilidad",W14,"")),"")</f>
        <v/>
      </c>
      <c r="AR14" s="355" t="str">
        <f t="shared" ref="AR14" si="14">IFERROR(IF(OR(AND(AN14="Muy Baja",AP14="Leve"),AND(AN14="Muy Baja",AP14="Menor"),AND(AN14="Baja",AP14="Leve")),"Bajo",IF(OR(AND(AN14="Muy baja",AP14="Moderado"),AND(AN14="Baja",AP14="Menor"),AND(AN14="Baja",AP14="Moderado"),AND(AN14="Media",AP14="Leve"),AND(AN14="Media",AP14="Menor"),AND(AN14="Media",AP14="Moderado"),AND(AN14="Alta",AP14="Leve"),AND(AN14="Alta",AP14="Menor")),"Moderado",IF(OR(AND(AN14="Muy Baja",AP14="Mayor"),AND(AN14="Baja",AP14="Mayor"),AND(AN14="Media",AP14="Mayor"),AND(AN14="Alta",AP14="Moderado"),AND(AN14="Alta",AP14="Mayor"),AND(AN14="Muy Alta",AP14="Leve"),AND(AN14="Muy Alta",AP14="Menor"),AND(AN14="Muy Alta",AP14="Moderado"),AND(AN14="Muy Alta",AP14="Mayor")),"Alto",IF(OR(AND(AN14="Muy Baja",AP14="Catastrófico"),AND(AN14="Baja",AP14="Catastrófico"),AND(AN14="Media",AP14="Catastrófico"),AND(AN14="Alta",AP14="Catastrófico"),AND(AN14="Muy Alta",AP14="Catastrófico")),"Extremo","")))),"")</f>
        <v/>
      </c>
      <c r="AS14" s="350"/>
      <c r="AT14" s="330"/>
      <c r="AU14" s="331"/>
      <c r="AV14" s="330"/>
      <c r="AW14" s="338"/>
      <c r="AX14" s="735"/>
      <c r="AY14" s="735"/>
      <c r="AZ14" s="735"/>
    </row>
    <row r="15" spans="1:280" x14ac:dyDescent="0.25">
      <c r="A15" s="734"/>
      <c r="B15" s="732"/>
      <c r="C15" s="732"/>
      <c r="D15" s="732"/>
      <c r="E15" s="732"/>
      <c r="F15" s="732"/>
      <c r="G15" s="732"/>
      <c r="H15" s="732"/>
      <c r="I15" s="732"/>
      <c r="J15" s="732"/>
      <c r="K15" s="732"/>
      <c r="L15" s="732"/>
      <c r="M15" s="732"/>
      <c r="N15" s="740"/>
      <c r="O15" s="737"/>
      <c r="P15" s="736"/>
      <c r="Q15" s="739"/>
      <c r="R15" s="736"/>
      <c r="S15" s="739"/>
      <c r="T15" s="736"/>
      <c r="U15" s="736"/>
      <c r="V15" s="737"/>
      <c r="W15" s="736"/>
      <c r="X15" s="738"/>
      <c r="Y15" s="332">
        <v>3</v>
      </c>
      <c r="Z15" s="333"/>
      <c r="AA15" s="332"/>
      <c r="AB15" s="332"/>
      <c r="AC15" s="334" t="str">
        <f t="shared" si="0"/>
        <v xml:space="preserve">  </v>
      </c>
      <c r="AD15" s="335"/>
      <c r="AE15" s="356" t="e">
        <f>INDEX(Listas!B88:B182,MATCH(TEXT(AD15,"0.00"),Listas!A88:A182,0))</f>
        <v>#N/A</v>
      </c>
      <c r="AF15" s="335"/>
      <c r="AG15" s="350"/>
      <c r="AH15" s="351"/>
      <c r="AI15" s="352"/>
      <c r="AJ15" s="351"/>
      <c r="AK15" s="351"/>
      <c r="AL15" s="351"/>
      <c r="AM15" s="353"/>
      <c r="AN15" s="354"/>
      <c r="AO15" s="352"/>
      <c r="AP15" s="354"/>
      <c r="AQ15" s="352"/>
      <c r="AR15" s="355"/>
      <c r="AS15" s="336"/>
      <c r="AT15" s="330"/>
      <c r="AU15" s="331"/>
      <c r="AV15" s="331"/>
      <c r="AW15" s="338"/>
      <c r="AX15" s="735"/>
      <c r="AY15" s="735"/>
      <c r="AZ15" s="735"/>
    </row>
    <row r="16" spans="1:280" x14ac:dyDescent="0.25">
      <c r="A16" s="734"/>
      <c r="B16" s="732"/>
      <c r="C16" s="732"/>
      <c r="D16" s="732"/>
      <c r="E16" s="732"/>
      <c r="F16" s="732"/>
      <c r="G16" s="732"/>
      <c r="H16" s="732"/>
      <c r="I16" s="732"/>
      <c r="J16" s="732"/>
      <c r="K16" s="732"/>
      <c r="L16" s="732"/>
      <c r="M16" s="732"/>
      <c r="N16" s="740"/>
      <c r="O16" s="737"/>
      <c r="P16" s="736"/>
      <c r="Q16" s="739"/>
      <c r="R16" s="736"/>
      <c r="S16" s="739"/>
      <c r="T16" s="736"/>
      <c r="U16" s="736"/>
      <c r="V16" s="737"/>
      <c r="W16" s="736"/>
      <c r="X16" s="738"/>
      <c r="Y16" s="332">
        <v>4</v>
      </c>
      <c r="Z16" s="333"/>
      <c r="AA16" s="332"/>
      <c r="AB16" s="332"/>
      <c r="AC16" s="334" t="str">
        <f t="shared" si="0"/>
        <v xml:space="preserve">  </v>
      </c>
      <c r="AD16" s="335"/>
      <c r="AE16" s="356" t="e">
        <f>INDEX(Listas!B89:B183,MATCH(TEXT(AD16,"0.00"),Listas!A89:A183,0))</f>
        <v>#N/A</v>
      </c>
      <c r="AF16" s="335"/>
      <c r="AG16" s="350"/>
      <c r="AH16" s="351"/>
      <c r="AI16" s="352"/>
      <c r="AJ16" s="351"/>
      <c r="AK16" s="351"/>
      <c r="AL16" s="351"/>
      <c r="AM16" s="353"/>
      <c r="AN16" s="354"/>
      <c r="AO16" s="352"/>
      <c r="AP16" s="354"/>
      <c r="AQ16" s="352"/>
      <c r="AR16" s="355"/>
      <c r="AS16" s="336"/>
      <c r="AT16" s="330"/>
      <c r="AU16" s="331"/>
      <c r="AV16" s="331"/>
      <c r="AW16" s="338"/>
      <c r="AX16" s="735"/>
      <c r="AY16" s="735"/>
      <c r="AZ16" s="735"/>
    </row>
    <row r="17" spans="1:52" x14ac:dyDescent="0.25">
      <c r="A17" s="734"/>
      <c r="B17" s="732"/>
      <c r="C17" s="732"/>
      <c r="D17" s="732"/>
      <c r="E17" s="732"/>
      <c r="F17" s="732"/>
      <c r="G17" s="732"/>
      <c r="H17" s="732"/>
      <c r="I17" s="732"/>
      <c r="J17" s="732"/>
      <c r="K17" s="732"/>
      <c r="L17" s="732"/>
      <c r="M17" s="732"/>
      <c r="N17" s="740"/>
      <c r="O17" s="737"/>
      <c r="P17" s="736"/>
      <c r="Q17" s="739"/>
      <c r="R17" s="736"/>
      <c r="S17" s="739"/>
      <c r="T17" s="736"/>
      <c r="U17" s="736"/>
      <c r="V17" s="737"/>
      <c r="W17" s="736"/>
      <c r="X17" s="738"/>
      <c r="Y17" s="332">
        <v>5</v>
      </c>
      <c r="Z17" s="333"/>
      <c r="AA17" s="332"/>
      <c r="AB17" s="332"/>
      <c r="AC17" s="334" t="str">
        <f t="shared" si="0"/>
        <v xml:space="preserve">  </v>
      </c>
      <c r="AD17" s="335"/>
      <c r="AE17" s="356" t="e">
        <f>INDEX(Listas!B90:B184,MATCH(TEXT(AD17,"0.00"),Listas!A90:A184,0))</f>
        <v>#N/A</v>
      </c>
      <c r="AF17" s="335"/>
      <c r="AG17" s="350"/>
      <c r="AH17" s="351"/>
      <c r="AI17" s="352"/>
      <c r="AJ17" s="351"/>
      <c r="AK17" s="351"/>
      <c r="AL17" s="351"/>
      <c r="AM17" s="353"/>
      <c r="AN17" s="354"/>
      <c r="AO17" s="352"/>
      <c r="AP17" s="354"/>
      <c r="AQ17" s="352"/>
      <c r="AR17" s="355"/>
      <c r="AS17" s="336"/>
      <c r="AT17" s="330"/>
      <c r="AU17" s="331"/>
      <c r="AV17" s="331"/>
      <c r="AW17" s="338"/>
      <c r="AX17" s="735"/>
      <c r="AY17" s="735"/>
      <c r="AZ17" s="735"/>
    </row>
    <row r="18" spans="1:52" x14ac:dyDescent="0.25">
      <c r="A18" s="734"/>
      <c r="B18" s="732"/>
      <c r="C18" s="732"/>
      <c r="D18" s="732"/>
      <c r="E18" s="732"/>
      <c r="F18" s="732"/>
      <c r="G18" s="732"/>
      <c r="H18" s="732"/>
      <c r="I18" s="732"/>
      <c r="J18" s="732"/>
      <c r="K18" s="732"/>
      <c r="L18" s="732"/>
      <c r="M18" s="732"/>
      <c r="N18" s="740"/>
      <c r="O18" s="737"/>
      <c r="P18" s="736"/>
      <c r="Q18" s="739"/>
      <c r="R18" s="736"/>
      <c r="S18" s="739"/>
      <c r="T18" s="736"/>
      <c r="U18" s="736"/>
      <c r="V18" s="737"/>
      <c r="W18" s="736"/>
      <c r="X18" s="738"/>
      <c r="Y18" s="332">
        <v>6</v>
      </c>
      <c r="Z18" s="333"/>
      <c r="AA18" s="332"/>
      <c r="AB18" s="332"/>
      <c r="AC18" s="334" t="str">
        <f t="shared" si="0"/>
        <v xml:space="preserve">  </v>
      </c>
      <c r="AD18" s="335"/>
      <c r="AE18" s="356" t="e">
        <f>INDEX(Listas!B91:B185,MATCH(TEXT(AD18,"0.00"),Listas!A91:A185,0))</f>
        <v>#N/A</v>
      </c>
      <c r="AF18" s="335"/>
      <c r="AG18" s="350"/>
      <c r="AH18" s="351"/>
      <c r="AI18" s="352"/>
      <c r="AJ18" s="351"/>
      <c r="AK18" s="351"/>
      <c r="AL18" s="351"/>
      <c r="AM18" s="353"/>
      <c r="AN18" s="354"/>
      <c r="AO18" s="352"/>
      <c r="AP18" s="354"/>
      <c r="AQ18" s="352"/>
      <c r="AR18" s="355"/>
      <c r="AS18" s="336"/>
      <c r="AT18" s="330"/>
      <c r="AU18" s="331"/>
      <c r="AV18" s="331"/>
      <c r="AW18" s="338"/>
      <c r="AX18" s="735"/>
      <c r="AY18" s="735"/>
      <c r="AZ18" s="735"/>
    </row>
    <row r="19" spans="1:52" x14ac:dyDescent="0.25">
      <c r="A19" s="734">
        <v>2</v>
      </c>
      <c r="B19" s="732"/>
      <c r="C19" s="732"/>
      <c r="D19" s="732"/>
      <c r="E19" s="732"/>
      <c r="F19" s="732"/>
      <c r="G19" s="732"/>
      <c r="H19" s="732"/>
      <c r="I19" s="732"/>
      <c r="J19" s="732"/>
      <c r="K19" s="732"/>
      <c r="L19" s="732"/>
      <c r="M19" s="732"/>
      <c r="N19" s="740"/>
      <c r="O19" s="737" t="str">
        <f>IF(N19&lt;=0,"",IF(N19&lt;=2,"Muy Baja",IF(N19&lt;=24,"Baja",IF(N19&lt;=500,"Media",IF(N19&lt;=5000,"Alta","Muy Alta")))))</f>
        <v/>
      </c>
      <c r="P19" s="736" t="str">
        <f>IF(O19="","",IF(O19="Muy Baja",0.2,IF(O19="Baja",0.4,IF(O19="Media",0.6,IF(O19="Alta",0.8,IF(O19="Muy Alta",1,))))))</f>
        <v/>
      </c>
      <c r="Q19" s="739"/>
      <c r="R19" s="736" t="str">
        <f>IF(Q19="","",IF(Q19="Afectación menor a 130 SMLMV",0.2,IF(Q19="Entre 130 y 650 SMLMV",0.4,IF(Q19="Entre 650 y 1300 SMLMV",0.6,IF(Q19="Entre 1300 y 6500 SMLMV",0.8,IF(Q19="Mayor a 6500 SMLMV",1,))))))</f>
        <v/>
      </c>
      <c r="S19" s="739"/>
      <c r="T19" s="736" t="str">
        <f>IF(S19="","",IF(S19="El riesgo afecta la imagen de alguna área de la organización",0.2,IF(S19="El riesgo afecta la imagen de la entidad internamente, de conocimiento general, nivel interno, de junta dircetiva y accionistas y/o de provedores",0.4,IF(S19="El riesgo afecta la imagen de la entidad con algunos usuarios de relevancia frente al logro de los objetivos",0.6,IF(S19="El riesgo afecta la imagen de de la entidad con efecto publicitario sostenido a nivel de sector administrativo, nivel departamental o municipal",0.8,IF(S19="El riesgo afecta la imagen de la entidad a nivel nacional, con efecto publicitarios sostenible a nivel país",1,))))))</f>
        <v/>
      </c>
      <c r="U19" s="736">
        <f>MAX(R19,T19)</f>
        <v>0</v>
      </c>
      <c r="V19" s="737" t="str">
        <f>IF(U19&lt;=0,"",IF(U19=0.2,"Leve",IF(U19=0.4,"Menor",IF(U19=0.6,"Moderado",IF(U19=0.8,"Mayor",IF(U19=1,"Catastrófico"))))))</f>
        <v/>
      </c>
      <c r="W19" s="736" t="str">
        <f>IF(V19="","",IF(V19="Leve",0.2,IF(V19="Menor",0.4,IF(V19="Moderado",0.6,IF(V19="Mayor",0.8,IF(V19="Catastrófico",1,))))))</f>
        <v/>
      </c>
      <c r="X19" s="738" t="str">
        <f>IF(OR(AND(O19="Muy Baja",V19="Leve"),AND(O19="Muy Baja",V19="Menor"),AND(O19="Baja",V19="Leve")),"Bajo",IF(OR(AND(O19="Muy baja",V19="Moderado"),AND(O19="Baja",V19="Menor"),AND(O19="Baja",V19="Moderado"),AND(O19="Media",V19="Leve"),AND(O19="Media",V19="Menor"),AND(O19="Media",V19="Moderado"),AND(O19="Alta",V19="Leve"),AND(O19="Alta",V19="Menor")),"Moderado",IF(OR(AND(O19="Muy Baja",V19="Mayor"),AND(O19="Baja",V19="Mayor"),AND(O19="Media",V19="Mayor"),AND(O19="Alta",V19="Moderado"),AND(O19="Alta",V19="Mayor"),AND(O19="Muy Alta",V19="Leve"),AND(O19="Muy Alta",V19="Menor"),AND(O19="Muy Alta",V19="Moderado"),AND(O19="Muy Alta",V19="Mayor")),"Alto",IF(OR(AND(O19="Muy Baja",V19="Catastrófico"),AND(O19="Baja",V19="Catastrófico"),AND(O19="Media",V19="Catastrófico"),AND(O19="Alta",V19="Catastrófico"),AND(O19="Muy Alta",V19="Catastrófico")),"Extremo",""))))</f>
        <v/>
      </c>
      <c r="Y19" s="332">
        <v>1</v>
      </c>
      <c r="Z19" s="333"/>
      <c r="AA19" s="332"/>
      <c r="AB19" s="332"/>
      <c r="AC19" s="334" t="str">
        <f t="shared" si="0"/>
        <v xml:space="preserve">  </v>
      </c>
      <c r="AD19" s="335"/>
      <c r="AE19" s="356" t="e">
        <f>INDEX(Listas!B92:B186,MATCH(TEXT(AD19,"0.00"),Listas!A92:A186,0))</f>
        <v>#N/A</v>
      </c>
      <c r="AF19" s="335"/>
      <c r="AG19" s="350"/>
      <c r="AH19" s="351"/>
      <c r="AI19" s="352"/>
      <c r="AJ19" s="351"/>
      <c r="AK19" s="351"/>
      <c r="AL19" s="351"/>
      <c r="AM19" s="353"/>
      <c r="AN19" s="354"/>
      <c r="AO19" s="352"/>
      <c r="AP19" s="354"/>
      <c r="AQ19" s="352"/>
      <c r="AR19" s="355"/>
      <c r="AS19" s="336"/>
      <c r="AT19" s="330"/>
      <c r="AU19" s="331"/>
      <c r="AV19" s="331"/>
      <c r="AW19" s="338"/>
      <c r="AX19" s="741"/>
      <c r="AY19" s="741"/>
      <c r="AZ19" s="741"/>
    </row>
    <row r="20" spans="1:52" x14ac:dyDescent="0.25">
      <c r="A20" s="734"/>
      <c r="B20" s="732"/>
      <c r="C20" s="732"/>
      <c r="D20" s="732"/>
      <c r="E20" s="732"/>
      <c r="F20" s="732"/>
      <c r="G20" s="732"/>
      <c r="H20" s="732"/>
      <c r="I20" s="732"/>
      <c r="J20" s="732"/>
      <c r="K20" s="732"/>
      <c r="L20" s="732"/>
      <c r="M20" s="732"/>
      <c r="N20" s="740"/>
      <c r="O20" s="737"/>
      <c r="P20" s="736"/>
      <c r="Q20" s="739"/>
      <c r="R20" s="736"/>
      <c r="S20" s="739"/>
      <c r="T20" s="736"/>
      <c r="U20" s="736"/>
      <c r="V20" s="737"/>
      <c r="W20" s="736"/>
      <c r="X20" s="738"/>
      <c r="Y20" s="332">
        <v>2</v>
      </c>
      <c r="Z20" s="333"/>
      <c r="AA20" s="332"/>
      <c r="AB20" s="332"/>
      <c r="AC20" s="334" t="str">
        <f t="shared" si="0"/>
        <v xml:space="preserve">  </v>
      </c>
      <c r="AD20" s="335"/>
      <c r="AE20" s="356" t="e">
        <f>INDEX(Listas!B93:B187,MATCH(TEXT(AD20,"0.00"),Listas!A93:A187,0))</f>
        <v>#N/A</v>
      </c>
      <c r="AF20" s="335"/>
      <c r="AG20" s="350"/>
      <c r="AH20" s="351"/>
      <c r="AI20" s="352"/>
      <c r="AJ20" s="351"/>
      <c r="AK20" s="351"/>
      <c r="AL20" s="351"/>
      <c r="AM20" s="353"/>
      <c r="AN20" s="354"/>
      <c r="AO20" s="352"/>
      <c r="AP20" s="354"/>
      <c r="AQ20" s="352"/>
      <c r="AR20" s="355"/>
      <c r="AS20" s="336"/>
      <c r="AT20" s="330"/>
      <c r="AU20" s="331"/>
      <c r="AV20" s="330"/>
      <c r="AW20" s="338"/>
      <c r="AX20" s="741"/>
      <c r="AY20" s="741"/>
      <c r="AZ20" s="741"/>
    </row>
    <row r="21" spans="1:52" x14ac:dyDescent="0.25">
      <c r="A21" s="734"/>
      <c r="B21" s="732"/>
      <c r="C21" s="732"/>
      <c r="D21" s="732"/>
      <c r="E21" s="732"/>
      <c r="F21" s="732"/>
      <c r="G21" s="732"/>
      <c r="H21" s="732"/>
      <c r="I21" s="732"/>
      <c r="J21" s="732"/>
      <c r="K21" s="732"/>
      <c r="L21" s="732"/>
      <c r="M21" s="732"/>
      <c r="N21" s="740"/>
      <c r="O21" s="737"/>
      <c r="P21" s="736"/>
      <c r="Q21" s="739"/>
      <c r="R21" s="736"/>
      <c r="S21" s="739"/>
      <c r="T21" s="736"/>
      <c r="U21" s="736"/>
      <c r="V21" s="737"/>
      <c r="W21" s="736"/>
      <c r="X21" s="738"/>
      <c r="Y21" s="332">
        <v>3</v>
      </c>
      <c r="Z21" s="333"/>
      <c r="AA21" s="332"/>
      <c r="AB21" s="332"/>
      <c r="AC21" s="334" t="str">
        <f t="shared" si="0"/>
        <v xml:space="preserve">  </v>
      </c>
      <c r="AD21" s="335"/>
      <c r="AE21" s="356" t="e">
        <f>INDEX(Listas!B94:B188,MATCH(TEXT(AD21,"0.00"),Listas!A94:A188,0))</f>
        <v>#N/A</v>
      </c>
      <c r="AF21" s="335"/>
      <c r="AG21" s="350"/>
      <c r="AH21" s="351"/>
      <c r="AI21" s="352"/>
      <c r="AJ21" s="351"/>
      <c r="AK21" s="351"/>
      <c r="AL21" s="351"/>
      <c r="AM21" s="353"/>
      <c r="AN21" s="354"/>
      <c r="AO21" s="352"/>
      <c r="AP21" s="354"/>
      <c r="AQ21" s="352"/>
      <c r="AR21" s="355"/>
      <c r="AS21" s="336"/>
      <c r="AT21" s="330"/>
      <c r="AU21" s="331"/>
      <c r="AV21" s="331"/>
      <c r="AW21" s="338"/>
      <c r="AX21" s="741"/>
      <c r="AY21" s="741"/>
      <c r="AZ21" s="741"/>
    </row>
    <row r="22" spans="1:52" x14ac:dyDescent="0.25">
      <c r="A22" s="734"/>
      <c r="B22" s="732"/>
      <c r="C22" s="732"/>
      <c r="D22" s="732"/>
      <c r="E22" s="732"/>
      <c r="F22" s="732"/>
      <c r="G22" s="732"/>
      <c r="H22" s="732"/>
      <c r="I22" s="732"/>
      <c r="J22" s="732"/>
      <c r="K22" s="732"/>
      <c r="L22" s="732"/>
      <c r="M22" s="732"/>
      <c r="N22" s="740"/>
      <c r="O22" s="737"/>
      <c r="P22" s="736"/>
      <c r="Q22" s="739"/>
      <c r="R22" s="736"/>
      <c r="S22" s="739"/>
      <c r="T22" s="736"/>
      <c r="U22" s="736"/>
      <c r="V22" s="737"/>
      <c r="W22" s="736"/>
      <c r="X22" s="738"/>
      <c r="Y22" s="332">
        <v>4</v>
      </c>
      <c r="Z22" s="333"/>
      <c r="AA22" s="332"/>
      <c r="AB22" s="332"/>
      <c r="AC22" s="334" t="str">
        <f t="shared" si="0"/>
        <v xml:space="preserve">  </v>
      </c>
      <c r="AD22" s="335"/>
      <c r="AE22" s="356" t="e">
        <f>INDEX(Listas!B95:B189,MATCH(TEXT(AD22,"0.00"),Listas!A95:A189,0))</f>
        <v>#N/A</v>
      </c>
      <c r="AF22" s="335"/>
      <c r="AG22" s="350"/>
      <c r="AH22" s="351"/>
      <c r="AI22" s="352"/>
      <c r="AJ22" s="351"/>
      <c r="AK22" s="351"/>
      <c r="AL22" s="351"/>
      <c r="AM22" s="353"/>
      <c r="AN22" s="354"/>
      <c r="AO22" s="352"/>
      <c r="AP22" s="354"/>
      <c r="AQ22" s="352"/>
      <c r="AR22" s="355"/>
      <c r="AS22" s="336"/>
      <c r="AT22" s="330"/>
      <c r="AU22" s="331"/>
      <c r="AV22" s="331"/>
      <c r="AW22" s="338"/>
      <c r="AX22" s="741"/>
      <c r="AY22" s="741"/>
      <c r="AZ22" s="741"/>
    </row>
    <row r="23" spans="1:52" x14ac:dyDescent="0.25">
      <c r="A23" s="734"/>
      <c r="B23" s="732"/>
      <c r="C23" s="732"/>
      <c r="D23" s="732"/>
      <c r="E23" s="732"/>
      <c r="F23" s="732"/>
      <c r="G23" s="732"/>
      <c r="H23" s="732"/>
      <c r="I23" s="732"/>
      <c r="J23" s="732"/>
      <c r="K23" s="732"/>
      <c r="L23" s="732"/>
      <c r="M23" s="732"/>
      <c r="N23" s="740"/>
      <c r="O23" s="737"/>
      <c r="P23" s="736"/>
      <c r="Q23" s="739"/>
      <c r="R23" s="736"/>
      <c r="S23" s="739"/>
      <c r="T23" s="736"/>
      <c r="U23" s="736"/>
      <c r="V23" s="737"/>
      <c r="W23" s="736"/>
      <c r="X23" s="738"/>
      <c r="Y23" s="332">
        <v>5</v>
      </c>
      <c r="Z23" s="333"/>
      <c r="AA23" s="332"/>
      <c r="AB23" s="332"/>
      <c r="AC23" s="334" t="str">
        <f t="shared" si="0"/>
        <v xml:space="preserve">  </v>
      </c>
      <c r="AD23" s="335"/>
      <c r="AE23" s="356" t="e">
        <f>INDEX(Listas!B96:B190,MATCH(TEXT(AD23,"0.00"),Listas!A96:A190,0))</f>
        <v>#N/A</v>
      </c>
      <c r="AF23" s="335"/>
      <c r="AG23" s="350"/>
      <c r="AH23" s="351"/>
      <c r="AI23" s="352"/>
      <c r="AJ23" s="351"/>
      <c r="AK23" s="351"/>
      <c r="AL23" s="351"/>
      <c r="AM23" s="353"/>
      <c r="AN23" s="354"/>
      <c r="AO23" s="352"/>
      <c r="AP23" s="354"/>
      <c r="AQ23" s="352"/>
      <c r="AR23" s="355"/>
      <c r="AS23" s="336"/>
      <c r="AT23" s="330"/>
      <c r="AU23" s="331"/>
      <c r="AV23" s="331"/>
      <c r="AW23" s="338"/>
      <c r="AX23" s="741"/>
      <c r="AY23" s="741"/>
      <c r="AZ23" s="741"/>
    </row>
    <row r="24" spans="1:52" x14ac:dyDescent="0.25">
      <c r="A24" s="734"/>
      <c r="B24" s="732"/>
      <c r="C24" s="732"/>
      <c r="D24" s="732"/>
      <c r="E24" s="732"/>
      <c r="F24" s="732"/>
      <c r="G24" s="732"/>
      <c r="H24" s="732"/>
      <c r="I24" s="732"/>
      <c r="J24" s="732"/>
      <c r="K24" s="732"/>
      <c r="L24" s="732"/>
      <c r="M24" s="732"/>
      <c r="N24" s="740"/>
      <c r="O24" s="737"/>
      <c r="P24" s="736"/>
      <c r="Q24" s="739"/>
      <c r="R24" s="736"/>
      <c r="S24" s="739"/>
      <c r="T24" s="736"/>
      <c r="U24" s="736"/>
      <c r="V24" s="737"/>
      <c r="W24" s="736"/>
      <c r="X24" s="738"/>
      <c r="Y24" s="332">
        <v>6</v>
      </c>
      <c r="Z24" s="332"/>
      <c r="AA24" s="332"/>
      <c r="AB24" s="332"/>
      <c r="AC24" s="334" t="str">
        <f t="shared" si="0"/>
        <v xml:space="preserve">  </v>
      </c>
      <c r="AD24" s="335"/>
      <c r="AE24" s="356" t="e">
        <f>INDEX(Listas!B97:B191,MATCH(TEXT(AD24,"0.00"),Listas!A97:A191,0))</f>
        <v>#N/A</v>
      </c>
      <c r="AF24" s="335"/>
      <c r="AG24" s="350"/>
      <c r="AH24" s="351"/>
      <c r="AI24" s="352"/>
      <c r="AJ24" s="351"/>
      <c r="AK24" s="351"/>
      <c r="AL24" s="351"/>
      <c r="AM24" s="353"/>
      <c r="AN24" s="354"/>
      <c r="AO24" s="352"/>
      <c r="AP24" s="354"/>
      <c r="AQ24" s="352"/>
      <c r="AR24" s="355"/>
      <c r="AS24" s="336"/>
      <c r="AT24" s="330"/>
      <c r="AU24" s="331"/>
      <c r="AV24" s="331"/>
      <c r="AW24" s="338"/>
      <c r="AX24" s="741"/>
      <c r="AY24" s="741"/>
      <c r="AZ24" s="741"/>
    </row>
    <row r="25" spans="1:52" x14ac:dyDescent="0.25">
      <c r="A25" s="734">
        <v>3</v>
      </c>
      <c r="B25" s="732"/>
      <c r="C25" s="732"/>
      <c r="D25" s="732"/>
      <c r="E25" s="732"/>
      <c r="F25" s="732"/>
      <c r="G25" s="732"/>
      <c r="H25" s="732"/>
      <c r="I25" s="732"/>
      <c r="J25" s="732"/>
      <c r="K25" s="732"/>
      <c r="L25" s="732"/>
      <c r="M25" s="732"/>
      <c r="N25" s="740"/>
      <c r="O25" s="737" t="str">
        <f>IF(N25&lt;=0,"",IF(N25&lt;=2,"Muy Baja",IF(N25&lt;=24,"Baja",IF(N25&lt;=500,"Media",IF(N25&lt;=5000,"Alta","Muy Alta")))))</f>
        <v/>
      </c>
      <c r="P25" s="736" t="str">
        <f>IF(O25="","",IF(O25="Muy Baja",0.2,IF(O25="Baja",0.4,IF(O25="Media",0.6,IF(O25="Alta",0.8,IF(O25="Muy Alta",1,))))))</f>
        <v/>
      </c>
      <c r="Q25" s="739"/>
      <c r="R25" s="736" t="str">
        <f>IF(Q25="","",IF(Q25="Afectación menor a 130 SMLMV",0.2,IF(Q25="Entre 130 y 650 SMLMV",0.4,IF(Q25="Entre 650 y 1300 SMLMV",0.6,IF(Q25="Entre 1300 y 6500 SMLMV",0.8,IF(Q25="Mayor a 6500 SMLMV",1,))))))</f>
        <v/>
      </c>
      <c r="S25" s="739"/>
      <c r="T25" s="736" t="str">
        <f>IF(S25="","",IF(S25="El riesgo afecta la imagen de alguna área de la organización",0.2,IF(S25="El riesgo afecta la imagen de la entidad internamente, de conocimiento general, nivel interno, de junta dircetiva y accionistas y/o de provedores",0.4,IF(S25="El riesgo afecta la imagen de la entidad con algunos usuarios de relevancia frente al logro de los objetivos",0.6,IF(S25="El riesgo afecta la imagen de de la entidad con efecto publicitario sostenido a nivel de sector administrativo, nivel departamental o municipal",0.8,IF(S25="El riesgo afecta la imagen de la entidad a nivel nacional, con efecto publicitarios sostenible a nivel país",1,))))))</f>
        <v/>
      </c>
      <c r="U25" s="736">
        <f>MAX(R25,T25)</f>
        <v>0</v>
      </c>
      <c r="V25" s="737" t="str">
        <f>IF(U25&lt;=0,"",IF(U25=0.2,"Leve",IF(U25=0.4,"Menor",IF(U25=0.6,"Moderado",IF(U25=0.8,"Mayor",IF(U25=1,"Catrastrófico"))))))</f>
        <v/>
      </c>
      <c r="W25" s="736"/>
      <c r="X25" s="738" t="str">
        <f>IF(OR(AND(O25="Muy Baja",V25="Leve"),AND(O25="Muy Baja",V25="Menor"),AND(O25="Baja",V25="Leve")),"Bajo",IF(OR(AND(O25="Muy baja",V25="Moderado"),AND(O25="Baja",V25="Menor"),AND(O25="Baja",V25="Moderado"),AND(O25="Media",V25="Leve"),AND(O25="Media",V25="Menor"),AND(O25="Media",V25="Moderado"),AND(O25="Alta",V25="Leve"),AND(O25="Alta",V25="Menor")),"Moderado",IF(OR(AND(O25="Muy Baja",V25="Mayor"),AND(O25="Baja",V25="Mayor"),AND(O25="Media",V25="Mayor"),AND(O25="Alta",V25="Moderado"),AND(O25="Alta",V25="Mayor"),AND(O25="Muy Alta",V25="Leve"),AND(O25="Muy Alta",V25="Menor"),AND(O25="Muy Alta",V25="Moderado"),AND(O25="Muy Alta",V25="Mayor")),"Alto",IF(OR(AND(O25="Muy Baja",V25="Catastrófico"),AND(O25="Baja",V25="Catastrófico"),AND(O25="Media",V25="Catastrófico"),AND(O25="Alta",V25="Catastrófico"),AND(O25="Muy Alta",V25="Catastrófico")),"Extremo",""))))</f>
        <v/>
      </c>
      <c r="Y25" s="332">
        <v>1</v>
      </c>
      <c r="Z25" s="332"/>
      <c r="AA25" s="332"/>
      <c r="AB25" s="332"/>
      <c r="AC25" s="334" t="str">
        <f t="shared" si="0"/>
        <v xml:space="preserve">  </v>
      </c>
      <c r="AD25" s="335"/>
      <c r="AE25" s="356" t="e">
        <f>INDEX(Listas!B98:B192,MATCH(TEXT(AD25,"0.00"),Listas!A98:A192,0))</f>
        <v>#N/A</v>
      </c>
      <c r="AF25" s="335"/>
      <c r="AG25" s="350"/>
      <c r="AH25" s="351"/>
      <c r="AI25" s="352"/>
      <c r="AJ25" s="351"/>
      <c r="AK25" s="351"/>
      <c r="AL25" s="351"/>
      <c r="AM25" s="353"/>
      <c r="AN25" s="354"/>
      <c r="AO25" s="352"/>
      <c r="AP25" s="354"/>
      <c r="AQ25" s="352"/>
      <c r="AR25" s="355"/>
      <c r="AS25" s="336"/>
      <c r="AT25" s="330"/>
      <c r="AU25" s="331"/>
      <c r="AV25" s="331"/>
      <c r="AW25" s="338"/>
      <c r="AX25" s="741"/>
      <c r="AY25" s="741"/>
      <c r="AZ25" s="741"/>
    </row>
    <row r="26" spans="1:52" x14ac:dyDescent="0.25">
      <c r="A26" s="734"/>
      <c r="B26" s="732"/>
      <c r="C26" s="732"/>
      <c r="D26" s="732"/>
      <c r="E26" s="732"/>
      <c r="F26" s="732"/>
      <c r="G26" s="732"/>
      <c r="H26" s="732"/>
      <c r="I26" s="732"/>
      <c r="J26" s="732"/>
      <c r="K26" s="732"/>
      <c r="L26" s="732"/>
      <c r="M26" s="732"/>
      <c r="N26" s="740"/>
      <c r="O26" s="737"/>
      <c r="P26" s="736"/>
      <c r="Q26" s="739"/>
      <c r="R26" s="736"/>
      <c r="S26" s="739"/>
      <c r="T26" s="736"/>
      <c r="U26" s="736"/>
      <c r="V26" s="737"/>
      <c r="W26" s="736"/>
      <c r="X26" s="738"/>
      <c r="Y26" s="332">
        <v>2</v>
      </c>
      <c r="Z26" s="332"/>
      <c r="AA26" s="332"/>
      <c r="AB26" s="332"/>
      <c r="AC26" s="334" t="str">
        <f t="shared" si="0"/>
        <v xml:space="preserve">  </v>
      </c>
      <c r="AD26" s="335"/>
      <c r="AE26" s="356" t="e">
        <f>INDEX(Listas!B99:B193,MATCH(TEXT(AD26,"0.00"),Listas!A99:A193,0))</f>
        <v>#N/A</v>
      </c>
      <c r="AF26" s="335"/>
      <c r="AG26" s="350"/>
      <c r="AH26" s="351"/>
      <c r="AI26" s="352"/>
      <c r="AJ26" s="351"/>
      <c r="AK26" s="351"/>
      <c r="AL26" s="351"/>
      <c r="AM26" s="353"/>
      <c r="AN26" s="354"/>
      <c r="AO26" s="352"/>
      <c r="AP26" s="354"/>
      <c r="AQ26" s="352"/>
      <c r="AR26" s="355"/>
      <c r="AS26" s="336"/>
      <c r="AT26" s="330"/>
      <c r="AU26" s="331"/>
      <c r="AV26" s="331"/>
      <c r="AW26" s="338"/>
      <c r="AX26" s="741"/>
      <c r="AY26" s="741"/>
      <c r="AZ26" s="741"/>
    </row>
    <row r="27" spans="1:52" x14ac:dyDescent="0.25">
      <c r="A27" s="734"/>
      <c r="B27" s="732"/>
      <c r="C27" s="732"/>
      <c r="D27" s="732"/>
      <c r="E27" s="732"/>
      <c r="F27" s="732"/>
      <c r="G27" s="732"/>
      <c r="H27" s="732"/>
      <c r="I27" s="732"/>
      <c r="J27" s="732"/>
      <c r="K27" s="732"/>
      <c r="L27" s="732"/>
      <c r="M27" s="732"/>
      <c r="N27" s="740"/>
      <c r="O27" s="737"/>
      <c r="P27" s="736"/>
      <c r="Q27" s="739"/>
      <c r="R27" s="736"/>
      <c r="S27" s="739"/>
      <c r="T27" s="736"/>
      <c r="U27" s="736"/>
      <c r="V27" s="737"/>
      <c r="W27" s="736"/>
      <c r="X27" s="738"/>
      <c r="Y27" s="332">
        <v>3</v>
      </c>
      <c r="Z27" s="332"/>
      <c r="AA27" s="332"/>
      <c r="AB27" s="332"/>
      <c r="AC27" s="334" t="str">
        <f t="shared" si="0"/>
        <v xml:space="preserve">  </v>
      </c>
      <c r="AD27" s="335"/>
      <c r="AE27" s="356" t="e">
        <f>INDEX(Listas!B100:B194,MATCH(TEXT(AD27,"0.00"),Listas!A100:A194,0))</f>
        <v>#N/A</v>
      </c>
      <c r="AF27" s="335"/>
      <c r="AG27" s="350"/>
      <c r="AH27" s="351"/>
      <c r="AI27" s="352"/>
      <c r="AJ27" s="351"/>
      <c r="AK27" s="351"/>
      <c r="AL27" s="351"/>
      <c r="AM27" s="353"/>
      <c r="AN27" s="354"/>
      <c r="AO27" s="352"/>
      <c r="AP27" s="354"/>
      <c r="AQ27" s="352"/>
      <c r="AR27" s="355"/>
      <c r="AS27" s="336"/>
      <c r="AT27" s="330"/>
      <c r="AU27" s="331"/>
      <c r="AV27" s="331"/>
      <c r="AW27" s="338"/>
      <c r="AX27" s="741"/>
      <c r="AY27" s="741"/>
      <c r="AZ27" s="741"/>
    </row>
    <row r="28" spans="1:52" x14ac:dyDescent="0.25">
      <c r="A28" s="734"/>
      <c r="B28" s="732"/>
      <c r="C28" s="732"/>
      <c r="D28" s="732"/>
      <c r="E28" s="732"/>
      <c r="F28" s="732"/>
      <c r="G28" s="732"/>
      <c r="H28" s="732"/>
      <c r="I28" s="732"/>
      <c r="J28" s="732"/>
      <c r="K28" s="732"/>
      <c r="L28" s="732"/>
      <c r="M28" s="732"/>
      <c r="N28" s="740"/>
      <c r="O28" s="737"/>
      <c r="P28" s="736"/>
      <c r="Q28" s="739"/>
      <c r="R28" s="736"/>
      <c r="S28" s="739"/>
      <c r="T28" s="736"/>
      <c r="U28" s="736"/>
      <c r="V28" s="737"/>
      <c r="W28" s="736"/>
      <c r="X28" s="738"/>
      <c r="Y28" s="332">
        <v>4</v>
      </c>
      <c r="Z28" s="332"/>
      <c r="AA28" s="332"/>
      <c r="AB28" s="332"/>
      <c r="AC28" s="334" t="str">
        <f t="shared" si="0"/>
        <v xml:space="preserve">  </v>
      </c>
      <c r="AD28" s="335"/>
      <c r="AE28" s="356" t="e">
        <f>INDEX(Listas!B101:B195,MATCH(TEXT(AD28,"0.00"),Listas!A101:A195,0))</f>
        <v>#N/A</v>
      </c>
      <c r="AF28" s="335"/>
      <c r="AG28" s="350"/>
      <c r="AH28" s="351"/>
      <c r="AI28" s="352"/>
      <c r="AJ28" s="351"/>
      <c r="AK28" s="351"/>
      <c r="AL28" s="351"/>
      <c r="AM28" s="353"/>
      <c r="AN28" s="354"/>
      <c r="AO28" s="352"/>
      <c r="AP28" s="354"/>
      <c r="AQ28" s="352"/>
      <c r="AR28" s="355"/>
      <c r="AS28" s="336"/>
      <c r="AT28" s="330"/>
      <c r="AU28" s="331"/>
      <c r="AV28" s="331"/>
      <c r="AW28" s="338"/>
      <c r="AX28" s="741"/>
      <c r="AY28" s="741"/>
      <c r="AZ28" s="741"/>
    </row>
    <row r="29" spans="1:52" x14ac:dyDescent="0.25">
      <c r="A29" s="734"/>
      <c r="B29" s="732"/>
      <c r="C29" s="732"/>
      <c r="D29" s="732"/>
      <c r="E29" s="732"/>
      <c r="F29" s="732"/>
      <c r="G29" s="732"/>
      <c r="H29" s="732"/>
      <c r="I29" s="732"/>
      <c r="J29" s="732"/>
      <c r="K29" s="732"/>
      <c r="L29" s="732"/>
      <c r="M29" s="732"/>
      <c r="N29" s="740"/>
      <c r="O29" s="737"/>
      <c r="P29" s="736"/>
      <c r="Q29" s="739"/>
      <c r="R29" s="736"/>
      <c r="S29" s="739"/>
      <c r="T29" s="736"/>
      <c r="U29" s="736"/>
      <c r="V29" s="737"/>
      <c r="W29" s="736"/>
      <c r="X29" s="738"/>
      <c r="Y29" s="332">
        <v>5</v>
      </c>
      <c r="Z29" s="332"/>
      <c r="AA29" s="332"/>
      <c r="AB29" s="332"/>
      <c r="AC29" s="334" t="str">
        <f t="shared" si="0"/>
        <v xml:space="preserve">  </v>
      </c>
      <c r="AD29" s="335"/>
      <c r="AE29" s="356" t="e">
        <f>INDEX(Listas!B102:B196,MATCH(TEXT(AD29,"0.00"),Listas!A102:A196,0))</f>
        <v>#N/A</v>
      </c>
      <c r="AF29" s="335"/>
      <c r="AG29" s="350"/>
      <c r="AH29" s="351"/>
      <c r="AI29" s="352"/>
      <c r="AJ29" s="351"/>
      <c r="AK29" s="351"/>
      <c r="AL29" s="351"/>
      <c r="AM29" s="353"/>
      <c r="AN29" s="354"/>
      <c r="AO29" s="352"/>
      <c r="AP29" s="354"/>
      <c r="AQ29" s="352"/>
      <c r="AR29" s="355"/>
      <c r="AS29" s="336"/>
      <c r="AT29" s="330"/>
      <c r="AU29" s="331"/>
      <c r="AV29" s="331"/>
      <c r="AW29" s="338"/>
      <c r="AX29" s="741"/>
      <c r="AY29" s="741"/>
      <c r="AZ29" s="741"/>
    </row>
    <row r="30" spans="1:52" x14ac:dyDescent="0.25">
      <c r="A30" s="734"/>
      <c r="B30" s="732"/>
      <c r="C30" s="732"/>
      <c r="D30" s="732"/>
      <c r="E30" s="732"/>
      <c r="F30" s="732"/>
      <c r="G30" s="732"/>
      <c r="H30" s="732"/>
      <c r="I30" s="732"/>
      <c r="J30" s="732"/>
      <c r="K30" s="732"/>
      <c r="L30" s="732"/>
      <c r="M30" s="732"/>
      <c r="N30" s="740"/>
      <c r="O30" s="737"/>
      <c r="P30" s="736"/>
      <c r="Q30" s="739"/>
      <c r="R30" s="736"/>
      <c r="S30" s="739"/>
      <c r="T30" s="736"/>
      <c r="U30" s="736"/>
      <c r="V30" s="737"/>
      <c r="W30" s="736"/>
      <c r="X30" s="738"/>
      <c r="Y30" s="332">
        <v>6</v>
      </c>
      <c r="Z30" s="332"/>
      <c r="AA30" s="332"/>
      <c r="AB30" s="332"/>
      <c r="AC30" s="334" t="str">
        <f t="shared" si="0"/>
        <v xml:space="preserve">  </v>
      </c>
      <c r="AD30" s="335"/>
      <c r="AE30" s="356" t="e">
        <f>INDEX(Listas!B103:B197,MATCH(TEXT(AD30,"0.00"),Listas!A103:A197,0))</f>
        <v>#N/A</v>
      </c>
      <c r="AF30" s="335"/>
      <c r="AG30" s="350"/>
      <c r="AH30" s="351"/>
      <c r="AI30" s="352"/>
      <c r="AJ30" s="351"/>
      <c r="AK30" s="351"/>
      <c r="AL30" s="351"/>
      <c r="AM30" s="353"/>
      <c r="AN30" s="354"/>
      <c r="AO30" s="352"/>
      <c r="AP30" s="354"/>
      <c r="AQ30" s="352"/>
      <c r="AR30" s="355"/>
      <c r="AS30" s="336"/>
      <c r="AT30" s="330"/>
      <c r="AU30" s="331"/>
      <c r="AV30" s="331"/>
      <c r="AW30" s="338"/>
      <c r="AX30" s="741"/>
      <c r="AY30" s="741"/>
      <c r="AZ30" s="741"/>
    </row>
    <row r="31" spans="1:52" x14ac:dyDescent="0.25">
      <c r="A31" s="734">
        <v>4</v>
      </c>
      <c r="B31" s="735"/>
      <c r="C31" s="735"/>
      <c r="D31" s="735"/>
      <c r="E31" s="735"/>
      <c r="F31" s="735"/>
      <c r="G31" s="735"/>
      <c r="H31" s="735"/>
      <c r="I31" s="735"/>
      <c r="J31" s="735"/>
      <c r="K31" s="735"/>
      <c r="L31" s="735"/>
      <c r="M31" s="742"/>
      <c r="N31" s="741"/>
      <c r="O31" s="737" t="str">
        <f>IF(N31&lt;=0,"",IF(N31&lt;=2,"Muy Baja",IF(N31&lt;=24,"Baja",IF(N31&lt;=500,"Media",IF(N31&lt;=5000,"Alta","Muy Alta")))))</f>
        <v/>
      </c>
      <c r="P31" s="736" t="str">
        <f>IF(O31="","",IF(O31="Muy Baja",0.2,IF(O31="Baja",0.4,IF(O31="Media",0.6,IF(O31="Alta",0.8,IF(O31="Muy Alta",1,))))))</f>
        <v/>
      </c>
      <c r="Q31" s="739"/>
      <c r="R31" s="736" t="str">
        <f>IF(Q31="","",IF(Q31="Afectación menor a 130 SMLMV",0.2,IF(Q31="Entre 130 y 650 SMLMV",0.4,IF(Q31="Entre 650 y 1300 SMLMV",0.6,IF(Q31="Entre 1300 y 6500 SMLMV",0.8,IF(Q31="Mayor a 6500 SMLMV",1,))))))</f>
        <v/>
      </c>
      <c r="S31" s="739"/>
      <c r="T31" s="736" t="str">
        <f>IF(S31="","",IF(S31="El riesgo afecta la imagen de alguna área de la organización",0.2,IF(S31="El riesgo afecta la imagen de la entidad internamente, de conocimiento general, nivel interno, de junta dircetiva y accionistas y/o de provedores",0.4,IF(S31="El riesgo afecta la imagen de la entidad con algunos usuarios de relevancia frente al logro de los objetivos",0.6,IF(S31="El riesgo afecta la imagen de de la entidad con efecto publicitario sostenido a nivel de sector administrativo, nivel departamental o municipal",0.8,IF(S31="El riesgo afecta la imagen de la entidad a nivel nacional, con efecto publicitarios sostenible a nivel país",1,))))))</f>
        <v/>
      </c>
      <c r="U31" s="736">
        <f>MAX(R31,T31)</f>
        <v>0</v>
      </c>
      <c r="V31" s="737" t="str">
        <f>IF(U31&lt;=0,"",IF(U31=0.2,"Leve",IF(U31=0.4,"Menor",IF(U31=0.6,"Moderado",IF(U31=0.8,"Mayor",IF(U31=1,"Catrastrófico"))))))</f>
        <v/>
      </c>
      <c r="W31" s="736"/>
      <c r="X31" s="738" t="str">
        <f>IF(OR(AND(O31="Muy Baja",V31="Leve"),AND(O31="Muy Baja",V31="Menor"),AND(O31="Baja",V31="Leve")),"Bajo",IF(OR(AND(O31="Muy baja",V31="Moderado"),AND(O31="Baja",V31="Menor"),AND(O31="Baja",V31="Moderado"),AND(O31="Media",V31="Leve"),AND(O31="Media",V31="Menor"),AND(O31="Media",V31="Moderado"),AND(O31="Alta",V31="Leve"),AND(O31="Alta",V31="Menor")),"Moderado",IF(OR(AND(O31="Muy Baja",V31="Mayor"),AND(O31="Baja",V31="Mayor"),AND(O31="Media",V31="Mayor"),AND(O31="Alta",V31="Moderado"),AND(O31="Alta",V31="Mayor"),AND(O31="Muy Alta",V31="Leve"),AND(O31="Muy Alta",V31="Menor"),AND(O31="Muy Alta",V31="Moderado"),AND(O31="Muy Alta",V31="Mayor")),"Alto",IF(OR(AND(O31="Muy Baja",V31="Catastrófico"),AND(O31="Baja",V31="Catastrófico"),AND(O31="Media",V31="Catastrófico"),AND(O31="Alta",V31="Catastrófico"),AND(O31="Muy Alta",V31="Catastrófico")),"Extremo",""))))</f>
        <v/>
      </c>
      <c r="Y31" s="332">
        <v>1</v>
      </c>
      <c r="Z31" s="332"/>
      <c r="AA31" s="332"/>
      <c r="AB31" s="332"/>
      <c r="AC31" s="334" t="str">
        <f t="shared" si="0"/>
        <v xml:space="preserve">  </v>
      </c>
      <c r="AD31" s="335"/>
      <c r="AE31" s="356" t="e">
        <f>INDEX(Listas!B104:B198,MATCH(TEXT(AD31,"0.00"),Listas!A104:A198,0))</f>
        <v>#N/A</v>
      </c>
      <c r="AF31" s="335"/>
      <c r="AG31" s="350"/>
      <c r="AH31" s="351"/>
      <c r="AI31" s="352"/>
      <c r="AJ31" s="351"/>
      <c r="AK31" s="351"/>
      <c r="AL31" s="351"/>
      <c r="AM31" s="353"/>
      <c r="AN31" s="354"/>
      <c r="AO31" s="352"/>
      <c r="AP31" s="354"/>
      <c r="AQ31" s="352"/>
      <c r="AR31" s="355"/>
      <c r="AS31" s="336"/>
      <c r="AT31" s="330"/>
      <c r="AU31" s="331"/>
      <c r="AV31" s="331"/>
      <c r="AW31" s="338"/>
      <c r="AX31" s="741"/>
      <c r="AY31" s="741"/>
      <c r="AZ31" s="741"/>
    </row>
    <row r="32" spans="1:52" x14ac:dyDescent="0.25">
      <c r="A32" s="734"/>
      <c r="B32" s="735"/>
      <c r="C32" s="735"/>
      <c r="D32" s="735"/>
      <c r="E32" s="735"/>
      <c r="F32" s="735"/>
      <c r="G32" s="735"/>
      <c r="H32" s="735"/>
      <c r="I32" s="735"/>
      <c r="J32" s="735"/>
      <c r="K32" s="735"/>
      <c r="L32" s="735"/>
      <c r="M32" s="742"/>
      <c r="N32" s="741"/>
      <c r="O32" s="737"/>
      <c r="P32" s="736"/>
      <c r="Q32" s="739"/>
      <c r="R32" s="736"/>
      <c r="S32" s="739"/>
      <c r="T32" s="736"/>
      <c r="U32" s="736"/>
      <c r="V32" s="737"/>
      <c r="W32" s="736"/>
      <c r="X32" s="738"/>
      <c r="Y32" s="332">
        <v>2</v>
      </c>
      <c r="Z32" s="332"/>
      <c r="AA32" s="332"/>
      <c r="AB32" s="332"/>
      <c r="AC32" s="334" t="str">
        <f t="shared" si="0"/>
        <v xml:space="preserve">  </v>
      </c>
      <c r="AD32" s="335"/>
      <c r="AE32" s="356" t="e">
        <f>INDEX(Listas!B105:B199,MATCH(TEXT(AD32,"0.00"),Listas!A105:A199,0))</f>
        <v>#N/A</v>
      </c>
      <c r="AF32" s="335"/>
      <c r="AG32" s="350"/>
      <c r="AH32" s="351"/>
      <c r="AI32" s="352"/>
      <c r="AJ32" s="351"/>
      <c r="AK32" s="351"/>
      <c r="AL32" s="351"/>
      <c r="AM32" s="353"/>
      <c r="AN32" s="354"/>
      <c r="AO32" s="352"/>
      <c r="AP32" s="354"/>
      <c r="AQ32" s="352"/>
      <c r="AR32" s="355"/>
      <c r="AS32" s="336"/>
      <c r="AT32" s="330"/>
      <c r="AU32" s="331"/>
      <c r="AV32" s="331"/>
      <c r="AW32" s="338"/>
      <c r="AX32" s="741"/>
      <c r="AY32" s="741"/>
      <c r="AZ32" s="741"/>
    </row>
    <row r="33" spans="1:52" x14ac:dyDescent="0.25">
      <c r="A33" s="734"/>
      <c r="B33" s="735"/>
      <c r="C33" s="735"/>
      <c r="D33" s="735"/>
      <c r="E33" s="735"/>
      <c r="F33" s="735"/>
      <c r="G33" s="735"/>
      <c r="H33" s="735"/>
      <c r="I33" s="735"/>
      <c r="J33" s="735"/>
      <c r="K33" s="735"/>
      <c r="L33" s="735"/>
      <c r="M33" s="742"/>
      <c r="N33" s="741"/>
      <c r="O33" s="737"/>
      <c r="P33" s="736"/>
      <c r="Q33" s="739"/>
      <c r="R33" s="736"/>
      <c r="S33" s="739"/>
      <c r="T33" s="736"/>
      <c r="U33" s="736"/>
      <c r="V33" s="737"/>
      <c r="W33" s="736"/>
      <c r="X33" s="738"/>
      <c r="Y33" s="332">
        <v>3</v>
      </c>
      <c r="Z33" s="332"/>
      <c r="AA33" s="332"/>
      <c r="AB33" s="332"/>
      <c r="AC33" s="334" t="str">
        <f t="shared" si="0"/>
        <v xml:space="preserve">  </v>
      </c>
      <c r="AD33" s="335"/>
      <c r="AE33" s="356" t="e">
        <f>INDEX(Listas!B106:B200,MATCH(TEXT(AD33,"0.00"),Listas!A106:A200,0))</f>
        <v>#N/A</v>
      </c>
      <c r="AF33" s="335"/>
      <c r="AG33" s="350"/>
      <c r="AH33" s="351"/>
      <c r="AI33" s="352"/>
      <c r="AJ33" s="351"/>
      <c r="AK33" s="351"/>
      <c r="AL33" s="351"/>
      <c r="AM33" s="353"/>
      <c r="AN33" s="354"/>
      <c r="AO33" s="352"/>
      <c r="AP33" s="354"/>
      <c r="AQ33" s="352"/>
      <c r="AR33" s="355"/>
      <c r="AS33" s="336"/>
      <c r="AT33" s="330"/>
      <c r="AU33" s="331"/>
      <c r="AV33" s="331"/>
      <c r="AW33" s="338"/>
      <c r="AX33" s="741"/>
      <c r="AY33" s="741"/>
      <c r="AZ33" s="741"/>
    </row>
    <row r="34" spans="1:52" x14ac:dyDescent="0.25">
      <c r="A34" s="734"/>
      <c r="B34" s="735"/>
      <c r="C34" s="735"/>
      <c r="D34" s="735"/>
      <c r="E34" s="735"/>
      <c r="F34" s="735"/>
      <c r="G34" s="735"/>
      <c r="H34" s="735"/>
      <c r="I34" s="735"/>
      <c r="J34" s="735"/>
      <c r="K34" s="735"/>
      <c r="L34" s="735"/>
      <c r="M34" s="742"/>
      <c r="N34" s="741"/>
      <c r="O34" s="737"/>
      <c r="P34" s="736"/>
      <c r="Q34" s="739"/>
      <c r="R34" s="736"/>
      <c r="S34" s="739"/>
      <c r="T34" s="736"/>
      <c r="U34" s="736"/>
      <c r="V34" s="737"/>
      <c r="W34" s="736"/>
      <c r="X34" s="738"/>
      <c r="Y34" s="332">
        <v>4</v>
      </c>
      <c r="Z34" s="332"/>
      <c r="AA34" s="332"/>
      <c r="AB34" s="332"/>
      <c r="AC34" s="334" t="str">
        <f t="shared" si="0"/>
        <v xml:space="preserve">  </v>
      </c>
      <c r="AD34" s="335"/>
      <c r="AE34" s="356" t="e">
        <f>INDEX(Listas!B107:B201,MATCH(TEXT(AD34,"0.00"),Listas!A107:A201,0))</f>
        <v>#N/A</v>
      </c>
      <c r="AF34" s="335"/>
      <c r="AG34" s="350"/>
      <c r="AH34" s="351"/>
      <c r="AI34" s="352"/>
      <c r="AJ34" s="351"/>
      <c r="AK34" s="351"/>
      <c r="AL34" s="351"/>
      <c r="AM34" s="353"/>
      <c r="AN34" s="354"/>
      <c r="AO34" s="352"/>
      <c r="AP34" s="354"/>
      <c r="AQ34" s="352"/>
      <c r="AR34" s="355"/>
      <c r="AS34" s="336"/>
      <c r="AT34" s="330"/>
      <c r="AU34" s="331"/>
      <c r="AV34" s="331"/>
      <c r="AW34" s="338"/>
      <c r="AX34" s="741"/>
      <c r="AY34" s="741"/>
      <c r="AZ34" s="741"/>
    </row>
    <row r="35" spans="1:52" x14ac:dyDescent="0.25">
      <c r="A35" s="734"/>
      <c r="B35" s="735"/>
      <c r="C35" s="735"/>
      <c r="D35" s="735"/>
      <c r="E35" s="735"/>
      <c r="F35" s="735"/>
      <c r="G35" s="735"/>
      <c r="H35" s="735"/>
      <c r="I35" s="735"/>
      <c r="J35" s="735"/>
      <c r="K35" s="735"/>
      <c r="L35" s="735"/>
      <c r="M35" s="742"/>
      <c r="N35" s="741"/>
      <c r="O35" s="737"/>
      <c r="P35" s="736"/>
      <c r="Q35" s="739"/>
      <c r="R35" s="736"/>
      <c r="S35" s="739"/>
      <c r="T35" s="736"/>
      <c r="U35" s="736"/>
      <c r="V35" s="737"/>
      <c r="W35" s="736"/>
      <c r="X35" s="738"/>
      <c r="Y35" s="332">
        <v>5</v>
      </c>
      <c r="Z35" s="332"/>
      <c r="AA35" s="332"/>
      <c r="AB35" s="332"/>
      <c r="AC35" s="334" t="str">
        <f t="shared" si="0"/>
        <v xml:space="preserve">  </v>
      </c>
      <c r="AD35" s="335"/>
      <c r="AE35" s="356" t="e">
        <f>INDEX(Listas!B108:B202,MATCH(TEXT(AD35,"0.00"),Listas!A108:A202,0))</f>
        <v>#N/A</v>
      </c>
      <c r="AF35" s="335"/>
      <c r="AG35" s="350"/>
      <c r="AH35" s="351"/>
      <c r="AI35" s="352"/>
      <c r="AJ35" s="351"/>
      <c r="AK35" s="351"/>
      <c r="AL35" s="351"/>
      <c r="AM35" s="353"/>
      <c r="AN35" s="354"/>
      <c r="AO35" s="352"/>
      <c r="AP35" s="354"/>
      <c r="AQ35" s="352"/>
      <c r="AR35" s="355"/>
      <c r="AS35" s="336"/>
      <c r="AT35" s="330"/>
      <c r="AU35" s="331"/>
      <c r="AV35" s="331"/>
      <c r="AW35" s="338"/>
      <c r="AX35" s="741"/>
      <c r="AY35" s="741"/>
      <c r="AZ35" s="741"/>
    </row>
    <row r="36" spans="1:52" x14ac:dyDescent="0.25">
      <c r="A36" s="734"/>
      <c r="B36" s="735"/>
      <c r="C36" s="735"/>
      <c r="D36" s="735"/>
      <c r="E36" s="735"/>
      <c r="F36" s="735"/>
      <c r="G36" s="735"/>
      <c r="H36" s="735"/>
      <c r="I36" s="735"/>
      <c r="J36" s="735"/>
      <c r="K36" s="735"/>
      <c r="L36" s="735"/>
      <c r="M36" s="742"/>
      <c r="N36" s="741"/>
      <c r="O36" s="737"/>
      <c r="P36" s="736"/>
      <c r="Q36" s="739"/>
      <c r="R36" s="736"/>
      <c r="S36" s="739"/>
      <c r="T36" s="736"/>
      <c r="U36" s="736"/>
      <c r="V36" s="737"/>
      <c r="W36" s="736"/>
      <c r="X36" s="738"/>
      <c r="Y36" s="332">
        <v>6</v>
      </c>
      <c r="Z36" s="332"/>
      <c r="AA36" s="332"/>
      <c r="AB36" s="332"/>
      <c r="AC36" s="334" t="str">
        <f t="shared" si="0"/>
        <v xml:space="preserve">  </v>
      </c>
      <c r="AD36" s="335"/>
      <c r="AE36" s="356" t="e">
        <f>INDEX(Listas!B109:B203,MATCH(TEXT(AD36,"0.00"),Listas!A109:A203,0))</f>
        <v>#N/A</v>
      </c>
      <c r="AF36" s="335"/>
      <c r="AG36" s="350"/>
      <c r="AH36" s="351"/>
      <c r="AI36" s="352"/>
      <c r="AJ36" s="351"/>
      <c r="AK36" s="351"/>
      <c r="AL36" s="351"/>
      <c r="AM36" s="353"/>
      <c r="AN36" s="354"/>
      <c r="AO36" s="352"/>
      <c r="AP36" s="354"/>
      <c r="AQ36" s="352"/>
      <c r="AR36" s="355"/>
      <c r="AS36" s="336"/>
      <c r="AT36" s="330"/>
      <c r="AU36" s="331"/>
      <c r="AV36" s="331"/>
      <c r="AW36" s="338"/>
      <c r="AX36" s="741"/>
      <c r="AY36" s="741"/>
      <c r="AZ36" s="741"/>
    </row>
    <row r="37" spans="1:52" x14ac:dyDescent="0.25">
      <c r="A37" s="734">
        <v>5</v>
      </c>
      <c r="B37" s="735"/>
      <c r="C37" s="735"/>
      <c r="D37" s="735"/>
      <c r="E37" s="735"/>
      <c r="F37" s="735"/>
      <c r="G37" s="735"/>
      <c r="H37" s="735"/>
      <c r="I37" s="735"/>
      <c r="J37" s="735"/>
      <c r="K37" s="735"/>
      <c r="L37" s="735"/>
      <c r="M37" s="742"/>
      <c r="N37" s="741"/>
      <c r="O37" s="737" t="str">
        <f>IF(N37&lt;=0,"",IF(N37&lt;=2,"Muy Baja",IF(N37&lt;=24,"Baja",IF(N37&lt;=500,"Media",IF(N37&lt;=5000,"Alta","Muy Alta")))))</f>
        <v/>
      </c>
      <c r="P37" s="736" t="str">
        <f>IF(O37="","",IF(O37="Muy Baja",0.2,IF(O37="Baja",0.4,IF(O37="Media",0.6,IF(O37="Alta",0.8,IF(O37="Muy Alta",1,))))))</f>
        <v/>
      </c>
      <c r="Q37" s="739"/>
      <c r="R37" s="736" t="str">
        <f>IF(Q37="","",IF(Q37="Afectación menor a 130 SMLMV",0.2,IF(Q37="Entre 130 y 650 SMLMV",0.4,IF(Q37="Entre 650 y 1300 SMLMV",0.6,IF(Q37="Entre 1300 y 6500 SMLMV",0.8,IF(Q37="Mayor a 6500 SMLMV",1,))))))</f>
        <v/>
      </c>
      <c r="S37" s="739"/>
      <c r="T37" s="736" t="str">
        <f>IF(S37="","",IF(S37="El riesgo afecta la imagen de alguna área de la organización",0.2,IF(S37="El riesgo afecta la imagen de la entidad internamente, de conocimiento general, nivel interno, de junta dircetiva y accionistas y/o de provedores",0.4,IF(S37="El riesgo afecta la imagen de la entidad con algunos usuarios de relevancia frente al logro de los objetivos",0.6,IF(S37="El riesgo afecta la imagen de de la entidad con efecto publicitario sostenido a nivel de sector administrativo, nivel departamental o municipal",0.8,IF(S37="El riesgo afecta la imagen de la entidad a nivel nacional, con efecto publicitarios sostenible a nivel país",1,))))))</f>
        <v/>
      </c>
      <c r="U37" s="736">
        <f>MAX(R37,T37)</f>
        <v>0</v>
      </c>
      <c r="V37" s="737" t="str">
        <f>IF(U37&lt;=0,"",IF(U37=0.2,"Leve",IF(U37=0.4,"Menor",IF(U37=0.6,"Moderado",IF(U37=0.8,"Mayor",IF(U37=1,"Catrastrófico"))))))</f>
        <v/>
      </c>
      <c r="W37" s="736"/>
      <c r="X37" s="738" t="str">
        <f>IF(OR(AND(O37="Muy Baja",V37="Leve"),AND(O37="Muy Baja",V37="Menor"),AND(O37="Baja",V37="Leve")),"Bajo",IF(OR(AND(O37="Muy baja",V37="Moderado"),AND(O37="Baja",V37="Menor"),AND(O37="Baja",V37="Moderado"),AND(O37="Media",V37="Leve"),AND(O37="Media",V37="Menor"),AND(O37="Media",V37="Moderado"),AND(O37="Alta",V37="Leve"),AND(O37="Alta",V37="Menor")),"Moderado",IF(OR(AND(O37="Muy Baja",V37="Mayor"),AND(O37="Baja",V37="Mayor"),AND(O37="Media",V37="Mayor"),AND(O37="Alta",V37="Moderado"),AND(O37="Alta",V37="Mayor"),AND(O37="Muy Alta",V37="Leve"),AND(O37="Muy Alta",V37="Menor"),AND(O37="Muy Alta",V37="Moderado"),AND(O37="Muy Alta",V37="Mayor")),"Alto",IF(OR(AND(O37="Muy Baja",V37="Catastrófico"),AND(O37="Baja",V37="Catastrófico"),AND(O37="Media",V37="Catastrófico"),AND(O37="Alta",V37="Catastrófico"),AND(O37="Muy Alta",V37="Catastrófico")),"Extremo",""))))</f>
        <v/>
      </c>
      <c r="Y37" s="332">
        <v>1</v>
      </c>
      <c r="Z37" s="332"/>
      <c r="AA37" s="332"/>
      <c r="AB37" s="332"/>
      <c r="AC37" s="334" t="str">
        <f t="shared" si="0"/>
        <v xml:space="preserve">  </v>
      </c>
      <c r="AD37" s="335"/>
      <c r="AE37" s="356" t="e">
        <f>INDEX(Listas!B110:B204,MATCH(TEXT(AD37,"0.00"),Listas!A110:A204,0))</f>
        <v>#N/A</v>
      </c>
      <c r="AF37" s="335"/>
      <c r="AG37" s="350"/>
      <c r="AH37" s="351"/>
      <c r="AI37" s="352"/>
      <c r="AJ37" s="351"/>
      <c r="AK37" s="351"/>
      <c r="AL37" s="351"/>
      <c r="AM37" s="353"/>
      <c r="AN37" s="354"/>
      <c r="AO37" s="352"/>
      <c r="AP37" s="354"/>
      <c r="AQ37" s="352"/>
      <c r="AR37" s="355"/>
      <c r="AS37" s="336"/>
      <c r="AT37" s="330"/>
      <c r="AU37" s="331"/>
      <c r="AV37" s="331"/>
      <c r="AW37" s="338"/>
      <c r="AX37" s="741"/>
      <c r="AY37" s="741"/>
      <c r="AZ37" s="741"/>
    </row>
    <row r="38" spans="1:52" x14ac:dyDescent="0.25">
      <c r="A38" s="734"/>
      <c r="B38" s="735"/>
      <c r="C38" s="735"/>
      <c r="D38" s="735"/>
      <c r="E38" s="735"/>
      <c r="F38" s="735"/>
      <c r="G38" s="735"/>
      <c r="H38" s="735"/>
      <c r="I38" s="735"/>
      <c r="J38" s="735"/>
      <c r="K38" s="735"/>
      <c r="L38" s="735"/>
      <c r="M38" s="742"/>
      <c r="N38" s="741"/>
      <c r="O38" s="737"/>
      <c r="P38" s="736"/>
      <c r="Q38" s="739"/>
      <c r="R38" s="736"/>
      <c r="S38" s="739"/>
      <c r="T38" s="736"/>
      <c r="U38" s="736"/>
      <c r="V38" s="737"/>
      <c r="W38" s="736"/>
      <c r="X38" s="738"/>
      <c r="Y38" s="332">
        <v>2</v>
      </c>
      <c r="Z38" s="332"/>
      <c r="AA38" s="332"/>
      <c r="AB38" s="332"/>
      <c r="AC38" s="334" t="str">
        <f t="shared" si="0"/>
        <v xml:space="preserve">  </v>
      </c>
      <c r="AD38" s="335"/>
      <c r="AE38" s="356" t="e">
        <f>INDEX(Listas!B111:B205,MATCH(TEXT(AD38,"0.00"),Listas!A111:A205,0))</f>
        <v>#N/A</v>
      </c>
      <c r="AF38" s="335"/>
      <c r="AG38" s="350"/>
      <c r="AH38" s="351"/>
      <c r="AI38" s="352"/>
      <c r="AJ38" s="351"/>
      <c r="AK38" s="351"/>
      <c r="AL38" s="351"/>
      <c r="AM38" s="353"/>
      <c r="AN38" s="354"/>
      <c r="AO38" s="352"/>
      <c r="AP38" s="354"/>
      <c r="AQ38" s="352"/>
      <c r="AR38" s="355"/>
      <c r="AS38" s="336"/>
      <c r="AT38" s="330"/>
      <c r="AU38" s="331"/>
      <c r="AV38" s="331"/>
      <c r="AW38" s="338"/>
      <c r="AX38" s="741"/>
      <c r="AY38" s="741"/>
      <c r="AZ38" s="741"/>
    </row>
    <row r="39" spans="1:52" x14ac:dyDescent="0.25">
      <c r="A39" s="734"/>
      <c r="B39" s="735"/>
      <c r="C39" s="735"/>
      <c r="D39" s="735"/>
      <c r="E39" s="735"/>
      <c r="F39" s="735"/>
      <c r="G39" s="735"/>
      <c r="H39" s="735"/>
      <c r="I39" s="735"/>
      <c r="J39" s="735"/>
      <c r="K39" s="735"/>
      <c r="L39" s="735"/>
      <c r="M39" s="742"/>
      <c r="N39" s="741"/>
      <c r="O39" s="737"/>
      <c r="P39" s="736"/>
      <c r="Q39" s="739"/>
      <c r="R39" s="736"/>
      <c r="S39" s="739"/>
      <c r="T39" s="736"/>
      <c r="U39" s="736"/>
      <c r="V39" s="737"/>
      <c r="W39" s="736"/>
      <c r="X39" s="738"/>
      <c r="Y39" s="332">
        <v>3</v>
      </c>
      <c r="Z39" s="332"/>
      <c r="AA39" s="332"/>
      <c r="AB39" s="332"/>
      <c r="AC39" s="334" t="str">
        <f t="shared" si="0"/>
        <v xml:space="preserve">  </v>
      </c>
      <c r="AD39" s="335"/>
      <c r="AE39" s="356" t="e">
        <f>INDEX(Listas!B112:B206,MATCH(TEXT(AD39,"0.00"),Listas!A112:A206,0))</f>
        <v>#N/A</v>
      </c>
      <c r="AF39" s="335"/>
      <c r="AG39" s="350"/>
      <c r="AH39" s="351"/>
      <c r="AI39" s="352"/>
      <c r="AJ39" s="351"/>
      <c r="AK39" s="351"/>
      <c r="AL39" s="351"/>
      <c r="AM39" s="353"/>
      <c r="AN39" s="354"/>
      <c r="AO39" s="352"/>
      <c r="AP39" s="354"/>
      <c r="AQ39" s="352"/>
      <c r="AR39" s="355"/>
      <c r="AS39" s="336"/>
      <c r="AT39" s="330"/>
      <c r="AU39" s="331"/>
      <c r="AV39" s="331"/>
      <c r="AW39" s="338"/>
      <c r="AX39" s="741"/>
      <c r="AY39" s="741"/>
      <c r="AZ39" s="741"/>
    </row>
    <row r="40" spans="1:52" x14ac:dyDescent="0.25">
      <c r="A40" s="734"/>
      <c r="B40" s="735"/>
      <c r="C40" s="735"/>
      <c r="D40" s="735"/>
      <c r="E40" s="735"/>
      <c r="F40" s="735"/>
      <c r="G40" s="735"/>
      <c r="H40" s="735"/>
      <c r="I40" s="735"/>
      <c r="J40" s="735"/>
      <c r="K40" s="735"/>
      <c r="L40" s="735"/>
      <c r="M40" s="742"/>
      <c r="N40" s="741"/>
      <c r="O40" s="737"/>
      <c r="P40" s="736"/>
      <c r="Q40" s="739"/>
      <c r="R40" s="736"/>
      <c r="S40" s="739"/>
      <c r="T40" s="736"/>
      <c r="U40" s="736"/>
      <c r="V40" s="737"/>
      <c r="W40" s="736"/>
      <c r="X40" s="738"/>
      <c r="Y40" s="332">
        <v>4</v>
      </c>
      <c r="Z40" s="332"/>
      <c r="AA40" s="332"/>
      <c r="AB40" s="332"/>
      <c r="AC40" s="334" t="str">
        <f t="shared" si="0"/>
        <v xml:space="preserve">  </v>
      </c>
      <c r="AD40" s="335"/>
      <c r="AE40" s="356" t="e">
        <f>INDEX(Listas!B113:B207,MATCH(TEXT(AD40,"0.00"),Listas!A113:A207,0))</f>
        <v>#N/A</v>
      </c>
      <c r="AF40" s="335"/>
      <c r="AG40" s="350"/>
      <c r="AH40" s="351"/>
      <c r="AI40" s="352"/>
      <c r="AJ40" s="351"/>
      <c r="AK40" s="351"/>
      <c r="AL40" s="351"/>
      <c r="AM40" s="353"/>
      <c r="AN40" s="354"/>
      <c r="AO40" s="352"/>
      <c r="AP40" s="354"/>
      <c r="AQ40" s="352"/>
      <c r="AR40" s="355"/>
      <c r="AS40" s="336"/>
      <c r="AT40" s="330"/>
      <c r="AU40" s="331"/>
      <c r="AV40" s="331"/>
      <c r="AW40" s="338"/>
      <c r="AX40" s="741"/>
      <c r="AY40" s="741"/>
      <c r="AZ40" s="741"/>
    </row>
    <row r="41" spans="1:52" x14ac:dyDescent="0.25">
      <c r="A41" s="734"/>
      <c r="B41" s="735"/>
      <c r="C41" s="735"/>
      <c r="D41" s="735"/>
      <c r="E41" s="735"/>
      <c r="F41" s="735"/>
      <c r="G41" s="735"/>
      <c r="H41" s="735"/>
      <c r="I41" s="735"/>
      <c r="J41" s="735"/>
      <c r="K41" s="735"/>
      <c r="L41" s="735"/>
      <c r="M41" s="742"/>
      <c r="N41" s="741"/>
      <c r="O41" s="737"/>
      <c r="P41" s="736"/>
      <c r="Q41" s="739"/>
      <c r="R41" s="736"/>
      <c r="S41" s="739"/>
      <c r="T41" s="736"/>
      <c r="U41" s="736"/>
      <c r="V41" s="737"/>
      <c r="W41" s="736"/>
      <c r="X41" s="738"/>
      <c r="Y41" s="332">
        <v>5</v>
      </c>
      <c r="Z41" s="332"/>
      <c r="AA41" s="332"/>
      <c r="AB41" s="332"/>
      <c r="AC41" s="334" t="str">
        <f t="shared" si="0"/>
        <v xml:space="preserve">  </v>
      </c>
      <c r="AD41" s="335"/>
      <c r="AE41" s="356" t="e">
        <f>INDEX(Listas!B114:B208,MATCH(TEXT(AD41,"0.00"),Listas!A114:A208,0))</f>
        <v>#N/A</v>
      </c>
      <c r="AF41" s="335"/>
      <c r="AG41" s="350"/>
      <c r="AH41" s="351"/>
      <c r="AI41" s="352"/>
      <c r="AJ41" s="351"/>
      <c r="AK41" s="351"/>
      <c r="AL41" s="351"/>
      <c r="AM41" s="353"/>
      <c r="AN41" s="354"/>
      <c r="AO41" s="352"/>
      <c r="AP41" s="354"/>
      <c r="AQ41" s="352"/>
      <c r="AR41" s="355"/>
      <c r="AS41" s="336"/>
      <c r="AT41" s="330"/>
      <c r="AU41" s="331"/>
      <c r="AV41" s="331"/>
      <c r="AW41" s="338"/>
      <c r="AX41" s="741"/>
      <c r="AY41" s="741"/>
      <c r="AZ41" s="741"/>
    </row>
    <row r="42" spans="1:52" x14ac:dyDescent="0.25">
      <c r="A42" s="734"/>
      <c r="B42" s="735"/>
      <c r="C42" s="735"/>
      <c r="D42" s="735"/>
      <c r="E42" s="735"/>
      <c r="F42" s="735"/>
      <c r="G42" s="735"/>
      <c r="H42" s="735"/>
      <c r="I42" s="735"/>
      <c r="J42" s="735"/>
      <c r="K42" s="735"/>
      <c r="L42" s="735"/>
      <c r="M42" s="742"/>
      <c r="N42" s="741"/>
      <c r="O42" s="737"/>
      <c r="P42" s="736"/>
      <c r="Q42" s="739"/>
      <c r="R42" s="736"/>
      <c r="S42" s="739"/>
      <c r="T42" s="736"/>
      <c r="U42" s="736"/>
      <c r="V42" s="737"/>
      <c r="W42" s="736"/>
      <c r="X42" s="738"/>
      <c r="Y42" s="332">
        <v>6</v>
      </c>
      <c r="Z42" s="332"/>
      <c r="AA42" s="332"/>
      <c r="AB42" s="332"/>
      <c r="AC42" s="334" t="str">
        <f t="shared" si="0"/>
        <v xml:space="preserve">  </v>
      </c>
      <c r="AD42" s="335"/>
      <c r="AE42" s="356" t="e">
        <f>INDEX(Listas!B115:B209,MATCH(TEXT(AD42,"0.00"),Listas!A115:A209,0))</f>
        <v>#N/A</v>
      </c>
      <c r="AF42" s="335"/>
      <c r="AG42" s="350"/>
      <c r="AH42" s="351"/>
      <c r="AI42" s="352"/>
      <c r="AJ42" s="351"/>
      <c r="AK42" s="351"/>
      <c r="AL42" s="351"/>
      <c r="AM42" s="353"/>
      <c r="AN42" s="354"/>
      <c r="AO42" s="352"/>
      <c r="AP42" s="354"/>
      <c r="AQ42" s="352"/>
      <c r="AR42" s="355"/>
      <c r="AS42" s="336"/>
      <c r="AT42" s="330"/>
      <c r="AU42" s="331"/>
      <c r="AV42" s="331"/>
      <c r="AW42" s="338"/>
      <c r="AX42" s="741"/>
      <c r="AY42" s="741"/>
      <c r="AZ42" s="741"/>
    </row>
    <row r="43" spans="1:52" x14ac:dyDescent="0.25">
      <c r="A43" s="734">
        <v>6</v>
      </c>
      <c r="B43" s="735"/>
      <c r="C43" s="735"/>
      <c r="D43" s="735"/>
      <c r="E43" s="735"/>
      <c r="F43" s="735"/>
      <c r="G43" s="735"/>
      <c r="H43" s="735"/>
      <c r="I43" s="735"/>
      <c r="J43" s="735"/>
      <c r="K43" s="735"/>
      <c r="L43" s="735"/>
      <c r="M43" s="742"/>
      <c r="N43" s="741"/>
      <c r="O43" s="737" t="str">
        <f>IF(N43&lt;=0,"",IF(N43&lt;=2,"Muy Baja",IF(N43&lt;=24,"Baja",IF(N43&lt;=500,"Media",IF(N43&lt;=5000,"Alta","Muy Alta")))))</f>
        <v/>
      </c>
      <c r="P43" s="736" t="str">
        <f>IF(O43="","",IF(O43="Muy Baja",0.2,IF(O43="Baja",0.4,IF(O43="Media",0.6,IF(O43="Alta",0.8,IF(O43="Muy Alta",1,))))))</f>
        <v/>
      </c>
      <c r="Q43" s="739"/>
      <c r="R43" s="736" t="str">
        <f>IF(Q43="","",IF(Q43="Afectación menor a 130 SMLMV",0.2,IF(Q43="Entre 130 y 650 SMLMV",0.4,IF(Q43="Entre 650 y 1300 SMLMV",0.6,IF(Q43="Entre 1300 y 6500 SMLMV",0.8,IF(Q43="Mayor a 6500 SMLMV",1,))))))</f>
        <v/>
      </c>
      <c r="S43" s="739"/>
      <c r="T43" s="736" t="str">
        <f>IF(S43="","",IF(S43="El riesgo afecta la imagen de alguna área de la organización",0.2,IF(S43="El riesgo afecta la imagen de la entidad internamente, de conocimiento general, nivel interno, de junta dircetiva y accionistas y/o de provedores",0.4,IF(S43="El riesgo afecta la imagen de la entidad con algunos usuarios de relevancia frente al logro de los objetivos",0.6,IF(S43="El riesgo afecta la imagen de de la entidad con efecto publicitario sostenido a nivel de sector administrativo, nivel departamental o municipal",0.8,IF(S43="El riesgo afecta la imagen de la entidad a nivel nacional, con efecto publicitarios sostenible a nivel país",1,))))))</f>
        <v/>
      </c>
      <c r="U43" s="736">
        <f>MAX(R43,T43)</f>
        <v>0</v>
      </c>
      <c r="V43" s="737" t="str">
        <f>IF(U43&lt;=0,"",IF(U43=0.2,"Leve",IF(U43=0.4,"Menor",IF(U43=0.6,"Moderado",IF(U43=0.8,"Mayor",IF(U43=1,"Catrastrófico"))))))</f>
        <v/>
      </c>
      <c r="W43" s="736"/>
      <c r="X43" s="738" t="str">
        <f>IF(OR(AND(O43="Muy Baja",V43="Leve"),AND(O43="Muy Baja",V43="Menor"),AND(O43="Baja",V43="Leve")),"Bajo",IF(OR(AND(O43="Muy baja",V43="Moderado"),AND(O43="Baja",V43="Menor"),AND(O43="Baja",V43="Moderado"),AND(O43="Media",V43="Leve"),AND(O43="Media",V43="Menor"),AND(O43="Media",V43="Moderado"),AND(O43="Alta",V43="Leve"),AND(O43="Alta",V43="Menor")),"Moderado",IF(OR(AND(O43="Muy Baja",V43="Mayor"),AND(O43="Baja",V43="Mayor"),AND(O43="Media",V43="Mayor"),AND(O43="Alta",V43="Moderado"),AND(O43="Alta",V43="Mayor"),AND(O43="Muy Alta",V43="Leve"),AND(O43="Muy Alta",V43="Menor"),AND(O43="Muy Alta",V43="Moderado"),AND(O43="Muy Alta",V43="Mayor")),"Alto",IF(OR(AND(O43="Muy Baja",V43="Catastrófico"),AND(O43="Baja",V43="Catastrófico"),AND(O43="Media",V43="Catastrófico"),AND(O43="Alta",V43="Catastrófico"),AND(O43="Muy Alta",V43="Catastrófico")),"Extremo",""))))</f>
        <v/>
      </c>
      <c r="Y43" s="332">
        <v>1</v>
      </c>
      <c r="Z43" s="332"/>
      <c r="AA43" s="332"/>
      <c r="AB43" s="332"/>
      <c r="AC43" s="334" t="str">
        <f t="shared" si="0"/>
        <v xml:space="preserve">  </v>
      </c>
      <c r="AD43" s="335"/>
      <c r="AE43" s="356" t="e">
        <f>INDEX(Listas!B116:B210,MATCH(TEXT(AD43,"0.00"),Listas!A116:A210,0))</f>
        <v>#N/A</v>
      </c>
      <c r="AF43" s="335"/>
      <c r="AG43" s="350"/>
      <c r="AH43" s="351"/>
      <c r="AI43" s="352"/>
      <c r="AJ43" s="351"/>
      <c r="AK43" s="351"/>
      <c r="AL43" s="351"/>
      <c r="AM43" s="353"/>
      <c r="AN43" s="354"/>
      <c r="AO43" s="352"/>
      <c r="AP43" s="354"/>
      <c r="AQ43" s="352"/>
      <c r="AR43" s="355"/>
      <c r="AS43" s="337"/>
      <c r="AT43" s="330"/>
      <c r="AU43" s="331"/>
      <c r="AV43" s="331"/>
      <c r="AW43" s="338"/>
      <c r="AX43" s="741"/>
      <c r="AY43" s="741"/>
      <c r="AZ43" s="741"/>
    </row>
    <row r="44" spans="1:52" x14ac:dyDescent="0.25">
      <c r="A44" s="734"/>
      <c r="B44" s="735"/>
      <c r="C44" s="735"/>
      <c r="D44" s="735"/>
      <c r="E44" s="735"/>
      <c r="F44" s="735"/>
      <c r="G44" s="735"/>
      <c r="H44" s="735"/>
      <c r="I44" s="735"/>
      <c r="J44" s="735"/>
      <c r="K44" s="735"/>
      <c r="L44" s="735"/>
      <c r="M44" s="742"/>
      <c r="N44" s="741"/>
      <c r="O44" s="737"/>
      <c r="P44" s="736"/>
      <c r="Q44" s="739"/>
      <c r="R44" s="736"/>
      <c r="S44" s="739"/>
      <c r="T44" s="736"/>
      <c r="U44" s="736"/>
      <c r="V44" s="737"/>
      <c r="W44" s="736"/>
      <c r="X44" s="738"/>
      <c r="Y44" s="332">
        <v>2</v>
      </c>
      <c r="Z44" s="332"/>
      <c r="AA44" s="332"/>
      <c r="AB44" s="332"/>
      <c r="AC44" s="334" t="str">
        <f t="shared" si="0"/>
        <v xml:space="preserve">  </v>
      </c>
      <c r="AD44" s="335"/>
      <c r="AE44" s="356" t="e">
        <f>INDEX(Listas!B117:B211,MATCH(TEXT(AD44,"0.00"),Listas!A117:A211,0))</f>
        <v>#N/A</v>
      </c>
      <c r="AF44" s="335"/>
      <c r="AG44" s="350"/>
      <c r="AH44" s="351"/>
      <c r="AI44" s="352"/>
      <c r="AJ44" s="351"/>
      <c r="AK44" s="351"/>
      <c r="AL44" s="351"/>
      <c r="AM44" s="353"/>
      <c r="AN44" s="354"/>
      <c r="AO44" s="352"/>
      <c r="AP44" s="354"/>
      <c r="AQ44" s="352"/>
      <c r="AR44" s="355"/>
      <c r="AS44" s="336"/>
      <c r="AT44" s="330"/>
      <c r="AU44" s="331"/>
      <c r="AV44" s="331"/>
      <c r="AW44" s="338"/>
      <c r="AX44" s="741"/>
      <c r="AY44" s="741"/>
      <c r="AZ44" s="741"/>
    </row>
    <row r="45" spans="1:52" x14ac:dyDescent="0.25">
      <c r="A45" s="734"/>
      <c r="B45" s="735"/>
      <c r="C45" s="735"/>
      <c r="D45" s="735"/>
      <c r="E45" s="735"/>
      <c r="F45" s="735"/>
      <c r="G45" s="735"/>
      <c r="H45" s="735"/>
      <c r="I45" s="735"/>
      <c r="J45" s="735"/>
      <c r="K45" s="735"/>
      <c r="L45" s="735"/>
      <c r="M45" s="742"/>
      <c r="N45" s="741"/>
      <c r="O45" s="737"/>
      <c r="P45" s="736"/>
      <c r="Q45" s="739"/>
      <c r="R45" s="736"/>
      <c r="S45" s="739"/>
      <c r="T45" s="736"/>
      <c r="U45" s="736"/>
      <c r="V45" s="737"/>
      <c r="W45" s="736"/>
      <c r="X45" s="738"/>
      <c r="Y45" s="332">
        <v>3</v>
      </c>
      <c r="Z45" s="332"/>
      <c r="AA45" s="332"/>
      <c r="AB45" s="332"/>
      <c r="AC45" s="334" t="str">
        <f t="shared" si="0"/>
        <v xml:space="preserve">  </v>
      </c>
      <c r="AD45" s="335"/>
      <c r="AE45" s="356" t="e">
        <f>INDEX(Listas!B118:B212,MATCH(TEXT(AD45,"0.00"),Listas!A118:A212,0))</f>
        <v>#N/A</v>
      </c>
      <c r="AF45" s="335"/>
      <c r="AG45" s="350"/>
      <c r="AH45" s="351"/>
      <c r="AI45" s="352"/>
      <c r="AJ45" s="351"/>
      <c r="AK45" s="351"/>
      <c r="AL45" s="351"/>
      <c r="AM45" s="353"/>
      <c r="AN45" s="354"/>
      <c r="AO45" s="352"/>
      <c r="AP45" s="354"/>
      <c r="AQ45" s="352"/>
      <c r="AR45" s="355"/>
      <c r="AS45" s="336"/>
      <c r="AT45" s="330"/>
      <c r="AU45" s="331"/>
      <c r="AV45" s="331"/>
      <c r="AW45" s="338"/>
      <c r="AX45" s="741"/>
      <c r="AY45" s="741"/>
      <c r="AZ45" s="741"/>
    </row>
    <row r="46" spans="1:52" x14ac:dyDescent="0.25">
      <c r="A46" s="734"/>
      <c r="B46" s="735"/>
      <c r="C46" s="735"/>
      <c r="D46" s="735"/>
      <c r="E46" s="735"/>
      <c r="F46" s="735"/>
      <c r="G46" s="735"/>
      <c r="H46" s="735"/>
      <c r="I46" s="735"/>
      <c r="J46" s="735"/>
      <c r="K46" s="735"/>
      <c r="L46" s="735"/>
      <c r="M46" s="742"/>
      <c r="N46" s="741"/>
      <c r="O46" s="737"/>
      <c r="P46" s="736"/>
      <c r="Q46" s="739"/>
      <c r="R46" s="736"/>
      <c r="S46" s="739"/>
      <c r="T46" s="736"/>
      <c r="U46" s="736"/>
      <c r="V46" s="737"/>
      <c r="W46" s="736"/>
      <c r="X46" s="738"/>
      <c r="Y46" s="332">
        <v>4</v>
      </c>
      <c r="Z46" s="332"/>
      <c r="AA46" s="332"/>
      <c r="AB46" s="332"/>
      <c r="AC46" s="334" t="str">
        <f t="shared" si="0"/>
        <v xml:space="preserve">  </v>
      </c>
      <c r="AD46" s="335"/>
      <c r="AE46" s="356" t="e">
        <f>INDEX(Listas!B119:B213,MATCH(TEXT(AD46,"0.00"),Listas!A119:A213,0))</f>
        <v>#N/A</v>
      </c>
      <c r="AF46" s="335"/>
      <c r="AG46" s="350"/>
      <c r="AH46" s="351"/>
      <c r="AI46" s="352"/>
      <c r="AJ46" s="351"/>
      <c r="AK46" s="351"/>
      <c r="AL46" s="351"/>
      <c r="AM46" s="353"/>
      <c r="AN46" s="354"/>
      <c r="AO46" s="352"/>
      <c r="AP46" s="354"/>
      <c r="AQ46" s="352"/>
      <c r="AR46" s="355"/>
      <c r="AS46" s="336"/>
      <c r="AT46" s="330"/>
      <c r="AU46" s="331"/>
      <c r="AV46" s="331"/>
      <c r="AW46" s="338"/>
      <c r="AX46" s="741"/>
      <c r="AY46" s="741"/>
      <c r="AZ46" s="741"/>
    </row>
    <row r="47" spans="1:52" x14ac:dyDescent="0.25">
      <c r="A47" s="734"/>
      <c r="B47" s="735"/>
      <c r="C47" s="735"/>
      <c r="D47" s="735"/>
      <c r="E47" s="735"/>
      <c r="F47" s="735"/>
      <c r="G47" s="735"/>
      <c r="H47" s="735"/>
      <c r="I47" s="735"/>
      <c r="J47" s="735"/>
      <c r="K47" s="735"/>
      <c r="L47" s="735"/>
      <c r="M47" s="742"/>
      <c r="N47" s="741"/>
      <c r="O47" s="737"/>
      <c r="P47" s="736"/>
      <c r="Q47" s="739"/>
      <c r="R47" s="736"/>
      <c r="S47" s="739"/>
      <c r="T47" s="736"/>
      <c r="U47" s="736"/>
      <c r="V47" s="737"/>
      <c r="W47" s="736"/>
      <c r="X47" s="738"/>
      <c r="Y47" s="332">
        <v>5</v>
      </c>
      <c r="Z47" s="332"/>
      <c r="AA47" s="332"/>
      <c r="AB47" s="332"/>
      <c r="AC47" s="334" t="str">
        <f t="shared" si="0"/>
        <v xml:space="preserve">  </v>
      </c>
      <c r="AD47" s="335"/>
      <c r="AE47" s="356" t="e">
        <f>INDEX(Listas!B120:B214,MATCH(TEXT(AD47,"0.00"),Listas!A120:A214,0))</f>
        <v>#N/A</v>
      </c>
      <c r="AF47" s="335"/>
      <c r="AG47" s="350"/>
      <c r="AH47" s="351"/>
      <c r="AI47" s="352"/>
      <c r="AJ47" s="351"/>
      <c r="AK47" s="351"/>
      <c r="AL47" s="351"/>
      <c r="AM47" s="353"/>
      <c r="AN47" s="354"/>
      <c r="AO47" s="352"/>
      <c r="AP47" s="354"/>
      <c r="AQ47" s="352"/>
      <c r="AR47" s="355"/>
      <c r="AS47" s="336"/>
      <c r="AT47" s="330"/>
      <c r="AU47" s="331"/>
      <c r="AV47" s="331"/>
      <c r="AW47" s="338"/>
      <c r="AX47" s="741"/>
      <c r="AY47" s="741"/>
      <c r="AZ47" s="741"/>
    </row>
    <row r="48" spans="1:52" x14ac:dyDescent="0.25">
      <c r="A48" s="734"/>
      <c r="B48" s="735"/>
      <c r="C48" s="735"/>
      <c r="D48" s="735"/>
      <c r="E48" s="735"/>
      <c r="F48" s="735"/>
      <c r="G48" s="735"/>
      <c r="H48" s="735"/>
      <c r="I48" s="735"/>
      <c r="J48" s="735"/>
      <c r="K48" s="735"/>
      <c r="L48" s="735"/>
      <c r="M48" s="742"/>
      <c r="N48" s="741"/>
      <c r="O48" s="737"/>
      <c r="P48" s="736"/>
      <c r="Q48" s="739"/>
      <c r="R48" s="736"/>
      <c r="S48" s="739"/>
      <c r="T48" s="736"/>
      <c r="U48" s="736"/>
      <c r="V48" s="737"/>
      <c r="W48" s="736"/>
      <c r="X48" s="738"/>
      <c r="Y48" s="332">
        <v>6</v>
      </c>
      <c r="Z48" s="332"/>
      <c r="AA48" s="332"/>
      <c r="AB48" s="332"/>
      <c r="AC48" s="334" t="str">
        <f t="shared" si="0"/>
        <v xml:space="preserve">  </v>
      </c>
      <c r="AD48" s="335"/>
      <c r="AE48" s="356" t="e">
        <f>INDEX(Listas!B121:B215,MATCH(TEXT(AD48,"0.00"),Listas!A121:A215,0))</f>
        <v>#N/A</v>
      </c>
      <c r="AF48" s="335"/>
      <c r="AG48" s="350"/>
      <c r="AH48" s="351"/>
      <c r="AI48" s="352"/>
      <c r="AJ48" s="351"/>
      <c r="AK48" s="351"/>
      <c r="AL48" s="351"/>
      <c r="AM48" s="353"/>
      <c r="AN48" s="354"/>
      <c r="AO48" s="352"/>
      <c r="AP48" s="354"/>
      <c r="AQ48" s="352"/>
      <c r="AR48" s="355"/>
      <c r="AS48" s="336"/>
      <c r="AT48" s="330"/>
      <c r="AU48" s="331"/>
      <c r="AV48" s="331"/>
      <c r="AW48" s="338"/>
      <c r="AX48" s="741"/>
      <c r="AY48" s="741"/>
      <c r="AZ48" s="741"/>
    </row>
    <row r="49" spans="1:52" x14ac:dyDescent="0.25">
      <c r="A49" s="734">
        <v>7</v>
      </c>
      <c r="B49" s="735"/>
      <c r="C49" s="735"/>
      <c r="D49" s="735"/>
      <c r="E49" s="735"/>
      <c r="F49" s="735"/>
      <c r="G49" s="735"/>
      <c r="H49" s="735"/>
      <c r="I49" s="735"/>
      <c r="J49" s="735"/>
      <c r="K49" s="735"/>
      <c r="L49" s="735"/>
      <c r="M49" s="742"/>
      <c r="N49" s="741"/>
      <c r="O49" s="737" t="str">
        <f>IF(N49&lt;=0,"",IF(N49&lt;=2,"Muy Baja",IF(N49&lt;=24,"Baja",IF(N49&lt;=500,"Media",IF(N49&lt;=5000,"Alta","Muy Alta")))))</f>
        <v/>
      </c>
      <c r="P49" s="736" t="str">
        <f>IF(O49="","",IF(O49="Muy Baja",0.2,IF(O49="Baja",0.4,IF(O49="Media",0.6,IF(O49="Alta",0.8,IF(O49="Muy Alta",1,))))))</f>
        <v/>
      </c>
      <c r="Q49" s="739"/>
      <c r="R49" s="736" t="str">
        <f>IF(Q49="","",IF(Q49="Afectación menor a 130 SMLMV",0.2,IF(Q49="Entre 130 y 650 SMLMV",0.4,IF(Q49="Entre 650 y 1300 SMLMV",0.6,IF(Q49="Entre 1300 y 6500 SMLMV",0.8,IF(Q49="Mayor a 6500 SMLMV",1,))))))</f>
        <v/>
      </c>
      <c r="S49" s="739"/>
      <c r="T49" s="736" t="str">
        <f>IF(S49="","",IF(S49="El riesgo afecta la imagen de alguna área de la organización",0.2,IF(S49="El riesgo afecta la imagen de la entidad internamente, de conocimiento general, nivel interno, de junta dircetiva y accionistas y/o de provedores",0.4,IF(S49="El riesgo afecta la imagen de la entidad con algunos usuarios de relevancia frente al logro de los objetivos",0.6,IF(S49="El riesgo afecta la imagen de de la entidad con efecto publicitario sostenido a nivel de sector administrativo, nivel departamental o municipal",0.8,IF(S49="El riesgo afecta la imagen de la entidad a nivel nacional, con efecto publicitarios sostenible a nivel país",1,))))))</f>
        <v/>
      </c>
      <c r="U49" s="736">
        <f>MAX(R49,T49)</f>
        <v>0</v>
      </c>
      <c r="V49" s="737" t="str">
        <f>IF(U49&lt;=0,"",IF(U49=0.2,"Leve",IF(U49=0.4,"Menor",IF(U49=0.6,"Moderado",IF(U49=0.8,"Mayor",IF(U49=1,"Catrastrófico"))))))</f>
        <v/>
      </c>
      <c r="W49" s="736"/>
      <c r="X49" s="738" t="str">
        <f>IF(OR(AND(O49="Muy Baja",V49="Leve"),AND(O49="Muy Baja",V49="Menor"),AND(O49="Baja",V49="Leve")),"Bajo",IF(OR(AND(O49="Muy baja",V49="Moderado"),AND(O49="Baja",V49="Menor"),AND(O49="Baja",V49="Moderado"),AND(O49="Media",V49="Leve"),AND(O49="Media",V49="Menor"),AND(O49="Media",V49="Moderado"),AND(O49="Alta",V49="Leve"),AND(O49="Alta",V49="Menor")),"Moderado",IF(OR(AND(O49="Muy Baja",V49="Mayor"),AND(O49="Baja",V49="Mayor"),AND(O49="Media",V49="Mayor"),AND(O49="Alta",V49="Moderado"),AND(O49="Alta",V49="Mayor"),AND(O49="Muy Alta",V49="Leve"),AND(O49="Muy Alta",V49="Menor"),AND(O49="Muy Alta",V49="Moderado"),AND(O49="Muy Alta",V49="Mayor")),"Alto",IF(OR(AND(O49="Muy Baja",V49="Catastrófico"),AND(O49="Baja",V49="Catastrófico"),AND(O49="Media",V49="Catastrófico"),AND(O49="Alta",V49="Catastrófico"),AND(O49="Muy Alta",V49="Catastrófico")),"Extremo",""))))</f>
        <v/>
      </c>
      <c r="Y49" s="332">
        <v>1</v>
      </c>
      <c r="Z49" s="332"/>
      <c r="AA49" s="332"/>
      <c r="AB49" s="332"/>
      <c r="AC49" s="334" t="str">
        <f t="shared" si="0"/>
        <v xml:space="preserve">  </v>
      </c>
      <c r="AD49" s="335"/>
      <c r="AE49" s="356" t="e">
        <f>INDEX(Listas!B122:B216,MATCH(TEXT(AD49,"0.00"),Listas!A122:A216,0))</f>
        <v>#N/A</v>
      </c>
      <c r="AF49" s="335"/>
      <c r="AG49" s="350"/>
      <c r="AH49" s="351"/>
      <c r="AI49" s="352"/>
      <c r="AJ49" s="351"/>
      <c r="AK49" s="351"/>
      <c r="AL49" s="351"/>
      <c r="AM49" s="353"/>
      <c r="AN49" s="354"/>
      <c r="AO49" s="352"/>
      <c r="AP49" s="354"/>
      <c r="AQ49" s="352"/>
      <c r="AR49" s="355"/>
      <c r="AS49" s="336"/>
      <c r="AT49" s="330"/>
      <c r="AU49" s="331"/>
      <c r="AV49" s="331"/>
      <c r="AW49" s="338"/>
      <c r="AX49" s="741"/>
      <c r="AY49" s="741"/>
      <c r="AZ49" s="741"/>
    </row>
    <row r="50" spans="1:52" x14ac:dyDescent="0.25">
      <c r="A50" s="734"/>
      <c r="B50" s="735"/>
      <c r="C50" s="735"/>
      <c r="D50" s="735"/>
      <c r="E50" s="735"/>
      <c r="F50" s="735"/>
      <c r="G50" s="735"/>
      <c r="H50" s="735"/>
      <c r="I50" s="735"/>
      <c r="J50" s="735"/>
      <c r="K50" s="735"/>
      <c r="L50" s="735"/>
      <c r="M50" s="742"/>
      <c r="N50" s="741"/>
      <c r="O50" s="737"/>
      <c r="P50" s="736"/>
      <c r="Q50" s="739"/>
      <c r="R50" s="736"/>
      <c r="S50" s="739"/>
      <c r="T50" s="736"/>
      <c r="U50" s="736"/>
      <c r="V50" s="737"/>
      <c r="W50" s="736"/>
      <c r="X50" s="738"/>
      <c r="Y50" s="332">
        <v>2</v>
      </c>
      <c r="Z50" s="332"/>
      <c r="AA50" s="332"/>
      <c r="AB50" s="332"/>
      <c r="AC50" s="334" t="str">
        <f t="shared" si="0"/>
        <v xml:space="preserve">  </v>
      </c>
      <c r="AD50" s="335"/>
      <c r="AE50" s="356" t="e">
        <f>INDEX(Listas!B123:B217,MATCH(TEXT(AD50,"0.00"),Listas!A123:A217,0))</f>
        <v>#N/A</v>
      </c>
      <c r="AF50" s="335"/>
      <c r="AG50" s="350"/>
      <c r="AH50" s="351"/>
      <c r="AI50" s="352"/>
      <c r="AJ50" s="351"/>
      <c r="AK50" s="351"/>
      <c r="AL50" s="351"/>
      <c r="AM50" s="353"/>
      <c r="AN50" s="354"/>
      <c r="AO50" s="352"/>
      <c r="AP50" s="354"/>
      <c r="AQ50" s="352"/>
      <c r="AR50" s="355"/>
      <c r="AS50" s="336"/>
      <c r="AT50" s="330"/>
      <c r="AU50" s="331"/>
      <c r="AV50" s="331"/>
      <c r="AW50" s="338"/>
      <c r="AX50" s="741"/>
      <c r="AY50" s="741"/>
      <c r="AZ50" s="741"/>
    </row>
    <row r="51" spans="1:52" x14ac:dyDescent="0.25">
      <c r="A51" s="734"/>
      <c r="B51" s="735"/>
      <c r="C51" s="735"/>
      <c r="D51" s="735"/>
      <c r="E51" s="735"/>
      <c r="F51" s="735"/>
      <c r="G51" s="735"/>
      <c r="H51" s="735"/>
      <c r="I51" s="735"/>
      <c r="J51" s="735"/>
      <c r="K51" s="735"/>
      <c r="L51" s="735"/>
      <c r="M51" s="742"/>
      <c r="N51" s="741"/>
      <c r="O51" s="737"/>
      <c r="P51" s="736"/>
      <c r="Q51" s="739"/>
      <c r="R51" s="736"/>
      <c r="S51" s="739"/>
      <c r="T51" s="736"/>
      <c r="U51" s="736"/>
      <c r="V51" s="737"/>
      <c r="W51" s="736"/>
      <c r="X51" s="738"/>
      <c r="Y51" s="332">
        <v>3</v>
      </c>
      <c r="Z51" s="332"/>
      <c r="AA51" s="332"/>
      <c r="AB51" s="332"/>
      <c r="AC51" s="334" t="str">
        <f t="shared" si="0"/>
        <v xml:space="preserve">  </v>
      </c>
      <c r="AD51" s="335"/>
      <c r="AE51" s="356" t="e">
        <f>INDEX(Listas!B124:B218,MATCH(TEXT(AD51,"0.00"),Listas!A124:A218,0))</f>
        <v>#N/A</v>
      </c>
      <c r="AF51" s="335"/>
      <c r="AG51" s="350"/>
      <c r="AH51" s="351"/>
      <c r="AI51" s="352"/>
      <c r="AJ51" s="351"/>
      <c r="AK51" s="351"/>
      <c r="AL51" s="351"/>
      <c r="AM51" s="353"/>
      <c r="AN51" s="354"/>
      <c r="AO51" s="352"/>
      <c r="AP51" s="354"/>
      <c r="AQ51" s="352"/>
      <c r="AR51" s="355"/>
      <c r="AS51" s="336"/>
      <c r="AT51" s="330"/>
      <c r="AU51" s="331"/>
      <c r="AV51" s="331"/>
      <c r="AW51" s="338"/>
      <c r="AX51" s="741"/>
      <c r="AY51" s="741"/>
      <c r="AZ51" s="741"/>
    </row>
    <row r="52" spans="1:52" x14ac:dyDescent="0.25">
      <c r="A52" s="734"/>
      <c r="B52" s="735"/>
      <c r="C52" s="735"/>
      <c r="D52" s="735"/>
      <c r="E52" s="735"/>
      <c r="F52" s="735"/>
      <c r="G52" s="735"/>
      <c r="H52" s="735"/>
      <c r="I52" s="735"/>
      <c r="J52" s="735"/>
      <c r="K52" s="735"/>
      <c r="L52" s="735"/>
      <c r="M52" s="742"/>
      <c r="N52" s="741"/>
      <c r="O52" s="737"/>
      <c r="P52" s="736"/>
      <c r="Q52" s="739"/>
      <c r="R52" s="736"/>
      <c r="S52" s="739"/>
      <c r="T52" s="736"/>
      <c r="U52" s="736"/>
      <c r="V52" s="737"/>
      <c r="W52" s="736"/>
      <c r="X52" s="738"/>
      <c r="Y52" s="332">
        <v>4</v>
      </c>
      <c r="Z52" s="332"/>
      <c r="AA52" s="332"/>
      <c r="AB52" s="332"/>
      <c r="AC52" s="334" t="str">
        <f t="shared" si="0"/>
        <v xml:space="preserve">  </v>
      </c>
      <c r="AD52" s="335"/>
      <c r="AE52" s="356" t="e">
        <f>INDEX(Listas!B125:B219,MATCH(TEXT(AD52,"0.00"),Listas!A125:A219,0))</f>
        <v>#N/A</v>
      </c>
      <c r="AF52" s="335"/>
      <c r="AG52" s="350"/>
      <c r="AH52" s="351"/>
      <c r="AI52" s="352"/>
      <c r="AJ52" s="351"/>
      <c r="AK52" s="351"/>
      <c r="AL52" s="351"/>
      <c r="AM52" s="353"/>
      <c r="AN52" s="354"/>
      <c r="AO52" s="352"/>
      <c r="AP52" s="354"/>
      <c r="AQ52" s="352"/>
      <c r="AR52" s="355"/>
      <c r="AS52" s="336"/>
      <c r="AT52" s="330"/>
      <c r="AU52" s="331"/>
      <c r="AV52" s="331"/>
      <c r="AW52" s="338"/>
      <c r="AX52" s="741"/>
      <c r="AY52" s="741"/>
      <c r="AZ52" s="741"/>
    </row>
    <row r="53" spans="1:52" x14ac:dyDescent="0.25">
      <c r="A53" s="734"/>
      <c r="B53" s="735"/>
      <c r="C53" s="735"/>
      <c r="D53" s="735"/>
      <c r="E53" s="735"/>
      <c r="F53" s="735"/>
      <c r="G53" s="735"/>
      <c r="H53" s="735"/>
      <c r="I53" s="735"/>
      <c r="J53" s="735"/>
      <c r="K53" s="735"/>
      <c r="L53" s="735"/>
      <c r="M53" s="742"/>
      <c r="N53" s="741"/>
      <c r="O53" s="737"/>
      <c r="P53" s="736"/>
      <c r="Q53" s="739"/>
      <c r="R53" s="736"/>
      <c r="S53" s="739"/>
      <c r="T53" s="736"/>
      <c r="U53" s="736"/>
      <c r="V53" s="737"/>
      <c r="W53" s="736"/>
      <c r="X53" s="738"/>
      <c r="Y53" s="332">
        <v>5</v>
      </c>
      <c r="Z53" s="332"/>
      <c r="AA53" s="332"/>
      <c r="AB53" s="332"/>
      <c r="AC53" s="334" t="str">
        <f t="shared" si="0"/>
        <v xml:space="preserve">  </v>
      </c>
      <c r="AD53" s="335"/>
      <c r="AE53" s="356" t="e">
        <f>INDEX(Listas!B126:B220,MATCH(TEXT(AD53,"0.00"),Listas!A126:A220,0))</f>
        <v>#N/A</v>
      </c>
      <c r="AF53" s="335"/>
      <c r="AG53" s="350"/>
      <c r="AH53" s="351"/>
      <c r="AI53" s="352"/>
      <c r="AJ53" s="351"/>
      <c r="AK53" s="351"/>
      <c r="AL53" s="351"/>
      <c r="AM53" s="353"/>
      <c r="AN53" s="354"/>
      <c r="AO53" s="352"/>
      <c r="AP53" s="354"/>
      <c r="AQ53" s="352"/>
      <c r="AR53" s="355"/>
      <c r="AS53" s="336"/>
      <c r="AT53" s="330"/>
      <c r="AU53" s="331"/>
      <c r="AV53" s="331"/>
      <c r="AW53" s="338"/>
      <c r="AX53" s="741"/>
      <c r="AY53" s="741"/>
      <c r="AZ53" s="741"/>
    </row>
    <row r="54" spans="1:52" x14ac:dyDescent="0.25">
      <c r="A54" s="734"/>
      <c r="B54" s="735"/>
      <c r="C54" s="735"/>
      <c r="D54" s="735"/>
      <c r="E54" s="735"/>
      <c r="F54" s="735"/>
      <c r="G54" s="735"/>
      <c r="H54" s="735"/>
      <c r="I54" s="735"/>
      <c r="J54" s="735"/>
      <c r="K54" s="735"/>
      <c r="L54" s="735"/>
      <c r="M54" s="742"/>
      <c r="N54" s="741"/>
      <c r="O54" s="737"/>
      <c r="P54" s="736"/>
      <c r="Q54" s="739"/>
      <c r="R54" s="736"/>
      <c r="S54" s="739"/>
      <c r="T54" s="736"/>
      <c r="U54" s="736"/>
      <c r="V54" s="737"/>
      <c r="W54" s="736"/>
      <c r="X54" s="738"/>
      <c r="Y54" s="332">
        <v>6</v>
      </c>
      <c r="Z54" s="332"/>
      <c r="AA54" s="332"/>
      <c r="AB54" s="332"/>
      <c r="AC54" s="334" t="str">
        <f t="shared" si="0"/>
        <v xml:space="preserve">  </v>
      </c>
      <c r="AD54" s="335"/>
      <c r="AE54" s="356" t="e">
        <f>INDEX(Listas!B127:B221,MATCH(TEXT(AD54,"0.00"),Listas!A127:A221,0))</f>
        <v>#N/A</v>
      </c>
      <c r="AF54" s="335"/>
      <c r="AG54" s="350"/>
      <c r="AH54" s="351"/>
      <c r="AI54" s="352"/>
      <c r="AJ54" s="351"/>
      <c r="AK54" s="351"/>
      <c r="AL54" s="351"/>
      <c r="AM54" s="353"/>
      <c r="AN54" s="354"/>
      <c r="AO54" s="352"/>
      <c r="AP54" s="354"/>
      <c r="AQ54" s="352"/>
      <c r="AR54" s="355"/>
      <c r="AS54" s="336"/>
      <c r="AT54" s="330"/>
      <c r="AU54" s="331"/>
      <c r="AV54" s="331"/>
      <c r="AW54" s="338"/>
      <c r="AX54" s="741"/>
      <c r="AY54" s="741"/>
      <c r="AZ54" s="741"/>
    </row>
    <row r="55" spans="1:52" x14ac:dyDescent="0.25">
      <c r="A55" s="734">
        <v>8</v>
      </c>
      <c r="B55" s="735"/>
      <c r="C55" s="735"/>
      <c r="D55" s="735"/>
      <c r="E55" s="735"/>
      <c r="F55" s="735"/>
      <c r="G55" s="735"/>
      <c r="H55" s="735"/>
      <c r="I55" s="735"/>
      <c r="J55" s="735"/>
      <c r="K55" s="735"/>
      <c r="L55" s="735"/>
      <c r="M55" s="742"/>
      <c r="N55" s="741"/>
      <c r="O55" s="737" t="str">
        <f>IF(N55&lt;=0,"",IF(N55&lt;=2,"Muy Baja",IF(N55&lt;=24,"Baja",IF(N55&lt;=500,"Media",IF(N55&lt;=5000,"Alta","Muy Alta")))))</f>
        <v/>
      </c>
      <c r="P55" s="736" t="str">
        <f>IF(O55="","",IF(O55="Muy Baja",0.2,IF(O55="Baja",0.4,IF(O55="Media",0.6,IF(O55="Alta",0.8,IF(O55="Muy Alta",1,))))))</f>
        <v/>
      </c>
      <c r="Q55" s="739"/>
      <c r="R55" s="736" t="str">
        <f>IF(Q55="","",IF(Q55="Afectación menor a 130 SMLMV",0.2,IF(Q55="Entre 130 y 650 SMLMV",0.4,IF(Q55="Entre 650 y 1300 SMLMV",0.6,IF(Q55="Entre 1300 y 6500 SMLMV",0.8,IF(Q55="Mayor a 6500 SMLMV",1,))))))</f>
        <v/>
      </c>
      <c r="S55" s="739"/>
      <c r="T55" s="736" t="str">
        <f>IF(S55="","",IF(S55="El riesgo afecta la imagen de alguna área de la organización",0.2,IF(S55="El riesgo afecta la imagen de la entidad internamente, de conocimiento general, nivel interno, de junta dircetiva y accionistas y/o de provedores",0.4,IF(S55="El riesgo afecta la imagen de la entidad con algunos usuarios de relevancia frente al logro de los objetivos",0.6,IF(S55="El riesgo afecta la imagen de de la entidad con efecto publicitario sostenido a nivel de sector administrativo, nivel departamental o municipal",0.8,IF(S55="El riesgo afecta la imagen de la entidad a nivel nacional, con efecto publicitarios sostenible a nivel país",1,))))))</f>
        <v/>
      </c>
      <c r="U55" s="736">
        <f>MAX(R55,T55)</f>
        <v>0</v>
      </c>
      <c r="V55" s="737" t="str">
        <f>IF(U55&lt;=0,"",IF(U55=0.2,"Leve",IF(U55=0.4,"Menor",IF(U55=0.6,"Moderado",IF(U55=0.8,"Mayor",IF(U55=1,"Catrastrófico"))))))</f>
        <v/>
      </c>
      <c r="W55" s="736"/>
      <c r="X55" s="738" t="str">
        <f>IF(OR(AND(O55="Muy Baja",V55="Leve"),AND(O55="Muy Baja",V55="Menor"),AND(O55="Baja",V55="Leve")),"Bajo",IF(OR(AND(O55="Muy baja",V55="Moderado"),AND(O55="Baja",V55="Menor"),AND(O55="Baja",V55="Moderado"),AND(O55="Media",V55="Leve"),AND(O55="Media",V55="Menor"),AND(O55="Media",V55="Moderado"),AND(O55="Alta",V55="Leve"),AND(O55="Alta",V55="Menor")),"Moderado",IF(OR(AND(O55="Muy Baja",V55="Mayor"),AND(O55="Baja",V55="Mayor"),AND(O55="Media",V55="Mayor"),AND(O55="Alta",V55="Moderado"),AND(O55="Alta",V55="Mayor"),AND(O55="Muy Alta",V55="Leve"),AND(O55="Muy Alta",V55="Menor"),AND(O55="Muy Alta",V55="Moderado"),AND(O55="Muy Alta",V55="Mayor")),"Alto",IF(OR(AND(O55="Muy Baja",V55="Catastrófico"),AND(O55="Baja",V55="Catastrófico"),AND(O55="Media",V55="Catastrófico"),AND(O55="Alta",V55="Catastrófico"),AND(O55="Muy Alta",V55="Catastrófico")),"Extremo",""))))</f>
        <v/>
      </c>
      <c r="Y55" s="332">
        <v>1</v>
      </c>
      <c r="Z55" s="332"/>
      <c r="AA55" s="332"/>
      <c r="AB55" s="332"/>
      <c r="AC55" s="334" t="str">
        <f t="shared" si="0"/>
        <v xml:space="preserve">  </v>
      </c>
      <c r="AD55" s="335"/>
      <c r="AE55" s="356" t="e">
        <f>INDEX(Listas!B128:B222,MATCH(TEXT(AD55,"0.00"),Listas!A128:A222,0))</f>
        <v>#N/A</v>
      </c>
      <c r="AF55" s="335"/>
      <c r="AG55" s="350"/>
      <c r="AH55" s="351"/>
      <c r="AI55" s="352"/>
      <c r="AJ55" s="351"/>
      <c r="AK55" s="351"/>
      <c r="AL55" s="351"/>
      <c r="AM55" s="353"/>
      <c r="AN55" s="354"/>
      <c r="AO55" s="352"/>
      <c r="AP55" s="354"/>
      <c r="AQ55" s="352"/>
      <c r="AR55" s="355"/>
      <c r="AS55" s="336"/>
      <c r="AT55" s="330"/>
      <c r="AU55" s="331"/>
      <c r="AV55" s="331"/>
      <c r="AW55" s="338"/>
      <c r="AX55" s="741"/>
      <c r="AY55" s="741"/>
      <c r="AZ55" s="741"/>
    </row>
    <row r="56" spans="1:52" x14ac:dyDescent="0.25">
      <c r="A56" s="734"/>
      <c r="B56" s="735"/>
      <c r="C56" s="735"/>
      <c r="D56" s="735"/>
      <c r="E56" s="735"/>
      <c r="F56" s="735"/>
      <c r="G56" s="735"/>
      <c r="H56" s="735"/>
      <c r="I56" s="735"/>
      <c r="J56" s="735"/>
      <c r="K56" s="735"/>
      <c r="L56" s="735"/>
      <c r="M56" s="742"/>
      <c r="N56" s="741"/>
      <c r="O56" s="737"/>
      <c r="P56" s="736"/>
      <c r="Q56" s="739"/>
      <c r="R56" s="736"/>
      <c r="S56" s="739"/>
      <c r="T56" s="736"/>
      <c r="U56" s="736"/>
      <c r="V56" s="737"/>
      <c r="W56" s="736"/>
      <c r="X56" s="738"/>
      <c r="Y56" s="332">
        <v>2</v>
      </c>
      <c r="Z56" s="332"/>
      <c r="AA56" s="332"/>
      <c r="AB56" s="332"/>
      <c r="AC56" s="334" t="str">
        <f t="shared" si="0"/>
        <v xml:space="preserve">  </v>
      </c>
      <c r="AD56" s="335"/>
      <c r="AE56" s="356" t="e">
        <f>INDEX(Listas!B129:B223,MATCH(TEXT(AD56,"0.00"),Listas!A129:A223,0))</f>
        <v>#N/A</v>
      </c>
      <c r="AF56" s="335"/>
      <c r="AG56" s="350"/>
      <c r="AH56" s="351"/>
      <c r="AI56" s="352"/>
      <c r="AJ56" s="351"/>
      <c r="AK56" s="351"/>
      <c r="AL56" s="351"/>
      <c r="AM56" s="353"/>
      <c r="AN56" s="354"/>
      <c r="AO56" s="352"/>
      <c r="AP56" s="354"/>
      <c r="AQ56" s="352"/>
      <c r="AR56" s="355"/>
      <c r="AS56" s="336"/>
      <c r="AT56" s="330"/>
      <c r="AU56" s="331"/>
      <c r="AV56" s="331"/>
      <c r="AW56" s="338"/>
      <c r="AX56" s="741"/>
      <c r="AY56" s="741"/>
      <c r="AZ56" s="741"/>
    </row>
    <row r="57" spans="1:52" x14ac:dyDescent="0.25">
      <c r="A57" s="734"/>
      <c r="B57" s="735"/>
      <c r="C57" s="735"/>
      <c r="D57" s="735"/>
      <c r="E57" s="735"/>
      <c r="F57" s="735"/>
      <c r="G57" s="735"/>
      <c r="H57" s="735"/>
      <c r="I57" s="735"/>
      <c r="J57" s="735"/>
      <c r="K57" s="735"/>
      <c r="L57" s="735"/>
      <c r="M57" s="742"/>
      <c r="N57" s="741"/>
      <c r="O57" s="737"/>
      <c r="P57" s="736"/>
      <c r="Q57" s="739"/>
      <c r="R57" s="736"/>
      <c r="S57" s="739"/>
      <c r="T57" s="736"/>
      <c r="U57" s="736"/>
      <c r="V57" s="737"/>
      <c r="W57" s="736"/>
      <c r="X57" s="738"/>
      <c r="Y57" s="332">
        <v>3</v>
      </c>
      <c r="Z57" s="332"/>
      <c r="AA57" s="332"/>
      <c r="AB57" s="332"/>
      <c r="AC57" s="334" t="str">
        <f t="shared" si="0"/>
        <v xml:space="preserve">  </v>
      </c>
      <c r="AD57" s="335"/>
      <c r="AE57" s="356" t="e">
        <f>INDEX(Listas!B130:B224,MATCH(TEXT(AD57,"0.00"),Listas!A130:A224,0))</f>
        <v>#N/A</v>
      </c>
      <c r="AF57" s="335"/>
      <c r="AG57" s="350"/>
      <c r="AH57" s="351"/>
      <c r="AI57" s="352"/>
      <c r="AJ57" s="351"/>
      <c r="AK57" s="351"/>
      <c r="AL57" s="351"/>
      <c r="AM57" s="353"/>
      <c r="AN57" s="354"/>
      <c r="AO57" s="352"/>
      <c r="AP57" s="354"/>
      <c r="AQ57" s="352"/>
      <c r="AR57" s="355"/>
      <c r="AS57" s="336"/>
      <c r="AT57" s="330"/>
      <c r="AU57" s="331"/>
      <c r="AV57" s="331"/>
      <c r="AW57" s="338"/>
      <c r="AX57" s="741"/>
      <c r="AY57" s="741"/>
      <c r="AZ57" s="741"/>
    </row>
    <row r="58" spans="1:52" x14ac:dyDescent="0.25">
      <c r="A58" s="734"/>
      <c r="B58" s="735"/>
      <c r="C58" s="735"/>
      <c r="D58" s="735"/>
      <c r="E58" s="735"/>
      <c r="F58" s="735"/>
      <c r="G58" s="735"/>
      <c r="H58" s="735"/>
      <c r="I58" s="735"/>
      <c r="J58" s="735"/>
      <c r="K58" s="735"/>
      <c r="L58" s="735"/>
      <c r="M58" s="742"/>
      <c r="N58" s="741"/>
      <c r="O58" s="737"/>
      <c r="P58" s="736"/>
      <c r="Q58" s="739"/>
      <c r="R58" s="736"/>
      <c r="S58" s="739"/>
      <c r="T58" s="736"/>
      <c r="U58" s="736"/>
      <c r="V58" s="737"/>
      <c r="W58" s="736"/>
      <c r="X58" s="738"/>
      <c r="Y58" s="332">
        <v>4</v>
      </c>
      <c r="Z58" s="332"/>
      <c r="AA58" s="332"/>
      <c r="AB58" s="332"/>
      <c r="AC58" s="334" t="str">
        <f t="shared" si="0"/>
        <v xml:space="preserve">  </v>
      </c>
      <c r="AD58" s="335"/>
      <c r="AE58" s="356" t="e">
        <f>INDEX(Listas!B131:B225,MATCH(TEXT(AD58,"0.00"),Listas!A131:A225,0))</f>
        <v>#N/A</v>
      </c>
      <c r="AF58" s="335"/>
      <c r="AG58" s="350"/>
      <c r="AH58" s="351"/>
      <c r="AI58" s="352"/>
      <c r="AJ58" s="351"/>
      <c r="AK58" s="351"/>
      <c r="AL58" s="351"/>
      <c r="AM58" s="353"/>
      <c r="AN58" s="354"/>
      <c r="AO58" s="352"/>
      <c r="AP58" s="354"/>
      <c r="AQ58" s="352"/>
      <c r="AR58" s="355"/>
      <c r="AS58" s="336"/>
      <c r="AT58" s="330"/>
      <c r="AU58" s="331"/>
      <c r="AV58" s="331"/>
      <c r="AW58" s="338"/>
      <c r="AX58" s="741"/>
      <c r="AY58" s="741"/>
      <c r="AZ58" s="741"/>
    </row>
    <row r="59" spans="1:52" x14ac:dyDescent="0.25">
      <c r="A59" s="734"/>
      <c r="B59" s="735"/>
      <c r="C59" s="735"/>
      <c r="D59" s="735"/>
      <c r="E59" s="735"/>
      <c r="F59" s="735"/>
      <c r="G59" s="735"/>
      <c r="H59" s="735"/>
      <c r="I59" s="735"/>
      <c r="J59" s="735"/>
      <c r="K59" s="735"/>
      <c r="L59" s="735"/>
      <c r="M59" s="742"/>
      <c r="N59" s="741"/>
      <c r="O59" s="737"/>
      <c r="P59" s="736"/>
      <c r="Q59" s="739"/>
      <c r="R59" s="736"/>
      <c r="S59" s="739"/>
      <c r="T59" s="736"/>
      <c r="U59" s="736"/>
      <c r="V59" s="737"/>
      <c r="W59" s="736"/>
      <c r="X59" s="738"/>
      <c r="Y59" s="332">
        <v>5</v>
      </c>
      <c r="Z59" s="332"/>
      <c r="AA59" s="332"/>
      <c r="AB59" s="332"/>
      <c r="AC59" s="334" t="str">
        <f t="shared" si="0"/>
        <v xml:space="preserve">  </v>
      </c>
      <c r="AD59" s="335"/>
      <c r="AE59" s="356" t="e">
        <f>INDEX(Listas!B132:B226,MATCH(TEXT(AD59,"0.00"),Listas!A132:A226,0))</f>
        <v>#N/A</v>
      </c>
      <c r="AF59" s="335"/>
      <c r="AG59" s="350"/>
      <c r="AH59" s="351"/>
      <c r="AI59" s="352"/>
      <c r="AJ59" s="351"/>
      <c r="AK59" s="351"/>
      <c r="AL59" s="351"/>
      <c r="AM59" s="353"/>
      <c r="AN59" s="354"/>
      <c r="AO59" s="352"/>
      <c r="AP59" s="354"/>
      <c r="AQ59" s="352"/>
      <c r="AR59" s="355"/>
      <c r="AS59" s="336"/>
      <c r="AT59" s="330"/>
      <c r="AU59" s="331"/>
      <c r="AV59" s="331"/>
      <c r="AW59" s="338"/>
      <c r="AX59" s="741"/>
      <c r="AY59" s="741"/>
      <c r="AZ59" s="741"/>
    </row>
    <row r="60" spans="1:52" x14ac:dyDescent="0.25">
      <c r="A60" s="734"/>
      <c r="B60" s="735"/>
      <c r="C60" s="735"/>
      <c r="D60" s="735"/>
      <c r="E60" s="735"/>
      <c r="F60" s="735"/>
      <c r="G60" s="735"/>
      <c r="H60" s="735"/>
      <c r="I60" s="735"/>
      <c r="J60" s="735"/>
      <c r="K60" s="735"/>
      <c r="L60" s="735"/>
      <c r="M60" s="742"/>
      <c r="N60" s="741"/>
      <c r="O60" s="737"/>
      <c r="P60" s="736"/>
      <c r="Q60" s="739"/>
      <c r="R60" s="736"/>
      <c r="S60" s="739"/>
      <c r="T60" s="736"/>
      <c r="U60" s="736"/>
      <c r="V60" s="737"/>
      <c r="W60" s="736"/>
      <c r="X60" s="738"/>
      <c r="Y60" s="332">
        <v>6</v>
      </c>
      <c r="Z60" s="332"/>
      <c r="AA60" s="332"/>
      <c r="AB60" s="332"/>
      <c r="AC60" s="334" t="str">
        <f t="shared" si="0"/>
        <v xml:space="preserve">  </v>
      </c>
      <c r="AD60" s="335"/>
      <c r="AE60" s="356" t="e">
        <f>INDEX(Listas!B133:B227,MATCH(TEXT(AD60,"0.00"),Listas!A133:A227,0))</f>
        <v>#N/A</v>
      </c>
      <c r="AF60" s="335"/>
      <c r="AG60" s="350"/>
      <c r="AH60" s="351"/>
      <c r="AI60" s="352"/>
      <c r="AJ60" s="351"/>
      <c r="AK60" s="351"/>
      <c r="AL60" s="351"/>
      <c r="AM60" s="353"/>
      <c r="AN60" s="354"/>
      <c r="AO60" s="352"/>
      <c r="AP60" s="354"/>
      <c r="AQ60" s="352"/>
      <c r="AR60" s="355"/>
      <c r="AS60" s="336"/>
      <c r="AT60" s="330"/>
      <c r="AU60" s="331"/>
      <c r="AV60" s="331"/>
      <c r="AW60" s="338"/>
      <c r="AX60" s="741"/>
      <c r="AY60" s="741"/>
      <c r="AZ60" s="741"/>
    </row>
    <row r="61" spans="1:52" x14ac:dyDescent="0.25">
      <c r="A61" s="734">
        <v>9</v>
      </c>
      <c r="B61" s="735"/>
      <c r="C61" s="735"/>
      <c r="D61" s="735"/>
      <c r="E61" s="735"/>
      <c r="F61" s="735"/>
      <c r="G61" s="735"/>
      <c r="H61" s="735"/>
      <c r="I61" s="735"/>
      <c r="J61" s="735"/>
      <c r="K61" s="735"/>
      <c r="L61" s="735"/>
      <c r="M61" s="742"/>
      <c r="N61" s="741"/>
      <c r="O61" s="737" t="str">
        <f>IF(N61&lt;=0,"",IF(N61&lt;=2,"Muy Baja",IF(N61&lt;=24,"Baja",IF(N61&lt;=500,"Media",IF(N61&lt;=5000,"Alta","Muy Alta")))))</f>
        <v/>
      </c>
      <c r="P61" s="736" t="str">
        <f>IF(O61="","",IF(O61="Muy Baja",0.2,IF(O61="Baja",0.4,IF(O61="Media",0.6,IF(O61="Alta",0.8,IF(O61="Muy Alta",1,))))))</f>
        <v/>
      </c>
      <c r="Q61" s="739"/>
      <c r="R61" s="736" t="str">
        <f>IF(Q61="","",IF(Q61="Afectación menor a 130 SMLMV",0.2,IF(Q61="Entre 130 y 650 SMLMV",0.4,IF(Q61="Entre 650 y 1300 SMLMV",0.6,IF(Q61="Entre 1300 y 6500 SMLMV",0.8,IF(Q61="Mayor a 6500 SMLMV",1,))))))</f>
        <v/>
      </c>
      <c r="S61" s="739"/>
      <c r="T61" s="736" t="str">
        <f>IF(S61="","",IF(S61="El riesgo afecta la imagen de alguna área de la organización",0.2,IF(S61="El riesgo afecta la imagen de la entidad internamente, de conocimiento general, nivel interno, de junta dircetiva y accionistas y/o de provedores",0.4,IF(S61="El riesgo afecta la imagen de la entidad con algunos usuarios de relevancia frente al logro de los objetivos",0.6,IF(S61="El riesgo afecta la imagen de de la entidad con efecto publicitario sostenido a nivel de sector administrativo, nivel departamental o municipal",0.8,IF(S61="El riesgo afecta la imagen de la entidad a nivel nacional, con efecto publicitarios sostenible a nivel país",1,))))))</f>
        <v/>
      </c>
      <c r="U61" s="736">
        <f>MAX(R61,T61)</f>
        <v>0</v>
      </c>
      <c r="V61" s="737" t="str">
        <f>IF(U61&lt;=0,"",IF(U61=0.2,"Leve",IF(U61=0.4,"Menor",IF(U61=0.6,"Moderado",IF(U61=0.8,"Mayor",IF(U61=1,"Catrastrófico"))))))</f>
        <v/>
      </c>
      <c r="W61" s="736"/>
      <c r="X61" s="738" t="str">
        <f>IF(OR(AND(O61="Muy Baja",V61="Leve"),AND(O61="Muy Baja",V61="Menor"),AND(O61="Baja",V61="Leve")),"Bajo",IF(OR(AND(O61="Muy baja",V61="Moderado"),AND(O61="Baja",V61="Menor"),AND(O61="Baja",V61="Moderado"),AND(O61="Media",V61="Leve"),AND(O61="Media",V61="Menor"),AND(O61="Media",V61="Moderado"),AND(O61="Alta",V61="Leve"),AND(O61="Alta",V61="Menor")),"Moderado",IF(OR(AND(O61="Muy Baja",V61="Mayor"),AND(O61="Baja",V61="Mayor"),AND(O61="Media",V61="Mayor"),AND(O61="Alta",V61="Moderado"),AND(O61="Alta",V61="Mayor"),AND(O61="Muy Alta",V61="Leve"),AND(O61="Muy Alta",V61="Menor"),AND(O61="Muy Alta",V61="Moderado"),AND(O61="Muy Alta",V61="Mayor")),"Alto",IF(OR(AND(O61="Muy Baja",V61="Catastrófico"),AND(O61="Baja",V61="Catastrófico"),AND(O61="Media",V61="Catastrófico"),AND(O61="Alta",V61="Catastrófico"),AND(O61="Muy Alta",V61="Catastrófico")),"Extremo",""))))</f>
        <v/>
      </c>
      <c r="Y61" s="332">
        <v>1</v>
      </c>
      <c r="Z61" s="332"/>
      <c r="AA61" s="332"/>
      <c r="AB61" s="332"/>
      <c r="AC61" s="334" t="str">
        <f t="shared" si="0"/>
        <v xml:space="preserve">  </v>
      </c>
      <c r="AD61" s="335"/>
      <c r="AE61" s="356" t="e">
        <f>INDEX(Listas!B134:B228,MATCH(TEXT(AD61,"0.00"),Listas!A134:A228,0))</f>
        <v>#N/A</v>
      </c>
      <c r="AF61" s="335"/>
      <c r="AG61" s="350"/>
      <c r="AH61" s="351"/>
      <c r="AI61" s="352"/>
      <c r="AJ61" s="351"/>
      <c r="AK61" s="351"/>
      <c r="AL61" s="351"/>
      <c r="AM61" s="353"/>
      <c r="AN61" s="354"/>
      <c r="AO61" s="352"/>
      <c r="AP61" s="354"/>
      <c r="AQ61" s="352"/>
      <c r="AR61" s="355"/>
      <c r="AS61" s="336"/>
      <c r="AT61" s="330"/>
      <c r="AU61" s="331"/>
      <c r="AV61" s="331"/>
      <c r="AW61" s="338"/>
      <c r="AX61" s="741"/>
      <c r="AY61" s="741"/>
      <c r="AZ61" s="741"/>
    </row>
    <row r="62" spans="1:52" x14ac:dyDescent="0.25">
      <c r="A62" s="734"/>
      <c r="B62" s="735"/>
      <c r="C62" s="735"/>
      <c r="D62" s="735"/>
      <c r="E62" s="735"/>
      <c r="F62" s="735"/>
      <c r="G62" s="735"/>
      <c r="H62" s="735"/>
      <c r="I62" s="735"/>
      <c r="J62" s="735"/>
      <c r="K62" s="735"/>
      <c r="L62" s="735"/>
      <c r="M62" s="742"/>
      <c r="N62" s="741"/>
      <c r="O62" s="737"/>
      <c r="P62" s="736"/>
      <c r="Q62" s="739"/>
      <c r="R62" s="736"/>
      <c r="S62" s="739"/>
      <c r="T62" s="736"/>
      <c r="U62" s="736"/>
      <c r="V62" s="737"/>
      <c r="W62" s="736"/>
      <c r="X62" s="738"/>
      <c r="Y62" s="332">
        <v>2</v>
      </c>
      <c r="Z62" s="332"/>
      <c r="AA62" s="332"/>
      <c r="AB62" s="332"/>
      <c r="AC62" s="334" t="str">
        <f t="shared" si="0"/>
        <v xml:space="preserve">  </v>
      </c>
      <c r="AD62" s="335"/>
      <c r="AE62" s="356" t="e">
        <f>INDEX(Listas!B135:B229,MATCH(TEXT(AD62,"0.00"),Listas!A135:A229,0))</f>
        <v>#N/A</v>
      </c>
      <c r="AF62" s="335"/>
      <c r="AG62" s="350"/>
      <c r="AH62" s="351"/>
      <c r="AI62" s="352"/>
      <c r="AJ62" s="351"/>
      <c r="AK62" s="351"/>
      <c r="AL62" s="351"/>
      <c r="AM62" s="353"/>
      <c r="AN62" s="354"/>
      <c r="AO62" s="352"/>
      <c r="AP62" s="354"/>
      <c r="AQ62" s="352"/>
      <c r="AR62" s="355"/>
      <c r="AS62" s="336"/>
      <c r="AT62" s="330"/>
      <c r="AU62" s="331"/>
      <c r="AV62" s="331"/>
      <c r="AW62" s="338"/>
      <c r="AX62" s="741"/>
      <c r="AY62" s="741"/>
      <c r="AZ62" s="741"/>
    </row>
    <row r="63" spans="1:52" x14ac:dyDescent="0.25">
      <c r="A63" s="734"/>
      <c r="B63" s="735"/>
      <c r="C63" s="735"/>
      <c r="D63" s="735"/>
      <c r="E63" s="735"/>
      <c r="F63" s="735"/>
      <c r="G63" s="735"/>
      <c r="H63" s="735"/>
      <c r="I63" s="735"/>
      <c r="J63" s="735"/>
      <c r="K63" s="735"/>
      <c r="L63" s="735"/>
      <c r="M63" s="742"/>
      <c r="N63" s="741"/>
      <c r="O63" s="737"/>
      <c r="P63" s="736"/>
      <c r="Q63" s="739"/>
      <c r="R63" s="736"/>
      <c r="S63" s="739"/>
      <c r="T63" s="736"/>
      <c r="U63" s="736"/>
      <c r="V63" s="737"/>
      <c r="W63" s="736"/>
      <c r="X63" s="738"/>
      <c r="Y63" s="332">
        <v>3</v>
      </c>
      <c r="Z63" s="332"/>
      <c r="AA63" s="332"/>
      <c r="AB63" s="332"/>
      <c r="AC63" s="334" t="str">
        <f t="shared" si="0"/>
        <v xml:space="preserve">  </v>
      </c>
      <c r="AD63" s="335"/>
      <c r="AE63" s="356" t="e">
        <f>INDEX(Listas!B136:B230,MATCH(TEXT(AD63,"0.00"),Listas!A136:A230,0))</f>
        <v>#N/A</v>
      </c>
      <c r="AF63" s="335"/>
      <c r="AG63" s="350"/>
      <c r="AH63" s="351"/>
      <c r="AI63" s="352"/>
      <c r="AJ63" s="351"/>
      <c r="AK63" s="351"/>
      <c r="AL63" s="351"/>
      <c r="AM63" s="353"/>
      <c r="AN63" s="354"/>
      <c r="AO63" s="352"/>
      <c r="AP63" s="354"/>
      <c r="AQ63" s="352"/>
      <c r="AR63" s="355"/>
      <c r="AS63" s="336"/>
      <c r="AT63" s="330"/>
      <c r="AU63" s="331"/>
      <c r="AV63" s="331"/>
      <c r="AW63" s="338"/>
      <c r="AX63" s="741"/>
      <c r="AY63" s="741"/>
      <c r="AZ63" s="741"/>
    </row>
    <row r="64" spans="1:52" x14ac:dyDescent="0.25">
      <c r="A64" s="734"/>
      <c r="B64" s="735"/>
      <c r="C64" s="735"/>
      <c r="D64" s="735"/>
      <c r="E64" s="735"/>
      <c r="F64" s="735"/>
      <c r="G64" s="735"/>
      <c r="H64" s="735"/>
      <c r="I64" s="735"/>
      <c r="J64" s="735"/>
      <c r="K64" s="735"/>
      <c r="L64" s="735"/>
      <c r="M64" s="742"/>
      <c r="N64" s="741"/>
      <c r="O64" s="737"/>
      <c r="P64" s="736"/>
      <c r="Q64" s="739"/>
      <c r="R64" s="736"/>
      <c r="S64" s="739"/>
      <c r="T64" s="736"/>
      <c r="U64" s="736"/>
      <c r="V64" s="737"/>
      <c r="W64" s="736"/>
      <c r="X64" s="738"/>
      <c r="Y64" s="332">
        <v>4</v>
      </c>
      <c r="Z64" s="332"/>
      <c r="AA64" s="332"/>
      <c r="AB64" s="332"/>
      <c r="AC64" s="334" t="str">
        <f t="shared" si="0"/>
        <v xml:space="preserve">  </v>
      </c>
      <c r="AD64" s="335"/>
      <c r="AE64" s="356" t="e">
        <f>INDEX(Listas!B137:B231,MATCH(TEXT(AD64,"0.00"),Listas!A137:A231,0))</f>
        <v>#N/A</v>
      </c>
      <c r="AF64" s="335"/>
      <c r="AG64" s="350"/>
      <c r="AH64" s="351"/>
      <c r="AI64" s="352"/>
      <c r="AJ64" s="351"/>
      <c r="AK64" s="351"/>
      <c r="AL64" s="351"/>
      <c r="AM64" s="353"/>
      <c r="AN64" s="354"/>
      <c r="AO64" s="352"/>
      <c r="AP64" s="354"/>
      <c r="AQ64" s="352"/>
      <c r="AR64" s="355"/>
      <c r="AS64" s="336"/>
      <c r="AT64" s="330"/>
      <c r="AU64" s="331"/>
      <c r="AV64" s="331"/>
      <c r="AW64" s="338"/>
      <c r="AX64" s="741"/>
      <c r="AY64" s="741"/>
      <c r="AZ64" s="741"/>
    </row>
    <row r="65" spans="1:52" x14ac:dyDescent="0.25">
      <c r="A65" s="734"/>
      <c r="B65" s="735"/>
      <c r="C65" s="735"/>
      <c r="D65" s="735"/>
      <c r="E65" s="735"/>
      <c r="F65" s="735"/>
      <c r="G65" s="735"/>
      <c r="H65" s="735"/>
      <c r="I65" s="735"/>
      <c r="J65" s="735"/>
      <c r="K65" s="735"/>
      <c r="L65" s="735"/>
      <c r="M65" s="742"/>
      <c r="N65" s="741"/>
      <c r="O65" s="737"/>
      <c r="P65" s="736"/>
      <c r="Q65" s="739"/>
      <c r="R65" s="736"/>
      <c r="S65" s="739"/>
      <c r="T65" s="736"/>
      <c r="U65" s="736"/>
      <c r="V65" s="737"/>
      <c r="W65" s="736"/>
      <c r="X65" s="738"/>
      <c r="Y65" s="332">
        <v>5</v>
      </c>
      <c r="Z65" s="332"/>
      <c r="AA65" s="332"/>
      <c r="AB65" s="332"/>
      <c r="AC65" s="334" t="str">
        <f t="shared" si="0"/>
        <v xml:space="preserve">  </v>
      </c>
      <c r="AD65" s="335"/>
      <c r="AE65" s="356" t="e">
        <f>INDEX(Listas!B138:B232,MATCH(TEXT(AD65,"0.00"),Listas!A138:A232,0))</f>
        <v>#N/A</v>
      </c>
      <c r="AF65" s="335"/>
      <c r="AG65" s="350"/>
      <c r="AH65" s="351"/>
      <c r="AI65" s="352"/>
      <c r="AJ65" s="351"/>
      <c r="AK65" s="351"/>
      <c r="AL65" s="351"/>
      <c r="AM65" s="353"/>
      <c r="AN65" s="354"/>
      <c r="AO65" s="352"/>
      <c r="AP65" s="354"/>
      <c r="AQ65" s="352"/>
      <c r="AR65" s="355"/>
      <c r="AS65" s="336"/>
      <c r="AT65" s="330"/>
      <c r="AU65" s="331"/>
      <c r="AV65" s="331"/>
      <c r="AW65" s="338"/>
      <c r="AX65" s="741"/>
      <c r="AY65" s="741"/>
      <c r="AZ65" s="741"/>
    </row>
    <row r="66" spans="1:52" x14ac:dyDescent="0.25">
      <c r="A66" s="734"/>
      <c r="B66" s="735"/>
      <c r="C66" s="735"/>
      <c r="D66" s="735"/>
      <c r="E66" s="735"/>
      <c r="F66" s="735"/>
      <c r="G66" s="735"/>
      <c r="H66" s="735"/>
      <c r="I66" s="735"/>
      <c r="J66" s="735"/>
      <c r="K66" s="735"/>
      <c r="L66" s="735"/>
      <c r="M66" s="742"/>
      <c r="N66" s="741"/>
      <c r="O66" s="737"/>
      <c r="P66" s="736"/>
      <c r="Q66" s="739"/>
      <c r="R66" s="736"/>
      <c r="S66" s="739"/>
      <c r="T66" s="736"/>
      <c r="U66" s="736"/>
      <c r="V66" s="737"/>
      <c r="W66" s="736"/>
      <c r="X66" s="738"/>
      <c r="Y66" s="332">
        <v>6</v>
      </c>
      <c r="Z66" s="332"/>
      <c r="AA66" s="332"/>
      <c r="AB66" s="332"/>
      <c r="AC66" s="334" t="str">
        <f t="shared" si="0"/>
        <v xml:space="preserve">  </v>
      </c>
      <c r="AD66" s="335"/>
      <c r="AE66" s="356" t="e">
        <f>INDEX(Listas!B139:B233,MATCH(TEXT(AD66,"0.00"),Listas!A139:A233,0))</f>
        <v>#N/A</v>
      </c>
      <c r="AF66" s="335"/>
      <c r="AG66" s="350"/>
      <c r="AH66" s="351"/>
      <c r="AI66" s="352"/>
      <c r="AJ66" s="351"/>
      <c r="AK66" s="351"/>
      <c r="AL66" s="351"/>
      <c r="AM66" s="353"/>
      <c r="AN66" s="354"/>
      <c r="AO66" s="352"/>
      <c r="AP66" s="354"/>
      <c r="AQ66" s="352"/>
      <c r="AR66" s="355"/>
      <c r="AS66" s="336"/>
      <c r="AT66" s="330"/>
      <c r="AU66" s="331"/>
      <c r="AV66" s="331"/>
      <c r="AW66" s="338"/>
      <c r="AX66" s="741"/>
      <c r="AY66" s="741"/>
      <c r="AZ66" s="741"/>
    </row>
    <row r="67" spans="1:52" x14ac:dyDescent="0.25">
      <c r="A67" s="734">
        <v>10</v>
      </c>
      <c r="B67" s="735"/>
      <c r="C67" s="735"/>
      <c r="D67" s="735"/>
      <c r="E67" s="735"/>
      <c r="F67" s="735"/>
      <c r="G67" s="735"/>
      <c r="H67" s="735"/>
      <c r="I67" s="735"/>
      <c r="J67" s="735"/>
      <c r="K67" s="735"/>
      <c r="L67" s="735"/>
      <c r="M67" s="742"/>
      <c r="N67" s="741"/>
      <c r="O67" s="737" t="str">
        <f>IF(N67&lt;=0,"",IF(N67&lt;=2,"Muy Baja",IF(N67&lt;=24,"Baja",IF(N67&lt;=500,"Media",IF(N67&lt;=5000,"Alta","Muy Alta")))))</f>
        <v/>
      </c>
      <c r="P67" s="736" t="str">
        <f>IF(O67="","",IF(O67="Muy Baja",0.2,IF(O67="Baja",0.4,IF(O67="Media",0.6,IF(O67="Alta",0.8,IF(O67="Muy Alta",1,))))))</f>
        <v/>
      </c>
      <c r="Q67" s="739"/>
      <c r="R67" s="736" t="str">
        <f>IF(Q67="","",IF(Q67="Afectación menor a 130 SMLMV",0.2,IF(Q67="Entre 130 y 650 SMLMV",0.4,IF(Q67="Entre 650 y 1300 SMLMV",0.6,IF(Q67="Entre 1300 y 6500 SMLMV",0.8,IF(Q67="Mayor a 6500 SMLMV",1,))))))</f>
        <v/>
      </c>
      <c r="S67" s="739"/>
      <c r="T67" s="736" t="str">
        <f>IF(S67="","",IF(S67="El riesgo afecta la imagen de alguna área de la organización",0.2,IF(S67="El riesgo afecta la imagen de la entidad internamente, de conocimiento general, nivel interno, de junta dircetiva y accionistas y/o de provedores",0.4,IF(S67="El riesgo afecta la imagen de la entidad con algunos usuarios de relevancia frente al logro de los objetivos",0.6,IF(S67="El riesgo afecta la imagen de de la entidad con efecto publicitario sostenido a nivel de sector administrativo, nivel departamental o municipal",0.8,IF(S67="El riesgo afecta la imagen de la entidad a nivel nacional, con efecto publicitarios sostenible a nivel país",1,))))))</f>
        <v/>
      </c>
      <c r="U67" s="736">
        <f>MAX(R67,T67)</f>
        <v>0</v>
      </c>
      <c r="V67" s="737" t="str">
        <f>IF(U67&lt;=0,"",IF(U67=0.2,"Leve",IF(U67=0.4,"Menor",IF(U67=0.6,"Moderado",IF(U67=0.8,"Mayor",IF(U67=1,"Catrastrófico"))))))</f>
        <v/>
      </c>
      <c r="W67" s="736"/>
      <c r="X67" s="738" t="str">
        <f>IF(OR(AND(O67="Muy Baja",V67="Leve"),AND(O67="Muy Baja",V67="Menor"),AND(O67="Baja",V67="Leve")),"Bajo",IF(OR(AND(O67="Muy baja",V67="Moderado"),AND(O67="Baja",V67="Menor"),AND(O67="Baja",V67="Moderado"),AND(O67="Media",V67="Leve"),AND(O67="Media",V67="Menor"),AND(O67="Media",V67="Moderado"),AND(O67="Alta",V67="Leve"),AND(O67="Alta",V67="Menor")),"Moderado",IF(OR(AND(O67="Muy Baja",V67="Mayor"),AND(O67="Baja",V67="Mayor"),AND(O67="Media",V67="Mayor"),AND(O67="Alta",V67="Moderado"),AND(O67="Alta",V67="Mayor"),AND(O67="Muy Alta",V67="Leve"),AND(O67="Muy Alta",V67="Menor"),AND(O67="Muy Alta",V67="Moderado"),AND(O67="Muy Alta",V67="Mayor")),"Alto",IF(OR(AND(O67="Muy Baja",V67="Catastrófico"),AND(O67="Baja",V67="Catastrófico"),AND(O67="Media",V67="Catastrófico"),AND(O67="Alta",V67="Catastrófico"),AND(O67="Muy Alta",V67="Catastrófico")),"Extremo",""))))</f>
        <v/>
      </c>
      <c r="Y67" s="332">
        <v>1</v>
      </c>
      <c r="Z67" s="332"/>
      <c r="AA67" s="332"/>
      <c r="AB67" s="332"/>
      <c r="AC67" s="334" t="str">
        <f t="shared" si="0"/>
        <v xml:space="preserve">  </v>
      </c>
      <c r="AD67" s="335"/>
      <c r="AE67" s="356" t="e">
        <f>INDEX(Listas!B140:B234,MATCH(TEXT(AD67,"0.00"),Listas!A140:A234,0))</f>
        <v>#N/A</v>
      </c>
      <c r="AF67" s="335"/>
      <c r="AG67" s="350"/>
      <c r="AH67" s="351"/>
      <c r="AI67" s="352"/>
      <c r="AJ67" s="351"/>
      <c r="AK67" s="351"/>
      <c r="AL67" s="351"/>
      <c r="AM67" s="353"/>
      <c r="AN67" s="354"/>
      <c r="AO67" s="352"/>
      <c r="AP67" s="354"/>
      <c r="AQ67" s="352"/>
      <c r="AR67" s="355"/>
      <c r="AS67" s="336"/>
      <c r="AT67" s="330"/>
      <c r="AU67" s="331"/>
      <c r="AV67" s="331"/>
      <c r="AW67" s="338"/>
      <c r="AX67" s="741"/>
      <c r="AY67" s="741"/>
      <c r="AZ67" s="741"/>
    </row>
    <row r="68" spans="1:52" x14ac:dyDescent="0.25">
      <c r="A68" s="734"/>
      <c r="B68" s="735"/>
      <c r="C68" s="735"/>
      <c r="D68" s="735"/>
      <c r="E68" s="735"/>
      <c r="F68" s="735"/>
      <c r="G68" s="735"/>
      <c r="H68" s="735"/>
      <c r="I68" s="735"/>
      <c r="J68" s="735"/>
      <c r="K68" s="735"/>
      <c r="L68" s="735"/>
      <c r="M68" s="742"/>
      <c r="N68" s="741"/>
      <c r="O68" s="737"/>
      <c r="P68" s="736"/>
      <c r="Q68" s="739"/>
      <c r="R68" s="736"/>
      <c r="S68" s="739"/>
      <c r="T68" s="736"/>
      <c r="U68" s="736"/>
      <c r="V68" s="737"/>
      <c r="W68" s="736"/>
      <c r="X68" s="738"/>
      <c r="Y68" s="332">
        <v>2</v>
      </c>
      <c r="Z68" s="332"/>
      <c r="AA68" s="332"/>
      <c r="AB68" s="332"/>
      <c r="AC68" s="334" t="str">
        <f t="shared" si="0"/>
        <v xml:space="preserve">  </v>
      </c>
      <c r="AD68" s="335"/>
      <c r="AE68" s="356" t="e">
        <f>INDEX(Listas!B141:B235,MATCH(TEXT(AD68,"0.00"),Listas!A141:A235,0))</f>
        <v>#N/A</v>
      </c>
      <c r="AF68" s="335"/>
      <c r="AG68" s="350"/>
      <c r="AH68" s="351"/>
      <c r="AI68" s="352"/>
      <c r="AJ68" s="351"/>
      <c r="AK68" s="351"/>
      <c r="AL68" s="351"/>
      <c r="AM68" s="353"/>
      <c r="AN68" s="354"/>
      <c r="AO68" s="352"/>
      <c r="AP68" s="354"/>
      <c r="AQ68" s="352"/>
      <c r="AR68" s="355"/>
      <c r="AS68" s="336"/>
      <c r="AT68" s="330"/>
      <c r="AU68" s="331"/>
      <c r="AV68" s="331"/>
      <c r="AW68" s="338"/>
      <c r="AX68" s="741"/>
      <c r="AY68" s="741"/>
      <c r="AZ68" s="741"/>
    </row>
    <row r="69" spans="1:52" x14ac:dyDescent="0.25">
      <c r="A69" s="734"/>
      <c r="B69" s="735"/>
      <c r="C69" s="735"/>
      <c r="D69" s="735"/>
      <c r="E69" s="735"/>
      <c r="F69" s="735"/>
      <c r="G69" s="735"/>
      <c r="H69" s="735"/>
      <c r="I69" s="735"/>
      <c r="J69" s="735"/>
      <c r="K69" s="735"/>
      <c r="L69" s="735"/>
      <c r="M69" s="742"/>
      <c r="N69" s="741"/>
      <c r="O69" s="737"/>
      <c r="P69" s="736"/>
      <c r="Q69" s="739"/>
      <c r="R69" s="736"/>
      <c r="S69" s="739"/>
      <c r="T69" s="736"/>
      <c r="U69" s="736"/>
      <c r="V69" s="737"/>
      <c r="W69" s="736"/>
      <c r="X69" s="738"/>
      <c r="Y69" s="332">
        <v>3</v>
      </c>
      <c r="Z69" s="332"/>
      <c r="AA69" s="332"/>
      <c r="AB69" s="332"/>
      <c r="AC69" s="334" t="str">
        <f t="shared" si="0"/>
        <v xml:space="preserve">  </v>
      </c>
      <c r="AD69" s="335"/>
      <c r="AE69" s="356" t="e">
        <f>INDEX(Listas!B142:B236,MATCH(TEXT(AD69,"0.00"),Listas!A142:A236,0))</f>
        <v>#N/A</v>
      </c>
      <c r="AF69" s="335"/>
      <c r="AG69" s="350"/>
      <c r="AH69" s="351"/>
      <c r="AI69" s="352"/>
      <c r="AJ69" s="351"/>
      <c r="AK69" s="351"/>
      <c r="AL69" s="351"/>
      <c r="AM69" s="353"/>
      <c r="AN69" s="354"/>
      <c r="AO69" s="352"/>
      <c r="AP69" s="354"/>
      <c r="AQ69" s="352"/>
      <c r="AR69" s="355"/>
      <c r="AS69" s="336"/>
      <c r="AT69" s="330"/>
      <c r="AU69" s="331"/>
      <c r="AV69" s="331"/>
      <c r="AW69" s="338"/>
      <c r="AX69" s="741"/>
      <c r="AY69" s="741"/>
      <c r="AZ69" s="741"/>
    </row>
    <row r="70" spans="1:52" x14ac:dyDescent="0.25">
      <c r="A70" s="734"/>
      <c r="B70" s="735"/>
      <c r="C70" s="735"/>
      <c r="D70" s="735"/>
      <c r="E70" s="735"/>
      <c r="F70" s="735"/>
      <c r="G70" s="735"/>
      <c r="H70" s="735"/>
      <c r="I70" s="735"/>
      <c r="J70" s="735"/>
      <c r="K70" s="735"/>
      <c r="L70" s="735"/>
      <c r="M70" s="742"/>
      <c r="N70" s="741"/>
      <c r="O70" s="737"/>
      <c r="P70" s="736"/>
      <c r="Q70" s="739"/>
      <c r="R70" s="736"/>
      <c r="S70" s="739"/>
      <c r="T70" s="736"/>
      <c r="U70" s="736"/>
      <c r="V70" s="737"/>
      <c r="W70" s="736"/>
      <c r="X70" s="738"/>
      <c r="Y70" s="332">
        <v>4</v>
      </c>
      <c r="Z70" s="332"/>
      <c r="AA70" s="332"/>
      <c r="AB70" s="332"/>
      <c r="AC70" s="334" t="str">
        <f t="shared" si="0"/>
        <v xml:space="preserve">  </v>
      </c>
      <c r="AD70" s="335"/>
      <c r="AE70" s="356" t="e">
        <f>INDEX(Listas!B143:B237,MATCH(TEXT(AD70,"0.00"),Listas!A143:A237,0))</f>
        <v>#N/A</v>
      </c>
      <c r="AF70" s="335"/>
      <c r="AG70" s="350"/>
      <c r="AH70" s="351"/>
      <c r="AI70" s="352"/>
      <c r="AJ70" s="351"/>
      <c r="AK70" s="351"/>
      <c r="AL70" s="351"/>
      <c r="AM70" s="353"/>
      <c r="AN70" s="354"/>
      <c r="AO70" s="352"/>
      <c r="AP70" s="354"/>
      <c r="AQ70" s="352"/>
      <c r="AR70" s="355"/>
      <c r="AS70" s="336"/>
      <c r="AT70" s="330"/>
      <c r="AU70" s="331"/>
      <c r="AV70" s="331"/>
      <c r="AW70" s="338"/>
      <c r="AX70" s="741"/>
      <c r="AY70" s="741"/>
      <c r="AZ70" s="741"/>
    </row>
    <row r="71" spans="1:52" x14ac:dyDescent="0.25">
      <c r="A71" s="734"/>
      <c r="B71" s="735"/>
      <c r="C71" s="735"/>
      <c r="D71" s="735"/>
      <c r="E71" s="735"/>
      <c r="F71" s="735"/>
      <c r="G71" s="735"/>
      <c r="H71" s="735"/>
      <c r="I71" s="735"/>
      <c r="J71" s="735"/>
      <c r="K71" s="735"/>
      <c r="L71" s="735"/>
      <c r="M71" s="742"/>
      <c r="N71" s="741"/>
      <c r="O71" s="737"/>
      <c r="P71" s="736"/>
      <c r="Q71" s="739"/>
      <c r="R71" s="736"/>
      <c r="S71" s="739"/>
      <c r="T71" s="736"/>
      <c r="U71" s="736"/>
      <c r="V71" s="737"/>
      <c r="W71" s="736"/>
      <c r="X71" s="738"/>
      <c r="Y71" s="332">
        <v>5</v>
      </c>
      <c r="Z71" s="332"/>
      <c r="AA71" s="332"/>
      <c r="AB71" s="332"/>
      <c r="AC71" s="334" t="str">
        <f t="shared" si="0"/>
        <v xml:space="preserve">  </v>
      </c>
      <c r="AD71" s="335"/>
      <c r="AE71" s="356" t="e">
        <f>INDEX(Listas!B144:B238,MATCH(TEXT(AD71,"0.00"),Listas!A144:A238,0))</f>
        <v>#N/A</v>
      </c>
      <c r="AF71" s="335"/>
      <c r="AG71" s="350"/>
      <c r="AH71" s="351"/>
      <c r="AI71" s="352"/>
      <c r="AJ71" s="351"/>
      <c r="AK71" s="351"/>
      <c r="AL71" s="351"/>
      <c r="AM71" s="353"/>
      <c r="AN71" s="354"/>
      <c r="AO71" s="352"/>
      <c r="AP71" s="354"/>
      <c r="AQ71" s="352"/>
      <c r="AR71" s="355"/>
      <c r="AS71" s="336"/>
      <c r="AT71" s="330"/>
      <c r="AU71" s="331"/>
      <c r="AV71" s="331"/>
      <c r="AW71" s="338"/>
      <c r="AX71" s="741"/>
      <c r="AY71" s="741"/>
      <c r="AZ71" s="741"/>
    </row>
    <row r="72" spans="1:52" x14ac:dyDescent="0.25">
      <c r="A72" s="734"/>
      <c r="B72" s="735"/>
      <c r="C72" s="735"/>
      <c r="D72" s="735"/>
      <c r="E72" s="735"/>
      <c r="F72" s="735"/>
      <c r="G72" s="735"/>
      <c r="H72" s="735"/>
      <c r="I72" s="735"/>
      <c r="J72" s="735"/>
      <c r="K72" s="735"/>
      <c r="L72" s="735"/>
      <c r="M72" s="742"/>
      <c r="N72" s="741"/>
      <c r="O72" s="737"/>
      <c r="P72" s="736"/>
      <c r="Q72" s="739"/>
      <c r="R72" s="736"/>
      <c r="S72" s="739"/>
      <c r="T72" s="736"/>
      <c r="U72" s="736"/>
      <c r="V72" s="737"/>
      <c r="W72" s="736"/>
      <c r="X72" s="738"/>
      <c r="Y72" s="332">
        <v>6</v>
      </c>
      <c r="Z72" s="332"/>
      <c r="AA72" s="332"/>
      <c r="AB72" s="332"/>
      <c r="AC72" s="334" t="str">
        <f t="shared" si="0"/>
        <v xml:space="preserve">  </v>
      </c>
      <c r="AD72" s="335"/>
      <c r="AE72" s="356" t="e">
        <f>INDEX(Listas!B145:B239,MATCH(TEXT(AD72,"0.00"),Listas!A145:A239,0))</f>
        <v>#N/A</v>
      </c>
      <c r="AF72" s="335"/>
      <c r="AG72" s="350"/>
      <c r="AH72" s="351"/>
      <c r="AI72" s="352"/>
      <c r="AJ72" s="351"/>
      <c r="AK72" s="351"/>
      <c r="AL72" s="351"/>
      <c r="AM72" s="353"/>
      <c r="AN72" s="354"/>
      <c r="AO72" s="352"/>
      <c r="AP72" s="354"/>
      <c r="AQ72" s="352"/>
      <c r="AR72" s="355"/>
      <c r="AS72" s="336"/>
      <c r="AT72" s="330"/>
      <c r="AU72" s="331"/>
      <c r="AV72" s="331"/>
      <c r="AW72" s="338"/>
      <c r="AX72" s="741"/>
      <c r="AY72" s="741"/>
      <c r="AZ72" s="741"/>
    </row>
    <row r="73" spans="1:52" x14ac:dyDescent="0.25">
      <c r="A73" s="340"/>
      <c r="B73" s="743"/>
      <c r="C73" s="743"/>
      <c r="D73" s="743"/>
      <c r="E73" s="743"/>
      <c r="F73" s="743"/>
      <c r="G73" s="743"/>
      <c r="H73" s="743"/>
      <c r="I73" s="743"/>
      <c r="J73" s="743"/>
      <c r="K73" s="743"/>
      <c r="L73" s="743"/>
      <c r="M73" s="743"/>
      <c r="N73" s="743"/>
      <c r="O73" s="743"/>
      <c r="P73" s="743"/>
      <c r="Q73" s="743"/>
      <c r="R73" s="743"/>
      <c r="S73" s="743"/>
      <c r="T73" s="743"/>
      <c r="U73" s="743"/>
      <c r="V73" s="743"/>
      <c r="W73" s="743"/>
      <c r="X73" s="743"/>
      <c r="Y73" s="743"/>
      <c r="Z73" s="743"/>
      <c r="AA73" s="743"/>
      <c r="AB73" s="743"/>
      <c r="AC73" s="743"/>
      <c r="AD73" s="743"/>
      <c r="AE73" s="743"/>
      <c r="AF73" s="743"/>
      <c r="AG73" s="743"/>
      <c r="AH73" s="743"/>
      <c r="AI73" s="743"/>
      <c r="AJ73" s="743"/>
      <c r="AK73" s="743"/>
      <c r="AL73" s="743"/>
      <c r="AM73" s="743"/>
      <c r="AN73" s="743"/>
      <c r="AO73" s="743"/>
      <c r="AP73" s="743"/>
      <c r="AQ73" s="743"/>
      <c r="AR73" s="743"/>
      <c r="AS73" s="743"/>
      <c r="AT73" s="743"/>
      <c r="AU73" s="743"/>
      <c r="AV73" s="743"/>
      <c r="AW73" s="743"/>
      <c r="AX73" s="743"/>
    </row>
    <row r="75" spans="1:52" s="314" customFormat="1" x14ac:dyDescent="0.2">
      <c r="B75" s="318"/>
      <c r="AT75" s="341"/>
    </row>
    <row r="76" spans="1:52" s="343" customFormat="1" ht="15" x14ac:dyDescent="0.2">
      <c r="A76" s="342"/>
      <c r="B76" s="342"/>
      <c r="C76" s="342"/>
      <c r="D76" s="342"/>
      <c r="E76" s="342"/>
      <c r="F76" s="342"/>
      <c r="G76" s="342"/>
      <c r="H76" s="342"/>
      <c r="I76" s="342"/>
      <c r="J76" s="342"/>
      <c r="K76" s="342"/>
      <c r="L76" s="342"/>
      <c r="M76" s="342"/>
      <c r="N76" s="344"/>
      <c r="AT76" s="345"/>
    </row>
  </sheetData>
  <mergeCells count="339">
    <mergeCell ref="B73:AX73"/>
    <mergeCell ref="V67:V72"/>
    <mergeCell ref="W67:W72"/>
    <mergeCell ref="X67:X72"/>
    <mergeCell ref="AX67:AX72"/>
    <mergeCell ref="AY67:AY72"/>
    <mergeCell ref="AZ67:AZ72"/>
    <mergeCell ref="P67:P72"/>
    <mergeCell ref="Q67:Q72"/>
    <mergeCell ref="R67:R72"/>
    <mergeCell ref="S67:S72"/>
    <mergeCell ref="T67:T72"/>
    <mergeCell ref="U67:U72"/>
    <mergeCell ref="N67:N72"/>
    <mergeCell ref="O67:O72"/>
    <mergeCell ref="J67:J72"/>
    <mergeCell ref="K67:K72"/>
    <mergeCell ref="L67:L72"/>
    <mergeCell ref="M67:M72"/>
    <mergeCell ref="AZ61:AZ66"/>
    <mergeCell ref="A67:A72"/>
    <mergeCell ref="B67:B72"/>
    <mergeCell ref="C67:C72"/>
    <mergeCell ref="D67:D72"/>
    <mergeCell ref="E67:E72"/>
    <mergeCell ref="F67:F72"/>
    <mergeCell ref="G67:G72"/>
    <mergeCell ref="H67:H72"/>
    <mergeCell ref="I67:I72"/>
    <mergeCell ref="U61:U66"/>
    <mergeCell ref="V61:V66"/>
    <mergeCell ref="W61:W66"/>
    <mergeCell ref="X61:X66"/>
    <mergeCell ref="AX61:AX66"/>
    <mergeCell ref="AY61:AY66"/>
    <mergeCell ref="O61:O66"/>
    <mergeCell ref="P61:P66"/>
    <mergeCell ref="Q61:Q66"/>
    <mergeCell ref="R61:R66"/>
    <mergeCell ref="S61:S66"/>
    <mergeCell ref="T61:T66"/>
    <mergeCell ref="N61:N66"/>
    <mergeCell ref="I61:I66"/>
    <mergeCell ref="J61:J66"/>
    <mergeCell ref="K61:K66"/>
    <mergeCell ref="L61:L66"/>
    <mergeCell ref="M61:M66"/>
    <mergeCell ref="AY55:AY60"/>
    <mergeCell ref="AZ55:AZ60"/>
    <mergeCell ref="A61:A66"/>
    <mergeCell ref="B61:B66"/>
    <mergeCell ref="C61:C66"/>
    <mergeCell ref="D61:D66"/>
    <mergeCell ref="E61:E66"/>
    <mergeCell ref="F61:F66"/>
    <mergeCell ref="G61:G66"/>
    <mergeCell ref="H61:H66"/>
    <mergeCell ref="T55:T60"/>
    <mergeCell ref="U55:U60"/>
    <mergeCell ref="V55:V60"/>
    <mergeCell ref="W55:W60"/>
    <mergeCell ref="X55:X60"/>
    <mergeCell ref="AX55:AX60"/>
    <mergeCell ref="N55:N60"/>
    <mergeCell ref="O55:O60"/>
    <mergeCell ref="P55:P60"/>
    <mergeCell ref="Q55:Q60"/>
    <mergeCell ref="R55:R60"/>
    <mergeCell ref="S55:S60"/>
    <mergeCell ref="H55:H60"/>
    <mergeCell ref="I55:I60"/>
    <mergeCell ref="J55:J60"/>
    <mergeCell ref="K55:K60"/>
    <mergeCell ref="L55:L60"/>
    <mergeCell ref="M55:M60"/>
    <mergeCell ref="AX49:AX54"/>
    <mergeCell ref="J49:J54"/>
    <mergeCell ref="K49:K54"/>
    <mergeCell ref="L49:L54"/>
    <mergeCell ref="AY49:AY54"/>
    <mergeCell ref="AZ49:AZ54"/>
    <mergeCell ref="A55:A60"/>
    <mergeCell ref="B55:B60"/>
    <mergeCell ref="C55:C60"/>
    <mergeCell ref="D55:D60"/>
    <mergeCell ref="E55:E60"/>
    <mergeCell ref="F55:F60"/>
    <mergeCell ref="G55:G60"/>
    <mergeCell ref="S49:S54"/>
    <mergeCell ref="T49:T54"/>
    <mergeCell ref="U49:U54"/>
    <mergeCell ref="V49:V54"/>
    <mergeCell ref="W49:W54"/>
    <mergeCell ref="X49:X54"/>
    <mergeCell ref="N49:N54"/>
    <mergeCell ref="O49:O54"/>
    <mergeCell ref="P49:P54"/>
    <mergeCell ref="Q49:Q54"/>
    <mergeCell ref="R49:R54"/>
    <mergeCell ref="M49:M54"/>
    <mergeCell ref="G49:G54"/>
    <mergeCell ref="H49:H54"/>
    <mergeCell ref="I49:I54"/>
    <mergeCell ref="A49:A54"/>
    <mergeCell ref="B49:B54"/>
    <mergeCell ref="C49:C54"/>
    <mergeCell ref="D49:D54"/>
    <mergeCell ref="E49:E54"/>
    <mergeCell ref="F49:F54"/>
    <mergeCell ref="V43:V48"/>
    <mergeCell ref="W43:W48"/>
    <mergeCell ref="X43:X48"/>
    <mergeCell ref="N43:N48"/>
    <mergeCell ref="O43:O48"/>
    <mergeCell ref="J43:J48"/>
    <mergeCell ref="K43:K48"/>
    <mergeCell ref="L43:L48"/>
    <mergeCell ref="M43:M48"/>
    <mergeCell ref="AX43:AX48"/>
    <mergeCell ref="AY43:AY48"/>
    <mergeCell ref="AZ43:AZ48"/>
    <mergeCell ref="P43:P48"/>
    <mergeCell ref="Q43:Q48"/>
    <mergeCell ref="R43:R48"/>
    <mergeCell ref="S43:S48"/>
    <mergeCell ref="T43:T48"/>
    <mergeCell ref="U43:U48"/>
    <mergeCell ref="AZ37:AZ42"/>
    <mergeCell ref="A43:A48"/>
    <mergeCell ref="B43:B48"/>
    <mergeCell ref="C43:C48"/>
    <mergeCell ref="D43:D48"/>
    <mergeCell ref="E43:E48"/>
    <mergeCell ref="F43:F48"/>
    <mergeCell ref="G43:G48"/>
    <mergeCell ref="H43:H48"/>
    <mergeCell ref="I43:I48"/>
    <mergeCell ref="U37:U42"/>
    <mergeCell ref="V37:V42"/>
    <mergeCell ref="W37:W42"/>
    <mergeCell ref="X37:X42"/>
    <mergeCell ref="AX37:AX42"/>
    <mergeCell ref="AY37:AY42"/>
    <mergeCell ref="O37:O42"/>
    <mergeCell ref="P37:P42"/>
    <mergeCell ref="Q37:Q42"/>
    <mergeCell ref="R37:R42"/>
    <mergeCell ref="S37:S42"/>
    <mergeCell ref="T37:T42"/>
    <mergeCell ref="N37:N42"/>
    <mergeCell ref="I37:I42"/>
    <mergeCell ref="J37:J42"/>
    <mergeCell ref="K37:K42"/>
    <mergeCell ref="L37:L42"/>
    <mergeCell ref="M37:M42"/>
    <mergeCell ref="AY31:AY36"/>
    <mergeCell ref="AZ31:AZ36"/>
    <mergeCell ref="A37:A42"/>
    <mergeCell ref="B37:B42"/>
    <mergeCell ref="C37:C42"/>
    <mergeCell ref="D37:D42"/>
    <mergeCell ref="E37:E42"/>
    <mergeCell ref="F37:F42"/>
    <mergeCell ref="G37:G42"/>
    <mergeCell ref="H37:H42"/>
    <mergeCell ref="T31:T36"/>
    <mergeCell ref="U31:U36"/>
    <mergeCell ref="V31:V36"/>
    <mergeCell ref="W31:W36"/>
    <mergeCell ref="X31:X36"/>
    <mergeCell ref="AX31:AX36"/>
    <mergeCell ref="N31:N36"/>
    <mergeCell ref="O31:O36"/>
    <mergeCell ref="P31:P36"/>
    <mergeCell ref="Q31:Q36"/>
    <mergeCell ref="R31:R36"/>
    <mergeCell ref="S31:S36"/>
    <mergeCell ref="H31:H36"/>
    <mergeCell ref="I31:I36"/>
    <mergeCell ref="J31:J36"/>
    <mergeCell ref="K31:K36"/>
    <mergeCell ref="L31:L36"/>
    <mergeCell ref="M31:M36"/>
    <mergeCell ref="AX25:AX30"/>
    <mergeCell ref="J25:J30"/>
    <mergeCell ref="K25:K30"/>
    <mergeCell ref="L25:L30"/>
    <mergeCell ref="AY25:AY30"/>
    <mergeCell ref="AZ25:AZ30"/>
    <mergeCell ref="A31:A36"/>
    <mergeCell ref="B31:B36"/>
    <mergeCell ref="C31:C36"/>
    <mergeCell ref="D31:D36"/>
    <mergeCell ref="E31:E36"/>
    <mergeCell ref="F31:F36"/>
    <mergeCell ref="G31:G36"/>
    <mergeCell ref="S25:S30"/>
    <mergeCell ref="T25:T30"/>
    <mergeCell ref="U25:U30"/>
    <mergeCell ref="V25:V30"/>
    <mergeCell ref="W25:W30"/>
    <mergeCell ref="X25:X30"/>
    <mergeCell ref="N25:N30"/>
    <mergeCell ref="O25:O30"/>
    <mergeCell ref="P25:P30"/>
    <mergeCell ref="Q25:Q30"/>
    <mergeCell ref="R25:R30"/>
    <mergeCell ref="M25:M30"/>
    <mergeCell ref="G25:G30"/>
    <mergeCell ref="H25:H30"/>
    <mergeCell ref="I25:I30"/>
    <mergeCell ref="A25:A30"/>
    <mergeCell ref="B25:B30"/>
    <mergeCell ref="C25:C30"/>
    <mergeCell ref="D25:D30"/>
    <mergeCell ref="E25:E30"/>
    <mergeCell ref="F25:F30"/>
    <mergeCell ref="V19:V24"/>
    <mergeCell ref="W19:W24"/>
    <mergeCell ref="X19:X24"/>
    <mergeCell ref="N19:N24"/>
    <mergeCell ref="O19:O24"/>
    <mergeCell ref="J19:J24"/>
    <mergeCell ref="K19:K24"/>
    <mergeCell ref="L19:L24"/>
    <mergeCell ref="M19:M24"/>
    <mergeCell ref="AX19:AX24"/>
    <mergeCell ref="AY19:AY24"/>
    <mergeCell ref="AZ19:AZ24"/>
    <mergeCell ref="P19:P24"/>
    <mergeCell ref="Q19:Q24"/>
    <mergeCell ref="R19:R24"/>
    <mergeCell ref="S19:S24"/>
    <mergeCell ref="T19:T24"/>
    <mergeCell ref="U19:U24"/>
    <mergeCell ref="AZ13:AZ18"/>
    <mergeCell ref="A19:A24"/>
    <mergeCell ref="B19:B24"/>
    <mergeCell ref="C19:C24"/>
    <mergeCell ref="D19:D24"/>
    <mergeCell ref="E19:E24"/>
    <mergeCell ref="F19:F24"/>
    <mergeCell ref="G19:G24"/>
    <mergeCell ref="H19:H24"/>
    <mergeCell ref="I19:I24"/>
    <mergeCell ref="U13:U18"/>
    <mergeCell ref="V13:V18"/>
    <mergeCell ref="W13:W18"/>
    <mergeCell ref="X13:X18"/>
    <mergeCell ref="AX13:AX18"/>
    <mergeCell ref="AY13:AY18"/>
    <mergeCell ref="O13:O18"/>
    <mergeCell ref="P13:P18"/>
    <mergeCell ref="Q13:Q18"/>
    <mergeCell ref="R13:R18"/>
    <mergeCell ref="S13:S18"/>
    <mergeCell ref="T13:T18"/>
    <mergeCell ref="N13:N18"/>
    <mergeCell ref="I13:I18"/>
    <mergeCell ref="J13:J18"/>
    <mergeCell ref="K13:K18"/>
    <mergeCell ref="L13:L18"/>
    <mergeCell ref="M13:M18"/>
    <mergeCell ref="AY11:AY12"/>
    <mergeCell ref="AZ11:AZ12"/>
    <mergeCell ref="A13:A18"/>
    <mergeCell ref="B13:B18"/>
    <mergeCell ref="C13:C18"/>
    <mergeCell ref="D13:D18"/>
    <mergeCell ref="E13:E18"/>
    <mergeCell ref="F13:F18"/>
    <mergeCell ref="G13:G18"/>
    <mergeCell ref="H13:H18"/>
    <mergeCell ref="AS11:AS12"/>
    <mergeCell ref="AT11:AT12"/>
    <mergeCell ref="AU11:AU12"/>
    <mergeCell ref="AV11:AV12"/>
    <mergeCell ref="AW11:AW12"/>
    <mergeCell ref="AX11:AX12"/>
    <mergeCell ref="AM11:AM12"/>
    <mergeCell ref="AN11:AN12"/>
    <mergeCell ref="AO11:AO12"/>
    <mergeCell ref="AP11:AP12"/>
    <mergeCell ref="N11:N12"/>
    <mergeCell ref="O11:O12"/>
    <mergeCell ref="P11:P12"/>
    <mergeCell ref="Q11:Q12"/>
    <mergeCell ref="J11:J12"/>
    <mergeCell ref="K11:K12"/>
    <mergeCell ref="L11:L12"/>
    <mergeCell ref="M11:M12"/>
    <mergeCell ref="AX10:AZ10"/>
    <mergeCell ref="AQ11:AQ12"/>
    <mergeCell ref="AR11:AR12"/>
    <mergeCell ref="X11:X12"/>
    <mergeCell ref="Y11:Y12"/>
    <mergeCell ref="AC11:AC12"/>
    <mergeCell ref="AD11:AE11"/>
    <mergeCell ref="AF11:AF12"/>
    <mergeCell ref="AG11:AL11"/>
    <mergeCell ref="R11:R12"/>
    <mergeCell ref="S11:S12"/>
    <mergeCell ref="T11:T12"/>
    <mergeCell ref="U11:U12"/>
    <mergeCell ref="V11:V12"/>
    <mergeCell ref="W11:W12"/>
    <mergeCell ref="A11:A12"/>
    <mergeCell ref="B11:B12"/>
    <mergeCell ref="C11:C12"/>
    <mergeCell ref="D11:D12"/>
    <mergeCell ref="E11:E12"/>
    <mergeCell ref="F11:F12"/>
    <mergeCell ref="G11:G12"/>
    <mergeCell ref="H11:H12"/>
    <mergeCell ref="I11:I12"/>
    <mergeCell ref="A8:B8"/>
    <mergeCell ref="C8:W8"/>
    <mergeCell ref="AH8:AZ8"/>
    <mergeCell ref="A10:F10"/>
    <mergeCell ref="N10:X10"/>
    <mergeCell ref="Y10:AM10"/>
    <mergeCell ref="AN10:AR10"/>
    <mergeCell ref="AS10:AW10"/>
    <mergeCell ref="A6:B6"/>
    <mergeCell ref="C6:W6"/>
    <mergeCell ref="AC6:AG6"/>
    <mergeCell ref="AH6:AZ6"/>
    <mergeCell ref="A7:B7"/>
    <mergeCell ref="C7:W7"/>
    <mergeCell ref="AH7:AZ7"/>
    <mergeCell ref="A1:C4"/>
    <mergeCell ref="D1:W2"/>
    <mergeCell ref="AF1:AZ2"/>
    <mergeCell ref="D3:M3"/>
    <mergeCell ref="N3:W3"/>
    <mergeCell ref="AF3:AT3"/>
    <mergeCell ref="AU3:AZ3"/>
    <mergeCell ref="D4:W4"/>
    <mergeCell ref="AF4:AZ4"/>
  </mergeCells>
  <conditionalFormatting sqref="O13 O19 O25 O31 O37 O43 O49 O55 O61 O67">
    <cfRule type="cellIs" dxfId="134" priority="1" operator="equal">
      <formula>"Muy Alta"</formula>
    </cfRule>
    <cfRule type="cellIs" dxfId="133" priority="2" operator="equal">
      <formula>"Alta"</formula>
    </cfRule>
    <cfRule type="cellIs" dxfId="132" priority="3" operator="equal">
      <formula>"Media"</formula>
    </cfRule>
    <cfRule type="cellIs" dxfId="131" priority="4" operator="equal">
      <formula>"Baja"</formula>
    </cfRule>
    <cfRule type="cellIs" dxfId="130" priority="5" operator="equal">
      <formula>"Muy Baja"</formula>
    </cfRule>
  </conditionalFormatting>
  <conditionalFormatting sqref="S14:S18 S20:S24 S26:S30 S32:S36 S38:S42 S44:S48 S50:S54 S56:S60 S62:S66 S68:S72">
    <cfRule type="containsText" dxfId="129" priority="6" operator="containsText" text="❌">
      <formula>NOT(ISERROR(SEARCH("❌",S14)))</formula>
    </cfRule>
  </conditionalFormatting>
  <conditionalFormatting sqref="V13 V19 V25 V31 V37 V43 V49 V55 V61 V67">
    <cfRule type="cellIs" dxfId="128" priority="7" operator="equal">
      <formula>"Catastrófico"</formula>
    </cfRule>
    <cfRule type="cellIs" dxfId="127" priority="8" operator="equal">
      <formula>"Mayor"</formula>
    </cfRule>
    <cfRule type="cellIs" dxfId="126" priority="9" operator="equal">
      <formula>"Moderado"</formula>
    </cfRule>
    <cfRule type="cellIs" dxfId="125" priority="10" operator="equal">
      <formula>"Menor"</formula>
    </cfRule>
    <cfRule type="cellIs" dxfId="124" priority="11" operator="equal">
      <formula>"Leve"</formula>
    </cfRule>
    <cfRule type="cellIs" dxfId="123" priority="30" operator="equal">
      <formula>0</formula>
    </cfRule>
  </conditionalFormatting>
  <conditionalFormatting sqref="X13 X19 X25 X31 X37 X43 X49 X55 X61 X67">
    <cfRule type="cellIs" dxfId="122" priority="12" operator="equal">
      <formula>"Extremo"</formula>
    </cfRule>
    <cfRule type="cellIs" dxfId="121" priority="13" operator="equal">
      <formula>"Alto"</formula>
    </cfRule>
    <cfRule type="cellIs" dxfId="120" priority="14" operator="equal">
      <formula>"Moderado"</formula>
    </cfRule>
    <cfRule type="cellIs" dxfId="119" priority="15" operator="equal">
      <formula>"Bajo"</formula>
    </cfRule>
  </conditionalFormatting>
  <conditionalFormatting sqref="AN13:AN72">
    <cfRule type="cellIs" dxfId="118" priority="16" operator="equal">
      <formula>"Muy Alta"</formula>
    </cfRule>
    <cfRule type="cellIs" dxfId="117" priority="17" operator="equal">
      <formula>"Alta"</formula>
    </cfRule>
    <cfRule type="cellIs" dxfId="116" priority="18" operator="equal">
      <formula>"Media"</formula>
    </cfRule>
    <cfRule type="cellIs" dxfId="115" priority="19" operator="equal">
      <formula>"Baja"</formula>
    </cfRule>
    <cfRule type="cellIs" dxfId="114" priority="20" operator="equal">
      <formula>"Muy Baja"</formula>
    </cfRule>
  </conditionalFormatting>
  <conditionalFormatting sqref="AP13:AP72">
    <cfRule type="cellIs" dxfId="113" priority="21" operator="equal">
      <formula>"Catastrófico"</formula>
    </cfRule>
    <cfRule type="cellIs" dxfId="112" priority="22" operator="equal">
      <formula>"Mayor"</formula>
    </cfRule>
    <cfRule type="cellIs" dxfId="111" priority="23" operator="equal">
      <formula>"Moderado"</formula>
    </cfRule>
    <cfRule type="cellIs" dxfId="110" priority="24" operator="equal">
      <formula>"Menor"</formula>
    </cfRule>
    <cfRule type="cellIs" dxfId="109" priority="25" operator="equal">
      <formula>"Leve"</formula>
    </cfRule>
  </conditionalFormatting>
  <conditionalFormatting sqref="AR13:AR72">
    <cfRule type="cellIs" dxfId="108" priority="26" operator="equal">
      <formula>"Extremo"</formula>
    </cfRule>
    <cfRule type="cellIs" dxfId="107" priority="27" operator="equal">
      <formula>"Alto"</formula>
    </cfRule>
    <cfRule type="cellIs" dxfId="106" priority="28" operator="equal">
      <formula>"Moderado"</formula>
    </cfRule>
    <cfRule type="cellIs" dxfId="105" priority="29" operator="equal">
      <formula>"Bajo"</formula>
    </cfRule>
  </conditionalFormatting>
  <pageMargins left="0.70833333333333304" right="0.70833333333333304" top="0.74791666666666701" bottom="0.74861111111111101" header="0.511811023622047" footer="0.31527777777777799"/>
  <pageSetup scale="31" orientation="landscape" horizontalDpi="300" verticalDpi="300"/>
  <headerFooter>
    <oddFooter>&amp;LCalle 26 No. 69-76,Edificio Elemento ,   Torre Aire , Piso 3, CP-111071
PBX:(+57) 601-3779555 - Información: Línea 195
Sede Operativa: Calle 22D No. 120-40 
www.umv.gov.co&amp;CDES-FM-018
Página &amp;P de &amp;N</oddFooter>
  </headerFooter>
  <colBreaks count="1" manualBreakCount="1">
    <brk id="23" max="1048575" man="1"/>
  </colBreaks>
  <drawing r:id="rId1"/>
  <legacy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900-000000000000}">
          <x14:formula1>
            <xm:f>Listas!$E$4:$E$6</xm:f>
          </x14:formula1>
          <xm:sqref>B13:B72</xm:sqref>
        </x14:dataValidation>
        <x14:dataValidation type="list" allowBlank="1" showInputMessage="1" showErrorMessage="1" xr:uid="{00000000-0002-0000-0900-000001000000}">
          <x14:formula1>
            <xm:f>Listas!$B$25:$B$27</xm:f>
          </x14:formula1>
          <xm:sqref>C13:C72</xm:sqref>
        </x14:dataValidation>
        <x14:dataValidation type="list" allowBlank="1" showInputMessage="1" showErrorMessage="1" xr:uid="{00000000-0002-0000-0900-000002000000}">
          <x14:formula1>
            <xm:f>Amenazas!$C$2:$C$11</xm:f>
          </x14:formula1>
          <xm:sqref>G13:G72</xm:sqref>
        </x14:dataValidation>
        <x14:dataValidation type="list" allowBlank="1" showInputMessage="1" showErrorMessage="1" xr:uid="{00000000-0002-0000-0900-000003000000}">
          <x14:formula1>
            <xm:f>Listas!$B$38:$B$45</xm:f>
          </x14:formula1>
          <xm:sqref>L13:L72</xm:sqref>
        </x14:dataValidation>
        <x14:dataValidation type="list" allowBlank="1" showInputMessage="1" showErrorMessage="1" xr:uid="{00000000-0002-0000-0900-000004000000}">
          <x14:formula1>
            <xm:f>'Tabla Impacto'!$F$212:$F$216</xm:f>
          </x14:formula1>
          <xm:sqref>Q25:Q72</xm:sqref>
        </x14:dataValidation>
        <x14:dataValidation type="list" allowBlank="1" showInputMessage="1" showErrorMessage="1" xr:uid="{00000000-0002-0000-0900-000005000000}">
          <x14:formula1>
            <xm:f>'Tabla Impacto'!$F$218:$F$222</xm:f>
          </x14:formula1>
          <xm:sqref>S25:S72</xm:sqref>
        </x14:dataValidation>
        <x14:dataValidation type="list" allowBlank="1" showInputMessage="1" showErrorMessage="1" xr:uid="{00000000-0002-0000-0900-000006000000}">
          <x14:formula1>
            <xm:f>Listas!$H$4:$H$8</xm:f>
          </x14:formula1>
          <xm:sqref>AA13:AA72</xm:sqref>
        </x14:dataValidation>
        <x14:dataValidation type="list" allowBlank="1" showInputMessage="1" showErrorMessage="1" xr:uid="{00000000-0002-0000-0900-000007000000}">
          <x14:formula1>
            <xm:f>Listas!$A$87:$A$180</xm:f>
          </x14:formula1>
          <xm:sqref>AD13:AD72</xm:sqref>
        </x14:dataValidation>
        <x14:dataValidation type="list" allowBlank="1" showInputMessage="1" showErrorMessage="1" xr:uid="{00000000-0002-0000-0900-000008000000}">
          <x14:formula1>
            <xm:f>'Tabla Valoración controles'!$D$4:$D$6</xm:f>
          </x14:formula1>
          <xm:sqref>AG13:AG72</xm:sqref>
        </x14:dataValidation>
        <x14:dataValidation type="list" allowBlank="1" showInputMessage="1" showErrorMessage="1" xr:uid="{00000000-0002-0000-0900-000009000000}">
          <x14:formula1>
            <xm:f>'Tabla Valoración controles'!$D$7:$D$8</xm:f>
          </x14:formula1>
          <xm:sqref>AH13:AH72</xm:sqref>
        </x14:dataValidation>
        <x14:dataValidation type="list" allowBlank="1" showInputMessage="1" showErrorMessage="1" xr:uid="{00000000-0002-0000-0900-00000A000000}">
          <x14:formula1>
            <xm:f>'Tabla Valoración controles'!$D$9:$D$10</xm:f>
          </x14:formula1>
          <xm:sqref>AJ13:AJ72</xm:sqref>
        </x14:dataValidation>
        <x14:dataValidation type="list" allowBlank="1" showInputMessage="1" showErrorMessage="1" xr:uid="{00000000-0002-0000-0900-00000B000000}">
          <x14:formula1>
            <xm:f>'Tabla Valoración controles'!$D$11:$D$12</xm:f>
          </x14:formula1>
          <xm:sqref>AK13:AK72</xm:sqref>
        </x14:dataValidation>
        <x14:dataValidation type="list" allowBlank="1" showInputMessage="1" showErrorMessage="1" xr:uid="{00000000-0002-0000-0900-00000C000000}">
          <x14:formula1>
            <xm:f>'Tabla Valoración controles'!$D$13:$D$14</xm:f>
          </x14:formula1>
          <xm:sqref>AL13:AL72</xm:sqref>
        </x14:dataValidation>
        <x14:dataValidation type="list" allowBlank="1" showInputMessage="1" showErrorMessage="1" xr:uid="{00000000-0002-0000-0900-00000D000000}">
          <x14:formula1>
            <xm:f>Listas!$B$4:$B$7</xm:f>
          </x14:formula1>
          <xm:sqref>AS13:AS72</xm:sqref>
        </x14:dataValidation>
        <x14:dataValidation type="list" allowBlank="1" showInputMessage="1" showErrorMessage="1" xr:uid="{00000000-0002-0000-0900-00000E000000}">
          <x14:formula1>
            <xm:f>'Intructivo control cambio'!$C$294:$C$318</xm:f>
          </x14:formula1>
          <xm:sqref>C6:W6</xm:sqref>
        </x14:dataValidation>
        <x14:dataValidation type="list" allowBlank="1" showInputMessage="1" showErrorMessage="1" xr:uid="{00000000-0002-0000-0900-00000F000000}">
          <x14:formula1>
            <xm:f>'Tabla Impacto'!$E$212:$E$216</xm:f>
          </x14:formula1>
          <xm:sqref>Q13:Q24</xm:sqref>
        </x14:dataValidation>
        <x14:dataValidation type="list" allowBlank="1" showInputMessage="1" showErrorMessage="1" xr:uid="{00000000-0002-0000-0900-000010000000}">
          <x14:formula1>
            <xm:f>'Tabla Impacto'!$C$216:$C$220</xm:f>
          </x14:formula1>
          <xm:sqref>S13:S24</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9" tint="-0.249977111117893"/>
  </sheetPr>
  <dimension ref="A1:JO76"/>
  <sheetViews>
    <sheetView topLeftCell="K8" zoomScale="50" zoomScaleNormal="50" zoomScaleSheetLayoutView="50" zoomScalePageLayoutView="60" workbookViewId="0">
      <selection activeCell="Z31" sqref="Z31"/>
    </sheetView>
  </sheetViews>
  <sheetFormatPr baseColWidth="10" defaultColWidth="11.42578125" defaultRowHeight="15" x14ac:dyDescent="0.2"/>
  <cols>
    <col min="1" max="1" width="6.5703125" style="197" customWidth="1"/>
    <col min="2" max="2" width="22.7109375" style="197" customWidth="1"/>
    <col min="3" max="3" width="19.28515625" style="197" customWidth="1"/>
    <col min="4" max="5" width="25.28515625" style="197" customWidth="1"/>
    <col min="6" max="6" width="51.28515625" style="197" customWidth="1"/>
    <col min="7" max="7" width="21" style="179" customWidth="1"/>
    <col min="8" max="8" width="17.7109375" style="179" customWidth="1"/>
    <col min="9" max="10" width="18.7109375" style="179" customWidth="1"/>
    <col min="11" max="11" width="24.28515625" style="179" customWidth="1"/>
    <col min="12" max="12" width="19.42578125" style="179" customWidth="1"/>
    <col min="13" max="13" width="20.5703125" style="179" customWidth="1"/>
    <col min="14" max="14" width="16.7109375" style="198" customWidth="1"/>
    <col min="15" max="15" width="16.7109375" style="179" customWidth="1"/>
    <col min="16" max="16" width="13.7109375" style="179" hidden="1" customWidth="1"/>
    <col min="17" max="17" width="19.5703125" style="179" customWidth="1"/>
    <col min="18" max="18" width="35.7109375" style="179" hidden="1" customWidth="1"/>
    <col min="19" max="19" width="19" style="179" customWidth="1"/>
    <col min="20" max="20" width="17.5703125" style="179" hidden="1" customWidth="1"/>
    <col min="21" max="21" width="15" style="179" customWidth="1"/>
    <col min="22" max="22" width="5.28515625" style="179" customWidth="1"/>
    <col min="23" max="23" width="29.7109375" style="179" customWidth="1"/>
    <col min="24" max="24" width="11.7109375" style="179" customWidth="1"/>
    <col min="25" max="25" width="33.5703125" style="179" customWidth="1"/>
    <col min="26" max="26" width="46.5703125" style="179" customWidth="1"/>
    <col min="27" max="27" width="19.7109375" style="179" hidden="1" customWidth="1"/>
    <col min="28" max="28" width="5.7109375" style="179" customWidth="1"/>
    <col min="29" max="29" width="6.7109375" style="179" customWidth="1"/>
    <col min="30" max="30" width="5" style="179" hidden="1" customWidth="1"/>
    <col min="31" max="31" width="5.5703125" style="179" customWidth="1"/>
    <col min="32" max="32" width="7.28515625" style="179" customWidth="1"/>
    <col min="33" max="33" width="6.7109375" style="179" customWidth="1"/>
    <col min="34" max="34" width="7.5703125" style="179" hidden="1" customWidth="1"/>
    <col min="35" max="35" width="8.5703125" style="179" customWidth="1"/>
    <col min="36" max="40" width="10.7109375" style="179" customWidth="1"/>
    <col min="41" max="41" width="33.28515625" style="196" customWidth="1"/>
    <col min="42" max="42" width="23" style="179" customWidth="1"/>
    <col min="43" max="43" width="18.7109375" style="179" customWidth="1"/>
    <col min="44" max="44" width="23.7109375" style="179" customWidth="1"/>
    <col min="45" max="45" width="22.42578125" style="179" customWidth="1"/>
    <col min="46" max="46" width="16.42578125" style="179" customWidth="1"/>
    <col min="47" max="47" width="20.5703125" style="179" customWidth="1"/>
    <col min="48" max="16384" width="11.42578125" style="179"/>
  </cols>
  <sheetData>
    <row r="1" spans="1:275" s="181" customFormat="1" ht="20.25" x14ac:dyDescent="0.3">
      <c r="A1" s="450"/>
      <c r="B1" s="451"/>
      <c r="C1" s="452"/>
      <c r="D1" s="439" t="s">
        <v>419</v>
      </c>
      <c r="E1" s="440"/>
      <c r="F1" s="440"/>
      <c r="G1" s="440"/>
      <c r="H1" s="440"/>
      <c r="I1" s="440"/>
      <c r="J1" s="440"/>
      <c r="K1" s="440"/>
      <c r="L1" s="440"/>
      <c r="M1" s="440"/>
      <c r="N1" s="440"/>
      <c r="O1" s="440"/>
      <c r="P1" s="440"/>
      <c r="Q1" s="440"/>
      <c r="R1" s="440"/>
      <c r="S1" s="440"/>
      <c r="T1" s="441"/>
      <c r="U1" s="228"/>
      <c r="V1" s="228"/>
      <c r="W1" s="228"/>
      <c r="X1" s="228"/>
      <c r="Y1" s="228"/>
      <c r="Z1" s="228"/>
      <c r="AA1" s="465"/>
      <c r="AB1" s="465"/>
      <c r="AC1" s="465"/>
      <c r="AD1" s="465"/>
      <c r="AE1" s="465"/>
      <c r="AF1" s="465"/>
      <c r="AG1" s="465"/>
      <c r="AH1" s="465"/>
      <c r="AI1" s="465"/>
      <c r="AJ1" s="465"/>
      <c r="AK1" s="465"/>
      <c r="AL1" s="465"/>
      <c r="AM1" s="465"/>
      <c r="AN1" s="465"/>
      <c r="AO1" s="465"/>
      <c r="AP1" s="465"/>
      <c r="AQ1" s="465"/>
      <c r="AR1" s="465"/>
      <c r="AS1" s="465"/>
      <c r="AT1" s="465"/>
      <c r="AU1" s="465"/>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row>
    <row r="2" spans="1:275" s="181" customFormat="1" ht="21" thickBot="1" x14ac:dyDescent="0.35">
      <c r="A2" s="453"/>
      <c r="B2" s="454"/>
      <c r="C2" s="455"/>
      <c r="D2" s="442"/>
      <c r="E2" s="443"/>
      <c r="F2" s="443"/>
      <c r="G2" s="443"/>
      <c r="H2" s="443"/>
      <c r="I2" s="443"/>
      <c r="J2" s="443"/>
      <c r="K2" s="443"/>
      <c r="L2" s="443"/>
      <c r="M2" s="443"/>
      <c r="N2" s="443"/>
      <c r="O2" s="443"/>
      <c r="P2" s="443"/>
      <c r="Q2" s="443"/>
      <c r="R2" s="443"/>
      <c r="S2" s="443"/>
      <c r="T2" s="444"/>
      <c r="U2" s="228"/>
      <c r="V2" s="228"/>
      <c r="W2" s="228"/>
      <c r="X2" s="228"/>
      <c r="Y2" s="228"/>
      <c r="Z2" s="228"/>
      <c r="AA2" s="465"/>
      <c r="AB2" s="465"/>
      <c r="AC2" s="465"/>
      <c r="AD2" s="465"/>
      <c r="AE2" s="465"/>
      <c r="AF2" s="465"/>
      <c r="AG2" s="465"/>
      <c r="AH2" s="465"/>
      <c r="AI2" s="465"/>
      <c r="AJ2" s="465"/>
      <c r="AK2" s="465"/>
      <c r="AL2" s="465"/>
      <c r="AM2" s="465"/>
      <c r="AN2" s="465"/>
      <c r="AO2" s="465"/>
      <c r="AP2" s="465"/>
      <c r="AQ2" s="465"/>
      <c r="AR2" s="465"/>
      <c r="AS2" s="465"/>
      <c r="AT2" s="465"/>
      <c r="AU2" s="465"/>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row>
    <row r="3" spans="1:275" s="181" customFormat="1" ht="27.75" customHeight="1" thickBot="1" x14ac:dyDescent="0.35">
      <c r="A3" s="453"/>
      <c r="B3" s="454"/>
      <c r="C3" s="455"/>
      <c r="D3" s="445" t="s">
        <v>420</v>
      </c>
      <c r="E3" s="446"/>
      <c r="F3" s="446"/>
      <c r="G3" s="446"/>
      <c r="H3" s="446"/>
      <c r="I3" s="447"/>
      <c r="J3" s="445" t="s">
        <v>421</v>
      </c>
      <c r="K3" s="446"/>
      <c r="L3" s="446"/>
      <c r="M3" s="446"/>
      <c r="N3" s="446"/>
      <c r="O3" s="446"/>
      <c r="P3" s="446"/>
      <c r="Q3" s="446"/>
      <c r="R3" s="446"/>
      <c r="S3" s="446"/>
      <c r="T3" s="447"/>
      <c r="U3" s="229"/>
      <c r="V3" s="229"/>
      <c r="W3" s="229"/>
      <c r="X3" s="229"/>
      <c r="Y3" s="229"/>
      <c r="Z3" s="228"/>
      <c r="AA3" s="466"/>
      <c r="AB3" s="466"/>
      <c r="AC3" s="466"/>
      <c r="AD3" s="466"/>
      <c r="AE3" s="466"/>
      <c r="AF3" s="466"/>
      <c r="AG3" s="466"/>
      <c r="AH3" s="466"/>
      <c r="AI3" s="466"/>
      <c r="AJ3" s="466"/>
      <c r="AK3" s="466"/>
      <c r="AL3" s="466"/>
      <c r="AM3" s="466"/>
      <c r="AN3" s="466"/>
      <c r="AO3" s="466"/>
      <c r="AP3" s="466"/>
      <c r="AQ3" s="466"/>
      <c r="AR3" s="466"/>
      <c r="AS3" s="466"/>
      <c r="AT3" s="466"/>
      <c r="AU3" s="466"/>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row>
    <row r="4" spans="1:275" s="181" customFormat="1" ht="27.75" customHeight="1" thickBot="1" x14ac:dyDescent="0.35">
      <c r="A4" s="456"/>
      <c r="B4" s="457"/>
      <c r="C4" s="458"/>
      <c r="D4" s="445" t="s">
        <v>422</v>
      </c>
      <c r="E4" s="446"/>
      <c r="F4" s="446"/>
      <c r="G4" s="446"/>
      <c r="H4" s="446"/>
      <c r="I4" s="446"/>
      <c r="J4" s="446"/>
      <c r="K4" s="446"/>
      <c r="L4" s="446"/>
      <c r="M4" s="446"/>
      <c r="N4" s="446"/>
      <c r="O4" s="446"/>
      <c r="P4" s="446"/>
      <c r="Q4" s="446"/>
      <c r="R4" s="446"/>
      <c r="S4" s="446"/>
      <c r="T4" s="447"/>
      <c r="U4" s="228"/>
      <c r="V4" s="228"/>
      <c r="W4" s="228"/>
      <c r="X4" s="228"/>
      <c r="Y4" s="228"/>
      <c r="Z4" s="228"/>
      <c r="AA4" s="466"/>
      <c r="AB4" s="466"/>
      <c r="AC4" s="466"/>
      <c r="AD4" s="466"/>
      <c r="AE4" s="466"/>
      <c r="AF4" s="466"/>
      <c r="AG4" s="466"/>
      <c r="AH4" s="466"/>
      <c r="AI4" s="466"/>
      <c r="AJ4" s="466"/>
      <c r="AK4" s="466"/>
      <c r="AL4" s="466"/>
      <c r="AM4" s="466"/>
      <c r="AN4" s="466"/>
      <c r="AO4" s="466"/>
      <c r="AP4" s="466"/>
      <c r="AQ4" s="466"/>
      <c r="AR4" s="466"/>
      <c r="AS4" s="466"/>
      <c r="AT4" s="466"/>
      <c r="AU4" s="466"/>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row>
    <row r="5" spans="1:275" ht="15.75" thickBot="1" x14ac:dyDescent="0.25">
      <c r="A5" s="182"/>
      <c r="B5" s="183"/>
      <c r="C5" s="182"/>
      <c r="D5" s="182"/>
      <c r="E5" s="182"/>
      <c r="F5" s="182"/>
      <c r="G5" s="184"/>
      <c r="H5" s="184"/>
      <c r="I5" s="184"/>
      <c r="J5" s="184"/>
      <c r="K5" s="184"/>
      <c r="L5" s="184"/>
      <c r="M5" s="184"/>
      <c r="N5" s="185"/>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230"/>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row>
    <row r="6" spans="1:275" ht="27" customHeight="1" thickBot="1" x14ac:dyDescent="0.25">
      <c r="A6" s="467" t="s">
        <v>423</v>
      </c>
      <c r="B6" s="468"/>
      <c r="C6" s="474" t="s">
        <v>424</v>
      </c>
      <c r="D6" s="475"/>
      <c r="E6" s="475"/>
      <c r="F6" s="475"/>
      <c r="G6" s="475"/>
      <c r="H6" s="475"/>
      <c r="I6" s="475"/>
      <c r="J6" s="475"/>
      <c r="K6" s="475"/>
      <c r="L6" s="475"/>
      <c r="M6" s="475"/>
      <c r="N6" s="475"/>
      <c r="O6" s="475"/>
      <c r="P6" s="475"/>
      <c r="Q6" s="475"/>
      <c r="R6" s="475"/>
      <c r="S6" s="475"/>
      <c r="T6" s="476"/>
      <c r="U6" s="231"/>
      <c r="V6" s="231"/>
      <c r="W6" s="231"/>
      <c r="X6" s="231"/>
      <c r="Y6" s="231"/>
      <c r="Z6" s="473"/>
      <c r="AA6" s="473"/>
      <c r="AB6" s="473"/>
      <c r="AC6" s="464"/>
      <c r="AD6" s="464"/>
      <c r="AE6" s="464"/>
      <c r="AF6" s="464"/>
      <c r="AG6" s="464"/>
      <c r="AH6" s="464"/>
      <c r="AI6" s="464"/>
      <c r="AJ6" s="464"/>
      <c r="AK6" s="464"/>
      <c r="AL6" s="464"/>
      <c r="AM6" s="464"/>
      <c r="AN6" s="464"/>
      <c r="AO6" s="464"/>
      <c r="AP6" s="464"/>
      <c r="AQ6" s="464"/>
      <c r="AR6" s="464"/>
      <c r="AS6" s="464"/>
      <c r="AT6" s="464"/>
      <c r="AU6" s="46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row>
    <row r="7" spans="1:275" ht="27" customHeight="1" thickBot="1" x14ac:dyDescent="0.3">
      <c r="A7" s="469" t="s">
        <v>425</v>
      </c>
      <c r="B7" s="470"/>
      <c r="C7" s="664"/>
      <c r="D7" s="665"/>
      <c r="E7" s="665"/>
      <c r="F7" s="665"/>
      <c r="G7" s="665"/>
      <c r="H7" s="665"/>
      <c r="I7" s="665"/>
      <c r="J7" s="665"/>
      <c r="K7" s="665"/>
      <c r="L7" s="665"/>
      <c r="M7" s="665"/>
      <c r="N7" s="665"/>
      <c r="O7" s="665"/>
      <c r="P7" s="665"/>
      <c r="Q7" s="665"/>
      <c r="R7" s="665"/>
      <c r="S7" s="665"/>
      <c r="T7" s="666"/>
      <c r="U7" s="232"/>
      <c r="V7" s="232"/>
      <c r="W7" s="232"/>
      <c r="X7" s="232"/>
      <c r="Y7" s="232"/>
      <c r="Z7" s="233"/>
      <c r="AA7" s="233"/>
      <c r="AB7" s="233"/>
      <c r="AC7" s="464"/>
      <c r="AD7" s="464"/>
      <c r="AE7" s="464"/>
      <c r="AF7" s="464"/>
      <c r="AG7" s="464"/>
      <c r="AH7" s="464"/>
      <c r="AI7" s="464"/>
      <c r="AJ7" s="464"/>
      <c r="AK7" s="464"/>
      <c r="AL7" s="464"/>
      <c r="AM7" s="464"/>
      <c r="AN7" s="464"/>
      <c r="AO7" s="464"/>
      <c r="AP7" s="464"/>
      <c r="AQ7" s="464"/>
      <c r="AR7" s="464"/>
      <c r="AS7" s="464"/>
      <c r="AT7" s="464"/>
      <c r="AU7" s="46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row>
    <row r="8" spans="1:275" ht="27" customHeight="1" thickBot="1" x14ac:dyDescent="0.3">
      <c r="A8" s="471" t="s">
        <v>426</v>
      </c>
      <c r="B8" s="472"/>
      <c r="C8" s="664"/>
      <c r="D8" s="665"/>
      <c r="E8" s="665"/>
      <c r="F8" s="665"/>
      <c r="G8" s="665"/>
      <c r="H8" s="665"/>
      <c r="I8" s="665"/>
      <c r="J8" s="665"/>
      <c r="K8" s="665"/>
      <c r="L8" s="665"/>
      <c r="M8" s="665"/>
      <c r="N8" s="665"/>
      <c r="O8" s="665"/>
      <c r="P8" s="665"/>
      <c r="Q8" s="665"/>
      <c r="R8" s="665"/>
      <c r="S8" s="665"/>
      <c r="T8" s="666"/>
      <c r="U8" s="232"/>
      <c r="V8" s="232"/>
      <c r="W8" s="232"/>
      <c r="X8" s="232"/>
      <c r="Y8" s="232"/>
      <c r="Z8" s="233"/>
      <c r="AA8" s="233"/>
      <c r="AB8" s="233"/>
      <c r="AC8" s="464"/>
      <c r="AD8" s="464"/>
      <c r="AE8" s="464"/>
      <c r="AF8" s="464"/>
      <c r="AG8" s="464"/>
      <c r="AH8" s="464"/>
      <c r="AI8" s="464"/>
      <c r="AJ8" s="464"/>
      <c r="AK8" s="464"/>
      <c r="AL8" s="464"/>
      <c r="AM8" s="464"/>
      <c r="AN8" s="464"/>
      <c r="AO8" s="464"/>
      <c r="AP8" s="464"/>
      <c r="AQ8" s="464"/>
      <c r="AR8" s="464"/>
      <c r="AS8" s="464"/>
      <c r="AT8" s="464"/>
      <c r="AU8" s="46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row>
    <row r="9" spans="1:275" ht="15.75" x14ac:dyDescent="0.25">
      <c r="A9" s="186"/>
      <c r="B9" s="186"/>
      <c r="C9" s="187"/>
      <c r="D9" s="187"/>
      <c r="E9" s="187"/>
      <c r="F9" s="187"/>
      <c r="G9" s="187"/>
      <c r="H9" s="187"/>
      <c r="I9" s="187"/>
      <c r="J9" s="187"/>
      <c r="K9" s="187"/>
      <c r="L9" s="187"/>
      <c r="M9" s="187"/>
      <c r="N9" s="187"/>
      <c r="O9" s="187"/>
      <c r="P9" s="187"/>
      <c r="Q9" s="187"/>
      <c r="R9" s="187"/>
      <c r="S9" s="187"/>
      <c r="T9" s="187"/>
      <c r="U9" s="187"/>
      <c r="V9" s="187"/>
      <c r="W9" s="187"/>
      <c r="X9" s="187"/>
      <c r="Y9" s="187"/>
      <c r="Z9" s="188"/>
      <c r="AA9" s="188"/>
      <c r="AB9" s="188"/>
      <c r="AC9" s="189"/>
      <c r="AD9" s="189"/>
      <c r="AE9" s="189"/>
      <c r="AF9" s="189"/>
      <c r="AG9" s="189"/>
      <c r="AH9" s="189"/>
      <c r="AI9" s="189"/>
      <c r="AJ9" s="189"/>
      <c r="AK9" s="189"/>
      <c r="AL9" s="189"/>
      <c r="AM9" s="189"/>
      <c r="AN9" s="189"/>
      <c r="AO9" s="189"/>
      <c r="AP9" s="189"/>
      <c r="AQ9" s="189"/>
      <c r="AR9" s="189"/>
      <c r="AS9" s="189"/>
      <c r="AT9" s="189"/>
      <c r="AU9" s="189"/>
    </row>
    <row r="10" spans="1:275" ht="27.75" customHeight="1" x14ac:dyDescent="0.2">
      <c r="A10" s="485" t="s">
        <v>427</v>
      </c>
      <c r="B10" s="486"/>
      <c r="C10" s="486"/>
      <c r="D10" s="486"/>
      <c r="E10" s="486"/>
      <c r="F10" s="486"/>
      <c r="G10" s="487"/>
      <c r="H10" s="512" t="s">
        <v>428</v>
      </c>
      <c r="I10" s="513"/>
      <c r="J10" s="513"/>
      <c r="K10" s="514"/>
      <c r="L10" s="518" t="s">
        <v>429</v>
      </c>
      <c r="M10" s="519"/>
      <c r="N10" s="522" t="s">
        <v>430</v>
      </c>
      <c r="O10" s="523"/>
      <c r="P10" s="523"/>
      <c r="Q10" s="523"/>
      <c r="R10" s="523"/>
      <c r="S10" s="523"/>
      <c r="T10" s="523"/>
      <c r="U10" s="523"/>
      <c r="V10" s="486" t="s">
        <v>431</v>
      </c>
      <c r="W10" s="486"/>
      <c r="X10" s="486"/>
      <c r="Y10" s="486"/>
      <c r="Z10" s="486"/>
      <c r="AA10" s="486"/>
      <c r="AB10" s="486"/>
      <c r="AC10" s="486"/>
      <c r="AD10" s="486"/>
      <c r="AE10" s="486"/>
      <c r="AF10" s="486"/>
      <c r="AG10" s="486"/>
      <c r="AH10" s="487"/>
      <c r="AI10" s="515" t="s">
        <v>432</v>
      </c>
      <c r="AJ10" s="516"/>
      <c r="AK10" s="516"/>
      <c r="AL10" s="516"/>
      <c r="AM10" s="517"/>
      <c r="AN10" s="485" t="s">
        <v>433</v>
      </c>
      <c r="AO10" s="486"/>
      <c r="AP10" s="486"/>
      <c r="AQ10" s="486"/>
      <c r="AR10" s="487"/>
      <c r="AS10" s="512" t="s">
        <v>434</v>
      </c>
      <c r="AT10" s="513"/>
      <c r="AU10" s="51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row>
    <row r="11" spans="1:275" ht="15.75" customHeight="1" x14ac:dyDescent="0.2">
      <c r="A11" s="667" t="s">
        <v>435</v>
      </c>
      <c r="B11" s="488" t="s">
        <v>436</v>
      </c>
      <c r="C11" s="488" t="s">
        <v>437</v>
      </c>
      <c r="D11" s="488" t="s">
        <v>438</v>
      </c>
      <c r="E11" s="524" t="s">
        <v>439</v>
      </c>
      <c r="F11" s="488" t="s">
        <v>440</v>
      </c>
      <c r="G11" s="488" t="s">
        <v>571</v>
      </c>
      <c r="H11" s="500" t="s">
        <v>137</v>
      </c>
      <c r="I11" s="500" t="s">
        <v>441</v>
      </c>
      <c r="J11" s="500" t="s">
        <v>442</v>
      </c>
      <c r="K11" s="500" t="s">
        <v>443</v>
      </c>
      <c r="L11" s="518"/>
      <c r="M11" s="519"/>
      <c r="N11" s="502" t="s">
        <v>444</v>
      </c>
      <c r="O11" s="502" t="s">
        <v>445</v>
      </c>
      <c r="P11" s="508" t="s">
        <v>446</v>
      </c>
      <c r="Q11" s="502" t="s">
        <v>447</v>
      </c>
      <c r="R11" s="754" t="s">
        <v>448</v>
      </c>
      <c r="S11" s="502" t="s">
        <v>449</v>
      </c>
      <c r="T11" s="502" t="s">
        <v>446</v>
      </c>
      <c r="U11" s="502" t="s">
        <v>450</v>
      </c>
      <c r="V11" s="506" t="s">
        <v>451</v>
      </c>
      <c r="W11" s="245"/>
      <c r="X11" s="245"/>
      <c r="Y11" s="245"/>
      <c r="Z11" s="488" t="s">
        <v>31</v>
      </c>
      <c r="AA11" s="488" t="s">
        <v>33</v>
      </c>
      <c r="AB11" s="488" t="s">
        <v>452</v>
      </c>
      <c r="AC11" s="488"/>
      <c r="AD11" s="488"/>
      <c r="AE11" s="488"/>
      <c r="AF11" s="488"/>
      <c r="AG11" s="488"/>
      <c r="AH11" s="506" t="s">
        <v>453</v>
      </c>
      <c r="AI11" s="507" t="s">
        <v>454</v>
      </c>
      <c r="AJ11" s="507" t="s">
        <v>446</v>
      </c>
      <c r="AK11" s="507" t="s">
        <v>455</v>
      </c>
      <c r="AL11" s="507" t="s">
        <v>446</v>
      </c>
      <c r="AM11" s="507" t="s">
        <v>456</v>
      </c>
      <c r="AN11" s="506" t="s">
        <v>49</v>
      </c>
      <c r="AO11" s="488" t="s">
        <v>457</v>
      </c>
      <c r="AP11" s="725" t="s">
        <v>458</v>
      </c>
      <c r="AQ11" s="725" t="s">
        <v>459</v>
      </c>
      <c r="AR11" s="725" t="s">
        <v>460</v>
      </c>
      <c r="AS11" s="503" t="s">
        <v>461</v>
      </c>
      <c r="AT11" s="503" t="s">
        <v>462</v>
      </c>
      <c r="AU11" s="503" t="s">
        <v>465</v>
      </c>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row>
    <row r="12" spans="1:275" s="192" customFormat="1" ht="100.5" x14ac:dyDescent="0.25">
      <c r="A12" s="667"/>
      <c r="B12" s="499"/>
      <c r="C12" s="488"/>
      <c r="D12" s="488"/>
      <c r="E12" s="525"/>
      <c r="F12" s="499"/>
      <c r="G12" s="488"/>
      <c r="H12" s="501"/>
      <c r="I12" s="501"/>
      <c r="J12" s="501"/>
      <c r="K12" s="501"/>
      <c r="L12" s="244" t="s">
        <v>463</v>
      </c>
      <c r="M12" s="244" t="s">
        <v>464</v>
      </c>
      <c r="N12" s="502"/>
      <c r="O12" s="502"/>
      <c r="P12" s="508"/>
      <c r="Q12" s="502"/>
      <c r="R12" s="754"/>
      <c r="S12" s="502"/>
      <c r="T12" s="502"/>
      <c r="U12" s="502"/>
      <c r="V12" s="506"/>
      <c r="W12" s="243" t="s">
        <v>465</v>
      </c>
      <c r="X12" s="243" t="s">
        <v>461</v>
      </c>
      <c r="Y12" s="243" t="s">
        <v>466</v>
      </c>
      <c r="Z12" s="488"/>
      <c r="AA12" s="488"/>
      <c r="AB12" s="242" t="s">
        <v>467</v>
      </c>
      <c r="AC12" s="242" t="s">
        <v>468</v>
      </c>
      <c r="AD12" s="242" t="s">
        <v>469</v>
      </c>
      <c r="AE12" s="242" t="s">
        <v>470</v>
      </c>
      <c r="AF12" s="242" t="s">
        <v>471</v>
      </c>
      <c r="AG12" s="242" t="s">
        <v>472</v>
      </c>
      <c r="AH12" s="506"/>
      <c r="AI12" s="507"/>
      <c r="AJ12" s="507"/>
      <c r="AK12" s="507"/>
      <c r="AL12" s="507"/>
      <c r="AM12" s="507"/>
      <c r="AN12" s="506"/>
      <c r="AO12" s="488"/>
      <c r="AP12" s="725"/>
      <c r="AQ12" s="725"/>
      <c r="AR12" s="725"/>
      <c r="AS12" s="503"/>
      <c r="AT12" s="503"/>
      <c r="AU12" s="503"/>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c r="IW12" s="191"/>
      <c r="IX12" s="191"/>
      <c r="IY12" s="191"/>
      <c r="IZ12" s="191"/>
      <c r="JA12" s="191"/>
      <c r="JB12" s="191"/>
      <c r="JC12" s="191"/>
      <c r="JD12" s="191"/>
      <c r="JE12" s="191"/>
      <c r="JF12" s="191"/>
      <c r="JG12" s="191"/>
      <c r="JH12" s="191"/>
      <c r="JI12" s="191"/>
      <c r="JJ12" s="191"/>
      <c r="JK12" s="191"/>
      <c r="JL12" s="191"/>
      <c r="JM12" s="191"/>
      <c r="JN12" s="191"/>
      <c r="JO12" s="191"/>
    </row>
    <row r="13" spans="1:275" s="387" customFormat="1" ht="285" hidden="1" x14ac:dyDescent="0.25">
      <c r="A13" s="685">
        <v>1</v>
      </c>
      <c r="B13" s="744" t="s">
        <v>117</v>
      </c>
      <c r="C13" s="744" t="s">
        <v>781</v>
      </c>
      <c r="D13" s="744" t="s">
        <v>726</v>
      </c>
      <c r="E13" s="744" t="s">
        <v>727</v>
      </c>
      <c r="F13" s="753" t="str">
        <f>+CONCATENATE(B13," ",C13," ",D13)</f>
        <v>Posibilidad de afectación económica por contratar o ceder a proveedores sancionados por el Consejo de Seguridad de las Naciones Unidas o que estén incluidos en otras listas restrictivas. Debido a la no aplicación de los procesos de debida diligencia</v>
      </c>
      <c r="G13" s="744" t="s">
        <v>175</v>
      </c>
      <c r="H13" s="745" t="s">
        <v>140</v>
      </c>
      <c r="I13" s="745" t="s">
        <v>728</v>
      </c>
      <c r="J13" s="745" t="s">
        <v>729</v>
      </c>
      <c r="K13" s="745" t="s">
        <v>730</v>
      </c>
      <c r="L13" s="745" t="s">
        <v>144</v>
      </c>
      <c r="M13" s="745" t="s">
        <v>123</v>
      </c>
      <c r="N13" s="748">
        <v>500</v>
      </c>
      <c r="O13" s="749" t="str">
        <f>IF(N13&lt;=0,"",IF(N13&lt;=2,"Muy Baja",IF(N13&lt;=24,"Baja",IF(N13&lt;=500,"Media",IF(N13&lt;=5000,"Alta","Muy Alta")))))</f>
        <v>Media</v>
      </c>
      <c r="P13" s="750">
        <f>IF(O13="","",IF(O13="Muy Baja",0.2,IF(O13="Baja",0.4,IF(O13="Media",0.6,IF(O13="Alta",0.8,IF(O13="Muy Alta",1,))))))</f>
        <v>0.6</v>
      </c>
      <c r="Q13" s="751" t="s">
        <v>780</v>
      </c>
      <c r="R13" s="750" t="str">
        <f>IF(NOT(ISERROR(MATCH(Q13,'Tabla Impacto'!$B$245:$B$249,0))),'Tabla Impacto'!$F$224&amp;"Por favor no seleccionar los criterios de impacto(Reputacional, Operativo, Legal, ni Contagio)",Q13)</f>
        <v>Causado por un proveedor, colaborador o funcionario de la entidad</v>
      </c>
      <c r="S13" s="749" t="str">
        <f>IFERROR(VLOOKUP(R13,'Tabla Impacto'!F235:$I$263,2,FALSE),"")</f>
        <v/>
      </c>
      <c r="T13" s="750" t="str">
        <f>IF(S13="","",IF(S13="Leve",0.2,IF(S13="Menor",0.4,IF(S13="Moderado",0.6,IF(S13="Mayor",0.8,IF(S13="Catastrófico",1,))))))</f>
        <v/>
      </c>
      <c r="U13" s="752"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
      </c>
      <c r="V13" s="376">
        <v>1</v>
      </c>
      <c r="W13" s="377" t="s">
        <v>782</v>
      </c>
      <c r="X13" s="377" t="s">
        <v>118</v>
      </c>
      <c r="Y13" s="377" t="s">
        <v>783</v>
      </c>
      <c r="Z13" s="378" t="str">
        <f>+CONCATENATE(W13," ",X13," ",Y13)</f>
        <v>El profesional asignado por la Gerencia de Contratación Verifica 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
Evidencia: Informe de evaluación de requisitos juridicos.
En caso de que esta no este debidamente diligenciada se solicita al proponente la aclare o diligencie en su totalidad.</v>
      </c>
      <c r="AA13" s="379" t="str">
        <f t="shared" ref="AA13:AA18" si="0">IF(OR(AB13="Preventivo",AB13="Detectivo"),"Probabilidad",IF(AB13="Correctivo","Impacto",""))</f>
        <v>Probabilidad</v>
      </c>
      <c r="AB13" s="380" t="s">
        <v>475</v>
      </c>
      <c r="AC13" s="380" t="s">
        <v>476</v>
      </c>
      <c r="AD13" s="381" t="str">
        <f>IF(AND(AB13="Preventivo",AC13="Automático"),"50%",IF(AND(AB13="Preventivo",AC13="Manual"),"40%",IF(AND(AB13="Detectivo",AC13="Automático"),"40%",IF(AND(AB13="Detectivo",AC13="Manual"),"30%",IF(AND(AB13="Correctivo",AC13="Automático"),"35%",IF(AND(AB13="Correctivo",AC13="Manual"),"25%",""))))))</f>
        <v>40%</v>
      </c>
      <c r="AE13" s="380" t="s">
        <v>477</v>
      </c>
      <c r="AF13" s="380" t="s">
        <v>478</v>
      </c>
      <c r="AG13" s="380" t="s">
        <v>482</v>
      </c>
      <c r="AH13" s="382">
        <f>IFERROR(IF(AA13="Probabilidad",(P13-(+P13*AD13)),IF(AA13="Impacto",P13,"")),"")</f>
        <v>0.36</v>
      </c>
      <c r="AI13" s="383" t="str">
        <f>IFERROR(IF(AH13="","",IF(AH13&lt;=0.2,"Muy Baja",IF(AH13&lt;=0.4,"Baja",IF(AH13&lt;=0.6,"Media",IF(AH13&lt;=0.8,"Alta","Muy Alta"))))),"")</f>
        <v>Baja</v>
      </c>
      <c r="AJ13" s="381">
        <f>+AH13</f>
        <v>0.36</v>
      </c>
      <c r="AK13" s="383" t="str">
        <f>IFERROR(IF(AL13="","",IF(AL13&lt;=0.2,"Leve",IF(AL13&lt;=0.4,"Menor",IF(AL13&lt;=0.6,"Moderado",IF(AL13&lt;=0.8,"Mayor","Catastrófico"))))),"")</f>
        <v/>
      </c>
      <c r="AL13" s="381" t="str">
        <f>IFERROR(IF(AA13="Impacto",(T13-(+T13*AD13)),IF(AA13="Probabilidad",T13,"")),"")</f>
        <v/>
      </c>
      <c r="AM13" s="384"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
      </c>
      <c r="AN13" s="385"/>
      <c r="AO13" s="374" t="s">
        <v>786</v>
      </c>
      <c r="AP13" s="374" t="s">
        <v>784</v>
      </c>
      <c r="AQ13" s="374" t="s">
        <v>732</v>
      </c>
      <c r="AR13" s="386">
        <v>46022</v>
      </c>
      <c r="AS13" s="744" t="s">
        <v>785</v>
      </c>
      <c r="AT13" s="744" t="s">
        <v>733</v>
      </c>
      <c r="AU13" s="744" t="s">
        <v>787</v>
      </c>
    </row>
    <row r="14" spans="1:275" s="388" customFormat="1" ht="19.5" hidden="1" customHeight="1" x14ac:dyDescent="0.2">
      <c r="A14" s="685"/>
      <c r="B14" s="744"/>
      <c r="C14" s="744"/>
      <c r="D14" s="744"/>
      <c r="E14" s="744"/>
      <c r="F14" s="753"/>
      <c r="G14" s="744"/>
      <c r="H14" s="746"/>
      <c r="I14" s="746"/>
      <c r="J14" s="746"/>
      <c r="K14" s="746"/>
      <c r="L14" s="746"/>
      <c r="M14" s="746"/>
      <c r="N14" s="748"/>
      <c r="O14" s="749"/>
      <c r="P14" s="750"/>
      <c r="Q14" s="751"/>
      <c r="R14" s="750"/>
      <c r="S14" s="749"/>
      <c r="T14" s="750"/>
      <c r="U14" s="752"/>
      <c r="V14" s="376">
        <v>2</v>
      </c>
      <c r="W14" s="377"/>
      <c r="X14" s="376"/>
      <c r="Y14" s="376"/>
      <c r="Z14" s="378" t="str">
        <f t="shared" ref="Z14:Z72" si="1">+CONCATENATE(W14," ",X14," ",Y14)</f>
        <v xml:space="preserve">  </v>
      </c>
      <c r="AA14" s="379" t="str">
        <f t="shared" si="0"/>
        <v/>
      </c>
      <c r="AB14" s="380"/>
      <c r="AC14" s="380"/>
      <c r="AD14" s="381" t="str">
        <f t="shared" ref="AD14:AD18" si="2">IF(AND(AB14="Preventivo",AC14="Automático"),"50%",IF(AND(AB14="Preventivo",AC14="Manual"),"40%",IF(AND(AB14="Detectivo",AC14="Automático"),"40%",IF(AND(AB14="Detectivo",AC14="Manual"),"30%",IF(AND(AB14="Correctivo",AC14="Automático"),"35%",IF(AND(AB14="Correctivo",AC14="Manual"),"25%",""))))))</f>
        <v/>
      </c>
      <c r="AE14" s="380"/>
      <c r="AF14" s="380"/>
      <c r="AG14" s="380"/>
      <c r="AH14" s="382" t="str">
        <f>IFERROR(IF(AND(AA13="Probabilidad",AA14="Probabilidad"),(AJ13-(+AJ13*AD14)),IF(AA14="Probabilidad",(P13-(+P13*AD14)),IF(AA14="Impacto",AJ13,""))),"")</f>
        <v/>
      </c>
      <c r="AI14" s="383" t="str">
        <f t="shared" ref="AI14:AI72" si="3">IFERROR(IF(AH14="","",IF(AH14&lt;=0.2,"Muy Baja",IF(AH14&lt;=0.4,"Baja",IF(AH14&lt;=0.6,"Media",IF(AH14&lt;=0.8,"Alta","Muy Alta"))))),"")</f>
        <v/>
      </c>
      <c r="AJ14" s="381" t="str">
        <f t="shared" ref="AJ14:AJ18" si="4">+AH14</f>
        <v/>
      </c>
      <c r="AK14" s="383" t="str">
        <f t="shared" ref="AK14:AK72" si="5">IFERROR(IF(AL14="","",IF(AL14&lt;=0.2,"Leve",IF(AL14&lt;=0.4,"Menor",IF(AL14&lt;=0.6,"Moderado",IF(AL14&lt;=0.8,"Mayor","Catastrófico"))))),"")</f>
        <v/>
      </c>
      <c r="AL14" s="381" t="str">
        <f>IFERROR(IF(AND(AA13="Impacto",AA14="Impacto"),(AL13-(+AL13*AD14)),IF(AA14="Impacto",($T$13-(+$T$13*AD14)),IF(AA14="Probabilidad",AL13,""))),"")</f>
        <v/>
      </c>
      <c r="AM14" s="384"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385"/>
      <c r="AO14" s="374"/>
      <c r="AP14" s="375"/>
      <c r="AQ14" s="374"/>
      <c r="AR14" s="386"/>
      <c r="AS14" s="744"/>
      <c r="AT14" s="744"/>
      <c r="AU14" s="744"/>
    </row>
    <row r="15" spans="1:275" s="388" customFormat="1" hidden="1" x14ac:dyDescent="0.2">
      <c r="A15" s="685"/>
      <c r="B15" s="744"/>
      <c r="C15" s="744"/>
      <c r="D15" s="744"/>
      <c r="E15" s="744"/>
      <c r="F15" s="753"/>
      <c r="G15" s="744"/>
      <c r="H15" s="746"/>
      <c r="I15" s="746"/>
      <c r="J15" s="746"/>
      <c r="K15" s="746"/>
      <c r="L15" s="746"/>
      <c r="M15" s="746"/>
      <c r="N15" s="748"/>
      <c r="O15" s="749"/>
      <c r="P15" s="750"/>
      <c r="Q15" s="751"/>
      <c r="R15" s="750"/>
      <c r="S15" s="749"/>
      <c r="T15" s="750"/>
      <c r="U15" s="752"/>
      <c r="V15" s="376">
        <v>3</v>
      </c>
      <c r="W15" s="377"/>
      <c r="X15" s="376"/>
      <c r="Y15" s="376"/>
      <c r="Z15" s="378" t="str">
        <f t="shared" si="1"/>
        <v xml:space="preserve">  </v>
      </c>
      <c r="AA15" s="379" t="str">
        <f t="shared" si="0"/>
        <v/>
      </c>
      <c r="AB15" s="380"/>
      <c r="AC15" s="380"/>
      <c r="AD15" s="381" t="str">
        <f t="shared" si="2"/>
        <v/>
      </c>
      <c r="AE15" s="380"/>
      <c r="AF15" s="380"/>
      <c r="AG15" s="380"/>
      <c r="AH15" s="382" t="str">
        <f>IFERROR(IF(AND(AA14="Probabilidad",AA15="Probabilidad"),(AJ14-(+AJ14*AD15)),IF(AND(AA14="Impacto",AA15="Probabilidad"),(AJ13-(+AJ13*AD15)),IF(AA15="Impacto",AJ14,""))),"")</f>
        <v/>
      </c>
      <c r="AI15" s="383" t="str">
        <f t="shared" si="3"/>
        <v/>
      </c>
      <c r="AJ15" s="381" t="str">
        <f t="shared" si="4"/>
        <v/>
      </c>
      <c r="AK15" s="383" t="str">
        <f t="shared" si="5"/>
        <v/>
      </c>
      <c r="AL15" s="381" t="str">
        <f>IFERROR(IF(AND(AA14="Impacto",AA15="Impacto"),(AL14-(+AL14*AD15)),IF(AND(AA14="Probabilidad",AA15="Impacto"),(AL13-(+AL13*AD15)),IF(AA15="Probabilidad",AL14,""))),"")</f>
        <v/>
      </c>
      <c r="AM15" s="384" t="str">
        <f t="shared" si="6"/>
        <v/>
      </c>
      <c r="AN15" s="385"/>
      <c r="AO15" s="374"/>
      <c r="AP15" s="375"/>
      <c r="AQ15" s="375"/>
      <c r="AR15" s="386"/>
      <c r="AS15" s="744"/>
      <c r="AT15" s="744"/>
      <c r="AU15" s="744"/>
    </row>
    <row r="16" spans="1:275" s="388" customFormat="1" hidden="1" x14ac:dyDescent="0.2">
      <c r="A16" s="685"/>
      <c r="B16" s="744"/>
      <c r="C16" s="744"/>
      <c r="D16" s="744"/>
      <c r="E16" s="744"/>
      <c r="F16" s="753"/>
      <c r="G16" s="744"/>
      <c r="H16" s="746"/>
      <c r="I16" s="746"/>
      <c r="J16" s="746"/>
      <c r="K16" s="746"/>
      <c r="L16" s="746"/>
      <c r="M16" s="746"/>
      <c r="N16" s="748"/>
      <c r="O16" s="749"/>
      <c r="P16" s="750"/>
      <c r="Q16" s="751"/>
      <c r="R16" s="750"/>
      <c r="S16" s="749"/>
      <c r="T16" s="750"/>
      <c r="U16" s="752"/>
      <c r="V16" s="376">
        <v>4</v>
      </c>
      <c r="W16" s="377"/>
      <c r="X16" s="376"/>
      <c r="Y16" s="376"/>
      <c r="Z16" s="378" t="str">
        <f t="shared" si="1"/>
        <v xml:space="preserve">  </v>
      </c>
      <c r="AA16" s="379" t="str">
        <f t="shared" si="0"/>
        <v/>
      </c>
      <c r="AB16" s="380"/>
      <c r="AC16" s="380"/>
      <c r="AD16" s="381" t="str">
        <f t="shared" si="2"/>
        <v/>
      </c>
      <c r="AE16" s="380"/>
      <c r="AF16" s="380"/>
      <c r="AG16" s="380"/>
      <c r="AH16" s="382" t="str">
        <f t="shared" ref="AH16:AH18" si="7">IFERROR(IF(AND(AA15="Probabilidad",AA16="Probabilidad"),(AJ15-(+AJ15*AD16)),IF(AND(AA15="Impacto",AA16="Probabilidad"),(AJ14-(+AJ14*AD16)),IF(AA16="Impacto",AJ15,""))),"")</f>
        <v/>
      </c>
      <c r="AI16" s="383" t="str">
        <f t="shared" si="3"/>
        <v/>
      </c>
      <c r="AJ16" s="381" t="str">
        <f t="shared" si="4"/>
        <v/>
      </c>
      <c r="AK16" s="383" t="str">
        <f t="shared" si="5"/>
        <v/>
      </c>
      <c r="AL16" s="381" t="str">
        <f t="shared" ref="AL16:AL18" si="8">IFERROR(IF(AND(AA15="Impacto",AA16="Impacto"),(AL15-(+AL15*AD16)),IF(AND(AA15="Probabilidad",AA16="Impacto"),(AL14-(+AL14*AD16)),IF(AA16="Probabilidad",AL15,""))),"")</f>
        <v/>
      </c>
      <c r="AM16" s="384"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385"/>
      <c r="AO16" s="374"/>
      <c r="AP16" s="375"/>
      <c r="AQ16" s="375"/>
      <c r="AR16" s="386"/>
      <c r="AS16" s="744"/>
      <c r="AT16" s="744"/>
      <c r="AU16" s="744"/>
    </row>
    <row r="17" spans="1:47" s="388" customFormat="1" hidden="1" x14ac:dyDescent="0.2">
      <c r="A17" s="685"/>
      <c r="B17" s="744"/>
      <c r="C17" s="744"/>
      <c r="D17" s="744"/>
      <c r="E17" s="744"/>
      <c r="F17" s="753"/>
      <c r="G17" s="744"/>
      <c r="H17" s="746"/>
      <c r="I17" s="746"/>
      <c r="J17" s="746"/>
      <c r="K17" s="746"/>
      <c r="L17" s="746"/>
      <c r="M17" s="746"/>
      <c r="N17" s="748"/>
      <c r="O17" s="749"/>
      <c r="P17" s="750"/>
      <c r="Q17" s="751"/>
      <c r="R17" s="750"/>
      <c r="S17" s="749"/>
      <c r="T17" s="750"/>
      <c r="U17" s="752"/>
      <c r="V17" s="376">
        <v>5</v>
      </c>
      <c r="W17" s="377"/>
      <c r="X17" s="376"/>
      <c r="Y17" s="376"/>
      <c r="Z17" s="378" t="str">
        <f t="shared" si="1"/>
        <v xml:space="preserve">  </v>
      </c>
      <c r="AA17" s="379" t="str">
        <f t="shared" si="0"/>
        <v/>
      </c>
      <c r="AB17" s="380"/>
      <c r="AC17" s="380"/>
      <c r="AD17" s="381" t="str">
        <f t="shared" si="2"/>
        <v/>
      </c>
      <c r="AE17" s="380"/>
      <c r="AF17" s="380"/>
      <c r="AG17" s="380"/>
      <c r="AH17" s="382" t="str">
        <f t="shared" si="7"/>
        <v/>
      </c>
      <c r="AI17" s="383" t="str">
        <f t="shared" si="3"/>
        <v/>
      </c>
      <c r="AJ17" s="381" t="str">
        <f t="shared" si="4"/>
        <v/>
      </c>
      <c r="AK17" s="383" t="str">
        <f t="shared" si="5"/>
        <v/>
      </c>
      <c r="AL17" s="381" t="str">
        <f t="shared" si="8"/>
        <v/>
      </c>
      <c r="AM17" s="384" t="str">
        <f t="shared" si="6"/>
        <v/>
      </c>
      <c r="AN17" s="385"/>
      <c r="AO17" s="374"/>
      <c r="AP17" s="375"/>
      <c r="AQ17" s="375"/>
      <c r="AR17" s="386"/>
      <c r="AS17" s="744"/>
      <c r="AT17" s="744"/>
      <c r="AU17" s="744"/>
    </row>
    <row r="18" spans="1:47" s="388" customFormat="1" hidden="1" x14ac:dyDescent="0.2">
      <c r="A18" s="685"/>
      <c r="B18" s="744"/>
      <c r="C18" s="744"/>
      <c r="D18" s="744"/>
      <c r="E18" s="744"/>
      <c r="F18" s="753"/>
      <c r="G18" s="744"/>
      <c r="H18" s="747"/>
      <c r="I18" s="747"/>
      <c r="J18" s="747"/>
      <c r="K18" s="747"/>
      <c r="L18" s="747"/>
      <c r="M18" s="747"/>
      <c r="N18" s="748"/>
      <c r="O18" s="749"/>
      <c r="P18" s="750"/>
      <c r="Q18" s="751"/>
      <c r="R18" s="750"/>
      <c r="S18" s="749"/>
      <c r="T18" s="750"/>
      <c r="U18" s="752"/>
      <c r="V18" s="376">
        <v>6</v>
      </c>
      <c r="W18" s="377"/>
      <c r="X18" s="376"/>
      <c r="Y18" s="376"/>
      <c r="Z18" s="378" t="str">
        <f t="shared" si="1"/>
        <v xml:space="preserve">  </v>
      </c>
      <c r="AA18" s="379" t="str">
        <f t="shared" si="0"/>
        <v/>
      </c>
      <c r="AB18" s="380"/>
      <c r="AC18" s="380"/>
      <c r="AD18" s="381" t="str">
        <f t="shared" si="2"/>
        <v/>
      </c>
      <c r="AE18" s="380"/>
      <c r="AF18" s="380"/>
      <c r="AG18" s="380"/>
      <c r="AH18" s="382" t="str">
        <f t="shared" si="7"/>
        <v/>
      </c>
      <c r="AI18" s="383" t="str">
        <f t="shared" si="3"/>
        <v/>
      </c>
      <c r="AJ18" s="381" t="str">
        <f t="shared" si="4"/>
        <v/>
      </c>
      <c r="AK18" s="383" t="str">
        <f t="shared" si="5"/>
        <v/>
      </c>
      <c r="AL18" s="381" t="str">
        <f t="shared" si="8"/>
        <v/>
      </c>
      <c r="AM18" s="384" t="str">
        <f t="shared" si="6"/>
        <v/>
      </c>
      <c r="AN18" s="385"/>
      <c r="AO18" s="374"/>
      <c r="AP18" s="375"/>
      <c r="AQ18" s="375"/>
      <c r="AR18" s="386"/>
      <c r="AS18" s="744"/>
      <c r="AT18" s="744"/>
      <c r="AU18" s="744"/>
    </row>
    <row r="19" spans="1:47" ht="285" x14ac:dyDescent="0.2">
      <c r="A19" s="671">
        <v>1</v>
      </c>
      <c r="B19" s="449" t="s">
        <v>117</v>
      </c>
      <c r="C19" s="449" t="s">
        <v>781</v>
      </c>
      <c r="D19" s="449" t="s">
        <v>726</v>
      </c>
      <c r="E19" s="449" t="s">
        <v>727</v>
      </c>
      <c r="F19" s="492" t="str">
        <f>+CONCATENATE(B19," ",C19," ",D19)</f>
        <v>Posibilidad de afectación económica por contratar o ceder a proveedores sancionados por el Consejo de Seguridad de las Naciones Unidas o que estén incluidos en otras listas restrictivas. Debido a la no aplicación de los procesos de debida diligencia</v>
      </c>
      <c r="G19" s="449" t="s">
        <v>175</v>
      </c>
      <c r="H19" s="462" t="s">
        <v>140</v>
      </c>
      <c r="I19" s="462" t="s">
        <v>728</v>
      </c>
      <c r="J19" s="462" t="s">
        <v>729</v>
      </c>
      <c r="K19" s="462" t="s">
        <v>730</v>
      </c>
      <c r="L19" s="462" t="s">
        <v>144</v>
      </c>
      <c r="M19" s="462" t="s">
        <v>123</v>
      </c>
      <c r="N19" s="459">
        <v>500</v>
      </c>
      <c r="O19" s="460" t="str">
        <f>IF(N19&lt;=0,"",IF(N19&lt;=2,"Muy Baja",IF(N19&lt;=24,"Baja",IF(N19&lt;=500,"Media",IF(N19&lt;=5000,"Alta","Muy Alta")))))</f>
        <v>Media</v>
      </c>
      <c r="P19" s="461">
        <f>IF(O19="","",IF(O19="Muy Baja",0.2,IF(O19="Baja",0.4,IF(O19="Media",0.6,IF(O19="Alta",0.8,IF(O19="Muy Alta",1,))))))</f>
        <v>0.6</v>
      </c>
      <c r="Q19" s="490" t="s">
        <v>591</v>
      </c>
      <c r="R19" s="461" t="str">
        <f>IF(NOT(ISERROR(MATCH(Q19,'Tabla Impacto'!$B$245:$B$249,0))),'Tabla Impacto'!$F$224&amp;"Por favor no seleccionar los criterios de impacto(Reputacional, Operativo, Legal, ni Contagio)",Q19)</f>
        <v>Causado por un proveedor, contratista o funcionario de la entidad</v>
      </c>
      <c r="S19" s="460" t="str">
        <f>IFERROR(VLOOKUP(R19,'Tabla Impacto'!F241:$I$263,2,FALSE),"")</f>
        <v>Moderado</v>
      </c>
      <c r="T19" s="461">
        <f>IF(S19="","",IF(S19="Leve",0.2,IF(S19="Menor",0.4,IF(S19="Moderado",0.6,IF(S19="Mayor",0.8,IF(S19="Catastrófico",1,))))))</f>
        <v>0.6</v>
      </c>
      <c r="U19" s="489"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Moderado</v>
      </c>
      <c r="V19" s="193">
        <v>1</v>
      </c>
      <c r="W19" s="238" t="s">
        <v>782</v>
      </c>
      <c r="X19" s="238" t="s">
        <v>118</v>
      </c>
      <c r="Y19" s="238" t="s">
        <v>783</v>
      </c>
      <c r="Z19" s="218" t="str">
        <f t="shared" si="1"/>
        <v>El profesional asignado por la Gerencia de Contratación Verifica cada vez que se reciben propuestas que la carta de presentación de oferta cumpla con los requisitos relacionados en esta, evidenciando que los bienes y recursos destinados para suplir la necesidad de la entidad, son de origen licito; así como, la composición accionaria de la persona jurídica o de los integrantes del proponente plural.
Evidencia: Informe de evaluación de requisitos juridicos.
En caso de que esta no este debidamente diligenciada se solicita al proponente la aclare o diligencie en su totalidad.</v>
      </c>
      <c r="AA19" s="170" t="str">
        <f>IF(OR(AB19="Preventivo",AB19="Detectivo"),"Probabilidad",IF(AB19="Correctivo","Impacto",""))</f>
        <v>Probabilidad</v>
      </c>
      <c r="AB19" s="171" t="s">
        <v>475</v>
      </c>
      <c r="AC19" s="171" t="s">
        <v>476</v>
      </c>
      <c r="AD19" s="172" t="str">
        <f>IF(AND(AB19="Preventivo",AC19="Automático"),"50%",IF(AND(AB19="Preventivo",AC19="Manual"),"40%",IF(AND(AB19="Detectivo",AC19="Automático"),"40%",IF(AND(AB19="Detectivo",AC19="Manual"),"30%",IF(AND(AB19="Correctivo",AC19="Automático"),"35%",IF(AND(AB19="Correctivo",AC19="Manual"),"25%",""))))))</f>
        <v>40%</v>
      </c>
      <c r="AE19" s="171" t="s">
        <v>477</v>
      </c>
      <c r="AF19" s="171" t="s">
        <v>478</v>
      </c>
      <c r="AG19" s="171" t="s">
        <v>482</v>
      </c>
      <c r="AH19" s="173">
        <f>IFERROR(IF(AA19="Probabilidad",(P19-(+P19*AD19)),IF(AA19="Impacto",P19,"")),"")</f>
        <v>0.36</v>
      </c>
      <c r="AI19" s="174" t="str">
        <f>IFERROR(IF(AH19="","",IF(AH19&lt;=0.2,"Muy Baja",IF(AH19&lt;=0.4,"Baja",IF(AH19&lt;=0.6,"Media",IF(AH19&lt;=0.8,"Alta","Muy Alta"))))),"")</f>
        <v>Baja</v>
      </c>
      <c r="AJ19" s="172">
        <f>+AH19</f>
        <v>0.36</v>
      </c>
      <c r="AK19" s="174" t="str">
        <f>IFERROR(IF(AL19="","",IF(AL19&lt;=0.2,"Leve",IF(AL19&lt;=0.4,"Menor",IF(AL19&lt;=0.6,"Moderado",IF(AL19&lt;=0.8,"Mayor","Catastrófico"))))),"")</f>
        <v>Moderado</v>
      </c>
      <c r="AL19" s="172">
        <f t="shared" ref="AL19" si="9">IFERROR(IF(AA19="Impacto",(T19-(+T19*AD19)),IF(AA19="Probabilidad",T19,"")),"")</f>
        <v>0.6</v>
      </c>
      <c r="AM19" s="175"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Moderado</v>
      </c>
      <c r="AN19" s="176" t="s">
        <v>124</v>
      </c>
      <c r="AO19" s="169" t="s">
        <v>786</v>
      </c>
      <c r="AP19" s="169" t="s">
        <v>784</v>
      </c>
      <c r="AQ19" s="169" t="s">
        <v>732</v>
      </c>
      <c r="AR19" s="178">
        <v>46022</v>
      </c>
      <c r="AS19" s="449" t="s">
        <v>785</v>
      </c>
      <c r="AT19" s="449" t="s">
        <v>733</v>
      </c>
      <c r="AU19" s="449" t="s">
        <v>787</v>
      </c>
    </row>
    <row r="20" spans="1:47" x14ac:dyDescent="0.2">
      <c r="A20" s="671"/>
      <c r="B20" s="449"/>
      <c r="C20" s="449"/>
      <c r="D20" s="449"/>
      <c r="E20" s="449"/>
      <c r="F20" s="492"/>
      <c r="G20" s="449"/>
      <c r="H20" s="463"/>
      <c r="I20" s="463"/>
      <c r="J20" s="463"/>
      <c r="K20" s="463"/>
      <c r="L20" s="463"/>
      <c r="M20" s="463"/>
      <c r="N20" s="459"/>
      <c r="O20" s="460"/>
      <c r="P20" s="461"/>
      <c r="Q20" s="490"/>
      <c r="R20" s="461"/>
      <c r="S20" s="460"/>
      <c r="T20" s="461"/>
      <c r="U20" s="489"/>
      <c r="V20" s="193">
        <v>2</v>
      </c>
      <c r="W20" s="238"/>
      <c r="X20" s="193"/>
      <c r="Y20" s="193"/>
      <c r="Z20" s="218" t="str">
        <f t="shared" si="1"/>
        <v xml:space="preserve">  </v>
      </c>
      <c r="AA20" s="170" t="str">
        <f>IF(OR(AB20="Preventivo",AB20="Detectivo"),"Probabilidad",IF(AB20="Correctivo","Impacto",""))</f>
        <v/>
      </c>
      <c r="AB20" s="171"/>
      <c r="AC20" s="171"/>
      <c r="AD20" s="172" t="str">
        <f t="shared" ref="AD20:AD24" si="10">IF(AND(AB20="Preventivo",AC20="Automático"),"50%",IF(AND(AB20="Preventivo",AC20="Manual"),"40%",IF(AND(AB20="Detectivo",AC20="Automático"),"40%",IF(AND(AB20="Detectivo",AC20="Manual"),"30%",IF(AND(AB20="Correctivo",AC20="Automático"),"35%",IF(AND(AB20="Correctivo",AC20="Manual"),"25%",""))))))</f>
        <v/>
      </c>
      <c r="AE20" s="171"/>
      <c r="AF20" s="171"/>
      <c r="AG20" s="171"/>
      <c r="AH20" s="173" t="str">
        <f>IFERROR(IF(AND(AA19="Probabilidad",AA20="Probabilidad"),(AJ19-(+AJ19*AD20)),IF(AA20="Probabilidad",(P19-(+P19*AD20)),IF(AA20="Impacto",AJ19,""))),"")</f>
        <v/>
      </c>
      <c r="AI20" s="174" t="str">
        <f t="shared" si="3"/>
        <v/>
      </c>
      <c r="AJ20" s="172" t="str">
        <f t="shared" ref="AJ20:AJ24" si="11">+AH20</f>
        <v/>
      </c>
      <c r="AK20" s="174" t="str">
        <f t="shared" si="5"/>
        <v/>
      </c>
      <c r="AL20" s="172" t="str">
        <f t="shared" ref="AL20" si="12">IFERROR(IF(AND(AA19="Impacto",AA20="Impacto"),(AL19-(+AL19*AD20)),IF(AA20="Impacto",($T$13-(+$T$13*AD20)),IF(AA20="Probabilidad",AL19,""))),"")</f>
        <v/>
      </c>
      <c r="AM20" s="175" t="str">
        <f t="shared" ref="AM20:AM21" si="13">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76"/>
      <c r="AO20" s="169"/>
      <c r="AP20" s="177"/>
      <c r="AQ20" s="169"/>
      <c r="AR20" s="178"/>
      <c r="AS20" s="449"/>
      <c r="AT20" s="449"/>
      <c r="AU20" s="449"/>
    </row>
    <row r="21" spans="1:47" x14ac:dyDescent="0.2">
      <c r="A21" s="671"/>
      <c r="B21" s="449"/>
      <c r="C21" s="449"/>
      <c r="D21" s="449"/>
      <c r="E21" s="449"/>
      <c r="F21" s="492"/>
      <c r="G21" s="449"/>
      <c r="H21" s="463"/>
      <c r="I21" s="463"/>
      <c r="J21" s="463"/>
      <c r="K21" s="463"/>
      <c r="L21" s="463"/>
      <c r="M21" s="463"/>
      <c r="N21" s="459"/>
      <c r="O21" s="460"/>
      <c r="P21" s="461"/>
      <c r="Q21" s="490"/>
      <c r="R21" s="461"/>
      <c r="S21" s="460"/>
      <c r="T21" s="461"/>
      <c r="U21" s="489"/>
      <c r="V21" s="193">
        <v>3</v>
      </c>
      <c r="W21" s="238"/>
      <c r="X21" s="193"/>
      <c r="Y21" s="193"/>
      <c r="Z21" s="218" t="str">
        <f t="shared" si="1"/>
        <v xml:space="preserve">  </v>
      </c>
      <c r="AA21" s="170" t="str">
        <f>IF(OR(AB21="Preventivo",AB21="Detectivo"),"Probabilidad",IF(AB21="Correctivo","Impacto",""))</f>
        <v/>
      </c>
      <c r="AB21" s="171"/>
      <c r="AC21" s="171"/>
      <c r="AD21" s="172" t="str">
        <f t="shared" si="10"/>
        <v/>
      </c>
      <c r="AE21" s="171"/>
      <c r="AF21" s="171"/>
      <c r="AG21" s="171"/>
      <c r="AH21" s="173" t="str">
        <f>IFERROR(IF(AND(AA20="Probabilidad",AA21="Probabilidad"),(AJ20-(+AJ20*AD21)),IF(AND(AA20="Impacto",AA21="Probabilidad"),(AJ19-(+AJ19*AD21)),IF(AA21="Impacto",AJ20,""))),"")</f>
        <v/>
      </c>
      <c r="AI21" s="174" t="str">
        <f t="shared" si="3"/>
        <v/>
      </c>
      <c r="AJ21" s="172" t="str">
        <f t="shared" si="11"/>
        <v/>
      </c>
      <c r="AK21" s="174" t="str">
        <f t="shared" si="5"/>
        <v/>
      </c>
      <c r="AL21" s="172" t="str">
        <f t="shared" ref="AL21:AL72" si="14">IFERROR(IF(AND(AA20="Impacto",AA21="Impacto"),(AL20-(+AL20*AD21)),IF(AND(AA20="Probabilidad",AA21="Impacto"),(AL19-(+AL19*AD21)),IF(AA21="Probabilidad",AL20,""))),"")</f>
        <v/>
      </c>
      <c r="AM21" s="175" t="str">
        <f t="shared" si="13"/>
        <v/>
      </c>
      <c r="AN21" s="176"/>
      <c r="AO21" s="169"/>
      <c r="AP21" s="177"/>
      <c r="AQ21" s="177"/>
      <c r="AR21" s="178"/>
      <c r="AS21" s="449"/>
      <c r="AT21" s="449"/>
      <c r="AU21" s="449"/>
    </row>
    <row r="22" spans="1:47" x14ac:dyDescent="0.2">
      <c r="A22" s="671"/>
      <c r="B22" s="449"/>
      <c r="C22" s="449"/>
      <c r="D22" s="449"/>
      <c r="E22" s="449"/>
      <c r="F22" s="492"/>
      <c r="G22" s="449"/>
      <c r="H22" s="463"/>
      <c r="I22" s="463"/>
      <c r="J22" s="463"/>
      <c r="K22" s="463"/>
      <c r="L22" s="463"/>
      <c r="M22" s="463"/>
      <c r="N22" s="459"/>
      <c r="O22" s="460"/>
      <c r="P22" s="461"/>
      <c r="Q22" s="490"/>
      <c r="R22" s="461"/>
      <c r="S22" s="460"/>
      <c r="T22" s="461"/>
      <c r="U22" s="489"/>
      <c r="V22" s="193">
        <v>4</v>
      </c>
      <c r="W22" s="238"/>
      <c r="X22" s="193"/>
      <c r="Y22" s="193"/>
      <c r="Z22" s="218" t="str">
        <f t="shared" si="1"/>
        <v xml:space="preserve">  </v>
      </c>
      <c r="AA22" s="170" t="str">
        <f t="shared" ref="AA22:AA24" si="15">IF(OR(AB22="Preventivo",AB22="Detectivo"),"Probabilidad",IF(AB22="Correctivo","Impacto",""))</f>
        <v/>
      </c>
      <c r="AB22" s="171"/>
      <c r="AC22" s="171"/>
      <c r="AD22" s="172" t="str">
        <f t="shared" si="10"/>
        <v/>
      </c>
      <c r="AE22" s="171"/>
      <c r="AF22" s="171"/>
      <c r="AG22" s="171"/>
      <c r="AH22" s="173" t="str">
        <f t="shared" ref="AH22:AH24" si="16">IFERROR(IF(AND(AA21="Probabilidad",AA22="Probabilidad"),(AJ21-(+AJ21*AD22)),IF(AND(AA21="Impacto",AA22="Probabilidad"),(AJ20-(+AJ20*AD22)),IF(AA22="Impacto",AJ21,""))),"")</f>
        <v/>
      </c>
      <c r="AI22" s="174" t="str">
        <f t="shared" si="3"/>
        <v/>
      </c>
      <c r="AJ22" s="172" t="str">
        <f t="shared" si="11"/>
        <v/>
      </c>
      <c r="AK22" s="174" t="str">
        <f t="shared" si="5"/>
        <v/>
      </c>
      <c r="AL22" s="172" t="str">
        <f t="shared" si="14"/>
        <v/>
      </c>
      <c r="AM22" s="175"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76"/>
      <c r="AO22" s="169"/>
      <c r="AP22" s="177"/>
      <c r="AQ22" s="177"/>
      <c r="AR22" s="178"/>
      <c r="AS22" s="449"/>
      <c r="AT22" s="449"/>
      <c r="AU22" s="449"/>
    </row>
    <row r="23" spans="1:47" x14ac:dyDescent="0.2">
      <c r="A23" s="671"/>
      <c r="B23" s="449"/>
      <c r="C23" s="449"/>
      <c r="D23" s="449"/>
      <c r="E23" s="449"/>
      <c r="F23" s="492"/>
      <c r="G23" s="449"/>
      <c r="H23" s="463"/>
      <c r="I23" s="463"/>
      <c r="J23" s="463"/>
      <c r="K23" s="463"/>
      <c r="L23" s="463"/>
      <c r="M23" s="463"/>
      <c r="N23" s="459"/>
      <c r="O23" s="460"/>
      <c r="P23" s="461"/>
      <c r="Q23" s="490"/>
      <c r="R23" s="461"/>
      <c r="S23" s="460"/>
      <c r="T23" s="461"/>
      <c r="U23" s="489"/>
      <c r="V23" s="193">
        <v>5</v>
      </c>
      <c r="W23" s="238"/>
      <c r="X23" s="193"/>
      <c r="Y23" s="193"/>
      <c r="Z23" s="218" t="str">
        <f t="shared" si="1"/>
        <v xml:space="preserve">  </v>
      </c>
      <c r="AA23" s="170" t="str">
        <f t="shared" si="15"/>
        <v/>
      </c>
      <c r="AB23" s="171"/>
      <c r="AC23" s="171"/>
      <c r="AD23" s="172" t="str">
        <f t="shared" si="10"/>
        <v/>
      </c>
      <c r="AE23" s="171"/>
      <c r="AF23" s="171"/>
      <c r="AG23" s="171"/>
      <c r="AH23" s="173" t="str">
        <f t="shared" si="16"/>
        <v/>
      </c>
      <c r="AI23" s="174" t="str">
        <f t="shared" si="3"/>
        <v/>
      </c>
      <c r="AJ23" s="172" t="str">
        <f t="shared" si="11"/>
        <v/>
      </c>
      <c r="AK23" s="174" t="str">
        <f t="shared" si="5"/>
        <v/>
      </c>
      <c r="AL23" s="172" t="str">
        <f t="shared" si="14"/>
        <v/>
      </c>
      <c r="AM23" s="175" t="str">
        <f t="shared" ref="AM23:AM24" si="17">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76"/>
      <c r="AO23" s="169"/>
      <c r="AP23" s="177"/>
      <c r="AQ23" s="177"/>
      <c r="AR23" s="178"/>
      <c r="AS23" s="449"/>
      <c r="AT23" s="449"/>
      <c r="AU23" s="449"/>
    </row>
    <row r="24" spans="1:47" x14ac:dyDescent="0.2">
      <c r="A24" s="671"/>
      <c r="B24" s="449"/>
      <c r="C24" s="449"/>
      <c r="D24" s="449"/>
      <c r="E24" s="449"/>
      <c r="F24" s="492"/>
      <c r="G24" s="449"/>
      <c r="H24" s="491"/>
      <c r="I24" s="491"/>
      <c r="J24" s="491"/>
      <c r="K24" s="491"/>
      <c r="L24" s="491"/>
      <c r="M24" s="491"/>
      <c r="N24" s="459"/>
      <c r="O24" s="460"/>
      <c r="P24" s="461"/>
      <c r="Q24" s="490"/>
      <c r="R24" s="461"/>
      <c r="S24" s="460"/>
      <c r="T24" s="461"/>
      <c r="U24" s="489"/>
      <c r="V24" s="193">
        <v>6</v>
      </c>
      <c r="W24" s="193"/>
      <c r="X24" s="193"/>
      <c r="Y24" s="193"/>
      <c r="Z24" s="218" t="str">
        <f t="shared" si="1"/>
        <v xml:space="preserve">  </v>
      </c>
      <c r="AA24" s="170" t="str">
        <f t="shared" si="15"/>
        <v/>
      </c>
      <c r="AB24" s="171"/>
      <c r="AC24" s="171"/>
      <c r="AD24" s="172" t="str">
        <f t="shared" si="10"/>
        <v/>
      </c>
      <c r="AE24" s="171"/>
      <c r="AF24" s="171"/>
      <c r="AG24" s="171"/>
      <c r="AH24" s="173" t="str">
        <f t="shared" si="16"/>
        <v/>
      </c>
      <c r="AI24" s="174" t="str">
        <f t="shared" si="3"/>
        <v/>
      </c>
      <c r="AJ24" s="172" t="str">
        <f t="shared" si="11"/>
        <v/>
      </c>
      <c r="AK24" s="174" t="str">
        <f t="shared" si="5"/>
        <v/>
      </c>
      <c r="AL24" s="172" t="str">
        <f t="shared" si="14"/>
        <v/>
      </c>
      <c r="AM24" s="175" t="str">
        <f t="shared" si="17"/>
        <v/>
      </c>
      <c r="AN24" s="176"/>
      <c r="AO24" s="169"/>
      <c r="AP24" s="177"/>
      <c r="AQ24" s="177"/>
      <c r="AR24" s="178"/>
      <c r="AS24" s="449"/>
      <c r="AT24" s="449"/>
      <c r="AU24" s="449"/>
    </row>
    <row r="25" spans="1:47" x14ac:dyDescent="0.2">
      <c r="A25" s="671">
        <v>3</v>
      </c>
      <c r="B25" s="449"/>
      <c r="C25" s="449"/>
      <c r="D25" s="449"/>
      <c r="E25" s="449"/>
      <c r="F25" s="492" t="str">
        <f t="shared" ref="F25" si="18">+CONCATENATE(B25," ",C25," ",D25)</f>
        <v xml:space="preserve">  </v>
      </c>
      <c r="G25" s="449"/>
      <c r="H25" s="462"/>
      <c r="I25" s="462"/>
      <c r="J25" s="462"/>
      <c r="K25" s="462"/>
      <c r="L25" s="462"/>
      <c r="M25" s="462"/>
      <c r="N25" s="459"/>
      <c r="O25" s="460" t="str">
        <f>IF(N25&lt;=0,"",IF(N25&lt;=2,"Muy Baja",IF(N25&lt;=24,"Baja",IF(N25&lt;=500,"Media",IF(N25&lt;=5000,"Alta","Muy Alta")))))</f>
        <v/>
      </c>
      <c r="P25" s="461" t="str">
        <f>IF(O25="","",IF(O25="Muy Baja",0.2,IF(O25="Baja",0.4,IF(O25="Media",0.6,IF(O25="Alta",0.8,IF(O25="Muy Alta",1,))))))</f>
        <v/>
      </c>
      <c r="Q25" s="490"/>
      <c r="R25" s="461">
        <f>IF(NOT(ISERROR(MATCH(Q25,'Tabla Impacto'!$B$245:$B$249,0))),'Tabla Impacto'!$F$224&amp;"Por favor no seleccionar los criterios de impacto(Reputacional, Operativo, Legal, ni Contagio)",Q25)</f>
        <v>0</v>
      </c>
      <c r="S25" s="460" t="str">
        <f>IF(OR(R25='Tabla Impacto'!$C$12,R25='Tabla Impacto'!$D$12),"Leve",IF(OR(R25='Tabla Impacto'!$C$13,R25='Tabla Impacto'!$D$13),"Menor",IF(OR(R25='Tabla Impacto'!$C$14,R25='Tabla Impacto'!$D$14),"Moderado",IF(OR(R25='Tabla Impacto'!$C$15,R25='Tabla Impacto'!$D$15),"Mayor",IF(OR(R25='Tabla Impacto'!$C$16,R25='Tabla Impacto'!$D$16),"Catastrófico","")))))</f>
        <v/>
      </c>
      <c r="T25" s="461" t="str">
        <f>IF(S25="","",IF(S25="Leve",0.2,IF(S25="Menor",0.4,IF(S25="Moderado",0.6,IF(S25="Mayor",0.8,IF(S25="Catastrófico",1,))))))</f>
        <v/>
      </c>
      <c r="U25" s="489"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3">
        <v>1</v>
      </c>
      <c r="W25" s="193"/>
      <c r="X25" s="193"/>
      <c r="Y25" s="193"/>
      <c r="Z25" s="218" t="str">
        <f t="shared" si="1"/>
        <v xml:space="preserve">  </v>
      </c>
      <c r="AA25" s="170" t="str">
        <f>IF(OR(AB25="Preventivo",AB25="Detectivo"),"Probabilidad",IF(AB25="Correctivo","Impacto",""))</f>
        <v/>
      </c>
      <c r="AB25" s="171"/>
      <c r="AC25" s="171"/>
      <c r="AD25" s="172" t="str">
        <f>IF(AND(AB25="Preventivo",AC25="Automático"),"50%",IF(AND(AB25="Preventivo",AC25="Manual"),"40%",IF(AND(AB25="Detectivo",AC25="Automático"),"40%",IF(AND(AB25="Detectivo",AC25="Manual"),"30%",IF(AND(AB25="Correctivo",AC25="Automático"),"35%",IF(AND(AB25="Correctivo",AC25="Manual"),"25%",""))))))</f>
        <v/>
      </c>
      <c r="AE25" s="171"/>
      <c r="AF25" s="171"/>
      <c r="AG25" s="171"/>
      <c r="AH25" s="173" t="str">
        <f>IFERROR(IF(AA25="Probabilidad",(P25-(+P25*AD25)),IF(AA25="Impacto",P25,"")),"")</f>
        <v/>
      </c>
      <c r="AI25" s="174" t="str">
        <f>IFERROR(IF(AH25="","",IF(AH25&lt;=0.2,"Muy Baja",IF(AH25&lt;=0.4,"Baja",IF(AH25&lt;=0.6,"Media",IF(AH25&lt;=0.8,"Alta","Muy Alta"))))),"")</f>
        <v/>
      </c>
      <c r="AJ25" s="172" t="str">
        <f>+AH25</f>
        <v/>
      </c>
      <c r="AK25" s="174" t="str">
        <f>IFERROR(IF(AL25="","",IF(AL25&lt;=0.2,"Leve",IF(AL25&lt;=0.4,"Menor",IF(AL25&lt;=0.6,"Moderado",IF(AL25&lt;=0.8,"Mayor","Catastrófico"))))),"")</f>
        <v/>
      </c>
      <c r="AL25" s="172" t="str">
        <f t="shared" ref="AL25" si="19">IFERROR(IF(AA25="Impacto",(T25-(+T25*AD25)),IF(AA25="Probabilidad",T25,"")),"")</f>
        <v/>
      </c>
      <c r="AM25" s="175"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76"/>
      <c r="AO25" s="169"/>
      <c r="AP25" s="177"/>
      <c r="AQ25" s="177"/>
      <c r="AR25" s="178"/>
      <c r="AS25" s="459"/>
      <c r="AT25" s="459"/>
      <c r="AU25" s="459"/>
    </row>
    <row r="26" spans="1:47" x14ac:dyDescent="0.2">
      <c r="A26" s="671"/>
      <c r="B26" s="449"/>
      <c r="C26" s="449"/>
      <c r="D26" s="449"/>
      <c r="E26" s="449"/>
      <c r="F26" s="492"/>
      <c r="G26" s="449"/>
      <c r="H26" s="463"/>
      <c r="I26" s="463"/>
      <c r="J26" s="463"/>
      <c r="K26" s="463"/>
      <c r="L26" s="463"/>
      <c r="M26" s="463"/>
      <c r="N26" s="459"/>
      <c r="O26" s="460"/>
      <c r="P26" s="461"/>
      <c r="Q26" s="490"/>
      <c r="R26" s="461"/>
      <c r="S26" s="460"/>
      <c r="T26" s="461"/>
      <c r="U26" s="489"/>
      <c r="V26" s="193">
        <v>2</v>
      </c>
      <c r="W26" s="193"/>
      <c r="X26" s="193"/>
      <c r="Y26" s="193"/>
      <c r="Z26" s="218" t="str">
        <f t="shared" si="1"/>
        <v xml:space="preserve">  </v>
      </c>
      <c r="AA26" s="170" t="str">
        <f>IF(OR(AB26="Preventivo",AB26="Detectivo"),"Probabilidad",IF(AB26="Correctivo","Impacto",""))</f>
        <v/>
      </c>
      <c r="AB26" s="171"/>
      <c r="AC26" s="171"/>
      <c r="AD26" s="172" t="str">
        <f t="shared" ref="AD26:AD30" si="20">IF(AND(AB26="Preventivo",AC26="Automático"),"50%",IF(AND(AB26="Preventivo",AC26="Manual"),"40%",IF(AND(AB26="Detectivo",AC26="Automático"),"40%",IF(AND(AB26="Detectivo",AC26="Manual"),"30%",IF(AND(AB26="Correctivo",AC26="Automático"),"35%",IF(AND(AB26="Correctivo",AC26="Manual"),"25%",""))))))</f>
        <v/>
      </c>
      <c r="AE26" s="171"/>
      <c r="AF26" s="171"/>
      <c r="AG26" s="171"/>
      <c r="AH26" s="173" t="str">
        <f>IFERROR(IF(AND(AA25="Probabilidad",AA26="Probabilidad"),(AJ25-(+AJ25*AD26)),IF(AA26="Probabilidad",(P25-(+P25*AD26)),IF(AA26="Impacto",AJ25,""))),"")</f>
        <v/>
      </c>
      <c r="AI26" s="174" t="str">
        <f t="shared" si="3"/>
        <v/>
      </c>
      <c r="AJ26" s="172" t="str">
        <f t="shared" ref="AJ26:AJ30" si="21">+AH26</f>
        <v/>
      </c>
      <c r="AK26" s="174" t="str">
        <f t="shared" si="5"/>
        <v/>
      </c>
      <c r="AL26" s="172" t="str">
        <f t="shared" ref="AL26" si="22">IFERROR(IF(AND(AA25="Impacto",AA26="Impacto"),(AL25-(+AL25*AD26)),IF(AA26="Impacto",($T$13-(+$T$13*AD26)),IF(AA26="Probabilidad",AL25,""))),"")</f>
        <v/>
      </c>
      <c r="AM26" s="175" t="str">
        <f t="shared" ref="AM26:AM27" si="23">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76"/>
      <c r="AO26" s="169"/>
      <c r="AP26" s="177"/>
      <c r="AQ26" s="177"/>
      <c r="AR26" s="178"/>
      <c r="AS26" s="459"/>
      <c r="AT26" s="459"/>
      <c r="AU26" s="459"/>
    </row>
    <row r="27" spans="1:47" x14ac:dyDescent="0.2">
      <c r="A27" s="671"/>
      <c r="B27" s="449"/>
      <c r="C27" s="449"/>
      <c r="D27" s="449"/>
      <c r="E27" s="449"/>
      <c r="F27" s="492"/>
      <c r="G27" s="449"/>
      <c r="H27" s="463"/>
      <c r="I27" s="463"/>
      <c r="J27" s="463"/>
      <c r="K27" s="463"/>
      <c r="L27" s="463"/>
      <c r="M27" s="463"/>
      <c r="N27" s="459"/>
      <c r="O27" s="460"/>
      <c r="P27" s="461"/>
      <c r="Q27" s="490"/>
      <c r="R27" s="461"/>
      <c r="S27" s="460"/>
      <c r="T27" s="461"/>
      <c r="U27" s="489"/>
      <c r="V27" s="193">
        <v>3</v>
      </c>
      <c r="W27" s="193"/>
      <c r="X27" s="193"/>
      <c r="Y27" s="193"/>
      <c r="Z27" s="218" t="str">
        <f t="shared" si="1"/>
        <v xml:space="preserve">  </v>
      </c>
      <c r="AA27" s="170" t="str">
        <f>IF(OR(AB27="Preventivo",AB27="Detectivo"),"Probabilidad",IF(AB27="Correctivo","Impacto",""))</f>
        <v/>
      </c>
      <c r="AB27" s="171"/>
      <c r="AC27" s="171"/>
      <c r="AD27" s="172" t="str">
        <f t="shared" si="20"/>
        <v/>
      </c>
      <c r="AE27" s="171"/>
      <c r="AF27" s="171"/>
      <c r="AG27" s="171"/>
      <c r="AH27" s="173" t="str">
        <f>IFERROR(IF(AND(AA26="Probabilidad",AA27="Probabilidad"),(AJ26-(+AJ26*AD27)),IF(AND(AA26="Impacto",AA27="Probabilidad"),(AJ25-(+AJ25*AD27)),IF(AA27="Impacto",AJ26,""))),"")</f>
        <v/>
      </c>
      <c r="AI27" s="174" t="str">
        <f t="shared" si="3"/>
        <v/>
      </c>
      <c r="AJ27" s="172" t="str">
        <f t="shared" si="21"/>
        <v/>
      </c>
      <c r="AK27" s="174" t="str">
        <f t="shared" si="5"/>
        <v/>
      </c>
      <c r="AL27" s="172" t="str">
        <f t="shared" ref="AL27" si="24">IFERROR(IF(AND(AA26="Impacto",AA27="Impacto"),(AL26-(+AL26*AD27)),IF(AND(AA26="Probabilidad",AA27="Impacto"),(AL25-(+AL25*AD27)),IF(AA27="Probabilidad",AL26,""))),"")</f>
        <v/>
      </c>
      <c r="AM27" s="175" t="str">
        <f t="shared" si="23"/>
        <v/>
      </c>
      <c r="AN27" s="176"/>
      <c r="AO27" s="169"/>
      <c r="AP27" s="177"/>
      <c r="AQ27" s="177"/>
      <c r="AR27" s="178"/>
      <c r="AS27" s="459"/>
      <c r="AT27" s="459"/>
      <c r="AU27" s="459"/>
    </row>
    <row r="28" spans="1:47" x14ac:dyDescent="0.2">
      <c r="A28" s="671"/>
      <c r="B28" s="449"/>
      <c r="C28" s="449"/>
      <c r="D28" s="449"/>
      <c r="E28" s="449"/>
      <c r="F28" s="492"/>
      <c r="G28" s="449"/>
      <c r="H28" s="463"/>
      <c r="I28" s="463"/>
      <c r="J28" s="463"/>
      <c r="K28" s="463"/>
      <c r="L28" s="463"/>
      <c r="M28" s="463"/>
      <c r="N28" s="459"/>
      <c r="O28" s="460"/>
      <c r="P28" s="461"/>
      <c r="Q28" s="490"/>
      <c r="R28" s="461"/>
      <c r="S28" s="460"/>
      <c r="T28" s="461"/>
      <c r="U28" s="489"/>
      <c r="V28" s="193">
        <v>4</v>
      </c>
      <c r="W28" s="193"/>
      <c r="X28" s="193"/>
      <c r="Y28" s="193"/>
      <c r="Z28" s="218" t="str">
        <f t="shared" si="1"/>
        <v xml:space="preserve">  </v>
      </c>
      <c r="AA28" s="170" t="str">
        <f t="shared" ref="AA28:AA30" si="25">IF(OR(AB28="Preventivo",AB28="Detectivo"),"Probabilidad",IF(AB28="Correctivo","Impacto",""))</f>
        <v/>
      </c>
      <c r="AB28" s="171"/>
      <c r="AC28" s="171"/>
      <c r="AD28" s="172" t="str">
        <f t="shared" si="20"/>
        <v/>
      </c>
      <c r="AE28" s="171"/>
      <c r="AF28" s="171"/>
      <c r="AG28" s="171"/>
      <c r="AH28" s="173" t="str">
        <f t="shared" ref="AH28:AH30" si="26">IFERROR(IF(AND(AA27="Probabilidad",AA28="Probabilidad"),(AJ27-(+AJ27*AD28)),IF(AND(AA27="Impacto",AA28="Probabilidad"),(AJ26-(+AJ26*AD28)),IF(AA28="Impacto",AJ27,""))),"")</f>
        <v/>
      </c>
      <c r="AI28" s="174" t="str">
        <f t="shared" si="3"/>
        <v/>
      </c>
      <c r="AJ28" s="172" t="str">
        <f t="shared" si="21"/>
        <v/>
      </c>
      <c r="AK28" s="174" t="str">
        <f t="shared" si="5"/>
        <v/>
      </c>
      <c r="AL28" s="172" t="str">
        <f t="shared" si="14"/>
        <v/>
      </c>
      <c r="AM28" s="175"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76"/>
      <c r="AO28" s="169"/>
      <c r="AP28" s="177"/>
      <c r="AQ28" s="177"/>
      <c r="AR28" s="178"/>
      <c r="AS28" s="459"/>
      <c r="AT28" s="459"/>
      <c r="AU28" s="459"/>
    </row>
    <row r="29" spans="1:47" x14ac:dyDescent="0.2">
      <c r="A29" s="671"/>
      <c r="B29" s="449"/>
      <c r="C29" s="449"/>
      <c r="D29" s="449"/>
      <c r="E29" s="449"/>
      <c r="F29" s="492"/>
      <c r="G29" s="449"/>
      <c r="H29" s="463"/>
      <c r="I29" s="463"/>
      <c r="J29" s="463"/>
      <c r="K29" s="463"/>
      <c r="L29" s="463"/>
      <c r="M29" s="463"/>
      <c r="N29" s="459"/>
      <c r="O29" s="460"/>
      <c r="P29" s="461"/>
      <c r="Q29" s="490"/>
      <c r="R29" s="461"/>
      <c r="S29" s="460"/>
      <c r="T29" s="461"/>
      <c r="U29" s="489"/>
      <c r="V29" s="193">
        <v>5</v>
      </c>
      <c r="W29" s="193"/>
      <c r="X29" s="193"/>
      <c r="Y29" s="193"/>
      <c r="Z29" s="218" t="str">
        <f t="shared" si="1"/>
        <v xml:space="preserve">  </v>
      </c>
      <c r="AA29" s="170" t="str">
        <f t="shared" si="25"/>
        <v/>
      </c>
      <c r="AB29" s="171"/>
      <c r="AC29" s="171"/>
      <c r="AD29" s="172" t="str">
        <f t="shared" si="20"/>
        <v/>
      </c>
      <c r="AE29" s="171"/>
      <c r="AF29" s="171"/>
      <c r="AG29" s="171"/>
      <c r="AH29" s="173" t="str">
        <f t="shared" si="26"/>
        <v/>
      </c>
      <c r="AI29" s="174" t="str">
        <f t="shared" si="3"/>
        <v/>
      </c>
      <c r="AJ29" s="172" t="str">
        <f t="shared" si="21"/>
        <v/>
      </c>
      <c r="AK29" s="174" t="str">
        <f t="shared" si="5"/>
        <v/>
      </c>
      <c r="AL29" s="172" t="str">
        <f t="shared" si="14"/>
        <v/>
      </c>
      <c r="AM29" s="175" t="str">
        <f t="shared" ref="AM29:AM30" si="27">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76"/>
      <c r="AO29" s="169"/>
      <c r="AP29" s="177"/>
      <c r="AQ29" s="177"/>
      <c r="AR29" s="178"/>
      <c r="AS29" s="459"/>
      <c r="AT29" s="459"/>
      <c r="AU29" s="459"/>
    </row>
    <row r="30" spans="1:47" x14ac:dyDescent="0.2">
      <c r="A30" s="671"/>
      <c r="B30" s="449"/>
      <c r="C30" s="449"/>
      <c r="D30" s="449"/>
      <c r="E30" s="449"/>
      <c r="F30" s="492"/>
      <c r="G30" s="449"/>
      <c r="H30" s="491"/>
      <c r="I30" s="491"/>
      <c r="J30" s="491"/>
      <c r="K30" s="491"/>
      <c r="L30" s="491"/>
      <c r="M30" s="491"/>
      <c r="N30" s="459"/>
      <c r="O30" s="460"/>
      <c r="P30" s="461"/>
      <c r="Q30" s="490"/>
      <c r="R30" s="461"/>
      <c r="S30" s="460"/>
      <c r="T30" s="461"/>
      <c r="U30" s="489"/>
      <c r="V30" s="193">
        <v>6</v>
      </c>
      <c r="W30" s="193"/>
      <c r="X30" s="193"/>
      <c r="Y30" s="193"/>
      <c r="Z30" s="218" t="str">
        <f t="shared" si="1"/>
        <v xml:space="preserve">  </v>
      </c>
      <c r="AA30" s="170" t="str">
        <f t="shared" si="25"/>
        <v/>
      </c>
      <c r="AB30" s="171"/>
      <c r="AC30" s="171"/>
      <c r="AD30" s="172" t="str">
        <f t="shared" si="20"/>
        <v/>
      </c>
      <c r="AE30" s="171"/>
      <c r="AF30" s="171"/>
      <c r="AG30" s="171"/>
      <c r="AH30" s="173" t="str">
        <f t="shared" si="26"/>
        <v/>
      </c>
      <c r="AI30" s="174" t="str">
        <f t="shared" si="3"/>
        <v/>
      </c>
      <c r="AJ30" s="172" t="str">
        <f t="shared" si="21"/>
        <v/>
      </c>
      <c r="AK30" s="174" t="str">
        <f t="shared" si="5"/>
        <v/>
      </c>
      <c r="AL30" s="172" t="str">
        <f t="shared" si="14"/>
        <v/>
      </c>
      <c r="AM30" s="175" t="str">
        <f t="shared" si="27"/>
        <v/>
      </c>
      <c r="AN30" s="176"/>
      <c r="AO30" s="169"/>
      <c r="AP30" s="177"/>
      <c r="AQ30" s="177"/>
      <c r="AR30" s="178"/>
      <c r="AS30" s="459"/>
      <c r="AT30" s="459"/>
      <c r="AU30" s="459"/>
    </row>
    <row r="31" spans="1:47" x14ac:dyDescent="0.2">
      <c r="A31" s="671">
        <v>4</v>
      </c>
      <c r="B31" s="449"/>
      <c r="C31" s="449"/>
      <c r="D31" s="449"/>
      <c r="E31" s="449"/>
      <c r="F31" s="492" t="str">
        <f t="shared" ref="F31" si="28">+CONCATENATE(B31," ",C31," ",D31)</f>
        <v xml:space="preserve">  </v>
      </c>
      <c r="G31" s="449"/>
      <c r="H31" s="462"/>
      <c r="I31" s="462"/>
      <c r="J31" s="462"/>
      <c r="K31" s="462"/>
      <c r="L31" s="462"/>
      <c r="M31" s="462"/>
      <c r="N31" s="459"/>
      <c r="O31" s="460" t="str">
        <f>IF(N31&lt;=0,"",IF(N31&lt;=2,"Muy Baja",IF(N31&lt;=24,"Baja",IF(N31&lt;=500,"Media",IF(N31&lt;=5000,"Alta","Muy Alta")))))</f>
        <v/>
      </c>
      <c r="P31" s="461" t="str">
        <f>IF(O31="","",IF(O31="Muy Baja",0.2,IF(O31="Baja",0.4,IF(O31="Media",0.6,IF(O31="Alta",0.8,IF(O31="Muy Alta",1,))))))</f>
        <v/>
      </c>
      <c r="Q31" s="490"/>
      <c r="R31" s="461">
        <f>IF(NOT(ISERROR(MATCH(Q31,'Tabla Impacto'!$B$245:$B$249,0))),'Tabla Impacto'!$F$224&amp;"Por favor no seleccionar los criterios de impacto(Reputacional, Operativo, Legal, ni Contagio)",Q31)</f>
        <v>0</v>
      </c>
      <c r="S31" s="460" t="str">
        <f>IF(OR(R31='Tabla Impacto'!$C$12,R31='Tabla Impacto'!$D$12),"Leve",IF(OR(R31='Tabla Impacto'!$C$13,R31='Tabla Impacto'!$D$13),"Menor",IF(OR(R31='Tabla Impacto'!$C$14,R31='Tabla Impacto'!$D$14),"Moderado",IF(OR(R31='Tabla Impacto'!$C$15,R31='Tabla Impacto'!$D$15),"Mayor",IF(OR(R31='Tabla Impacto'!$C$16,R31='Tabla Impacto'!$D$16),"Catastrófico","")))))</f>
        <v/>
      </c>
      <c r="T31" s="461" t="str">
        <f>IF(S31="","",IF(S31="Leve",0.2,IF(S31="Menor",0.4,IF(S31="Moderado",0.6,IF(S31="Mayor",0.8,IF(S31="Catastrófico",1,))))))</f>
        <v/>
      </c>
      <c r="U31" s="489"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3">
        <v>1</v>
      </c>
      <c r="W31" s="193"/>
      <c r="X31" s="193"/>
      <c r="Y31" s="193"/>
      <c r="Z31" s="218" t="str">
        <f t="shared" si="1"/>
        <v xml:space="preserve">  </v>
      </c>
      <c r="AA31" s="170" t="str">
        <f>IF(OR(AB31="Preventivo",AB31="Detectivo"),"Probabilidad",IF(AB31="Correctivo","Impacto",""))</f>
        <v/>
      </c>
      <c r="AB31" s="171"/>
      <c r="AC31" s="171"/>
      <c r="AD31" s="172" t="str">
        <f>IF(AND(AB31="Preventivo",AC31="Automático"),"50%",IF(AND(AB31="Preventivo",AC31="Manual"),"40%",IF(AND(AB31="Detectivo",AC31="Automático"),"40%",IF(AND(AB31="Detectivo",AC31="Manual"),"30%",IF(AND(AB31="Correctivo",AC31="Automático"),"35%",IF(AND(AB31="Correctivo",AC31="Manual"),"25%",""))))))</f>
        <v/>
      </c>
      <c r="AE31" s="171"/>
      <c r="AF31" s="171"/>
      <c r="AG31" s="171"/>
      <c r="AH31" s="173" t="str">
        <f>IFERROR(IF(AA31="Probabilidad",(P31-(+P31*AD31)),IF(AA31="Impacto",P31,"")),"")</f>
        <v/>
      </c>
      <c r="AI31" s="174" t="str">
        <f>IFERROR(IF(AH31="","",IF(AH31&lt;=0.2,"Muy Baja",IF(AH31&lt;=0.4,"Baja",IF(AH31&lt;=0.6,"Media",IF(AH31&lt;=0.8,"Alta","Muy Alta"))))),"")</f>
        <v/>
      </c>
      <c r="AJ31" s="172" t="str">
        <f>+AH31</f>
        <v/>
      </c>
      <c r="AK31" s="174" t="str">
        <f>IFERROR(IF(AL31="","",IF(AL31&lt;=0.2,"Leve",IF(AL31&lt;=0.4,"Menor",IF(AL31&lt;=0.6,"Moderado",IF(AL31&lt;=0.8,"Mayor","Catastrófico"))))),"")</f>
        <v/>
      </c>
      <c r="AL31" s="172" t="str">
        <f t="shared" ref="AL31" si="29">IFERROR(IF(AA31="Impacto",(T31-(+T31*AD31)),IF(AA31="Probabilidad",T31,"")),"")</f>
        <v/>
      </c>
      <c r="AM31" s="175"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76"/>
      <c r="AO31" s="169"/>
      <c r="AP31" s="177"/>
      <c r="AQ31" s="177"/>
      <c r="AR31" s="178"/>
      <c r="AS31" s="459"/>
      <c r="AT31" s="459"/>
      <c r="AU31" s="459"/>
    </row>
    <row r="32" spans="1:47" x14ac:dyDescent="0.2">
      <c r="A32" s="671"/>
      <c r="B32" s="449"/>
      <c r="C32" s="449"/>
      <c r="D32" s="449"/>
      <c r="E32" s="449"/>
      <c r="F32" s="492"/>
      <c r="G32" s="449"/>
      <c r="H32" s="463"/>
      <c r="I32" s="463"/>
      <c r="J32" s="463"/>
      <c r="K32" s="463"/>
      <c r="L32" s="463"/>
      <c r="M32" s="463"/>
      <c r="N32" s="459"/>
      <c r="O32" s="460"/>
      <c r="P32" s="461"/>
      <c r="Q32" s="490"/>
      <c r="R32" s="461"/>
      <c r="S32" s="460"/>
      <c r="T32" s="461"/>
      <c r="U32" s="489"/>
      <c r="V32" s="193">
        <v>2</v>
      </c>
      <c r="W32" s="193"/>
      <c r="X32" s="193"/>
      <c r="Y32" s="193"/>
      <c r="Z32" s="218" t="str">
        <f t="shared" si="1"/>
        <v xml:space="preserve">  </v>
      </c>
      <c r="AA32" s="170" t="str">
        <f>IF(OR(AB32="Preventivo",AB32="Detectivo"),"Probabilidad",IF(AB32="Correctivo","Impacto",""))</f>
        <v/>
      </c>
      <c r="AB32" s="171"/>
      <c r="AC32" s="171"/>
      <c r="AD32" s="172" t="str">
        <f t="shared" ref="AD32:AD36" si="30">IF(AND(AB32="Preventivo",AC32="Automático"),"50%",IF(AND(AB32="Preventivo",AC32="Manual"),"40%",IF(AND(AB32="Detectivo",AC32="Automático"),"40%",IF(AND(AB32="Detectivo",AC32="Manual"),"30%",IF(AND(AB32="Correctivo",AC32="Automático"),"35%",IF(AND(AB32="Correctivo",AC32="Manual"),"25%",""))))))</f>
        <v/>
      </c>
      <c r="AE32" s="171"/>
      <c r="AF32" s="171"/>
      <c r="AG32" s="171"/>
      <c r="AH32" s="173" t="str">
        <f>IFERROR(IF(AND(AA31="Probabilidad",AA32="Probabilidad"),(AJ31-(+AJ31*AD32)),IF(AA32="Probabilidad",(P31-(+P31*AD32)),IF(AA32="Impacto",AJ31,""))),"")</f>
        <v/>
      </c>
      <c r="AI32" s="174" t="str">
        <f t="shared" si="3"/>
        <v/>
      </c>
      <c r="AJ32" s="172" t="str">
        <f t="shared" ref="AJ32:AJ36" si="31">+AH32</f>
        <v/>
      </c>
      <c r="AK32" s="174" t="str">
        <f t="shared" si="5"/>
        <v/>
      </c>
      <c r="AL32" s="172" t="str">
        <f t="shared" ref="AL32" si="32">IFERROR(IF(AND(AA31="Impacto",AA32="Impacto"),(AL31-(+AL31*AD32)),IF(AA32="Impacto",($T$13-(+$T$13*AD32)),IF(AA32="Probabilidad",AL31,""))),"")</f>
        <v/>
      </c>
      <c r="AM32" s="175" t="str">
        <f t="shared" ref="AM32:AM33" si="33">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76"/>
      <c r="AO32" s="169"/>
      <c r="AP32" s="177"/>
      <c r="AQ32" s="177"/>
      <c r="AR32" s="178"/>
      <c r="AS32" s="459"/>
      <c r="AT32" s="459"/>
      <c r="AU32" s="459"/>
    </row>
    <row r="33" spans="1:47" x14ac:dyDescent="0.2">
      <c r="A33" s="671"/>
      <c r="B33" s="449"/>
      <c r="C33" s="449"/>
      <c r="D33" s="449"/>
      <c r="E33" s="449"/>
      <c r="F33" s="492"/>
      <c r="G33" s="449"/>
      <c r="H33" s="463"/>
      <c r="I33" s="463"/>
      <c r="J33" s="463"/>
      <c r="K33" s="463"/>
      <c r="L33" s="463"/>
      <c r="M33" s="463"/>
      <c r="N33" s="459"/>
      <c r="O33" s="460"/>
      <c r="P33" s="461"/>
      <c r="Q33" s="490"/>
      <c r="R33" s="461"/>
      <c r="S33" s="460"/>
      <c r="T33" s="461"/>
      <c r="U33" s="489"/>
      <c r="V33" s="193">
        <v>3</v>
      </c>
      <c r="W33" s="193"/>
      <c r="X33" s="193"/>
      <c r="Y33" s="193"/>
      <c r="Z33" s="218" t="str">
        <f t="shared" si="1"/>
        <v xml:space="preserve">  </v>
      </c>
      <c r="AA33" s="170" t="str">
        <f>IF(OR(AB33="Preventivo",AB33="Detectivo"),"Probabilidad",IF(AB33="Correctivo","Impacto",""))</f>
        <v/>
      </c>
      <c r="AB33" s="171"/>
      <c r="AC33" s="171"/>
      <c r="AD33" s="172" t="str">
        <f t="shared" si="30"/>
        <v/>
      </c>
      <c r="AE33" s="171"/>
      <c r="AF33" s="171"/>
      <c r="AG33" s="171"/>
      <c r="AH33" s="173" t="str">
        <f>IFERROR(IF(AND(AA32="Probabilidad",AA33="Probabilidad"),(AJ32-(+AJ32*AD33)),IF(AND(AA32="Impacto",AA33="Probabilidad"),(AJ31-(+AJ31*AD33)),IF(AA33="Impacto",AJ32,""))),"")</f>
        <v/>
      </c>
      <c r="AI33" s="174" t="str">
        <f t="shared" si="3"/>
        <v/>
      </c>
      <c r="AJ33" s="172" t="str">
        <f t="shared" si="31"/>
        <v/>
      </c>
      <c r="AK33" s="174" t="str">
        <f t="shared" si="5"/>
        <v/>
      </c>
      <c r="AL33" s="172" t="str">
        <f t="shared" ref="AL33" si="34">IFERROR(IF(AND(AA32="Impacto",AA33="Impacto"),(AL32-(+AL32*AD33)),IF(AND(AA32="Probabilidad",AA33="Impacto"),(AL31-(+AL31*AD33)),IF(AA33="Probabilidad",AL32,""))),"")</f>
        <v/>
      </c>
      <c r="AM33" s="175" t="str">
        <f t="shared" si="33"/>
        <v/>
      </c>
      <c r="AN33" s="176"/>
      <c r="AO33" s="169"/>
      <c r="AP33" s="177"/>
      <c r="AQ33" s="177"/>
      <c r="AR33" s="178"/>
      <c r="AS33" s="459"/>
      <c r="AT33" s="459"/>
      <c r="AU33" s="459"/>
    </row>
    <row r="34" spans="1:47" x14ac:dyDescent="0.2">
      <c r="A34" s="671"/>
      <c r="B34" s="449"/>
      <c r="C34" s="449"/>
      <c r="D34" s="449"/>
      <c r="E34" s="449"/>
      <c r="F34" s="492"/>
      <c r="G34" s="449"/>
      <c r="H34" s="463"/>
      <c r="I34" s="463"/>
      <c r="J34" s="463"/>
      <c r="K34" s="463"/>
      <c r="L34" s="463"/>
      <c r="M34" s="463"/>
      <c r="N34" s="459"/>
      <c r="O34" s="460"/>
      <c r="P34" s="461"/>
      <c r="Q34" s="490"/>
      <c r="R34" s="461"/>
      <c r="S34" s="460"/>
      <c r="T34" s="461"/>
      <c r="U34" s="489"/>
      <c r="V34" s="193">
        <v>4</v>
      </c>
      <c r="W34" s="193"/>
      <c r="X34" s="193"/>
      <c r="Y34" s="193"/>
      <c r="Z34" s="218" t="str">
        <f t="shared" si="1"/>
        <v xml:space="preserve">  </v>
      </c>
      <c r="AA34" s="170" t="str">
        <f t="shared" ref="AA34:AA36" si="35">IF(OR(AB34="Preventivo",AB34="Detectivo"),"Probabilidad",IF(AB34="Correctivo","Impacto",""))</f>
        <v/>
      </c>
      <c r="AB34" s="171"/>
      <c r="AC34" s="171"/>
      <c r="AD34" s="172" t="str">
        <f t="shared" si="30"/>
        <v/>
      </c>
      <c r="AE34" s="171"/>
      <c r="AF34" s="171"/>
      <c r="AG34" s="171"/>
      <c r="AH34" s="173" t="str">
        <f t="shared" ref="AH34:AH36" si="36">IFERROR(IF(AND(AA33="Probabilidad",AA34="Probabilidad"),(AJ33-(+AJ33*AD34)),IF(AND(AA33="Impacto",AA34="Probabilidad"),(AJ32-(+AJ32*AD34)),IF(AA34="Impacto",AJ33,""))),"")</f>
        <v/>
      </c>
      <c r="AI34" s="174" t="str">
        <f t="shared" si="3"/>
        <v/>
      </c>
      <c r="AJ34" s="172" t="str">
        <f t="shared" si="31"/>
        <v/>
      </c>
      <c r="AK34" s="174" t="str">
        <f t="shared" si="5"/>
        <v/>
      </c>
      <c r="AL34" s="172" t="str">
        <f t="shared" si="14"/>
        <v/>
      </c>
      <c r="AM34" s="175"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76"/>
      <c r="AO34" s="169"/>
      <c r="AP34" s="177"/>
      <c r="AQ34" s="177"/>
      <c r="AR34" s="178"/>
      <c r="AS34" s="459"/>
      <c r="AT34" s="459"/>
      <c r="AU34" s="459"/>
    </row>
    <row r="35" spans="1:47" x14ac:dyDescent="0.2">
      <c r="A35" s="671"/>
      <c r="B35" s="449"/>
      <c r="C35" s="449"/>
      <c r="D35" s="449"/>
      <c r="E35" s="449"/>
      <c r="F35" s="492"/>
      <c r="G35" s="449"/>
      <c r="H35" s="463"/>
      <c r="I35" s="463"/>
      <c r="J35" s="463"/>
      <c r="K35" s="463"/>
      <c r="L35" s="463"/>
      <c r="M35" s="463"/>
      <c r="N35" s="459"/>
      <c r="O35" s="460"/>
      <c r="P35" s="461"/>
      <c r="Q35" s="490"/>
      <c r="R35" s="461"/>
      <c r="S35" s="460"/>
      <c r="T35" s="461"/>
      <c r="U35" s="489"/>
      <c r="V35" s="193">
        <v>5</v>
      </c>
      <c r="W35" s="193"/>
      <c r="X35" s="193"/>
      <c r="Y35" s="193"/>
      <c r="Z35" s="218" t="str">
        <f t="shared" si="1"/>
        <v xml:space="preserve">  </v>
      </c>
      <c r="AA35" s="170" t="str">
        <f t="shared" si="35"/>
        <v/>
      </c>
      <c r="AB35" s="171"/>
      <c r="AC35" s="171"/>
      <c r="AD35" s="172" t="str">
        <f t="shared" si="30"/>
        <v/>
      </c>
      <c r="AE35" s="171"/>
      <c r="AF35" s="171"/>
      <c r="AG35" s="171"/>
      <c r="AH35" s="173" t="str">
        <f t="shared" si="36"/>
        <v/>
      </c>
      <c r="AI35" s="174" t="str">
        <f>IFERROR(IF(AH35="","",IF(AH35&lt;=0.2,"Muy Baja",IF(AH35&lt;=0.4,"Baja",IF(AH35&lt;=0.6,"Media",IF(AH35&lt;=0.8,"Alta","Muy Alta"))))),"")</f>
        <v/>
      </c>
      <c r="AJ35" s="172" t="str">
        <f t="shared" si="31"/>
        <v/>
      </c>
      <c r="AK35" s="174" t="str">
        <f t="shared" si="5"/>
        <v/>
      </c>
      <c r="AL35" s="172" t="str">
        <f t="shared" si="14"/>
        <v/>
      </c>
      <c r="AM35" s="175" t="str">
        <f t="shared" ref="AM35:AM36" si="37">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76"/>
      <c r="AO35" s="169"/>
      <c r="AP35" s="177"/>
      <c r="AQ35" s="177"/>
      <c r="AR35" s="178"/>
      <c r="AS35" s="459"/>
      <c r="AT35" s="459"/>
      <c r="AU35" s="459"/>
    </row>
    <row r="36" spans="1:47" x14ac:dyDescent="0.2">
      <c r="A36" s="671"/>
      <c r="B36" s="449"/>
      <c r="C36" s="449"/>
      <c r="D36" s="449"/>
      <c r="E36" s="449"/>
      <c r="F36" s="492"/>
      <c r="G36" s="449"/>
      <c r="H36" s="491"/>
      <c r="I36" s="491"/>
      <c r="J36" s="491"/>
      <c r="K36" s="491"/>
      <c r="L36" s="491"/>
      <c r="M36" s="491"/>
      <c r="N36" s="459"/>
      <c r="O36" s="460"/>
      <c r="P36" s="461"/>
      <c r="Q36" s="490"/>
      <c r="R36" s="461"/>
      <c r="S36" s="460"/>
      <c r="T36" s="461"/>
      <c r="U36" s="489"/>
      <c r="V36" s="193">
        <v>6</v>
      </c>
      <c r="W36" s="193"/>
      <c r="X36" s="193"/>
      <c r="Y36" s="193"/>
      <c r="Z36" s="218" t="str">
        <f t="shared" si="1"/>
        <v xml:space="preserve">  </v>
      </c>
      <c r="AA36" s="170" t="str">
        <f t="shared" si="35"/>
        <v/>
      </c>
      <c r="AB36" s="171"/>
      <c r="AC36" s="171"/>
      <c r="AD36" s="172" t="str">
        <f t="shared" si="30"/>
        <v/>
      </c>
      <c r="AE36" s="171"/>
      <c r="AF36" s="171"/>
      <c r="AG36" s="171"/>
      <c r="AH36" s="173" t="str">
        <f t="shared" si="36"/>
        <v/>
      </c>
      <c r="AI36" s="174" t="str">
        <f t="shared" si="3"/>
        <v/>
      </c>
      <c r="AJ36" s="172" t="str">
        <f t="shared" si="31"/>
        <v/>
      </c>
      <c r="AK36" s="174" t="str">
        <f t="shared" si="5"/>
        <v/>
      </c>
      <c r="AL36" s="172" t="str">
        <f t="shared" si="14"/>
        <v/>
      </c>
      <c r="AM36" s="175" t="str">
        <f t="shared" si="37"/>
        <v/>
      </c>
      <c r="AN36" s="176"/>
      <c r="AO36" s="169"/>
      <c r="AP36" s="177"/>
      <c r="AQ36" s="177"/>
      <c r="AR36" s="178"/>
      <c r="AS36" s="459"/>
      <c r="AT36" s="459"/>
      <c r="AU36" s="459"/>
    </row>
    <row r="37" spans="1:47" x14ac:dyDescent="0.2">
      <c r="A37" s="671">
        <v>5</v>
      </c>
      <c r="B37" s="449"/>
      <c r="C37" s="449"/>
      <c r="D37" s="449"/>
      <c r="E37" s="449"/>
      <c r="F37" s="492" t="str">
        <f t="shared" ref="F37" si="38">+CONCATENATE(B37," ",C37," ",D37)</f>
        <v xml:space="preserve">  </v>
      </c>
      <c r="G37" s="449"/>
      <c r="H37" s="462"/>
      <c r="I37" s="462"/>
      <c r="J37" s="462"/>
      <c r="K37" s="462"/>
      <c r="L37" s="462"/>
      <c r="M37" s="462"/>
      <c r="N37" s="459"/>
      <c r="O37" s="460" t="str">
        <f>IF(N37&lt;=0,"",IF(N37&lt;=2,"Muy Baja",IF(N37&lt;=24,"Baja",IF(N37&lt;=500,"Media",IF(N37&lt;=5000,"Alta","Muy Alta")))))</f>
        <v/>
      </c>
      <c r="P37" s="461" t="str">
        <f>IF(O37="","",IF(O37="Muy Baja",0.2,IF(O37="Baja",0.4,IF(O37="Media",0.6,IF(O37="Alta",0.8,IF(O37="Muy Alta",1,))))))</f>
        <v/>
      </c>
      <c r="Q37" s="490"/>
      <c r="R37" s="461">
        <f>IF(NOT(ISERROR(MATCH(Q37,'Tabla Impacto'!$B$245:$B$249,0))),'Tabla Impacto'!$F$224&amp;"Por favor no seleccionar los criterios de impacto(Reputacional, Operativo, Legal, ni Contagio)",Q37)</f>
        <v>0</v>
      </c>
      <c r="S37" s="460" t="str">
        <f>IF(OR(R37='Tabla Impacto'!$C$12,R37='Tabla Impacto'!$D$12),"Leve",IF(OR(R37='Tabla Impacto'!$C$13,R37='Tabla Impacto'!$D$13),"Menor",IF(OR(R37='Tabla Impacto'!$C$14,R37='Tabla Impacto'!$D$14),"Moderado",IF(OR(R37='Tabla Impacto'!$C$15,R37='Tabla Impacto'!$D$15),"Mayor",IF(OR(R37='Tabla Impacto'!$C$16,R37='Tabla Impacto'!$D$16),"Catastrófico","")))))</f>
        <v/>
      </c>
      <c r="T37" s="461" t="str">
        <f>IF(S37="","",IF(S37="Leve",0.2,IF(S37="Menor",0.4,IF(S37="Moderado",0.6,IF(S37="Mayor",0.8,IF(S37="Catastrófico",1,))))))</f>
        <v/>
      </c>
      <c r="U37" s="489"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3">
        <v>1</v>
      </c>
      <c r="W37" s="193"/>
      <c r="X37" s="193"/>
      <c r="Y37" s="193"/>
      <c r="Z37" s="218" t="str">
        <f t="shared" si="1"/>
        <v xml:space="preserve">  </v>
      </c>
      <c r="AA37" s="170" t="str">
        <f>IF(OR(AB37="Preventivo",AB37="Detectivo"),"Probabilidad",IF(AB37="Correctivo","Impacto",""))</f>
        <v/>
      </c>
      <c r="AB37" s="171"/>
      <c r="AC37" s="171"/>
      <c r="AD37" s="172" t="str">
        <f>IF(AND(AB37="Preventivo",AC37="Automático"),"50%",IF(AND(AB37="Preventivo",AC37="Manual"),"40%",IF(AND(AB37="Detectivo",AC37="Automático"),"40%",IF(AND(AB37="Detectivo",AC37="Manual"),"30%",IF(AND(AB37="Correctivo",AC37="Automático"),"35%",IF(AND(AB37="Correctivo",AC37="Manual"),"25%",""))))))</f>
        <v/>
      </c>
      <c r="AE37" s="171"/>
      <c r="AF37" s="171"/>
      <c r="AG37" s="171"/>
      <c r="AH37" s="173" t="str">
        <f>IFERROR(IF(AA37="Probabilidad",(P37-(+P37*AD37)),IF(AA37="Impacto",P37,"")),"")</f>
        <v/>
      </c>
      <c r="AI37" s="174" t="str">
        <f>IFERROR(IF(AH37="","",IF(AH37&lt;=0.2,"Muy Baja",IF(AH37&lt;=0.4,"Baja",IF(AH37&lt;=0.6,"Media",IF(AH37&lt;=0.8,"Alta","Muy Alta"))))),"")</f>
        <v/>
      </c>
      <c r="AJ37" s="172" t="str">
        <f>+AH37</f>
        <v/>
      </c>
      <c r="AK37" s="174" t="str">
        <f>IFERROR(IF(AL37="","",IF(AL37&lt;=0.2,"Leve",IF(AL37&lt;=0.4,"Menor",IF(AL37&lt;=0.6,"Moderado",IF(AL37&lt;=0.8,"Mayor","Catastrófico"))))),"")</f>
        <v/>
      </c>
      <c r="AL37" s="172" t="str">
        <f t="shared" ref="AL37" si="39">IFERROR(IF(AA37="Impacto",(T37-(+T37*AD37)),IF(AA37="Probabilidad",T37,"")),"")</f>
        <v/>
      </c>
      <c r="AM37" s="175"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76"/>
      <c r="AO37" s="169"/>
      <c r="AP37" s="177"/>
      <c r="AQ37" s="177"/>
      <c r="AR37" s="178"/>
      <c r="AS37" s="459"/>
      <c r="AT37" s="459"/>
      <c r="AU37" s="459"/>
    </row>
    <row r="38" spans="1:47" x14ac:dyDescent="0.2">
      <c r="A38" s="671"/>
      <c r="B38" s="449"/>
      <c r="C38" s="449"/>
      <c r="D38" s="449"/>
      <c r="E38" s="449"/>
      <c r="F38" s="492"/>
      <c r="G38" s="449"/>
      <c r="H38" s="463"/>
      <c r="I38" s="463"/>
      <c r="J38" s="463"/>
      <c r="K38" s="463"/>
      <c r="L38" s="463"/>
      <c r="M38" s="463"/>
      <c r="N38" s="459"/>
      <c r="O38" s="460"/>
      <c r="P38" s="461"/>
      <c r="Q38" s="490"/>
      <c r="R38" s="461"/>
      <c r="S38" s="460"/>
      <c r="T38" s="461"/>
      <c r="U38" s="489"/>
      <c r="V38" s="193">
        <v>2</v>
      </c>
      <c r="W38" s="193"/>
      <c r="X38" s="193"/>
      <c r="Y38" s="193"/>
      <c r="Z38" s="218" t="str">
        <f t="shared" si="1"/>
        <v xml:space="preserve">  </v>
      </c>
      <c r="AA38" s="170" t="str">
        <f>IF(OR(AB38="Preventivo",AB38="Detectivo"),"Probabilidad",IF(AB38="Correctivo","Impacto",""))</f>
        <v/>
      </c>
      <c r="AB38" s="171"/>
      <c r="AC38" s="171"/>
      <c r="AD38" s="172" t="str">
        <f t="shared" ref="AD38:AD42" si="40">IF(AND(AB38="Preventivo",AC38="Automático"),"50%",IF(AND(AB38="Preventivo",AC38="Manual"),"40%",IF(AND(AB38="Detectivo",AC38="Automático"),"40%",IF(AND(AB38="Detectivo",AC38="Manual"),"30%",IF(AND(AB38="Correctivo",AC38="Automático"),"35%",IF(AND(AB38="Correctivo",AC38="Manual"),"25%",""))))))</f>
        <v/>
      </c>
      <c r="AE38" s="171"/>
      <c r="AF38" s="171"/>
      <c r="AG38" s="171"/>
      <c r="AH38" s="173" t="str">
        <f>IFERROR(IF(AND(AA37="Probabilidad",AA38="Probabilidad"),(AJ37-(+AJ37*AD38)),IF(AA38="Probabilidad",(P37-(+P37*AD38)),IF(AA38="Impacto",AJ37,""))),"")</f>
        <v/>
      </c>
      <c r="AI38" s="174" t="str">
        <f t="shared" si="3"/>
        <v/>
      </c>
      <c r="AJ38" s="172" t="str">
        <f t="shared" ref="AJ38:AJ42" si="41">+AH38</f>
        <v/>
      </c>
      <c r="AK38" s="174" t="str">
        <f t="shared" si="5"/>
        <v/>
      </c>
      <c r="AL38" s="172" t="str">
        <f t="shared" ref="AL38" si="42">IFERROR(IF(AND(AA37="Impacto",AA38="Impacto"),(AL37-(+AL37*AD38)),IF(AA38="Impacto",($T$13-(+$T$13*AD38)),IF(AA38="Probabilidad",AL37,""))),"")</f>
        <v/>
      </c>
      <c r="AM38" s="175" t="str">
        <f t="shared" ref="AM38:AM39" si="43">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76"/>
      <c r="AO38" s="169"/>
      <c r="AP38" s="177"/>
      <c r="AQ38" s="177"/>
      <c r="AR38" s="178"/>
      <c r="AS38" s="459"/>
      <c r="AT38" s="459"/>
      <c r="AU38" s="459"/>
    </row>
    <row r="39" spans="1:47" x14ac:dyDescent="0.2">
      <c r="A39" s="671"/>
      <c r="B39" s="449"/>
      <c r="C39" s="449"/>
      <c r="D39" s="449"/>
      <c r="E39" s="449"/>
      <c r="F39" s="492"/>
      <c r="G39" s="449"/>
      <c r="H39" s="463"/>
      <c r="I39" s="463"/>
      <c r="J39" s="463"/>
      <c r="K39" s="463"/>
      <c r="L39" s="463"/>
      <c r="M39" s="463"/>
      <c r="N39" s="459"/>
      <c r="O39" s="460"/>
      <c r="P39" s="461"/>
      <c r="Q39" s="490"/>
      <c r="R39" s="461"/>
      <c r="S39" s="460"/>
      <c r="T39" s="461"/>
      <c r="U39" s="489"/>
      <c r="V39" s="193">
        <v>3</v>
      </c>
      <c r="W39" s="193"/>
      <c r="X39" s="193"/>
      <c r="Y39" s="193"/>
      <c r="Z39" s="218" t="str">
        <f t="shared" si="1"/>
        <v xml:space="preserve">  </v>
      </c>
      <c r="AA39" s="170" t="str">
        <f>IF(OR(AB39="Preventivo",AB39="Detectivo"),"Probabilidad",IF(AB39="Correctivo","Impacto",""))</f>
        <v/>
      </c>
      <c r="AB39" s="171"/>
      <c r="AC39" s="171"/>
      <c r="AD39" s="172" t="str">
        <f t="shared" si="40"/>
        <v/>
      </c>
      <c r="AE39" s="171"/>
      <c r="AF39" s="171"/>
      <c r="AG39" s="171"/>
      <c r="AH39" s="173" t="str">
        <f>IFERROR(IF(AND(AA38="Probabilidad",AA39="Probabilidad"),(AJ38-(+AJ38*AD39)),IF(AND(AA38="Impacto",AA39="Probabilidad"),(AJ37-(+AJ37*AD39)),IF(AA39="Impacto",AJ38,""))),"")</f>
        <v/>
      </c>
      <c r="AI39" s="174" t="str">
        <f t="shared" si="3"/>
        <v/>
      </c>
      <c r="AJ39" s="172" t="str">
        <f t="shared" si="41"/>
        <v/>
      </c>
      <c r="AK39" s="174" t="str">
        <f t="shared" si="5"/>
        <v/>
      </c>
      <c r="AL39" s="172" t="str">
        <f t="shared" ref="AL39" si="44">IFERROR(IF(AND(AA38="Impacto",AA39="Impacto"),(AL38-(+AL38*AD39)),IF(AND(AA38="Probabilidad",AA39="Impacto"),(AL37-(+AL37*AD39)),IF(AA39="Probabilidad",AL38,""))),"")</f>
        <v/>
      </c>
      <c r="AM39" s="175" t="str">
        <f t="shared" si="43"/>
        <v/>
      </c>
      <c r="AN39" s="176"/>
      <c r="AO39" s="169"/>
      <c r="AP39" s="177"/>
      <c r="AQ39" s="177"/>
      <c r="AR39" s="178"/>
      <c r="AS39" s="459"/>
      <c r="AT39" s="459"/>
      <c r="AU39" s="459"/>
    </row>
    <row r="40" spans="1:47" x14ac:dyDescent="0.2">
      <c r="A40" s="671"/>
      <c r="B40" s="449"/>
      <c r="C40" s="449"/>
      <c r="D40" s="449"/>
      <c r="E40" s="449"/>
      <c r="F40" s="492"/>
      <c r="G40" s="449"/>
      <c r="H40" s="463"/>
      <c r="I40" s="463"/>
      <c r="J40" s="463"/>
      <c r="K40" s="463"/>
      <c r="L40" s="463"/>
      <c r="M40" s="463"/>
      <c r="N40" s="459"/>
      <c r="O40" s="460"/>
      <c r="P40" s="461"/>
      <c r="Q40" s="490"/>
      <c r="R40" s="461"/>
      <c r="S40" s="460"/>
      <c r="T40" s="461"/>
      <c r="U40" s="489"/>
      <c r="V40" s="193">
        <v>4</v>
      </c>
      <c r="W40" s="193"/>
      <c r="X40" s="193"/>
      <c r="Y40" s="193"/>
      <c r="Z40" s="218" t="str">
        <f t="shared" si="1"/>
        <v xml:space="preserve">  </v>
      </c>
      <c r="AA40" s="170" t="str">
        <f t="shared" ref="AA40:AA42" si="45">IF(OR(AB40="Preventivo",AB40="Detectivo"),"Probabilidad",IF(AB40="Correctivo","Impacto",""))</f>
        <v/>
      </c>
      <c r="AB40" s="171"/>
      <c r="AC40" s="171"/>
      <c r="AD40" s="172" t="str">
        <f t="shared" si="40"/>
        <v/>
      </c>
      <c r="AE40" s="171"/>
      <c r="AF40" s="171"/>
      <c r="AG40" s="171"/>
      <c r="AH40" s="173" t="str">
        <f t="shared" ref="AH40:AH42" si="46">IFERROR(IF(AND(AA39="Probabilidad",AA40="Probabilidad"),(AJ39-(+AJ39*AD40)),IF(AND(AA39="Impacto",AA40="Probabilidad"),(AJ38-(+AJ38*AD40)),IF(AA40="Impacto",AJ39,""))),"")</f>
        <v/>
      </c>
      <c r="AI40" s="174" t="str">
        <f t="shared" si="3"/>
        <v/>
      </c>
      <c r="AJ40" s="172" t="str">
        <f t="shared" si="41"/>
        <v/>
      </c>
      <c r="AK40" s="174" t="str">
        <f t="shared" si="5"/>
        <v/>
      </c>
      <c r="AL40" s="172" t="str">
        <f t="shared" si="14"/>
        <v/>
      </c>
      <c r="AM40" s="175"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76"/>
      <c r="AO40" s="169"/>
      <c r="AP40" s="177"/>
      <c r="AQ40" s="177"/>
      <c r="AR40" s="178"/>
      <c r="AS40" s="459"/>
      <c r="AT40" s="459"/>
      <c r="AU40" s="459"/>
    </row>
    <row r="41" spans="1:47" x14ac:dyDescent="0.2">
      <c r="A41" s="671"/>
      <c r="B41" s="449"/>
      <c r="C41" s="449"/>
      <c r="D41" s="449"/>
      <c r="E41" s="449"/>
      <c r="F41" s="492"/>
      <c r="G41" s="449"/>
      <c r="H41" s="463"/>
      <c r="I41" s="463"/>
      <c r="J41" s="463"/>
      <c r="K41" s="463"/>
      <c r="L41" s="463"/>
      <c r="M41" s="463"/>
      <c r="N41" s="459"/>
      <c r="O41" s="460"/>
      <c r="P41" s="461"/>
      <c r="Q41" s="490"/>
      <c r="R41" s="461"/>
      <c r="S41" s="460"/>
      <c r="T41" s="461"/>
      <c r="U41" s="489"/>
      <c r="V41" s="193">
        <v>5</v>
      </c>
      <c r="W41" s="193"/>
      <c r="X41" s="193"/>
      <c r="Y41" s="193"/>
      <c r="Z41" s="218" t="str">
        <f t="shared" si="1"/>
        <v xml:space="preserve">  </v>
      </c>
      <c r="AA41" s="170" t="str">
        <f t="shared" si="45"/>
        <v/>
      </c>
      <c r="AB41" s="171"/>
      <c r="AC41" s="171"/>
      <c r="AD41" s="172" t="str">
        <f t="shared" si="40"/>
        <v/>
      </c>
      <c r="AE41" s="171"/>
      <c r="AF41" s="171"/>
      <c r="AG41" s="171"/>
      <c r="AH41" s="173" t="str">
        <f t="shared" si="46"/>
        <v/>
      </c>
      <c r="AI41" s="174" t="str">
        <f t="shared" si="3"/>
        <v/>
      </c>
      <c r="AJ41" s="172" t="str">
        <f t="shared" si="41"/>
        <v/>
      </c>
      <c r="AK41" s="174" t="str">
        <f t="shared" si="5"/>
        <v/>
      </c>
      <c r="AL41" s="172" t="str">
        <f t="shared" si="14"/>
        <v/>
      </c>
      <c r="AM41" s="175" t="str">
        <f t="shared" ref="AM41:AM42" si="47">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76"/>
      <c r="AO41" s="169"/>
      <c r="AP41" s="177"/>
      <c r="AQ41" s="177"/>
      <c r="AR41" s="178"/>
      <c r="AS41" s="459"/>
      <c r="AT41" s="459"/>
      <c r="AU41" s="459"/>
    </row>
    <row r="42" spans="1:47" x14ac:dyDescent="0.2">
      <c r="A42" s="671"/>
      <c r="B42" s="449"/>
      <c r="C42" s="449"/>
      <c r="D42" s="449"/>
      <c r="E42" s="449"/>
      <c r="F42" s="492"/>
      <c r="G42" s="449"/>
      <c r="H42" s="491"/>
      <c r="I42" s="491"/>
      <c r="J42" s="491"/>
      <c r="K42" s="491"/>
      <c r="L42" s="491"/>
      <c r="M42" s="491"/>
      <c r="N42" s="459"/>
      <c r="O42" s="460"/>
      <c r="P42" s="461"/>
      <c r="Q42" s="490"/>
      <c r="R42" s="461"/>
      <c r="S42" s="460"/>
      <c r="T42" s="461"/>
      <c r="U42" s="489"/>
      <c r="V42" s="193">
        <v>6</v>
      </c>
      <c r="W42" s="193"/>
      <c r="X42" s="193"/>
      <c r="Y42" s="193"/>
      <c r="Z42" s="218" t="str">
        <f t="shared" si="1"/>
        <v xml:space="preserve">  </v>
      </c>
      <c r="AA42" s="170" t="str">
        <f t="shared" si="45"/>
        <v/>
      </c>
      <c r="AB42" s="171"/>
      <c r="AC42" s="171"/>
      <c r="AD42" s="172" t="str">
        <f t="shared" si="40"/>
        <v/>
      </c>
      <c r="AE42" s="171"/>
      <c r="AF42" s="171"/>
      <c r="AG42" s="171"/>
      <c r="AH42" s="173" t="str">
        <f t="shared" si="46"/>
        <v/>
      </c>
      <c r="AI42" s="174" t="str">
        <f t="shared" si="3"/>
        <v/>
      </c>
      <c r="AJ42" s="172" t="str">
        <f t="shared" si="41"/>
        <v/>
      </c>
      <c r="AK42" s="174" t="str">
        <f t="shared" si="5"/>
        <v/>
      </c>
      <c r="AL42" s="172" t="str">
        <f t="shared" si="14"/>
        <v/>
      </c>
      <c r="AM42" s="175" t="str">
        <f t="shared" si="47"/>
        <v/>
      </c>
      <c r="AN42" s="176"/>
      <c r="AO42" s="169"/>
      <c r="AP42" s="177"/>
      <c r="AQ42" s="177"/>
      <c r="AR42" s="178"/>
      <c r="AS42" s="459"/>
      <c r="AT42" s="459"/>
      <c r="AU42" s="459"/>
    </row>
    <row r="43" spans="1:47" x14ac:dyDescent="0.2">
      <c r="A43" s="671">
        <v>6</v>
      </c>
      <c r="B43" s="449"/>
      <c r="C43" s="449"/>
      <c r="D43" s="449"/>
      <c r="E43" s="449"/>
      <c r="F43" s="492" t="str">
        <f t="shared" ref="F43" si="48">+CONCATENATE(B43," ",C43," ",D43)</f>
        <v xml:space="preserve">  </v>
      </c>
      <c r="G43" s="449"/>
      <c r="H43" s="462"/>
      <c r="I43" s="462"/>
      <c r="J43" s="462"/>
      <c r="K43" s="462"/>
      <c r="L43" s="462"/>
      <c r="M43" s="462"/>
      <c r="N43" s="459"/>
      <c r="O43" s="460" t="str">
        <f>IF(N43&lt;=0,"",IF(N43&lt;=2,"Muy Baja",IF(N43&lt;=24,"Baja",IF(N43&lt;=500,"Media",IF(N43&lt;=5000,"Alta","Muy Alta")))))</f>
        <v/>
      </c>
      <c r="P43" s="461" t="str">
        <f>IF(O43="","",IF(O43="Muy Baja",0.2,IF(O43="Baja",0.4,IF(O43="Media",0.6,IF(O43="Alta",0.8,IF(O43="Muy Alta",1,))))))</f>
        <v/>
      </c>
      <c r="Q43" s="490"/>
      <c r="R43" s="461">
        <f>IF(NOT(ISERROR(MATCH(Q43,'Tabla Impacto'!$B$245:$B$249,0))),'Tabla Impacto'!$F$224&amp;"Por favor no seleccionar los criterios de impacto(Reputacional, Operativo, Legal, ni Contagio)",Q43)</f>
        <v>0</v>
      </c>
      <c r="S43" s="460" t="str">
        <f>IF(OR(R43='Tabla Impacto'!$C$12,R43='Tabla Impacto'!$D$12),"Leve",IF(OR(R43='Tabla Impacto'!$C$13,R43='Tabla Impacto'!$D$13),"Menor",IF(OR(R43='Tabla Impacto'!$C$14,R43='Tabla Impacto'!$D$14),"Moderado",IF(OR(R43='Tabla Impacto'!$C$15,R43='Tabla Impacto'!$D$15),"Mayor",IF(OR(R43='Tabla Impacto'!$C$16,R43='Tabla Impacto'!$D$16),"Catastrófico","")))))</f>
        <v/>
      </c>
      <c r="T43" s="461" t="str">
        <f>IF(S43="","",IF(S43="Leve",0.2,IF(S43="Menor",0.4,IF(S43="Moderado",0.6,IF(S43="Mayor",0.8,IF(S43="Catastrófico",1,))))))</f>
        <v/>
      </c>
      <c r="U43" s="489"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3">
        <v>1</v>
      </c>
      <c r="W43" s="193"/>
      <c r="X43" s="193"/>
      <c r="Y43" s="193"/>
      <c r="Z43" s="218" t="str">
        <f t="shared" si="1"/>
        <v xml:space="preserve">  </v>
      </c>
      <c r="AA43" s="170" t="str">
        <f>IF(OR(AB43="Preventivo",AB43="Detectivo"),"Probabilidad",IF(AB43="Correctivo","Impacto",""))</f>
        <v/>
      </c>
      <c r="AB43" s="171"/>
      <c r="AC43" s="171"/>
      <c r="AD43" s="172" t="str">
        <f>IF(AND(AB43="Preventivo",AC43="Automático"),"50%",IF(AND(AB43="Preventivo",AC43="Manual"),"40%",IF(AND(AB43="Detectivo",AC43="Automático"),"40%",IF(AND(AB43="Detectivo",AC43="Manual"),"30%",IF(AND(AB43="Correctivo",AC43="Automático"),"35%",IF(AND(AB43="Correctivo",AC43="Manual"),"25%",""))))))</f>
        <v/>
      </c>
      <c r="AE43" s="171"/>
      <c r="AF43" s="171"/>
      <c r="AG43" s="171"/>
      <c r="AH43" s="173" t="str">
        <f>IFERROR(IF(AA43="Probabilidad",(P43-(+P43*AD43)),IF(AA43="Impacto",P43,"")),"")</f>
        <v/>
      </c>
      <c r="AI43" s="174" t="str">
        <f>IFERROR(IF(AH43="","",IF(AH43&lt;=0.2,"Muy Baja",IF(AH43&lt;=0.4,"Baja",IF(AH43&lt;=0.6,"Media",IF(AH43&lt;=0.8,"Alta","Muy Alta"))))),"")</f>
        <v/>
      </c>
      <c r="AJ43" s="172" t="str">
        <f>+AH43</f>
        <v/>
      </c>
      <c r="AK43" s="174" t="str">
        <f>IFERROR(IF(AL43="","",IF(AL43&lt;=0.2,"Leve",IF(AL43&lt;=0.4,"Menor",IF(AL43&lt;=0.6,"Moderado",IF(AL43&lt;=0.8,"Mayor","Catastrófico"))))),"")</f>
        <v/>
      </c>
      <c r="AL43" s="172" t="str">
        <f t="shared" ref="AL43" si="49">IFERROR(IF(AA43="Impacto",(T43-(+T43*AD43)),IF(AA43="Probabilidad",T43,"")),"")</f>
        <v/>
      </c>
      <c r="AM43" s="175"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1"/>
      <c r="AO43" s="169"/>
      <c r="AP43" s="177"/>
      <c r="AQ43" s="177"/>
      <c r="AR43" s="178"/>
      <c r="AS43" s="459"/>
      <c r="AT43" s="459"/>
      <c r="AU43" s="459"/>
    </row>
    <row r="44" spans="1:47" x14ac:dyDescent="0.2">
      <c r="A44" s="671"/>
      <c r="B44" s="449"/>
      <c r="C44" s="449"/>
      <c r="D44" s="449"/>
      <c r="E44" s="449"/>
      <c r="F44" s="492"/>
      <c r="G44" s="449"/>
      <c r="H44" s="463"/>
      <c r="I44" s="463"/>
      <c r="J44" s="463"/>
      <c r="K44" s="463"/>
      <c r="L44" s="463"/>
      <c r="M44" s="463"/>
      <c r="N44" s="459"/>
      <c r="O44" s="460"/>
      <c r="P44" s="461"/>
      <c r="Q44" s="490"/>
      <c r="R44" s="461"/>
      <c r="S44" s="460"/>
      <c r="T44" s="461"/>
      <c r="U44" s="489"/>
      <c r="V44" s="193">
        <v>2</v>
      </c>
      <c r="W44" s="193"/>
      <c r="X44" s="193"/>
      <c r="Y44" s="193"/>
      <c r="Z44" s="218" t="str">
        <f t="shared" si="1"/>
        <v xml:space="preserve">  </v>
      </c>
      <c r="AA44" s="170" t="str">
        <f>IF(OR(AB44="Preventivo",AB44="Detectivo"),"Probabilidad",IF(AB44="Correctivo","Impacto",""))</f>
        <v/>
      </c>
      <c r="AB44" s="171"/>
      <c r="AC44" s="171"/>
      <c r="AD44" s="172" t="str">
        <f t="shared" ref="AD44:AD48" si="50">IF(AND(AB44="Preventivo",AC44="Automático"),"50%",IF(AND(AB44="Preventivo",AC44="Manual"),"40%",IF(AND(AB44="Detectivo",AC44="Automático"),"40%",IF(AND(AB44="Detectivo",AC44="Manual"),"30%",IF(AND(AB44="Correctivo",AC44="Automático"),"35%",IF(AND(AB44="Correctivo",AC44="Manual"),"25%",""))))))</f>
        <v/>
      </c>
      <c r="AE44" s="171"/>
      <c r="AF44" s="171"/>
      <c r="AG44" s="171"/>
      <c r="AH44" s="173" t="str">
        <f>IFERROR(IF(AND(AA43="Probabilidad",AA44="Probabilidad"),(AJ43-(+AJ43*AD44)),IF(AA44="Probabilidad",(P43-(+P43*AD44)),IF(AA44="Impacto",AJ43,""))),"")</f>
        <v/>
      </c>
      <c r="AI44" s="174" t="str">
        <f t="shared" si="3"/>
        <v/>
      </c>
      <c r="AJ44" s="172" t="str">
        <f t="shared" ref="AJ44:AJ48" si="51">+AH44</f>
        <v/>
      </c>
      <c r="AK44" s="174" t="str">
        <f t="shared" si="5"/>
        <v/>
      </c>
      <c r="AL44" s="172" t="str">
        <f t="shared" ref="AL44" si="52">IFERROR(IF(AND(AA43="Impacto",AA44="Impacto"),(AL43-(+AL43*AD44)),IF(AA44="Impacto",($T$13-(+$T$13*AD44)),IF(AA44="Probabilidad",AL43,""))),"")</f>
        <v/>
      </c>
      <c r="AM44" s="175" t="str">
        <f t="shared" ref="AM44:AM45" si="53">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76"/>
      <c r="AO44" s="169"/>
      <c r="AP44" s="177"/>
      <c r="AQ44" s="177"/>
      <c r="AR44" s="178"/>
      <c r="AS44" s="459"/>
      <c r="AT44" s="459"/>
      <c r="AU44" s="459"/>
    </row>
    <row r="45" spans="1:47" x14ac:dyDescent="0.2">
      <c r="A45" s="671"/>
      <c r="B45" s="449"/>
      <c r="C45" s="449"/>
      <c r="D45" s="449"/>
      <c r="E45" s="449"/>
      <c r="F45" s="492"/>
      <c r="G45" s="449"/>
      <c r="H45" s="463"/>
      <c r="I45" s="463"/>
      <c r="J45" s="463"/>
      <c r="K45" s="463"/>
      <c r="L45" s="463"/>
      <c r="M45" s="463"/>
      <c r="N45" s="459"/>
      <c r="O45" s="460"/>
      <c r="P45" s="461"/>
      <c r="Q45" s="490"/>
      <c r="R45" s="461"/>
      <c r="S45" s="460"/>
      <c r="T45" s="461"/>
      <c r="U45" s="489"/>
      <c r="V45" s="193">
        <v>3</v>
      </c>
      <c r="W45" s="193"/>
      <c r="X45" s="193"/>
      <c r="Y45" s="193"/>
      <c r="Z45" s="218" t="str">
        <f t="shared" si="1"/>
        <v xml:space="preserve">  </v>
      </c>
      <c r="AA45" s="170" t="str">
        <f>IF(OR(AB45="Preventivo",AB45="Detectivo"),"Probabilidad",IF(AB45="Correctivo","Impacto",""))</f>
        <v/>
      </c>
      <c r="AB45" s="171"/>
      <c r="AC45" s="171"/>
      <c r="AD45" s="172" t="str">
        <f t="shared" si="50"/>
        <v/>
      </c>
      <c r="AE45" s="171"/>
      <c r="AF45" s="171"/>
      <c r="AG45" s="171"/>
      <c r="AH45" s="173" t="str">
        <f>IFERROR(IF(AND(AA44="Probabilidad",AA45="Probabilidad"),(AJ44-(+AJ44*AD45)),IF(AND(AA44="Impacto",AA45="Probabilidad"),(AJ43-(+AJ43*AD45)),IF(AA45="Impacto",AJ44,""))),"")</f>
        <v/>
      </c>
      <c r="AI45" s="174" t="str">
        <f t="shared" si="3"/>
        <v/>
      </c>
      <c r="AJ45" s="172" t="str">
        <f t="shared" si="51"/>
        <v/>
      </c>
      <c r="AK45" s="174" t="str">
        <f t="shared" si="5"/>
        <v/>
      </c>
      <c r="AL45" s="172" t="str">
        <f t="shared" ref="AL45" si="54">IFERROR(IF(AND(AA44="Impacto",AA45="Impacto"),(AL44-(+AL44*AD45)),IF(AND(AA44="Probabilidad",AA45="Impacto"),(AL43-(+AL43*AD45)),IF(AA45="Probabilidad",AL44,""))),"")</f>
        <v/>
      </c>
      <c r="AM45" s="175" t="str">
        <f t="shared" si="53"/>
        <v/>
      </c>
      <c r="AN45" s="176"/>
      <c r="AO45" s="169"/>
      <c r="AP45" s="177"/>
      <c r="AQ45" s="177"/>
      <c r="AR45" s="178"/>
      <c r="AS45" s="459"/>
      <c r="AT45" s="459"/>
      <c r="AU45" s="459"/>
    </row>
    <row r="46" spans="1:47" x14ac:dyDescent="0.2">
      <c r="A46" s="671"/>
      <c r="B46" s="449"/>
      <c r="C46" s="449"/>
      <c r="D46" s="449"/>
      <c r="E46" s="449"/>
      <c r="F46" s="492"/>
      <c r="G46" s="449"/>
      <c r="H46" s="463"/>
      <c r="I46" s="463"/>
      <c r="J46" s="463"/>
      <c r="K46" s="463"/>
      <c r="L46" s="463"/>
      <c r="M46" s="463"/>
      <c r="N46" s="459"/>
      <c r="O46" s="460"/>
      <c r="P46" s="461"/>
      <c r="Q46" s="490"/>
      <c r="R46" s="461"/>
      <c r="S46" s="460"/>
      <c r="T46" s="461"/>
      <c r="U46" s="489"/>
      <c r="V46" s="193">
        <v>4</v>
      </c>
      <c r="W46" s="193"/>
      <c r="X46" s="193"/>
      <c r="Y46" s="193"/>
      <c r="Z46" s="218" t="str">
        <f t="shared" si="1"/>
        <v xml:space="preserve">  </v>
      </c>
      <c r="AA46" s="170" t="str">
        <f t="shared" ref="AA46:AA48" si="55">IF(OR(AB46="Preventivo",AB46="Detectivo"),"Probabilidad",IF(AB46="Correctivo","Impacto",""))</f>
        <v/>
      </c>
      <c r="AB46" s="171"/>
      <c r="AC46" s="171"/>
      <c r="AD46" s="172" t="str">
        <f t="shared" si="50"/>
        <v/>
      </c>
      <c r="AE46" s="171"/>
      <c r="AF46" s="171"/>
      <c r="AG46" s="171"/>
      <c r="AH46" s="173" t="str">
        <f t="shared" ref="AH46:AH48" si="56">IFERROR(IF(AND(AA45="Probabilidad",AA46="Probabilidad"),(AJ45-(+AJ45*AD46)),IF(AND(AA45="Impacto",AA46="Probabilidad"),(AJ44-(+AJ44*AD46)),IF(AA46="Impacto",AJ45,""))),"")</f>
        <v/>
      </c>
      <c r="AI46" s="174" t="str">
        <f t="shared" si="3"/>
        <v/>
      </c>
      <c r="AJ46" s="172" t="str">
        <f t="shared" si="51"/>
        <v/>
      </c>
      <c r="AK46" s="174" t="str">
        <f t="shared" si="5"/>
        <v/>
      </c>
      <c r="AL46" s="172" t="str">
        <f t="shared" si="14"/>
        <v/>
      </c>
      <c r="AM46" s="175"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76"/>
      <c r="AO46" s="169"/>
      <c r="AP46" s="177"/>
      <c r="AQ46" s="177"/>
      <c r="AR46" s="178"/>
      <c r="AS46" s="459"/>
      <c r="AT46" s="459"/>
      <c r="AU46" s="459"/>
    </row>
    <row r="47" spans="1:47" x14ac:dyDescent="0.2">
      <c r="A47" s="671"/>
      <c r="B47" s="449"/>
      <c r="C47" s="449"/>
      <c r="D47" s="449"/>
      <c r="E47" s="449"/>
      <c r="F47" s="492"/>
      <c r="G47" s="449"/>
      <c r="H47" s="463"/>
      <c r="I47" s="463"/>
      <c r="J47" s="463"/>
      <c r="K47" s="463"/>
      <c r="L47" s="463"/>
      <c r="M47" s="463"/>
      <c r="N47" s="459"/>
      <c r="O47" s="460"/>
      <c r="P47" s="461"/>
      <c r="Q47" s="490"/>
      <c r="R47" s="461"/>
      <c r="S47" s="460"/>
      <c r="T47" s="461"/>
      <c r="U47" s="489"/>
      <c r="V47" s="193">
        <v>5</v>
      </c>
      <c r="W47" s="193"/>
      <c r="X47" s="193"/>
      <c r="Y47" s="193"/>
      <c r="Z47" s="218" t="str">
        <f t="shared" si="1"/>
        <v xml:space="preserve">  </v>
      </c>
      <c r="AA47" s="170" t="str">
        <f t="shared" si="55"/>
        <v/>
      </c>
      <c r="AB47" s="171"/>
      <c r="AC47" s="171"/>
      <c r="AD47" s="172" t="str">
        <f t="shared" si="50"/>
        <v/>
      </c>
      <c r="AE47" s="171"/>
      <c r="AF47" s="171"/>
      <c r="AG47" s="171"/>
      <c r="AH47" s="173" t="str">
        <f t="shared" si="56"/>
        <v/>
      </c>
      <c r="AI47" s="174" t="str">
        <f t="shared" si="3"/>
        <v/>
      </c>
      <c r="AJ47" s="172" t="str">
        <f t="shared" si="51"/>
        <v/>
      </c>
      <c r="AK47" s="174" t="str">
        <f t="shared" si="5"/>
        <v/>
      </c>
      <c r="AL47" s="172" t="str">
        <f t="shared" si="14"/>
        <v/>
      </c>
      <c r="AM47" s="175" t="str">
        <f t="shared" ref="AM47" si="57">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76"/>
      <c r="AO47" s="169"/>
      <c r="AP47" s="177"/>
      <c r="AQ47" s="177"/>
      <c r="AR47" s="178"/>
      <c r="AS47" s="459"/>
      <c r="AT47" s="459"/>
      <c r="AU47" s="459"/>
    </row>
    <row r="48" spans="1:47" x14ac:dyDescent="0.2">
      <c r="A48" s="671"/>
      <c r="B48" s="449"/>
      <c r="C48" s="449"/>
      <c r="D48" s="449"/>
      <c r="E48" s="449"/>
      <c r="F48" s="492"/>
      <c r="G48" s="449"/>
      <c r="H48" s="491"/>
      <c r="I48" s="491"/>
      <c r="J48" s="491"/>
      <c r="K48" s="491"/>
      <c r="L48" s="491"/>
      <c r="M48" s="491"/>
      <c r="N48" s="459"/>
      <c r="O48" s="460"/>
      <c r="P48" s="461"/>
      <c r="Q48" s="490"/>
      <c r="R48" s="461"/>
      <c r="S48" s="460"/>
      <c r="T48" s="461"/>
      <c r="U48" s="489"/>
      <c r="V48" s="193">
        <v>6</v>
      </c>
      <c r="W48" s="193"/>
      <c r="X48" s="193"/>
      <c r="Y48" s="193"/>
      <c r="Z48" s="218" t="str">
        <f t="shared" si="1"/>
        <v xml:space="preserve">  </v>
      </c>
      <c r="AA48" s="170" t="str">
        <f t="shared" si="55"/>
        <v/>
      </c>
      <c r="AB48" s="171"/>
      <c r="AC48" s="171"/>
      <c r="AD48" s="172" t="str">
        <f t="shared" si="50"/>
        <v/>
      </c>
      <c r="AE48" s="171"/>
      <c r="AF48" s="171"/>
      <c r="AG48" s="171"/>
      <c r="AH48" s="173" t="str">
        <f t="shared" si="56"/>
        <v/>
      </c>
      <c r="AI48" s="174" t="str">
        <f t="shared" si="3"/>
        <v/>
      </c>
      <c r="AJ48" s="172" t="str">
        <f t="shared" si="51"/>
        <v/>
      </c>
      <c r="AK48" s="174" t="str">
        <f>IFERROR(IF(AL48="","",IF(AL48&lt;=0.2,"Leve",IF(AL48&lt;=0.4,"Menor",IF(AL48&lt;=0.6,"Moderado",IF(AL48&lt;=0.8,"Mayor","Catastrófico"))))),"")</f>
        <v/>
      </c>
      <c r="AL48" s="172" t="str">
        <f t="shared" si="14"/>
        <v/>
      </c>
      <c r="AM48" s="175"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76"/>
      <c r="AO48" s="169"/>
      <c r="AP48" s="177"/>
      <c r="AQ48" s="177"/>
      <c r="AR48" s="178"/>
      <c r="AS48" s="459"/>
      <c r="AT48" s="459"/>
      <c r="AU48" s="459"/>
    </row>
    <row r="49" spans="1:47" x14ac:dyDescent="0.2">
      <c r="A49" s="671">
        <v>7</v>
      </c>
      <c r="B49" s="449"/>
      <c r="C49" s="449"/>
      <c r="D49" s="495"/>
      <c r="E49" s="495"/>
      <c r="F49" s="492" t="str">
        <f t="shared" ref="F49" si="58">+CONCATENATE(B49," ",C49," ",D49)</f>
        <v xml:space="preserve">  </v>
      </c>
      <c r="G49" s="449"/>
      <c r="H49" s="462"/>
      <c r="I49" s="462"/>
      <c r="J49" s="462"/>
      <c r="K49" s="462"/>
      <c r="L49" s="462"/>
      <c r="M49" s="462"/>
      <c r="N49" s="459"/>
      <c r="O49" s="460" t="str">
        <f>IF(N49&lt;=0,"",IF(N49&lt;=2,"Muy Baja",IF(N49&lt;=24,"Baja",IF(N49&lt;=500,"Media",IF(N49&lt;=5000,"Alta","Muy Alta")))))</f>
        <v/>
      </c>
      <c r="P49" s="461" t="str">
        <f>IF(O49="","",IF(O49="Muy Baja",0.2,IF(O49="Baja",0.4,IF(O49="Media",0.6,IF(O49="Alta",0.8,IF(O49="Muy Alta",1,))))))</f>
        <v/>
      </c>
      <c r="Q49" s="490"/>
      <c r="R49" s="461">
        <f>IF(NOT(ISERROR(MATCH(Q49,'Tabla Impacto'!$B$245:$B$249,0))),'Tabla Impacto'!$F$224&amp;"Por favor no seleccionar los criterios de impacto(Reputacional, Operativo, Legal, ni Contagio)",Q49)</f>
        <v>0</v>
      </c>
      <c r="S49" s="460" t="str">
        <f>IF(OR(R49='Tabla Impacto'!$C$12,R49='Tabla Impacto'!$D$12),"Leve",IF(OR(R49='Tabla Impacto'!$C$13,R49='Tabla Impacto'!$D$13),"Menor",IF(OR(R49='Tabla Impacto'!$C$14,R49='Tabla Impacto'!$D$14),"Moderado",IF(OR(R49='Tabla Impacto'!$C$15,R49='Tabla Impacto'!$D$15),"Mayor",IF(OR(R49='Tabla Impacto'!$C$16,R49='Tabla Impacto'!$D$16),"Catastrófico","")))))</f>
        <v/>
      </c>
      <c r="T49" s="461" t="str">
        <f>IF(S49="","",IF(S49="Leve",0.2,IF(S49="Menor",0.4,IF(S49="Moderado",0.6,IF(S49="Mayor",0.8,IF(S49="Catastrófico",1,))))))</f>
        <v/>
      </c>
      <c r="U49" s="489"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3">
        <v>1</v>
      </c>
      <c r="W49" s="193"/>
      <c r="X49" s="193"/>
      <c r="Y49" s="193"/>
      <c r="Z49" s="218" t="str">
        <f t="shared" si="1"/>
        <v xml:space="preserve">  </v>
      </c>
      <c r="AA49" s="170" t="str">
        <f>IF(OR(AB49="Preventivo",AB49="Detectivo"),"Probabilidad",IF(AB49="Correctivo","Impacto",""))</f>
        <v/>
      </c>
      <c r="AB49" s="171"/>
      <c r="AC49" s="171"/>
      <c r="AD49" s="172" t="str">
        <f>IF(AND(AB49="Preventivo",AC49="Automático"),"50%",IF(AND(AB49="Preventivo",AC49="Manual"),"40%",IF(AND(AB49="Detectivo",AC49="Automático"),"40%",IF(AND(AB49="Detectivo",AC49="Manual"),"30%",IF(AND(AB49="Correctivo",AC49="Automático"),"35%",IF(AND(AB49="Correctivo",AC49="Manual"),"25%",""))))))</f>
        <v/>
      </c>
      <c r="AE49" s="171"/>
      <c r="AF49" s="171"/>
      <c r="AG49" s="171"/>
      <c r="AH49" s="173" t="str">
        <f>IFERROR(IF(AA49="Probabilidad",(P49-(+P49*AD49)),IF(AA49="Impacto",P49,"")),"")</f>
        <v/>
      </c>
      <c r="AI49" s="174" t="str">
        <f>IFERROR(IF(AH49="","",IF(AH49&lt;=0.2,"Muy Baja",IF(AH49&lt;=0.4,"Baja",IF(AH49&lt;=0.6,"Media",IF(AH49&lt;=0.8,"Alta","Muy Alta"))))),"")</f>
        <v/>
      </c>
      <c r="AJ49" s="172" t="str">
        <f>+AH49</f>
        <v/>
      </c>
      <c r="AK49" s="174" t="str">
        <f>IFERROR(IF(AL49="","",IF(AL49&lt;=0.2,"Leve",IF(AL49&lt;=0.4,"Menor",IF(AL49&lt;=0.6,"Moderado",IF(AL49&lt;=0.8,"Mayor","Catastrófico"))))),"")</f>
        <v/>
      </c>
      <c r="AL49" s="172" t="str">
        <f t="shared" ref="AL49" si="59">IFERROR(IF(AA49="Impacto",(T49-(+T49*AD49)),IF(AA49="Probabilidad",T49,"")),"")</f>
        <v/>
      </c>
      <c r="AM49" s="175"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76"/>
      <c r="AO49" s="169"/>
      <c r="AP49" s="177"/>
      <c r="AQ49" s="177"/>
      <c r="AR49" s="178"/>
      <c r="AS49" s="459"/>
      <c r="AT49" s="459"/>
      <c r="AU49" s="459"/>
    </row>
    <row r="50" spans="1:47" x14ac:dyDescent="0.2">
      <c r="A50" s="671"/>
      <c r="B50" s="449"/>
      <c r="C50" s="449"/>
      <c r="D50" s="495"/>
      <c r="E50" s="495"/>
      <c r="F50" s="492"/>
      <c r="G50" s="449"/>
      <c r="H50" s="463"/>
      <c r="I50" s="463"/>
      <c r="J50" s="463"/>
      <c r="K50" s="463"/>
      <c r="L50" s="463"/>
      <c r="M50" s="463"/>
      <c r="N50" s="459"/>
      <c r="O50" s="460"/>
      <c r="P50" s="461"/>
      <c r="Q50" s="490"/>
      <c r="R50" s="461"/>
      <c r="S50" s="460"/>
      <c r="T50" s="461"/>
      <c r="U50" s="489"/>
      <c r="V50" s="193">
        <v>2</v>
      </c>
      <c r="W50" s="193"/>
      <c r="X50" s="193"/>
      <c r="Y50" s="193"/>
      <c r="Z50" s="218" t="str">
        <f t="shared" si="1"/>
        <v xml:space="preserve">  </v>
      </c>
      <c r="AA50" s="170" t="str">
        <f>IF(OR(AB50="Preventivo",AB50="Detectivo"),"Probabilidad",IF(AB50="Correctivo","Impacto",""))</f>
        <v/>
      </c>
      <c r="AB50" s="171"/>
      <c r="AC50" s="171"/>
      <c r="AD50" s="172" t="str">
        <f t="shared" ref="AD50:AD54" si="60">IF(AND(AB50="Preventivo",AC50="Automático"),"50%",IF(AND(AB50="Preventivo",AC50="Manual"),"40%",IF(AND(AB50="Detectivo",AC50="Automático"),"40%",IF(AND(AB50="Detectivo",AC50="Manual"),"30%",IF(AND(AB50="Correctivo",AC50="Automático"),"35%",IF(AND(AB50="Correctivo",AC50="Manual"),"25%",""))))))</f>
        <v/>
      </c>
      <c r="AE50" s="171"/>
      <c r="AF50" s="171"/>
      <c r="AG50" s="171"/>
      <c r="AH50" s="173" t="str">
        <f>IFERROR(IF(AND(AA49="Probabilidad",AA50="Probabilidad"),(AJ49-(+AJ49*AD50)),IF(AA50="Probabilidad",(P49-(+P49*AD50)),IF(AA50="Impacto",AJ49,""))),"")</f>
        <v/>
      </c>
      <c r="AI50" s="174" t="str">
        <f t="shared" si="3"/>
        <v/>
      </c>
      <c r="AJ50" s="172" t="str">
        <f t="shared" ref="AJ50:AJ54" si="61">+AH50</f>
        <v/>
      </c>
      <c r="AK50" s="174" t="str">
        <f t="shared" si="5"/>
        <v/>
      </c>
      <c r="AL50" s="172" t="str">
        <f t="shared" ref="AL50" si="62">IFERROR(IF(AND(AA49="Impacto",AA50="Impacto"),(AL49-(+AL49*AD50)),IF(AA50="Impacto",($T$13-(+$T$13*AD50)),IF(AA50="Probabilidad",AL49,""))),"")</f>
        <v/>
      </c>
      <c r="AM50" s="175" t="str">
        <f t="shared" ref="AM50:AM51" si="63">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76"/>
      <c r="AO50" s="169"/>
      <c r="AP50" s="177"/>
      <c r="AQ50" s="177"/>
      <c r="AR50" s="178"/>
      <c r="AS50" s="459"/>
      <c r="AT50" s="459"/>
      <c r="AU50" s="459"/>
    </row>
    <row r="51" spans="1:47" x14ac:dyDescent="0.2">
      <c r="A51" s="671"/>
      <c r="B51" s="449"/>
      <c r="C51" s="449"/>
      <c r="D51" s="495"/>
      <c r="E51" s="495"/>
      <c r="F51" s="492"/>
      <c r="G51" s="449"/>
      <c r="H51" s="463"/>
      <c r="I51" s="463"/>
      <c r="J51" s="463"/>
      <c r="K51" s="463"/>
      <c r="L51" s="463"/>
      <c r="M51" s="463"/>
      <c r="N51" s="459"/>
      <c r="O51" s="460"/>
      <c r="P51" s="461"/>
      <c r="Q51" s="490"/>
      <c r="R51" s="461"/>
      <c r="S51" s="460"/>
      <c r="T51" s="461"/>
      <c r="U51" s="489"/>
      <c r="V51" s="193">
        <v>3</v>
      </c>
      <c r="W51" s="193"/>
      <c r="X51" s="193"/>
      <c r="Y51" s="193"/>
      <c r="Z51" s="218" t="str">
        <f t="shared" si="1"/>
        <v xml:space="preserve">  </v>
      </c>
      <c r="AA51" s="170" t="str">
        <f>IF(OR(AB51="Preventivo",AB51="Detectivo"),"Probabilidad",IF(AB51="Correctivo","Impacto",""))</f>
        <v/>
      </c>
      <c r="AB51" s="171"/>
      <c r="AC51" s="171"/>
      <c r="AD51" s="172" t="str">
        <f t="shared" si="60"/>
        <v/>
      </c>
      <c r="AE51" s="171"/>
      <c r="AF51" s="171"/>
      <c r="AG51" s="171"/>
      <c r="AH51" s="173" t="str">
        <f>IFERROR(IF(AND(AA50="Probabilidad",AA51="Probabilidad"),(AJ50-(+AJ50*AD51)),IF(AND(AA50="Impacto",AA51="Probabilidad"),(AJ49-(+AJ49*AD51)),IF(AA51="Impacto",AJ50,""))),"")</f>
        <v/>
      </c>
      <c r="AI51" s="174" t="str">
        <f t="shared" si="3"/>
        <v/>
      </c>
      <c r="AJ51" s="172" t="str">
        <f t="shared" si="61"/>
        <v/>
      </c>
      <c r="AK51" s="174" t="str">
        <f t="shared" si="5"/>
        <v/>
      </c>
      <c r="AL51" s="172" t="str">
        <f t="shared" ref="AL51" si="64">IFERROR(IF(AND(AA50="Impacto",AA51="Impacto"),(AL50-(+AL50*AD51)),IF(AND(AA50="Probabilidad",AA51="Impacto"),(AL49-(+AL49*AD51)),IF(AA51="Probabilidad",AL50,""))),"")</f>
        <v/>
      </c>
      <c r="AM51" s="175" t="str">
        <f t="shared" si="63"/>
        <v/>
      </c>
      <c r="AN51" s="176"/>
      <c r="AO51" s="169"/>
      <c r="AP51" s="177"/>
      <c r="AQ51" s="177"/>
      <c r="AR51" s="178"/>
      <c r="AS51" s="459"/>
      <c r="AT51" s="459"/>
      <c r="AU51" s="459"/>
    </row>
    <row r="52" spans="1:47" x14ac:dyDescent="0.2">
      <c r="A52" s="671"/>
      <c r="B52" s="449"/>
      <c r="C52" s="449"/>
      <c r="D52" s="495"/>
      <c r="E52" s="495"/>
      <c r="F52" s="492"/>
      <c r="G52" s="449"/>
      <c r="H52" s="463"/>
      <c r="I52" s="463"/>
      <c r="J52" s="463"/>
      <c r="K52" s="463"/>
      <c r="L52" s="463"/>
      <c r="M52" s="463"/>
      <c r="N52" s="459"/>
      <c r="O52" s="460"/>
      <c r="P52" s="461"/>
      <c r="Q52" s="490"/>
      <c r="R52" s="461"/>
      <c r="S52" s="460"/>
      <c r="T52" s="461"/>
      <c r="U52" s="489"/>
      <c r="V52" s="193">
        <v>4</v>
      </c>
      <c r="W52" s="193"/>
      <c r="X52" s="193"/>
      <c r="Y52" s="193"/>
      <c r="Z52" s="218" t="str">
        <f t="shared" si="1"/>
        <v xml:space="preserve">  </v>
      </c>
      <c r="AA52" s="170" t="str">
        <f t="shared" ref="AA52:AA54" si="65">IF(OR(AB52="Preventivo",AB52="Detectivo"),"Probabilidad",IF(AB52="Correctivo","Impacto",""))</f>
        <v/>
      </c>
      <c r="AB52" s="171"/>
      <c r="AC52" s="171"/>
      <c r="AD52" s="172" t="str">
        <f t="shared" si="60"/>
        <v/>
      </c>
      <c r="AE52" s="171"/>
      <c r="AF52" s="171"/>
      <c r="AG52" s="171"/>
      <c r="AH52" s="173" t="str">
        <f t="shared" ref="AH52:AH54" si="66">IFERROR(IF(AND(AA51="Probabilidad",AA52="Probabilidad"),(AJ51-(+AJ51*AD52)),IF(AND(AA51="Impacto",AA52="Probabilidad"),(AJ50-(+AJ50*AD52)),IF(AA52="Impacto",AJ51,""))),"")</f>
        <v/>
      </c>
      <c r="AI52" s="174" t="str">
        <f t="shared" si="3"/>
        <v/>
      </c>
      <c r="AJ52" s="172" t="str">
        <f t="shared" si="61"/>
        <v/>
      </c>
      <c r="AK52" s="174" t="str">
        <f t="shared" si="5"/>
        <v/>
      </c>
      <c r="AL52" s="172" t="str">
        <f t="shared" si="14"/>
        <v/>
      </c>
      <c r="AM52" s="175"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76"/>
      <c r="AO52" s="169"/>
      <c r="AP52" s="177"/>
      <c r="AQ52" s="177"/>
      <c r="AR52" s="178"/>
      <c r="AS52" s="459"/>
      <c r="AT52" s="459"/>
      <c r="AU52" s="459"/>
    </row>
    <row r="53" spans="1:47" x14ac:dyDescent="0.2">
      <c r="A53" s="671"/>
      <c r="B53" s="449"/>
      <c r="C53" s="449"/>
      <c r="D53" s="495"/>
      <c r="E53" s="495"/>
      <c r="F53" s="492"/>
      <c r="G53" s="449"/>
      <c r="H53" s="463"/>
      <c r="I53" s="463"/>
      <c r="J53" s="463"/>
      <c r="K53" s="463"/>
      <c r="L53" s="463"/>
      <c r="M53" s="463"/>
      <c r="N53" s="459"/>
      <c r="O53" s="460"/>
      <c r="P53" s="461"/>
      <c r="Q53" s="490"/>
      <c r="R53" s="461"/>
      <c r="S53" s="460"/>
      <c r="T53" s="461"/>
      <c r="U53" s="489"/>
      <c r="V53" s="193">
        <v>5</v>
      </c>
      <c r="W53" s="193"/>
      <c r="X53" s="193"/>
      <c r="Y53" s="193"/>
      <c r="Z53" s="218" t="str">
        <f t="shared" si="1"/>
        <v xml:space="preserve">  </v>
      </c>
      <c r="AA53" s="170" t="str">
        <f t="shared" si="65"/>
        <v/>
      </c>
      <c r="AB53" s="171"/>
      <c r="AC53" s="171"/>
      <c r="AD53" s="172" t="str">
        <f t="shared" si="60"/>
        <v/>
      </c>
      <c r="AE53" s="171"/>
      <c r="AF53" s="171"/>
      <c r="AG53" s="171"/>
      <c r="AH53" s="173" t="str">
        <f t="shared" si="66"/>
        <v/>
      </c>
      <c r="AI53" s="174" t="str">
        <f t="shared" si="3"/>
        <v/>
      </c>
      <c r="AJ53" s="172" t="str">
        <f t="shared" si="61"/>
        <v/>
      </c>
      <c r="AK53" s="174" t="str">
        <f t="shared" si="5"/>
        <v/>
      </c>
      <c r="AL53" s="172" t="str">
        <f t="shared" si="14"/>
        <v/>
      </c>
      <c r="AM53" s="175" t="str">
        <f t="shared" ref="AM53:AM54" si="67">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76"/>
      <c r="AO53" s="169"/>
      <c r="AP53" s="177"/>
      <c r="AQ53" s="177"/>
      <c r="AR53" s="178"/>
      <c r="AS53" s="459"/>
      <c r="AT53" s="459"/>
      <c r="AU53" s="459"/>
    </row>
    <row r="54" spans="1:47" x14ac:dyDescent="0.2">
      <c r="A54" s="671"/>
      <c r="B54" s="449"/>
      <c r="C54" s="449"/>
      <c r="D54" s="495"/>
      <c r="E54" s="495"/>
      <c r="F54" s="492"/>
      <c r="G54" s="449"/>
      <c r="H54" s="491"/>
      <c r="I54" s="491"/>
      <c r="J54" s="491"/>
      <c r="K54" s="491"/>
      <c r="L54" s="491"/>
      <c r="M54" s="491"/>
      <c r="N54" s="459"/>
      <c r="O54" s="460"/>
      <c r="P54" s="461"/>
      <c r="Q54" s="490"/>
      <c r="R54" s="461"/>
      <c r="S54" s="460"/>
      <c r="T54" s="461"/>
      <c r="U54" s="489"/>
      <c r="V54" s="193">
        <v>6</v>
      </c>
      <c r="W54" s="193"/>
      <c r="X54" s="193"/>
      <c r="Y54" s="193"/>
      <c r="Z54" s="218" t="str">
        <f t="shared" si="1"/>
        <v xml:space="preserve">  </v>
      </c>
      <c r="AA54" s="170" t="str">
        <f t="shared" si="65"/>
        <v/>
      </c>
      <c r="AB54" s="171"/>
      <c r="AC54" s="171"/>
      <c r="AD54" s="172" t="str">
        <f t="shared" si="60"/>
        <v/>
      </c>
      <c r="AE54" s="171"/>
      <c r="AF54" s="171"/>
      <c r="AG54" s="171"/>
      <c r="AH54" s="173" t="str">
        <f t="shared" si="66"/>
        <v/>
      </c>
      <c r="AI54" s="174" t="str">
        <f t="shared" si="3"/>
        <v/>
      </c>
      <c r="AJ54" s="172" t="str">
        <f t="shared" si="61"/>
        <v/>
      </c>
      <c r="AK54" s="174" t="str">
        <f t="shared" si="5"/>
        <v/>
      </c>
      <c r="AL54" s="172" t="str">
        <f t="shared" si="14"/>
        <v/>
      </c>
      <c r="AM54" s="175" t="str">
        <f t="shared" si="67"/>
        <v/>
      </c>
      <c r="AN54" s="176"/>
      <c r="AO54" s="169"/>
      <c r="AP54" s="177"/>
      <c r="AQ54" s="177"/>
      <c r="AR54" s="178"/>
      <c r="AS54" s="459"/>
      <c r="AT54" s="459"/>
      <c r="AU54" s="459"/>
    </row>
    <row r="55" spans="1:47" x14ac:dyDescent="0.2">
      <c r="A55" s="671">
        <v>8</v>
      </c>
      <c r="B55" s="449"/>
      <c r="C55" s="449"/>
      <c r="D55" s="449"/>
      <c r="E55" s="449"/>
      <c r="F55" s="492" t="str">
        <f t="shared" ref="F55" si="68">+CONCATENATE(B55," ",C55," ",D55)</f>
        <v xml:space="preserve">  </v>
      </c>
      <c r="G55" s="449"/>
      <c r="H55" s="462"/>
      <c r="I55" s="462"/>
      <c r="J55" s="462"/>
      <c r="K55" s="462"/>
      <c r="L55" s="462"/>
      <c r="M55" s="462"/>
      <c r="N55" s="459"/>
      <c r="O55" s="460" t="str">
        <f>IF(N55&lt;=0,"",IF(N55&lt;=2,"Muy Baja",IF(N55&lt;=24,"Baja",IF(N55&lt;=500,"Media",IF(N55&lt;=5000,"Alta","Muy Alta")))))</f>
        <v/>
      </c>
      <c r="P55" s="461" t="str">
        <f>IF(O55="","",IF(O55="Muy Baja",0.2,IF(O55="Baja",0.4,IF(O55="Media",0.6,IF(O55="Alta",0.8,IF(O55="Muy Alta",1,))))))</f>
        <v/>
      </c>
      <c r="Q55" s="490"/>
      <c r="R55" s="461">
        <f>IF(NOT(ISERROR(MATCH(Q55,'Tabla Impacto'!$B$245:$B$249,0))),'Tabla Impacto'!$F$224&amp;"Por favor no seleccionar los criterios de impacto(Reputacional, Operativo, Legal, ni Contagio)",Q55)</f>
        <v>0</v>
      </c>
      <c r="S55" s="460" t="str">
        <f>IF(OR(R55='Tabla Impacto'!$C$12,R55='Tabla Impacto'!$D$12),"Leve",IF(OR(R55='Tabla Impacto'!$C$13,R55='Tabla Impacto'!$D$13),"Menor",IF(OR(R55='Tabla Impacto'!$C$14,R55='Tabla Impacto'!$D$14),"Moderado",IF(OR(R55='Tabla Impacto'!$C$15,R55='Tabla Impacto'!$D$15),"Mayor",IF(OR(R55='Tabla Impacto'!$C$16,R55='Tabla Impacto'!$D$16),"Catastrófico","")))))</f>
        <v/>
      </c>
      <c r="T55" s="461" t="str">
        <f>IF(S55="","",IF(S55="Leve",0.2,IF(S55="Menor",0.4,IF(S55="Moderado",0.6,IF(S55="Mayor",0.8,IF(S55="Catastrófico",1,))))))</f>
        <v/>
      </c>
      <c r="U55" s="489"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3">
        <v>1</v>
      </c>
      <c r="W55" s="193"/>
      <c r="X55" s="193"/>
      <c r="Y55" s="193"/>
      <c r="Z55" s="218" t="str">
        <f t="shared" si="1"/>
        <v xml:space="preserve">  </v>
      </c>
      <c r="AA55" s="170" t="str">
        <f>IF(OR(AB55="Preventivo",AB55="Detectivo"),"Probabilidad",IF(AB55="Correctivo","Impacto",""))</f>
        <v/>
      </c>
      <c r="AB55" s="171"/>
      <c r="AC55" s="171"/>
      <c r="AD55" s="172" t="str">
        <f>IF(AND(AB55="Preventivo",AC55="Automático"),"50%",IF(AND(AB55="Preventivo",AC55="Manual"),"40%",IF(AND(AB55="Detectivo",AC55="Automático"),"40%",IF(AND(AB55="Detectivo",AC55="Manual"),"30%",IF(AND(AB55="Correctivo",AC55="Automático"),"35%",IF(AND(AB55="Correctivo",AC55="Manual"),"25%",""))))))</f>
        <v/>
      </c>
      <c r="AE55" s="171"/>
      <c r="AF55" s="171"/>
      <c r="AG55" s="171"/>
      <c r="AH55" s="173" t="str">
        <f>IFERROR(IF(AA55="Probabilidad",(P55-(+P55*AD55)),IF(AA55="Impacto",P55,"")),"")</f>
        <v/>
      </c>
      <c r="AI55" s="174" t="str">
        <f>IFERROR(IF(AH55="","",IF(AH55&lt;=0.2,"Muy Baja",IF(AH55&lt;=0.4,"Baja",IF(AH55&lt;=0.6,"Media",IF(AH55&lt;=0.8,"Alta","Muy Alta"))))),"")</f>
        <v/>
      </c>
      <c r="AJ55" s="172" t="str">
        <f>+AH55</f>
        <v/>
      </c>
      <c r="AK55" s="174" t="str">
        <f>IFERROR(IF(AL55="","",IF(AL55&lt;=0.2,"Leve",IF(AL55&lt;=0.4,"Menor",IF(AL55&lt;=0.6,"Moderado",IF(AL55&lt;=0.8,"Mayor","Catastrófico"))))),"")</f>
        <v/>
      </c>
      <c r="AL55" s="172" t="str">
        <f t="shared" ref="AL55" si="69">IFERROR(IF(AA55="Impacto",(T55-(+T55*AD55)),IF(AA55="Probabilidad",T55,"")),"")</f>
        <v/>
      </c>
      <c r="AM55" s="175"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76"/>
      <c r="AO55" s="169"/>
      <c r="AP55" s="177"/>
      <c r="AQ55" s="177"/>
      <c r="AR55" s="178"/>
      <c r="AS55" s="459"/>
      <c r="AT55" s="459"/>
      <c r="AU55" s="459"/>
    </row>
    <row r="56" spans="1:47" x14ac:dyDescent="0.2">
      <c r="A56" s="671"/>
      <c r="B56" s="449"/>
      <c r="C56" s="449"/>
      <c r="D56" s="449"/>
      <c r="E56" s="449"/>
      <c r="F56" s="492"/>
      <c r="G56" s="449"/>
      <c r="H56" s="463"/>
      <c r="I56" s="463"/>
      <c r="J56" s="463"/>
      <c r="K56" s="463"/>
      <c r="L56" s="463"/>
      <c r="M56" s="463"/>
      <c r="N56" s="459"/>
      <c r="O56" s="460"/>
      <c r="P56" s="461"/>
      <c r="Q56" s="490"/>
      <c r="R56" s="461"/>
      <c r="S56" s="460"/>
      <c r="T56" s="461"/>
      <c r="U56" s="489"/>
      <c r="V56" s="193">
        <v>2</v>
      </c>
      <c r="W56" s="193"/>
      <c r="X56" s="193"/>
      <c r="Y56" s="193"/>
      <c r="Z56" s="218" t="str">
        <f t="shared" si="1"/>
        <v xml:space="preserve">  </v>
      </c>
      <c r="AA56" s="170" t="str">
        <f>IF(OR(AB56="Preventivo",AB56="Detectivo"),"Probabilidad",IF(AB56="Correctivo","Impacto",""))</f>
        <v/>
      </c>
      <c r="AB56" s="171"/>
      <c r="AC56" s="171"/>
      <c r="AD56" s="172" t="str">
        <f t="shared" ref="AD56:AD60" si="70">IF(AND(AB56="Preventivo",AC56="Automático"),"50%",IF(AND(AB56="Preventivo",AC56="Manual"),"40%",IF(AND(AB56="Detectivo",AC56="Automático"),"40%",IF(AND(AB56="Detectivo",AC56="Manual"),"30%",IF(AND(AB56="Correctivo",AC56="Automático"),"35%",IF(AND(AB56="Correctivo",AC56="Manual"),"25%",""))))))</f>
        <v/>
      </c>
      <c r="AE56" s="171"/>
      <c r="AF56" s="171"/>
      <c r="AG56" s="171"/>
      <c r="AH56" s="173" t="str">
        <f>IFERROR(IF(AND(AA55="Probabilidad",AA56="Probabilidad"),(AJ55-(+AJ55*AD56)),IF(AA56="Probabilidad",(P55-(+P55*AD56)),IF(AA56="Impacto",AJ55,""))),"")</f>
        <v/>
      </c>
      <c r="AI56" s="174" t="str">
        <f t="shared" si="3"/>
        <v/>
      </c>
      <c r="AJ56" s="172" t="str">
        <f t="shared" ref="AJ56:AJ60" si="71">+AH56</f>
        <v/>
      </c>
      <c r="AK56" s="174" t="str">
        <f t="shared" si="5"/>
        <v/>
      </c>
      <c r="AL56" s="172" t="str">
        <f t="shared" ref="AL56" si="72">IFERROR(IF(AND(AA55="Impacto",AA56="Impacto"),(AL55-(+AL55*AD56)),IF(AA56="Impacto",($T$13-(+$T$13*AD56)),IF(AA56="Probabilidad",AL55,""))),"")</f>
        <v/>
      </c>
      <c r="AM56" s="175" t="str">
        <f t="shared" ref="AM56:AM57" si="73">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76"/>
      <c r="AO56" s="169"/>
      <c r="AP56" s="177"/>
      <c r="AQ56" s="177"/>
      <c r="AR56" s="178"/>
      <c r="AS56" s="459"/>
      <c r="AT56" s="459"/>
      <c r="AU56" s="459"/>
    </row>
    <row r="57" spans="1:47" x14ac:dyDescent="0.2">
      <c r="A57" s="671"/>
      <c r="B57" s="449"/>
      <c r="C57" s="449"/>
      <c r="D57" s="449"/>
      <c r="E57" s="449"/>
      <c r="F57" s="492"/>
      <c r="G57" s="449"/>
      <c r="H57" s="463"/>
      <c r="I57" s="463"/>
      <c r="J57" s="463"/>
      <c r="K57" s="463"/>
      <c r="L57" s="463"/>
      <c r="M57" s="463"/>
      <c r="N57" s="459"/>
      <c r="O57" s="460"/>
      <c r="P57" s="461"/>
      <c r="Q57" s="490"/>
      <c r="R57" s="461"/>
      <c r="S57" s="460"/>
      <c r="T57" s="461"/>
      <c r="U57" s="489"/>
      <c r="V57" s="193">
        <v>3</v>
      </c>
      <c r="W57" s="193"/>
      <c r="X57" s="193"/>
      <c r="Y57" s="193"/>
      <c r="Z57" s="218" t="str">
        <f t="shared" si="1"/>
        <v xml:space="preserve">  </v>
      </c>
      <c r="AA57" s="170" t="str">
        <f>IF(OR(AB57="Preventivo",AB57="Detectivo"),"Probabilidad",IF(AB57="Correctivo","Impacto",""))</f>
        <v/>
      </c>
      <c r="AB57" s="171"/>
      <c r="AC57" s="171"/>
      <c r="AD57" s="172" t="str">
        <f t="shared" si="70"/>
        <v/>
      </c>
      <c r="AE57" s="171"/>
      <c r="AF57" s="171"/>
      <c r="AG57" s="171"/>
      <c r="AH57" s="173" t="str">
        <f>IFERROR(IF(AND(AA56="Probabilidad",AA57="Probabilidad"),(AJ56-(+AJ56*AD57)),IF(AND(AA56="Impacto",AA57="Probabilidad"),(AJ55-(+AJ55*AD57)),IF(AA57="Impacto",AJ56,""))),"")</f>
        <v/>
      </c>
      <c r="AI57" s="174" t="str">
        <f t="shared" si="3"/>
        <v/>
      </c>
      <c r="AJ57" s="172" t="str">
        <f t="shared" si="71"/>
        <v/>
      </c>
      <c r="AK57" s="174" t="str">
        <f t="shared" si="5"/>
        <v/>
      </c>
      <c r="AL57" s="172" t="str">
        <f t="shared" ref="AL57" si="74">IFERROR(IF(AND(AA56="Impacto",AA57="Impacto"),(AL56-(+AL56*AD57)),IF(AND(AA56="Probabilidad",AA57="Impacto"),(AL55-(+AL55*AD57)),IF(AA57="Probabilidad",AL56,""))),"")</f>
        <v/>
      </c>
      <c r="AM57" s="175" t="str">
        <f t="shared" si="73"/>
        <v/>
      </c>
      <c r="AN57" s="176"/>
      <c r="AO57" s="169"/>
      <c r="AP57" s="177"/>
      <c r="AQ57" s="177"/>
      <c r="AR57" s="178"/>
      <c r="AS57" s="459"/>
      <c r="AT57" s="459"/>
      <c r="AU57" s="459"/>
    </row>
    <row r="58" spans="1:47" x14ac:dyDescent="0.2">
      <c r="A58" s="671"/>
      <c r="B58" s="449"/>
      <c r="C58" s="449"/>
      <c r="D58" s="449"/>
      <c r="E58" s="449"/>
      <c r="F58" s="492"/>
      <c r="G58" s="449"/>
      <c r="H58" s="463"/>
      <c r="I58" s="463"/>
      <c r="J58" s="463"/>
      <c r="K58" s="463"/>
      <c r="L58" s="463"/>
      <c r="M58" s="463"/>
      <c r="N58" s="459"/>
      <c r="O58" s="460"/>
      <c r="P58" s="461"/>
      <c r="Q58" s="490"/>
      <c r="R58" s="461"/>
      <c r="S58" s="460"/>
      <c r="T58" s="461"/>
      <c r="U58" s="489"/>
      <c r="V58" s="193">
        <v>4</v>
      </c>
      <c r="W58" s="193"/>
      <c r="X58" s="193"/>
      <c r="Y58" s="193"/>
      <c r="Z58" s="218" t="str">
        <f t="shared" si="1"/>
        <v xml:space="preserve">  </v>
      </c>
      <c r="AA58" s="170" t="str">
        <f t="shared" ref="AA58:AA60" si="75">IF(OR(AB58="Preventivo",AB58="Detectivo"),"Probabilidad",IF(AB58="Correctivo","Impacto",""))</f>
        <v/>
      </c>
      <c r="AB58" s="171"/>
      <c r="AC58" s="171"/>
      <c r="AD58" s="172" t="str">
        <f t="shared" si="70"/>
        <v/>
      </c>
      <c r="AE58" s="171"/>
      <c r="AF58" s="171"/>
      <c r="AG58" s="171"/>
      <c r="AH58" s="173" t="str">
        <f t="shared" ref="AH58:AH60" si="76">IFERROR(IF(AND(AA57="Probabilidad",AA58="Probabilidad"),(AJ57-(+AJ57*AD58)),IF(AND(AA57="Impacto",AA58="Probabilidad"),(AJ56-(+AJ56*AD58)),IF(AA58="Impacto",AJ57,""))),"")</f>
        <v/>
      </c>
      <c r="AI58" s="174" t="str">
        <f t="shared" si="3"/>
        <v/>
      </c>
      <c r="AJ58" s="172" t="str">
        <f t="shared" si="71"/>
        <v/>
      </c>
      <c r="AK58" s="174" t="str">
        <f t="shared" si="5"/>
        <v/>
      </c>
      <c r="AL58" s="172" t="str">
        <f t="shared" si="14"/>
        <v/>
      </c>
      <c r="AM58" s="175"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76"/>
      <c r="AO58" s="169"/>
      <c r="AP58" s="177"/>
      <c r="AQ58" s="177"/>
      <c r="AR58" s="178"/>
      <c r="AS58" s="459"/>
      <c r="AT58" s="459"/>
      <c r="AU58" s="459"/>
    </row>
    <row r="59" spans="1:47" x14ac:dyDescent="0.2">
      <c r="A59" s="671"/>
      <c r="B59" s="449"/>
      <c r="C59" s="449"/>
      <c r="D59" s="449"/>
      <c r="E59" s="449"/>
      <c r="F59" s="492"/>
      <c r="G59" s="449"/>
      <c r="H59" s="463"/>
      <c r="I59" s="463"/>
      <c r="J59" s="463"/>
      <c r="K59" s="463"/>
      <c r="L59" s="463"/>
      <c r="M59" s="463"/>
      <c r="N59" s="459"/>
      <c r="O59" s="460"/>
      <c r="P59" s="461"/>
      <c r="Q59" s="490"/>
      <c r="R59" s="461"/>
      <c r="S59" s="460"/>
      <c r="T59" s="461"/>
      <c r="U59" s="489"/>
      <c r="V59" s="193">
        <v>5</v>
      </c>
      <c r="W59" s="193"/>
      <c r="X59" s="193"/>
      <c r="Y59" s="193"/>
      <c r="Z59" s="218" t="str">
        <f t="shared" si="1"/>
        <v xml:space="preserve">  </v>
      </c>
      <c r="AA59" s="170" t="str">
        <f t="shared" si="75"/>
        <v/>
      </c>
      <c r="AB59" s="171"/>
      <c r="AC59" s="171"/>
      <c r="AD59" s="172" t="str">
        <f t="shared" si="70"/>
        <v/>
      </c>
      <c r="AE59" s="171"/>
      <c r="AF59" s="171"/>
      <c r="AG59" s="171"/>
      <c r="AH59" s="173" t="str">
        <f t="shared" si="76"/>
        <v/>
      </c>
      <c r="AI59" s="174" t="str">
        <f t="shared" si="3"/>
        <v/>
      </c>
      <c r="AJ59" s="172" t="str">
        <f t="shared" si="71"/>
        <v/>
      </c>
      <c r="AK59" s="174" t="str">
        <f t="shared" si="5"/>
        <v/>
      </c>
      <c r="AL59" s="172" t="str">
        <f t="shared" si="14"/>
        <v/>
      </c>
      <c r="AM59" s="175" t="str">
        <f t="shared" ref="AM59:AM60" si="77">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76"/>
      <c r="AO59" s="169"/>
      <c r="AP59" s="177"/>
      <c r="AQ59" s="177"/>
      <c r="AR59" s="178"/>
      <c r="AS59" s="459"/>
      <c r="AT59" s="459"/>
      <c r="AU59" s="459"/>
    </row>
    <row r="60" spans="1:47" x14ac:dyDescent="0.2">
      <c r="A60" s="671"/>
      <c r="B60" s="449"/>
      <c r="C60" s="449"/>
      <c r="D60" s="449"/>
      <c r="E60" s="449"/>
      <c r="F60" s="492"/>
      <c r="G60" s="449"/>
      <c r="H60" s="491"/>
      <c r="I60" s="491"/>
      <c r="J60" s="491"/>
      <c r="K60" s="491"/>
      <c r="L60" s="491"/>
      <c r="M60" s="491"/>
      <c r="N60" s="459"/>
      <c r="O60" s="460"/>
      <c r="P60" s="461"/>
      <c r="Q60" s="490"/>
      <c r="R60" s="461"/>
      <c r="S60" s="460"/>
      <c r="T60" s="461"/>
      <c r="U60" s="489"/>
      <c r="V60" s="193">
        <v>6</v>
      </c>
      <c r="W60" s="193"/>
      <c r="X60" s="193"/>
      <c r="Y60" s="193"/>
      <c r="Z60" s="218" t="str">
        <f t="shared" si="1"/>
        <v xml:space="preserve">  </v>
      </c>
      <c r="AA60" s="170" t="str">
        <f t="shared" si="75"/>
        <v/>
      </c>
      <c r="AB60" s="171"/>
      <c r="AC60" s="171"/>
      <c r="AD60" s="172" t="str">
        <f t="shared" si="70"/>
        <v/>
      </c>
      <c r="AE60" s="171"/>
      <c r="AF60" s="171"/>
      <c r="AG60" s="171"/>
      <c r="AH60" s="173" t="str">
        <f t="shared" si="76"/>
        <v/>
      </c>
      <c r="AI60" s="174" t="str">
        <f t="shared" si="3"/>
        <v/>
      </c>
      <c r="AJ60" s="172" t="str">
        <f t="shared" si="71"/>
        <v/>
      </c>
      <c r="AK60" s="174" t="str">
        <f t="shared" si="5"/>
        <v/>
      </c>
      <c r="AL60" s="172" t="str">
        <f t="shared" si="14"/>
        <v/>
      </c>
      <c r="AM60" s="175" t="str">
        <f t="shared" si="77"/>
        <v/>
      </c>
      <c r="AN60" s="176"/>
      <c r="AO60" s="169"/>
      <c r="AP60" s="177"/>
      <c r="AQ60" s="177"/>
      <c r="AR60" s="178"/>
      <c r="AS60" s="459"/>
      <c r="AT60" s="459"/>
      <c r="AU60" s="459"/>
    </row>
    <row r="61" spans="1:47" x14ac:dyDescent="0.2">
      <c r="A61" s="671">
        <v>9</v>
      </c>
      <c r="B61" s="449"/>
      <c r="C61" s="449"/>
      <c r="D61" s="449"/>
      <c r="E61" s="449"/>
      <c r="F61" s="492" t="str">
        <f t="shared" ref="F61" si="78">+CONCATENATE(B61," ",C61," ",D61)</f>
        <v xml:space="preserve">  </v>
      </c>
      <c r="G61" s="449"/>
      <c r="H61" s="462"/>
      <c r="I61" s="200"/>
      <c r="J61" s="200"/>
      <c r="K61" s="200"/>
      <c r="L61" s="462"/>
      <c r="M61" s="462"/>
      <c r="N61" s="459"/>
      <c r="O61" s="460" t="str">
        <f>IF(N61&lt;=0,"",IF(N61&lt;=2,"Muy Baja",IF(N61&lt;=24,"Baja",IF(N61&lt;=500,"Media",IF(N61&lt;=5000,"Alta","Muy Alta")))))</f>
        <v/>
      </c>
      <c r="P61" s="461" t="str">
        <f>IF(O61="","",IF(O61="Muy Baja",0.2,IF(O61="Baja",0.4,IF(O61="Media",0.6,IF(O61="Alta",0.8,IF(O61="Muy Alta",1,))))))</f>
        <v/>
      </c>
      <c r="Q61" s="490"/>
      <c r="R61" s="461">
        <f>IF(NOT(ISERROR(MATCH(Q61,'Tabla Impacto'!$B$245:$B$249,0))),'Tabla Impacto'!$F$224&amp;"Por favor no seleccionar los criterios de impacto(Reputacional, Operativo, Legal, ni Contagio)",Q61)</f>
        <v>0</v>
      </c>
      <c r="S61" s="460" t="str">
        <f>IF(OR(R61='Tabla Impacto'!$C$12,R61='Tabla Impacto'!$D$12),"Leve",IF(OR(R61='Tabla Impacto'!$C$13,R61='Tabla Impacto'!$D$13),"Menor",IF(OR(R61='Tabla Impacto'!$C$14,R61='Tabla Impacto'!$D$14),"Moderado",IF(OR(R61='Tabla Impacto'!$C$15,R61='Tabla Impacto'!$D$15),"Mayor",IF(OR(R61='Tabla Impacto'!$C$16,R61='Tabla Impacto'!$D$16),"Catastrófico","")))))</f>
        <v/>
      </c>
      <c r="T61" s="461" t="str">
        <f>IF(S61="","",IF(S61="Leve",0.2,IF(S61="Menor",0.4,IF(S61="Moderado",0.6,IF(S61="Mayor",0.8,IF(S61="Catastrófico",1,))))))</f>
        <v/>
      </c>
      <c r="U61" s="489"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3">
        <v>1</v>
      </c>
      <c r="W61" s="193"/>
      <c r="X61" s="193"/>
      <c r="Y61" s="193"/>
      <c r="Z61" s="218" t="str">
        <f t="shared" si="1"/>
        <v xml:space="preserve">  </v>
      </c>
      <c r="AA61" s="170" t="str">
        <f>IF(OR(AB61="Preventivo",AB61="Detectivo"),"Probabilidad",IF(AB61="Correctivo","Impacto",""))</f>
        <v/>
      </c>
      <c r="AB61" s="171"/>
      <c r="AC61" s="171"/>
      <c r="AD61" s="172" t="str">
        <f>IF(AND(AB61="Preventivo",AC61="Automático"),"50%",IF(AND(AB61="Preventivo",AC61="Manual"),"40%",IF(AND(AB61="Detectivo",AC61="Automático"),"40%",IF(AND(AB61="Detectivo",AC61="Manual"),"30%",IF(AND(AB61="Correctivo",AC61="Automático"),"35%",IF(AND(AB61="Correctivo",AC61="Manual"),"25%",""))))))</f>
        <v/>
      </c>
      <c r="AE61" s="171"/>
      <c r="AF61" s="171"/>
      <c r="AG61" s="171"/>
      <c r="AH61" s="173" t="str">
        <f>IFERROR(IF(AA61="Probabilidad",(P61-(+P61*AD61)),IF(AA61="Impacto",P61,"")),"")</f>
        <v/>
      </c>
      <c r="AI61" s="174" t="str">
        <f>IFERROR(IF(AH61="","",IF(AH61&lt;=0.2,"Muy Baja",IF(AH61&lt;=0.4,"Baja",IF(AH61&lt;=0.6,"Media",IF(AH61&lt;=0.8,"Alta","Muy Alta"))))),"")</f>
        <v/>
      </c>
      <c r="AJ61" s="172" t="str">
        <f>+AH61</f>
        <v/>
      </c>
      <c r="AK61" s="174" t="str">
        <f>IFERROR(IF(AL61="","",IF(AL61&lt;=0.2,"Leve",IF(AL61&lt;=0.4,"Menor",IF(AL61&lt;=0.6,"Moderado",IF(AL61&lt;=0.8,"Mayor","Catastrófico"))))),"")</f>
        <v/>
      </c>
      <c r="AL61" s="172" t="str">
        <f t="shared" ref="AL61" si="79">IFERROR(IF(AA61="Impacto",(T61-(+T61*AD61)),IF(AA61="Probabilidad",T61,"")),"")</f>
        <v/>
      </c>
      <c r="AM61" s="175"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76"/>
      <c r="AO61" s="169"/>
      <c r="AP61" s="177"/>
      <c r="AQ61" s="177"/>
      <c r="AR61" s="178"/>
      <c r="AS61" s="459"/>
      <c r="AT61" s="459"/>
      <c r="AU61" s="459"/>
    </row>
    <row r="62" spans="1:47" x14ac:dyDescent="0.2">
      <c r="A62" s="671"/>
      <c r="B62" s="449"/>
      <c r="C62" s="449"/>
      <c r="D62" s="449"/>
      <c r="E62" s="449"/>
      <c r="F62" s="492"/>
      <c r="G62" s="449"/>
      <c r="H62" s="463"/>
      <c r="I62" s="201"/>
      <c r="J62" s="201"/>
      <c r="K62" s="201"/>
      <c r="L62" s="463"/>
      <c r="M62" s="463"/>
      <c r="N62" s="459"/>
      <c r="O62" s="460"/>
      <c r="P62" s="461"/>
      <c r="Q62" s="490"/>
      <c r="R62" s="461"/>
      <c r="S62" s="460"/>
      <c r="T62" s="461"/>
      <c r="U62" s="489"/>
      <c r="V62" s="193">
        <v>2</v>
      </c>
      <c r="W62" s="193"/>
      <c r="X62" s="193"/>
      <c r="Y62" s="193"/>
      <c r="Z62" s="218" t="str">
        <f t="shared" si="1"/>
        <v xml:space="preserve">  </v>
      </c>
      <c r="AA62" s="170" t="str">
        <f>IF(OR(AB62="Preventivo",AB62="Detectivo"),"Probabilidad",IF(AB62="Correctivo","Impacto",""))</f>
        <v/>
      </c>
      <c r="AB62" s="171"/>
      <c r="AC62" s="171"/>
      <c r="AD62" s="172" t="str">
        <f t="shared" ref="AD62:AD66" si="80">IF(AND(AB62="Preventivo",AC62="Automático"),"50%",IF(AND(AB62="Preventivo",AC62="Manual"),"40%",IF(AND(AB62="Detectivo",AC62="Automático"),"40%",IF(AND(AB62="Detectivo",AC62="Manual"),"30%",IF(AND(AB62="Correctivo",AC62="Automático"),"35%",IF(AND(AB62="Correctivo",AC62="Manual"),"25%",""))))))</f>
        <v/>
      </c>
      <c r="AE62" s="171"/>
      <c r="AF62" s="171"/>
      <c r="AG62" s="171"/>
      <c r="AH62" s="173" t="str">
        <f>IFERROR(IF(AND(AA61="Probabilidad",AA62="Probabilidad"),(AJ61-(+AJ61*AD62)),IF(AA62="Probabilidad",(P61-(+P61*AD62)),IF(AA62="Impacto",AJ61,""))),"")</f>
        <v/>
      </c>
      <c r="AI62" s="174" t="str">
        <f t="shared" si="3"/>
        <v/>
      </c>
      <c r="AJ62" s="172" t="str">
        <f t="shared" ref="AJ62:AJ66" si="81">+AH62</f>
        <v/>
      </c>
      <c r="AK62" s="174" t="str">
        <f t="shared" si="5"/>
        <v/>
      </c>
      <c r="AL62" s="172" t="str">
        <f t="shared" ref="AL62" si="82">IFERROR(IF(AND(AA61="Impacto",AA62="Impacto"),(AL61-(+AL61*AD62)),IF(AA62="Impacto",($T$13-(+$T$13*AD62)),IF(AA62="Probabilidad",AL61,""))),"")</f>
        <v/>
      </c>
      <c r="AM62" s="175" t="str">
        <f t="shared" ref="AM62:AM63" si="83">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76"/>
      <c r="AO62" s="169"/>
      <c r="AP62" s="177"/>
      <c r="AQ62" s="177"/>
      <c r="AR62" s="178"/>
      <c r="AS62" s="459"/>
      <c r="AT62" s="459"/>
      <c r="AU62" s="459"/>
    </row>
    <row r="63" spans="1:47" x14ac:dyDescent="0.2">
      <c r="A63" s="671"/>
      <c r="B63" s="449"/>
      <c r="C63" s="449"/>
      <c r="D63" s="449"/>
      <c r="E63" s="449"/>
      <c r="F63" s="492"/>
      <c r="G63" s="449"/>
      <c r="H63" s="463"/>
      <c r="I63" s="201"/>
      <c r="J63" s="201"/>
      <c r="K63" s="201"/>
      <c r="L63" s="463"/>
      <c r="M63" s="463"/>
      <c r="N63" s="459"/>
      <c r="O63" s="460"/>
      <c r="P63" s="461"/>
      <c r="Q63" s="490"/>
      <c r="R63" s="461"/>
      <c r="S63" s="460"/>
      <c r="T63" s="461"/>
      <c r="U63" s="489"/>
      <c r="V63" s="193">
        <v>3</v>
      </c>
      <c r="W63" s="193"/>
      <c r="X63" s="193"/>
      <c r="Y63" s="193"/>
      <c r="Z63" s="218" t="str">
        <f t="shared" si="1"/>
        <v xml:space="preserve">  </v>
      </c>
      <c r="AA63" s="170" t="str">
        <f>IF(OR(AB63="Preventivo",AB63="Detectivo"),"Probabilidad",IF(AB63="Correctivo","Impacto",""))</f>
        <v/>
      </c>
      <c r="AB63" s="171"/>
      <c r="AC63" s="171"/>
      <c r="AD63" s="172" t="str">
        <f t="shared" si="80"/>
        <v/>
      </c>
      <c r="AE63" s="171"/>
      <c r="AF63" s="171"/>
      <c r="AG63" s="171"/>
      <c r="AH63" s="173" t="str">
        <f>IFERROR(IF(AND(AA62="Probabilidad",AA63="Probabilidad"),(AJ62-(+AJ62*AD63)),IF(AND(AA62="Impacto",AA63="Probabilidad"),(AJ61-(+AJ61*AD63)),IF(AA63="Impacto",AJ62,""))),"")</f>
        <v/>
      </c>
      <c r="AI63" s="174" t="str">
        <f t="shared" si="3"/>
        <v/>
      </c>
      <c r="AJ63" s="172" t="str">
        <f t="shared" si="81"/>
        <v/>
      </c>
      <c r="AK63" s="174" t="str">
        <f t="shared" si="5"/>
        <v/>
      </c>
      <c r="AL63" s="172" t="str">
        <f t="shared" ref="AL63" si="84">IFERROR(IF(AND(AA62="Impacto",AA63="Impacto"),(AL62-(+AL62*AD63)),IF(AND(AA62="Probabilidad",AA63="Impacto"),(AL61-(+AL61*AD63)),IF(AA63="Probabilidad",AL62,""))),"")</f>
        <v/>
      </c>
      <c r="AM63" s="175" t="str">
        <f t="shared" si="83"/>
        <v/>
      </c>
      <c r="AN63" s="176"/>
      <c r="AO63" s="169"/>
      <c r="AP63" s="177"/>
      <c r="AQ63" s="177"/>
      <c r="AR63" s="178"/>
      <c r="AS63" s="459"/>
      <c r="AT63" s="459"/>
      <c r="AU63" s="459"/>
    </row>
    <row r="64" spans="1:47" x14ac:dyDescent="0.2">
      <c r="A64" s="671"/>
      <c r="B64" s="449"/>
      <c r="C64" s="449"/>
      <c r="D64" s="449"/>
      <c r="E64" s="449"/>
      <c r="F64" s="492"/>
      <c r="G64" s="449"/>
      <c r="H64" s="463"/>
      <c r="I64" s="201"/>
      <c r="J64" s="201"/>
      <c r="K64" s="201"/>
      <c r="L64" s="463"/>
      <c r="M64" s="463"/>
      <c r="N64" s="459"/>
      <c r="O64" s="460"/>
      <c r="P64" s="461"/>
      <c r="Q64" s="490"/>
      <c r="R64" s="461"/>
      <c r="S64" s="460"/>
      <c r="T64" s="461"/>
      <c r="U64" s="489"/>
      <c r="V64" s="193">
        <v>4</v>
      </c>
      <c r="W64" s="193"/>
      <c r="X64" s="193"/>
      <c r="Y64" s="193"/>
      <c r="Z64" s="218" t="str">
        <f t="shared" si="1"/>
        <v xml:space="preserve">  </v>
      </c>
      <c r="AA64" s="170" t="str">
        <f t="shared" ref="AA64:AA66" si="85">IF(OR(AB64="Preventivo",AB64="Detectivo"),"Probabilidad",IF(AB64="Correctivo","Impacto",""))</f>
        <v/>
      </c>
      <c r="AB64" s="171"/>
      <c r="AC64" s="171"/>
      <c r="AD64" s="172" t="str">
        <f t="shared" si="80"/>
        <v/>
      </c>
      <c r="AE64" s="171"/>
      <c r="AF64" s="171"/>
      <c r="AG64" s="171"/>
      <c r="AH64" s="173" t="str">
        <f t="shared" ref="AH64:AH66" si="86">IFERROR(IF(AND(AA63="Probabilidad",AA64="Probabilidad"),(AJ63-(+AJ63*AD64)),IF(AND(AA63="Impacto",AA64="Probabilidad"),(AJ62-(+AJ62*AD64)),IF(AA64="Impacto",AJ63,""))),"")</f>
        <v/>
      </c>
      <c r="AI64" s="174" t="str">
        <f t="shared" si="3"/>
        <v/>
      </c>
      <c r="AJ64" s="172" t="str">
        <f t="shared" si="81"/>
        <v/>
      </c>
      <c r="AK64" s="174" t="str">
        <f t="shared" si="5"/>
        <v/>
      </c>
      <c r="AL64" s="172" t="str">
        <f t="shared" si="14"/>
        <v/>
      </c>
      <c r="AM64" s="175"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76"/>
      <c r="AO64" s="169"/>
      <c r="AP64" s="177"/>
      <c r="AQ64" s="177"/>
      <c r="AR64" s="178"/>
      <c r="AS64" s="459"/>
      <c r="AT64" s="459"/>
      <c r="AU64" s="459"/>
    </row>
    <row r="65" spans="1:47" x14ac:dyDescent="0.2">
      <c r="A65" s="671"/>
      <c r="B65" s="449"/>
      <c r="C65" s="449"/>
      <c r="D65" s="449"/>
      <c r="E65" s="449"/>
      <c r="F65" s="492"/>
      <c r="G65" s="449"/>
      <c r="H65" s="463"/>
      <c r="I65" s="201"/>
      <c r="J65" s="201"/>
      <c r="K65" s="201"/>
      <c r="L65" s="463"/>
      <c r="M65" s="463"/>
      <c r="N65" s="459"/>
      <c r="O65" s="460"/>
      <c r="P65" s="461"/>
      <c r="Q65" s="490"/>
      <c r="R65" s="461"/>
      <c r="S65" s="460"/>
      <c r="T65" s="461"/>
      <c r="U65" s="489"/>
      <c r="V65" s="193">
        <v>5</v>
      </c>
      <c r="W65" s="193"/>
      <c r="X65" s="193"/>
      <c r="Y65" s="193"/>
      <c r="Z65" s="218" t="str">
        <f t="shared" si="1"/>
        <v xml:space="preserve">  </v>
      </c>
      <c r="AA65" s="170" t="str">
        <f t="shared" si="85"/>
        <v/>
      </c>
      <c r="AB65" s="171"/>
      <c r="AC65" s="171"/>
      <c r="AD65" s="172" t="str">
        <f t="shared" si="80"/>
        <v/>
      </c>
      <c r="AE65" s="171"/>
      <c r="AF65" s="171"/>
      <c r="AG65" s="171"/>
      <c r="AH65" s="173" t="str">
        <f t="shared" si="86"/>
        <v/>
      </c>
      <c r="AI65" s="174" t="str">
        <f t="shared" si="3"/>
        <v/>
      </c>
      <c r="AJ65" s="172" t="str">
        <f t="shared" si="81"/>
        <v/>
      </c>
      <c r="AK65" s="174" t="str">
        <f t="shared" si="5"/>
        <v/>
      </c>
      <c r="AL65" s="172" t="str">
        <f t="shared" si="14"/>
        <v/>
      </c>
      <c r="AM65" s="175" t="str">
        <f t="shared" ref="AM65:AM66" si="87">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76"/>
      <c r="AO65" s="169"/>
      <c r="AP65" s="177"/>
      <c r="AQ65" s="177"/>
      <c r="AR65" s="178"/>
      <c r="AS65" s="459"/>
      <c r="AT65" s="459"/>
      <c r="AU65" s="459"/>
    </row>
    <row r="66" spans="1:47" x14ac:dyDescent="0.2">
      <c r="A66" s="671"/>
      <c r="B66" s="449"/>
      <c r="C66" s="449"/>
      <c r="D66" s="449"/>
      <c r="E66" s="449"/>
      <c r="F66" s="492"/>
      <c r="G66" s="449"/>
      <c r="H66" s="491"/>
      <c r="I66" s="202"/>
      <c r="J66" s="202"/>
      <c r="K66" s="202"/>
      <c r="L66" s="491"/>
      <c r="M66" s="491"/>
      <c r="N66" s="459"/>
      <c r="O66" s="460"/>
      <c r="P66" s="461"/>
      <c r="Q66" s="490"/>
      <c r="R66" s="461"/>
      <c r="S66" s="460"/>
      <c r="T66" s="461"/>
      <c r="U66" s="489"/>
      <c r="V66" s="193">
        <v>6</v>
      </c>
      <c r="W66" s="193"/>
      <c r="X66" s="193"/>
      <c r="Y66" s="193"/>
      <c r="Z66" s="218" t="str">
        <f t="shared" si="1"/>
        <v xml:space="preserve">  </v>
      </c>
      <c r="AA66" s="170" t="str">
        <f t="shared" si="85"/>
        <v/>
      </c>
      <c r="AB66" s="171"/>
      <c r="AC66" s="171"/>
      <c r="AD66" s="172" t="str">
        <f t="shared" si="80"/>
        <v/>
      </c>
      <c r="AE66" s="171"/>
      <c r="AF66" s="171"/>
      <c r="AG66" s="171"/>
      <c r="AH66" s="173" t="str">
        <f t="shared" si="86"/>
        <v/>
      </c>
      <c r="AI66" s="174" t="str">
        <f t="shared" si="3"/>
        <v/>
      </c>
      <c r="AJ66" s="172" t="str">
        <f t="shared" si="81"/>
        <v/>
      </c>
      <c r="AK66" s="174" t="str">
        <f t="shared" si="5"/>
        <v/>
      </c>
      <c r="AL66" s="172" t="str">
        <f t="shared" si="14"/>
        <v/>
      </c>
      <c r="AM66" s="175" t="str">
        <f t="shared" si="87"/>
        <v/>
      </c>
      <c r="AN66" s="176"/>
      <c r="AO66" s="169"/>
      <c r="AP66" s="177"/>
      <c r="AQ66" s="177"/>
      <c r="AR66" s="178"/>
      <c r="AS66" s="459"/>
      <c r="AT66" s="459"/>
      <c r="AU66" s="459"/>
    </row>
    <row r="67" spans="1:47" x14ac:dyDescent="0.2">
      <c r="A67" s="671">
        <v>10</v>
      </c>
      <c r="B67" s="449"/>
      <c r="C67" s="449"/>
      <c r="D67" s="449"/>
      <c r="E67" s="449"/>
      <c r="F67" s="492" t="str">
        <f t="shared" ref="F67" si="88">+CONCATENATE(B67," ",C67," ",D67)</f>
        <v xml:space="preserve">  </v>
      </c>
      <c r="G67" s="449"/>
      <c r="H67" s="462"/>
      <c r="I67" s="200"/>
      <c r="J67" s="200"/>
      <c r="K67" s="200"/>
      <c r="L67" s="462"/>
      <c r="M67" s="462"/>
      <c r="N67" s="459"/>
      <c r="O67" s="460" t="str">
        <f>IF(N67&lt;=0,"",IF(N67&lt;=2,"Muy Baja",IF(N67&lt;=24,"Baja",IF(N67&lt;=500,"Media",IF(N67&lt;=5000,"Alta","Muy Alta")))))</f>
        <v/>
      </c>
      <c r="P67" s="461" t="str">
        <f>IF(O67="","",IF(O67="Muy Baja",0.2,IF(O67="Baja",0.4,IF(O67="Media",0.6,IF(O67="Alta",0.8,IF(O67="Muy Alta",1,))))))</f>
        <v/>
      </c>
      <c r="Q67" s="490"/>
      <c r="R67" s="461">
        <f>IF(NOT(ISERROR(MATCH(Q67,'Tabla Impacto'!$B$245:$B$249,0))),'Tabla Impacto'!$F$224&amp;"Por favor no seleccionar los criterios de impacto(Reputacional, Operativo, Legal, ni Contagio)",Q67)</f>
        <v>0</v>
      </c>
      <c r="S67" s="460" t="str">
        <f>IF(OR(R67='Tabla Impacto'!$C$12,R67='Tabla Impacto'!$D$12),"Leve",IF(OR(R67='Tabla Impacto'!$C$13,R67='Tabla Impacto'!$D$13),"Menor",IF(OR(R67='Tabla Impacto'!$C$14,R67='Tabla Impacto'!$D$14),"Moderado",IF(OR(R67='Tabla Impacto'!$C$15,R67='Tabla Impacto'!$D$15),"Mayor",IF(OR(R67='Tabla Impacto'!$C$16,R67='Tabla Impacto'!$D$16),"Catastrófico","")))))</f>
        <v/>
      </c>
      <c r="T67" s="461" t="str">
        <f>IF(S67="","",IF(S67="Leve",0.2,IF(S67="Menor",0.4,IF(S67="Moderado",0.6,IF(S67="Mayor",0.8,IF(S67="Catastrófico",1,))))))</f>
        <v/>
      </c>
      <c r="U67" s="489"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3">
        <v>1</v>
      </c>
      <c r="W67" s="193"/>
      <c r="X67" s="193"/>
      <c r="Y67" s="193"/>
      <c r="Z67" s="218" t="str">
        <f t="shared" si="1"/>
        <v xml:space="preserve">  </v>
      </c>
      <c r="AA67" s="170" t="str">
        <f>IF(OR(AB67="Preventivo",AB67="Detectivo"),"Probabilidad",IF(AB67="Correctivo","Impacto",""))</f>
        <v/>
      </c>
      <c r="AB67" s="171"/>
      <c r="AC67" s="171"/>
      <c r="AD67" s="172" t="str">
        <f>IF(AND(AB67="Preventivo",AC67="Automático"),"50%",IF(AND(AB67="Preventivo",AC67="Manual"),"40%",IF(AND(AB67="Detectivo",AC67="Automático"),"40%",IF(AND(AB67="Detectivo",AC67="Manual"),"30%",IF(AND(AB67="Correctivo",AC67="Automático"),"35%",IF(AND(AB67="Correctivo",AC67="Manual"),"25%",""))))))</f>
        <v/>
      </c>
      <c r="AE67" s="171"/>
      <c r="AF67" s="171"/>
      <c r="AG67" s="171"/>
      <c r="AH67" s="173" t="str">
        <f>IFERROR(IF(AA67="Probabilidad",(P67-(+P67*AD67)),IF(AA67="Impacto",P67,"")),"")</f>
        <v/>
      </c>
      <c r="AI67" s="174" t="str">
        <f>IFERROR(IF(AH67="","",IF(AH67&lt;=0.2,"Muy Baja",IF(AH67&lt;=0.4,"Baja",IF(AH67&lt;=0.6,"Media",IF(AH67&lt;=0.8,"Alta","Muy Alta"))))),"")</f>
        <v/>
      </c>
      <c r="AJ67" s="172" t="str">
        <f>+AH67</f>
        <v/>
      </c>
      <c r="AK67" s="174" t="str">
        <f>IFERROR(IF(AL67="","",IF(AL67&lt;=0.2,"Leve",IF(AL67&lt;=0.4,"Menor",IF(AL67&lt;=0.6,"Moderado",IF(AL67&lt;=0.8,"Mayor","Catastrófico"))))),"")</f>
        <v/>
      </c>
      <c r="AL67" s="172" t="str">
        <f t="shared" ref="AL67" si="89">IFERROR(IF(AA67="Impacto",(T67-(+T67*AD67)),IF(AA67="Probabilidad",T67,"")),"")</f>
        <v/>
      </c>
      <c r="AM67" s="175"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76"/>
      <c r="AO67" s="169"/>
      <c r="AP67" s="177"/>
      <c r="AQ67" s="177"/>
      <c r="AR67" s="178"/>
      <c r="AS67" s="459"/>
      <c r="AT67" s="459"/>
      <c r="AU67" s="459"/>
    </row>
    <row r="68" spans="1:47" x14ac:dyDescent="0.2">
      <c r="A68" s="671"/>
      <c r="B68" s="449"/>
      <c r="C68" s="449"/>
      <c r="D68" s="449"/>
      <c r="E68" s="449"/>
      <c r="F68" s="492"/>
      <c r="G68" s="449"/>
      <c r="H68" s="463"/>
      <c r="I68" s="201"/>
      <c r="J68" s="201"/>
      <c r="K68" s="201"/>
      <c r="L68" s="463"/>
      <c r="M68" s="463"/>
      <c r="N68" s="459"/>
      <c r="O68" s="460"/>
      <c r="P68" s="461"/>
      <c r="Q68" s="490"/>
      <c r="R68" s="461"/>
      <c r="S68" s="460"/>
      <c r="T68" s="461"/>
      <c r="U68" s="489"/>
      <c r="V68" s="193">
        <v>2</v>
      </c>
      <c r="W68" s="193"/>
      <c r="X68" s="193"/>
      <c r="Y68" s="193"/>
      <c r="Z68" s="218" t="str">
        <f t="shared" si="1"/>
        <v xml:space="preserve">  </v>
      </c>
      <c r="AA68" s="170" t="str">
        <f>IF(OR(AB68="Preventivo",AB68="Detectivo"),"Probabilidad",IF(AB68="Correctivo","Impacto",""))</f>
        <v/>
      </c>
      <c r="AB68" s="171"/>
      <c r="AC68" s="171"/>
      <c r="AD68" s="172" t="str">
        <f t="shared" ref="AD68:AD72" si="90">IF(AND(AB68="Preventivo",AC68="Automático"),"50%",IF(AND(AB68="Preventivo",AC68="Manual"),"40%",IF(AND(AB68="Detectivo",AC68="Automático"),"40%",IF(AND(AB68="Detectivo",AC68="Manual"),"30%",IF(AND(AB68="Correctivo",AC68="Automático"),"35%",IF(AND(AB68="Correctivo",AC68="Manual"),"25%",""))))))</f>
        <v/>
      </c>
      <c r="AE68" s="171"/>
      <c r="AF68" s="171"/>
      <c r="AG68" s="171"/>
      <c r="AH68" s="173" t="str">
        <f>IFERROR(IF(AND(AA67="Probabilidad",AA68="Probabilidad"),(AJ67-(+AJ67*AD68)),IF(AA68="Probabilidad",(P67-(+P67*AD68)),IF(AA68="Impacto",AJ67,""))),"")</f>
        <v/>
      </c>
      <c r="AI68" s="174" t="str">
        <f t="shared" si="3"/>
        <v/>
      </c>
      <c r="AJ68" s="172" t="str">
        <f t="shared" ref="AJ68:AJ72" si="91">+AH68</f>
        <v/>
      </c>
      <c r="AK68" s="174" t="str">
        <f t="shared" si="5"/>
        <v/>
      </c>
      <c r="AL68" s="172" t="str">
        <f t="shared" ref="AL68" si="92">IFERROR(IF(AND(AA67="Impacto",AA68="Impacto"),(AL67-(+AL67*AD68)),IF(AA68="Impacto",($T$13-(+$T$13*AD68)),IF(AA68="Probabilidad",AL67,""))),"")</f>
        <v/>
      </c>
      <c r="AM68" s="175" t="str">
        <f t="shared" ref="AM68:AM69" si="93">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76"/>
      <c r="AO68" s="169"/>
      <c r="AP68" s="177"/>
      <c r="AQ68" s="177"/>
      <c r="AR68" s="178"/>
      <c r="AS68" s="459"/>
      <c r="AT68" s="459"/>
      <c r="AU68" s="459"/>
    </row>
    <row r="69" spans="1:47" x14ac:dyDescent="0.2">
      <c r="A69" s="671"/>
      <c r="B69" s="449"/>
      <c r="C69" s="449"/>
      <c r="D69" s="449"/>
      <c r="E69" s="449"/>
      <c r="F69" s="492"/>
      <c r="G69" s="449"/>
      <c r="H69" s="463"/>
      <c r="I69" s="201"/>
      <c r="J69" s="201"/>
      <c r="K69" s="201"/>
      <c r="L69" s="463"/>
      <c r="M69" s="463"/>
      <c r="N69" s="459"/>
      <c r="O69" s="460"/>
      <c r="P69" s="461"/>
      <c r="Q69" s="490"/>
      <c r="R69" s="461"/>
      <c r="S69" s="460"/>
      <c r="T69" s="461"/>
      <c r="U69" s="489"/>
      <c r="V69" s="193">
        <v>3</v>
      </c>
      <c r="W69" s="193"/>
      <c r="X69" s="193"/>
      <c r="Y69" s="193"/>
      <c r="Z69" s="218" t="str">
        <f t="shared" si="1"/>
        <v xml:space="preserve">  </v>
      </c>
      <c r="AA69" s="170" t="str">
        <f>IF(OR(AB69="Preventivo",AB69="Detectivo"),"Probabilidad",IF(AB69="Correctivo","Impacto",""))</f>
        <v/>
      </c>
      <c r="AB69" s="171"/>
      <c r="AC69" s="171"/>
      <c r="AD69" s="172" t="str">
        <f t="shared" si="90"/>
        <v/>
      </c>
      <c r="AE69" s="171"/>
      <c r="AF69" s="171"/>
      <c r="AG69" s="171"/>
      <c r="AH69" s="173" t="str">
        <f>IFERROR(IF(AND(AA68="Probabilidad",AA69="Probabilidad"),(AJ68-(+AJ68*AD69)),IF(AND(AA68="Impacto",AA69="Probabilidad"),(AJ67-(+AJ67*AD69)),IF(AA69="Impacto",AJ68,""))),"")</f>
        <v/>
      </c>
      <c r="AI69" s="174" t="str">
        <f t="shared" si="3"/>
        <v/>
      </c>
      <c r="AJ69" s="172" t="str">
        <f t="shared" si="91"/>
        <v/>
      </c>
      <c r="AK69" s="174" t="str">
        <f t="shared" si="5"/>
        <v/>
      </c>
      <c r="AL69" s="172" t="str">
        <f t="shared" ref="AL69" si="94">IFERROR(IF(AND(AA68="Impacto",AA69="Impacto"),(AL68-(+AL68*AD69)),IF(AND(AA68="Probabilidad",AA69="Impacto"),(AL67-(+AL67*AD69)),IF(AA69="Probabilidad",AL68,""))),"")</f>
        <v/>
      </c>
      <c r="AM69" s="175" t="str">
        <f t="shared" si="93"/>
        <v/>
      </c>
      <c r="AN69" s="176"/>
      <c r="AO69" s="169"/>
      <c r="AP69" s="177"/>
      <c r="AQ69" s="177"/>
      <c r="AR69" s="178"/>
      <c r="AS69" s="459"/>
      <c r="AT69" s="459"/>
      <c r="AU69" s="459"/>
    </row>
    <row r="70" spans="1:47" x14ac:dyDescent="0.2">
      <c r="A70" s="671"/>
      <c r="B70" s="449"/>
      <c r="C70" s="449"/>
      <c r="D70" s="449"/>
      <c r="E70" s="449"/>
      <c r="F70" s="492"/>
      <c r="G70" s="449"/>
      <c r="H70" s="463"/>
      <c r="I70" s="201"/>
      <c r="J70" s="201"/>
      <c r="K70" s="201"/>
      <c r="L70" s="463"/>
      <c r="M70" s="463"/>
      <c r="N70" s="459"/>
      <c r="O70" s="460"/>
      <c r="P70" s="461"/>
      <c r="Q70" s="490"/>
      <c r="R70" s="461"/>
      <c r="S70" s="460"/>
      <c r="T70" s="461"/>
      <c r="U70" s="489"/>
      <c r="V70" s="193">
        <v>4</v>
      </c>
      <c r="W70" s="193"/>
      <c r="X70" s="193"/>
      <c r="Y70" s="193"/>
      <c r="Z70" s="218" t="str">
        <f t="shared" si="1"/>
        <v xml:space="preserve">  </v>
      </c>
      <c r="AA70" s="170" t="str">
        <f t="shared" ref="AA70:AA72" si="95">IF(OR(AB70="Preventivo",AB70="Detectivo"),"Probabilidad",IF(AB70="Correctivo","Impacto",""))</f>
        <v/>
      </c>
      <c r="AB70" s="171"/>
      <c r="AC70" s="171"/>
      <c r="AD70" s="172" t="str">
        <f t="shared" si="90"/>
        <v/>
      </c>
      <c r="AE70" s="171"/>
      <c r="AF70" s="171"/>
      <c r="AG70" s="171"/>
      <c r="AH70" s="173" t="str">
        <f t="shared" ref="AH70:AH72" si="96">IFERROR(IF(AND(AA69="Probabilidad",AA70="Probabilidad"),(AJ69-(+AJ69*AD70)),IF(AND(AA69="Impacto",AA70="Probabilidad"),(AJ68-(+AJ68*AD70)),IF(AA70="Impacto",AJ69,""))),"")</f>
        <v/>
      </c>
      <c r="AI70" s="174" t="str">
        <f t="shared" si="3"/>
        <v/>
      </c>
      <c r="AJ70" s="172" t="str">
        <f t="shared" si="91"/>
        <v/>
      </c>
      <c r="AK70" s="174" t="str">
        <f t="shared" si="5"/>
        <v/>
      </c>
      <c r="AL70" s="172" t="str">
        <f t="shared" si="14"/>
        <v/>
      </c>
      <c r="AM70" s="175"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76"/>
      <c r="AO70" s="169"/>
      <c r="AP70" s="177"/>
      <c r="AQ70" s="177"/>
      <c r="AR70" s="178"/>
      <c r="AS70" s="459"/>
      <c r="AT70" s="459"/>
      <c r="AU70" s="459"/>
    </row>
    <row r="71" spans="1:47" x14ac:dyDescent="0.2">
      <c r="A71" s="671"/>
      <c r="B71" s="449"/>
      <c r="C71" s="449"/>
      <c r="D71" s="449"/>
      <c r="E71" s="449"/>
      <c r="F71" s="492"/>
      <c r="G71" s="449"/>
      <c r="H71" s="463"/>
      <c r="I71" s="201"/>
      <c r="J71" s="201"/>
      <c r="K71" s="201"/>
      <c r="L71" s="463"/>
      <c r="M71" s="463"/>
      <c r="N71" s="459"/>
      <c r="O71" s="460"/>
      <c r="P71" s="461"/>
      <c r="Q71" s="490"/>
      <c r="R71" s="461"/>
      <c r="S71" s="460"/>
      <c r="T71" s="461"/>
      <c r="U71" s="489"/>
      <c r="V71" s="193">
        <v>5</v>
      </c>
      <c r="W71" s="193"/>
      <c r="X71" s="193"/>
      <c r="Y71" s="193"/>
      <c r="Z71" s="218" t="str">
        <f t="shared" si="1"/>
        <v xml:space="preserve">  </v>
      </c>
      <c r="AA71" s="170" t="str">
        <f t="shared" si="95"/>
        <v/>
      </c>
      <c r="AB71" s="171"/>
      <c r="AC71" s="171"/>
      <c r="AD71" s="172" t="str">
        <f t="shared" si="90"/>
        <v/>
      </c>
      <c r="AE71" s="171"/>
      <c r="AF71" s="171"/>
      <c r="AG71" s="171"/>
      <c r="AH71" s="173" t="str">
        <f t="shared" si="96"/>
        <v/>
      </c>
      <c r="AI71" s="174" t="str">
        <f t="shared" si="3"/>
        <v/>
      </c>
      <c r="AJ71" s="172" t="str">
        <f t="shared" si="91"/>
        <v/>
      </c>
      <c r="AK71" s="174" t="str">
        <f t="shared" si="5"/>
        <v/>
      </c>
      <c r="AL71" s="172" t="str">
        <f t="shared" si="14"/>
        <v/>
      </c>
      <c r="AM71" s="175" t="str">
        <f t="shared" ref="AM71:AM72" si="97">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76"/>
      <c r="AO71" s="169"/>
      <c r="AP71" s="177"/>
      <c r="AQ71" s="177"/>
      <c r="AR71" s="178"/>
      <c r="AS71" s="459"/>
      <c r="AT71" s="459"/>
      <c r="AU71" s="459"/>
    </row>
    <row r="72" spans="1:47" x14ac:dyDescent="0.2">
      <c r="A72" s="671"/>
      <c r="B72" s="449"/>
      <c r="C72" s="449"/>
      <c r="D72" s="449"/>
      <c r="E72" s="449"/>
      <c r="F72" s="492"/>
      <c r="G72" s="449"/>
      <c r="H72" s="491"/>
      <c r="I72" s="202"/>
      <c r="J72" s="202"/>
      <c r="K72" s="202"/>
      <c r="L72" s="491"/>
      <c r="M72" s="491"/>
      <c r="N72" s="459"/>
      <c r="O72" s="460"/>
      <c r="P72" s="461"/>
      <c r="Q72" s="490"/>
      <c r="R72" s="461"/>
      <c r="S72" s="460"/>
      <c r="T72" s="461"/>
      <c r="U72" s="489"/>
      <c r="V72" s="193">
        <v>6</v>
      </c>
      <c r="W72" s="193"/>
      <c r="X72" s="193"/>
      <c r="Y72" s="193"/>
      <c r="Z72" s="218" t="str">
        <f t="shared" si="1"/>
        <v xml:space="preserve">  </v>
      </c>
      <c r="AA72" s="170" t="str">
        <f t="shared" si="95"/>
        <v/>
      </c>
      <c r="AB72" s="171"/>
      <c r="AC72" s="171"/>
      <c r="AD72" s="172" t="str">
        <f t="shared" si="90"/>
        <v/>
      </c>
      <c r="AE72" s="171"/>
      <c r="AF72" s="171"/>
      <c r="AG72" s="171"/>
      <c r="AH72" s="173" t="str">
        <f t="shared" si="96"/>
        <v/>
      </c>
      <c r="AI72" s="174" t="str">
        <f t="shared" si="3"/>
        <v/>
      </c>
      <c r="AJ72" s="172" t="str">
        <f t="shared" si="91"/>
        <v/>
      </c>
      <c r="AK72" s="174" t="str">
        <f t="shared" si="5"/>
        <v/>
      </c>
      <c r="AL72" s="172" t="str">
        <f t="shared" si="14"/>
        <v/>
      </c>
      <c r="AM72" s="175" t="str">
        <f t="shared" si="97"/>
        <v/>
      </c>
      <c r="AN72" s="176"/>
      <c r="AO72" s="169"/>
      <c r="AP72" s="177"/>
      <c r="AQ72" s="177"/>
      <c r="AR72" s="178"/>
      <c r="AS72" s="459"/>
      <c r="AT72" s="459"/>
      <c r="AU72" s="459"/>
    </row>
    <row r="73" spans="1:47" x14ac:dyDescent="0.2">
      <c r="A73" s="195"/>
      <c r="B73" s="493"/>
      <c r="C73" s="494"/>
      <c r="D73" s="494"/>
      <c r="E73" s="494"/>
      <c r="F73" s="494"/>
      <c r="G73" s="494"/>
      <c r="H73" s="494"/>
      <c r="I73" s="494"/>
      <c r="J73" s="494"/>
      <c r="K73" s="494"/>
      <c r="L73" s="494"/>
      <c r="M73" s="494"/>
      <c r="N73" s="494"/>
      <c r="O73" s="494"/>
      <c r="P73" s="494"/>
      <c r="Q73" s="494"/>
      <c r="R73" s="494"/>
      <c r="S73" s="494"/>
      <c r="T73" s="494"/>
      <c r="U73" s="494"/>
      <c r="V73" s="494"/>
      <c r="W73" s="494"/>
      <c r="X73" s="494"/>
      <c r="Y73" s="494"/>
      <c r="Z73" s="494"/>
      <c r="AA73" s="494"/>
      <c r="AB73" s="494"/>
      <c r="AC73" s="494"/>
      <c r="AD73" s="494"/>
      <c r="AE73" s="494"/>
      <c r="AF73" s="494"/>
      <c r="AG73" s="494"/>
      <c r="AH73" s="494"/>
      <c r="AI73" s="494"/>
      <c r="AJ73" s="494"/>
      <c r="AK73" s="494"/>
      <c r="AL73" s="494"/>
      <c r="AM73" s="494"/>
      <c r="AN73" s="494"/>
      <c r="AO73" s="494"/>
      <c r="AP73" s="494"/>
      <c r="AQ73" s="494"/>
      <c r="AR73" s="494"/>
      <c r="AS73" s="494"/>
    </row>
    <row r="75" spans="1:47" ht="15.75" x14ac:dyDescent="0.2">
      <c r="A75" s="179"/>
      <c r="B75" s="186"/>
      <c r="C75" s="179"/>
      <c r="D75" s="179"/>
      <c r="E75" s="179"/>
      <c r="F75" s="179"/>
      <c r="N75" s="179"/>
    </row>
    <row r="76" spans="1:47" s="235" customFormat="1" x14ac:dyDescent="0.2">
      <c r="A76" s="234"/>
      <c r="B76" s="234"/>
      <c r="C76" s="234"/>
      <c r="D76" s="234"/>
      <c r="E76" s="234"/>
      <c r="F76" s="234"/>
      <c r="N76" s="236"/>
      <c r="AO76" s="237"/>
    </row>
  </sheetData>
  <dataConsolidate/>
  <mergeCells count="299">
    <mergeCell ref="A6:B6"/>
    <mergeCell ref="C6:T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E11:E12"/>
    <mergeCell ref="F11:F12"/>
    <mergeCell ref="G11:G12"/>
    <mergeCell ref="H11:H12"/>
    <mergeCell ref="I11:I12"/>
    <mergeCell ref="AU11:AU12"/>
    <mergeCell ref="AO11:AO12"/>
    <mergeCell ref="AP11:AP12"/>
    <mergeCell ref="AQ11:AQ12"/>
    <mergeCell ref="A13:A18"/>
    <mergeCell ref="B13:B18"/>
    <mergeCell ref="C13:C18"/>
    <mergeCell ref="D13:D18"/>
    <mergeCell ref="E13:E18"/>
    <mergeCell ref="F13:F18"/>
    <mergeCell ref="AL11:AL12"/>
    <mergeCell ref="AM11:AM12"/>
    <mergeCell ref="AN11:AN12"/>
    <mergeCell ref="AA11:AA12"/>
    <mergeCell ref="AB11:AG11"/>
    <mergeCell ref="AH11:AH12"/>
    <mergeCell ref="AI11:AI12"/>
    <mergeCell ref="AJ11:AJ12"/>
    <mergeCell ref="AK11:AK12"/>
    <mergeCell ref="R11:R12"/>
    <mergeCell ref="S11:S12"/>
    <mergeCell ref="T11:T12"/>
    <mergeCell ref="U11:U12"/>
    <mergeCell ref="V11:V12"/>
    <mergeCell ref="G13:G18"/>
    <mergeCell ref="H13:H18"/>
    <mergeCell ref="I13:I18"/>
    <mergeCell ref="J13:J18"/>
    <mergeCell ref="AR11:AR12"/>
    <mergeCell ref="AS11:AS12"/>
    <mergeCell ref="AT11:AT12"/>
    <mergeCell ref="Z11:Z12"/>
    <mergeCell ref="J11:J12"/>
    <mergeCell ref="K11:K12"/>
    <mergeCell ref="N11:N12"/>
    <mergeCell ref="O11:O12"/>
    <mergeCell ref="P11:P12"/>
    <mergeCell ref="Q11:Q12"/>
    <mergeCell ref="AU13:AU18"/>
    <mergeCell ref="M13:M18"/>
    <mergeCell ref="N13:N18"/>
    <mergeCell ref="O13:O18"/>
    <mergeCell ref="P13:P18"/>
    <mergeCell ref="Q13:Q18"/>
    <mergeCell ref="R13:R18"/>
    <mergeCell ref="G19:G24"/>
    <mergeCell ref="H19:H24"/>
    <mergeCell ref="I19:I24"/>
    <mergeCell ref="J19:J24"/>
    <mergeCell ref="K19:K24"/>
    <mergeCell ref="L19:L24"/>
    <mergeCell ref="AS19:AS24"/>
    <mergeCell ref="AT19:AT24"/>
    <mergeCell ref="AU19:AU24"/>
    <mergeCell ref="K13:K18"/>
    <mergeCell ref="L13:L18"/>
    <mergeCell ref="S13:S18"/>
    <mergeCell ref="T13:T18"/>
    <mergeCell ref="U13:U18"/>
    <mergeCell ref="AS13:AS18"/>
    <mergeCell ref="AT13:AT18"/>
    <mergeCell ref="A19:A24"/>
    <mergeCell ref="B19:B24"/>
    <mergeCell ref="C19:C24"/>
    <mergeCell ref="D19:D24"/>
    <mergeCell ref="E19:E24"/>
    <mergeCell ref="F19:F24"/>
    <mergeCell ref="S19:S24"/>
    <mergeCell ref="T19:T24"/>
    <mergeCell ref="U19:U24"/>
    <mergeCell ref="M19:M24"/>
    <mergeCell ref="N19:N24"/>
    <mergeCell ref="O19:O24"/>
    <mergeCell ref="P19:P24"/>
    <mergeCell ref="Q19:Q24"/>
    <mergeCell ref="R19:R24"/>
    <mergeCell ref="G25:G30"/>
    <mergeCell ref="H25:H30"/>
    <mergeCell ref="I25:I30"/>
    <mergeCell ref="J25:J30"/>
    <mergeCell ref="K25:K30"/>
    <mergeCell ref="L25:L30"/>
    <mergeCell ref="A25:A30"/>
    <mergeCell ref="B25:B30"/>
    <mergeCell ref="C25:C30"/>
    <mergeCell ref="D25:D30"/>
    <mergeCell ref="E25:E30"/>
    <mergeCell ref="F25:F30"/>
    <mergeCell ref="S25:S30"/>
    <mergeCell ref="T25:T30"/>
    <mergeCell ref="U25:U30"/>
    <mergeCell ref="AS25:AS30"/>
    <mergeCell ref="AT25:AT30"/>
    <mergeCell ref="AU25:AU30"/>
    <mergeCell ref="M25:M30"/>
    <mergeCell ref="N25:N30"/>
    <mergeCell ref="O25:O30"/>
    <mergeCell ref="P25:P30"/>
    <mergeCell ref="Q25:Q30"/>
    <mergeCell ref="R25:R30"/>
    <mergeCell ref="G31:G36"/>
    <mergeCell ref="H31:H36"/>
    <mergeCell ref="I31:I36"/>
    <mergeCell ref="J31:J36"/>
    <mergeCell ref="K31:K36"/>
    <mergeCell ref="L31:L36"/>
    <mergeCell ref="A31:A36"/>
    <mergeCell ref="B31:B36"/>
    <mergeCell ref="C31:C36"/>
    <mergeCell ref="D31:D36"/>
    <mergeCell ref="E31:E36"/>
    <mergeCell ref="F31:F36"/>
    <mergeCell ref="S31:S36"/>
    <mergeCell ref="T31:T36"/>
    <mergeCell ref="U31:U36"/>
    <mergeCell ref="AS31:AS36"/>
    <mergeCell ref="AT31:AT36"/>
    <mergeCell ref="AU31:AU36"/>
    <mergeCell ref="M31:M36"/>
    <mergeCell ref="N31:N36"/>
    <mergeCell ref="O31:O36"/>
    <mergeCell ref="P31:P36"/>
    <mergeCell ref="Q31:Q36"/>
    <mergeCell ref="R31:R36"/>
    <mergeCell ref="G37:G42"/>
    <mergeCell ref="H37:H42"/>
    <mergeCell ref="I37:I42"/>
    <mergeCell ref="J37:J42"/>
    <mergeCell ref="K37:K42"/>
    <mergeCell ref="L37:L42"/>
    <mergeCell ref="A37:A42"/>
    <mergeCell ref="B37:B42"/>
    <mergeCell ref="C37:C42"/>
    <mergeCell ref="D37:D42"/>
    <mergeCell ref="E37:E42"/>
    <mergeCell ref="F37:F42"/>
    <mergeCell ref="S37:S42"/>
    <mergeCell ref="T37:T42"/>
    <mergeCell ref="U37:U42"/>
    <mergeCell ref="AS37:AS42"/>
    <mergeCell ref="AT37:AT42"/>
    <mergeCell ref="AU37:AU42"/>
    <mergeCell ref="M37:M42"/>
    <mergeCell ref="N37:N42"/>
    <mergeCell ref="O37:O42"/>
    <mergeCell ref="P37:P42"/>
    <mergeCell ref="Q37:Q42"/>
    <mergeCell ref="R37:R42"/>
    <mergeCell ref="G43:G48"/>
    <mergeCell ref="H43:H48"/>
    <mergeCell ref="I43:I48"/>
    <mergeCell ref="J43:J48"/>
    <mergeCell ref="K43:K48"/>
    <mergeCell ref="L43:L48"/>
    <mergeCell ref="A43:A48"/>
    <mergeCell ref="B43:B48"/>
    <mergeCell ref="C43:C48"/>
    <mergeCell ref="D43:D48"/>
    <mergeCell ref="E43:E48"/>
    <mergeCell ref="F43:F48"/>
    <mergeCell ref="S43:S48"/>
    <mergeCell ref="T43:T48"/>
    <mergeCell ref="U43:U48"/>
    <mergeCell ref="AS43:AS48"/>
    <mergeCell ref="AT43:AT48"/>
    <mergeCell ref="AU43:AU48"/>
    <mergeCell ref="M43:M48"/>
    <mergeCell ref="N43:N48"/>
    <mergeCell ref="O43:O48"/>
    <mergeCell ref="P43:P48"/>
    <mergeCell ref="Q43:Q48"/>
    <mergeCell ref="R43:R48"/>
    <mergeCell ref="AS49:AS54"/>
    <mergeCell ref="AT49:AT54"/>
    <mergeCell ref="AU49:AU54"/>
    <mergeCell ref="M49:M54"/>
    <mergeCell ref="N49:N54"/>
    <mergeCell ref="O49:O54"/>
    <mergeCell ref="P49:P54"/>
    <mergeCell ref="Q49:Q54"/>
    <mergeCell ref="R49:R54"/>
    <mergeCell ref="A55:A60"/>
    <mergeCell ref="B55:B60"/>
    <mergeCell ref="C55:C60"/>
    <mergeCell ref="D55:D60"/>
    <mergeCell ref="E55:E60"/>
    <mergeCell ref="F55:F60"/>
    <mergeCell ref="S49:S54"/>
    <mergeCell ref="T49:T54"/>
    <mergeCell ref="U49:U54"/>
    <mergeCell ref="G49:G54"/>
    <mergeCell ref="H49:H54"/>
    <mergeCell ref="I49:I54"/>
    <mergeCell ref="J49:J54"/>
    <mergeCell ref="K49:K54"/>
    <mergeCell ref="L49:L54"/>
    <mergeCell ref="A49:A54"/>
    <mergeCell ref="B49:B54"/>
    <mergeCell ref="C49:C54"/>
    <mergeCell ref="D49:D54"/>
    <mergeCell ref="E49:E54"/>
    <mergeCell ref="F49:F54"/>
    <mergeCell ref="AU55:AU60"/>
    <mergeCell ref="M55:M60"/>
    <mergeCell ref="N55:N60"/>
    <mergeCell ref="O55:O60"/>
    <mergeCell ref="P55:P60"/>
    <mergeCell ref="Q55:Q60"/>
    <mergeCell ref="R55:R60"/>
    <mergeCell ref="G55:G60"/>
    <mergeCell ref="H55:H60"/>
    <mergeCell ref="I55:I60"/>
    <mergeCell ref="J55:J60"/>
    <mergeCell ref="K55:K60"/>
    <mergeCell ref="L55:L60"/>
    <mergeCell ref="C61:C66"/>
    <mergeCell ref="D61:D66"/>
    <mergeCell ref="E61:E66"/>
    <mergeCell ref="F61:F66"/>
    <mergeCell ref="S55:S60"/>
    <mergeCell ref="T55:T60"/>
    <mergeCell ref="U55:U60"/>
    <mergeCell ref="AS55:AS60"/>
    <mergeCell ref="AT55:AT60"/>
    <mergeCell ref="AS61:AS66"/>
    <mergeCell ref="AT61:AT66"/>
    <mergeCell ref="AU61:AU66"/>
    <mergeCell ref="A67:A72"/>
    <mergeCell ref="B67:B72"/>
    <mergeCell ref="C67:C72"/>
    <mergeCell ref="D67:D72"/>
    <mergeCell ref="E67:E72"/>
    <mergeCell ref="F67:F72"/>
    <mergeCell ref="G67:G72"/>
    <mergeCell ref="P61:P66"/>
    <mergeCell ref="Q61:Q66"/>
    <mergeCell ref="R61:R66"/>
    <mergeCell ref="S61:S66"/>
    <mergeCell ref="T61:T66"/>
    <mergeCell ref="U61:U66"/>
    <mergeCell ref="G61:G66"/>
    <mergeCell ref="H61:H66"/>
    <mergeCell ref="L61:L66"/>
    <mergeCell ref="M61:M66"/>
    <mergeCell ref="N61:N66"/>
    <mergeCell ref="O61:O66"/>
    <mergeCell ref="A61:A66"/>
    <mergeCell ref="B61:B66"/>
    <mergeCell ref="AT67:AT72"/>
    <mergeCell ref="AU67:AU72"/>
    <mergeCell ref="B73:AS73"/>
    <mergeCell ref="Q67:Q72"/>
    <mergeCell ref="R67:R72"/>
    <mergeCell ref="S67:S72"/>
    <mergeCell ref="T67:T72"/>
    <mergeCell ref="U67:U72"/>
    <mergeCell ref="AS67:AS72"/>
    <mergeCell ref="H67:H72"/>
    <mergeCell ref="L67:L72"/>
    <mergeCell ref="M67:M72"/>
    <mergeCell ref="N67:N72"/>
    <mergeCell ref="O67:O72"/>
    <mergeCell ref="P67:P72"/>
  </mergeCells>
  <conditionalFormatting sqref="O13 O19">
    <cfRule type="cellIs" dxfId="104" priority="105" operator="equal">
      <formula>"Muy Baja"</formula>
    </cfRule>
    <cfRule type="cellIs" dxfId="103" priority="104" operator="equal">
      <formula>"Baja"</formula>
    </cfRule>
    <cfRule type="cellIs" dxfId="102" priority="103" operator="equal">
      <formula>"Media"</formula>
    </cfRule>
    <cfRule type="cellIs" dxfId="101" priority="102" operator="equal">
      <formula>"Alta"</formula>
    </cfRule>
    <cfRule type="cellIs" dxfId="100" priority="101" operator="equal">
      <formula>"Muy Alta"</formula>
    </cfRule>
  </conditionalFormatting>
  <conditionalFormatting sqref="O25">
    <cfRule type="cellIs" dxfId="99" priority="84" operator="equal">
      <formula>"Alta"</formula>
    </cfRule>
    <cfRule type="cellIs" dxfId="98" priority="83" operator="equal">
      <formula>"Muy Alta"</formula>
    </cfRule>
    <cfRule type="cellIs" dxfId="97" priority="87" operator="equal">
      <formula>"Muy Baja"</formula>
    </cfRule>
    <cfRule type="cellIs" dxfId="96" priority="86" operator="equal">
      <formula>"Baja"</formula>
    </cfRule>
    <cfRule type="cellIs" dxfId="95" priority="85" operator="equal">
      <formula>"Media"</formula>
    </cfRule>
  </conditionalFormatting>
  <conditionalFormatting sqref="O31">
    <cfRule type="cellIs" dxfId="94" priority="78" operator="equal">
      <formula>"Muy Baja"</formula>
    </cfRule>
    <cfRule type="cellIs" dxfId="93" priority="77" operator="equal">
      <formula>"Baja"</formula>
    </cfRule>
    <cfRule type="cellIs" dxfId="92" priority="74" operator="equal">
      <formula>"Muy Alta"</formula>
    </cfRule>
    <cfRule type="cellIs" dxfId="91" priority="75" operator="equal">
      <formula>"Alta"</formula>
    </cfRule>
    <cfRule type="cellIs" dxfId="90" priority="76" operator="equal">
      <formula>"Media"</formula>
    </cfRule>
  </conditionalFormatting>
  <conditionalFormatting sqref="O37">
    <cfRule type="cellIs" dxfId="89" priority="65" operator="equal">
      <formula>"Muy Alta"</formula>
    </cfRule>
    <cfRule type="cellIs" dxfId="88" priority="67" operator="equal">
      <formula>"Media"</formula>
    </cfRule>
    <cfRule type="cellIs" dxfId="87" priority="66" operator="equal">
      <formula>"Alta"</formula>
    </cfRule>
    <cfRule type="cellIs" dxfId="86" priority="68" operator="equal">
      <formula>"Baja"</formula>
    </cfRule>
    <cfRule type="cellIs" dxfId="85" priority="69" operator="equal">
      <formula>"Muy Baja"</formula>
    </cfRule>
  </conditionalFormatting>
  <conditionalFormatting sqref="O43">
    <cfRule type="cellIs" dxfId="84" priority="56" operator="equal">
      <formula>"Muy Alta"</formula>
    </cfRule>
    <cfRule type="cellIs" dxfId="83" priority="58" operator="equal">
      <formula>"Media"</formula>
    </cfRule>
    <cfRule type="cellIs" dxfId="82" priority="60" operator="equal">
      <formula>"Muy Baja"</formula>
    </cfRule>
    <cfRule type="cellIs" dxfId="81" priority="59" operator="equal">
      <formula>"Baja"</formula>
    </cfRule>
    <cfRule type="cellIs" dxfId="80" priority="57" operator="equal">
      <formula>"Alta"</formula>
    </cfRule>
  </conditionalFormatting>
  <conditionalFormatting sqref="O49">
    <cfRule type="cellIs" dxfId="79" priority="47" operator="equal">
      <formula>"Muy Alta"</formula>
    </cfRule>
    <cfRule type="cellIs" dxfId="78" priority="48" operator="equal">
      <formula>"Alta"</formula>
    </cfRule>
    <cfRule type="cellIs" dxfId="77" priority="49" operator="equal">
      <formula>"Media"</formula>
    </cfRule>
    <cfRule type="cellIs" dxfId="76" priority="50" operator="equal">
      <formula>"Baja"</formula>
    </cfRule>
    <cfRule type="cellIs" dxfId="75" priority="51" operator="equal">
      <formula>"Muy Baja"</formula>
    </cfRule>
  </conditionalFormatting>
  <conditionalFormatting sqref="O55">
    <cfRule type="cellIs" dxfId="74" priority="2" operator="equal">
      <formula>"Alta"</formula>
    </cfRule>
    <cfRule type="cellIs" dxfId="73" priority="3" operator="equal">
      <formula>"Media"</formula>
    </cfRule>
    <cfRule type="cellIs" dxfId="72" priority="4" operator="equal">
      <formula>"Baja"</formula>
    </cfRule>
    <cfRule type="cellIs" dxfId="71" priority="5" operator="equal">
      <formula>"Muy Baja"</formula>
    </cfRule>
    <cfRule type="cellIs" dxfId="70" priority="1" operator="equal">
      <formula>"Muy Alta"</formula>
    </cfRule>
  </conditionalFormatting>
  <conditionalFormatting sqref="O61">
    <cfRule type="cellIs" dxfId="69" priority="34" operator="equal">
      <formula>"Muy Alta"</formula>
    </cfRule>
    <cfRule type="cellIs" dxfId="68" priority="35" operator="equal">
      <formula>"Alta"</formula>
    </cfRule>
    <cfRule type="cellIs" dxfId="67" priority="36" operator="equal">
      <formula>"Media"</formula>
    </cfRule>
    <cfRule type="cellIs" dxfId="66" priority="37" operator="equal">
      <formula>"Baja"</formula>
    </cfRule>
    <cfRule type="cellIs" dxfId="65" priority="38" operator="equal">
      <formula>"Muy Baja"</formula>
    </cfRule>
  </conditionalFormatting>
  <conditionalFormatting sqref="O67">
    <cfRule type="cellIs" dxfId="64" priority="26" operator="equal">
      <formula>"Alta"</formula>
    </cfRule>
    <cfRule type="cellIs" dxfId="63" priority="27" operator="equal">
      <formula>"Media"</formula>
    </cfRule>
    <cfRule type="cellIs" dxfId="62" priority="25" operator="equal">
      <formula>"Muy Alta"</formula>
    </cfRule>
    <cfRule type="cellIs" dxfId="61" priority="28" operator="equal">
      <formula>"Baja"</formula>
    </cfRule>
    <cfRule type="cellIs" dxfId="60" priority="29" operator="equal">
      <formula>"Muy Baja"</formula>
    </cfRule>
  </conditionalFormatting>
  <conditionalFormatting sqref="R13:R72">
    <cfRule type="containsText" dxfId="59" priority="6" operator="containsText" text="❌">
      <formula>NOT(ISERROR(SEARCH("❌",R13)))</formula>
    </cfRule>
  </conditionalFormatting>
  <conditionalFormatting sqref="S13 S19 S25 S31 S37 S43 S49 S55 S61 S67">
    <cfRule type="cellIs" dxfId="58" priority="96" operator="equal">
      <formula>"Catastrófico"</formula>
    </cfRule>
    <cfRule type="cellIs" dxfId="57" priority="97" operator="equal">
      <formula>"Mayor"</formula>
    </cfRule>
    <cfRule type="cellIs" dxfId="56" priority="98" operator="equal">
      <formula>"Moderado"</formula>
    </cfRule>
    <cfRule type="cellIs" dxfId="55" priority="99" operator="equal">
      <formula>"Menor"</formula>
    </cfRule>
    <cfRule type="cellIs" dxfId="54" priority="100" operator="equal">
      <formula>"Leve"</formula>
    </cfRule>
  </conditionalFormatting>
  <conditionalFormatting sqref="U13">
    <cfRule type="cellIs" dxfId="53" priority="95" operator="equal">
      <formula>"Bajo"</formula>
    </cfRule>
    <cfRule type="cellIs" dxfId="52" priority="92" operator="equal">
      <formula>"Extremo"</formula>
    </cfRule>
    <cfRule type="cellIs" dxfId="51" priority="93" operator="equal">
      <formula>"Alto"</formula>
    </cfRule>
    <cfRule type="cellIs" dxfId="50" priority="94" operator="equal">
      <formula>"Moderado"</formula>
    </cfRule>
  </conditionalFormatting>
  <conditionalFormatting sqref="U19">
    <cfRule type="cellIs" dxfId="49" priority="88" operator="equal">
      <formula>"Extremo"</formula>
    </cfRule>
    <cfRule type="cellIs" dxfId="48" priority="91" operator="equal">
      <formula>"Bajo"</formula>
    </cfRule>
    <cfRule type="cellIs" dxfId="47" priority="90" operator="equal">
      <formula>"Moderado"</formula>
    </cfRule>
    <cfRule type="cellIs" dxfId="46" priority="89" operator="equal">
      <formula>"Alto"</formula>
    </cfRule>
  </conditionalFormatting>
  <conditionalFormatting sqref="U25">
    <cfRule type="cellIs" dxfId="45" priority="82" operator="equal">
      <formula>"Bajo"</formula>
    </cfRule>
    <cfRule type="cellIs" dxfId="44" priority="80" operator="equal">
      <formula>"Alto"</formula>
    </cfRule>
    <cfRule type="cellIs" dxfId="43" priority="79" operator="equal">
      <formula>"Extremo"</formula>
    </cfRule>
    <cfRule type="cellIs" dxfId="42" priority="81" operator="equal">
      <formula>"Moderado"</formula>
    </cfRule>
  </conditionalFormatting>
  <conditionalFormatting sqref="U31">
    <cfRule type="cellIs" dxfId="41" priority="70" operator="equal">
      <formula>"Extremo"</formula>
    </cfRule>
    <cfRule type="cellIs" dxfId="40" priority="71" operator="equal">
      <formula>"Alto"</formula>
    </cfRule>
    <cfRule type="cellIs" dxfId="39" priority="72" operator="equal">
      <formula>"Moderado"</formula>
    </cfRule>
    <cfRule type="cellIs" dxfId="38" priority="73" operator="equal">
      <formula>"Bajo"</formula>
    </cfRule>
  </conditionalFormatting>
  <conditionalFormatting sqref="U37">
    <cfRule type="cellIs" dxfId="37" priority="62" operator="equal">
      <formula>"Alto"</formula>
    </cfRule>
    <cfRule type="cellIs" dxfId="36" priority="61" operator="equal">
      <formula>"Extremo"</formula>
    </cfRule>
    <cfRule type="cellIs" dxfId="35" priority="63" operator="equal">
      <formula>"Moderado"</formula>
    </cfRule>
    <cfRule type="cellIs" dxfId="34" priority="64" operator="equal">
      <formula>"Bajo"</formula>
    </cfRule>
  </conditionalFormatting>
  <conditionalFormatting sqref="U43">
    <cfRule type="cellIs" dxfId="33" priority="54" operator="equal">
      <formula>"Moderado"</formula>
    </cfRule>
    <cfRule type="cellIs" dxfId="32" priority="53" operator="equal">
      <formula>"Alto"</formula>
    </cfRule>
    <cfRule type="cellIs" dxfId="31" priority="55" operator="equal">
      <formula>"Bajo"</formula>
    </cfRule>
    <cfRule type="cellIs" dxfId="30" priority="52" operator="equal">
      <formula>"Extremo"</formula>
    </cfRule>
  </conditionalFormatting>
  <conditionalFormatting sqref="U49">
    <cfRule type="cellIs" dxfId="29" priority="46" operator="equal">
      <formula>"Bajo"</formula>
    </cfRule>
    <cfRule type="cellIs" dxfId="28" priority="45" operator="equal">
      <formula>"Moderado"</formula>
    </cfRule>
    <cfRule type="cellIs" dxfId="27" priority="44" operator="equal">
      <formula>"Alto"</formula>
    </cfRule>
    <cfRule type="cellIs" dxfId="26" priority="43" operator="equal">
      <formula>"Extremo"</formula>
    </cfRule>
  </conditionalFormatting>
  <conditionalFormatting sqref="U55">
    <cfRule type="cellIs" dxfId="25" priority="41" operator="equal">
      <formula>"Moderado"</formula>
    </cfRule>
    <cfRule type="cellIs" dxfId="24" priority="39" operator="equal">
      <formula>"Extremo"</formula>
    </cfRule>
    <cfRule type="cellIs" dxfId="23" priority="42" operator="equal">
      <formula>"Bajo"</formula>
    </cfRule>
    <cfRule type="cellIs" dxfId="22" priority="40" operator="equal">
      <formula>"Alto"</formula>
    </cfRule>
  </conditionalFormatting>
  <conditionalFormatting sqref="U61">
    <cfRule type="cellIs" dxfId="21" priority="30" operator="equal">
      <formula>"Extremo"</formula>
    </cfRule>
    <cfRule type="cellIs" dxfId="20" priority="32" operator="equal">
      <formula>"Moderado"</formula>
    </cfRule>
    <cfRule type="cellIs" dxfId="19" priority="33" operator="equal">
      <formula>"Bajo"</formula>
    </cfRule>
    <cfRule type="cellIs" dxfId="18" priority="31" operator="equal">
      <formula>"Alto"</formula>
    </cfRule>
  </conditionalFormatting>
  <conditionalFormatting sqref="U67">
    <cfRule type="cellIs" dxfId="17" priority="21" operator="equal">
      <formula>"Extremo"</formula>
    </cfRule>
    <cfRule type="cellIs" dxfId="16" priority="24" operator="equal">
      <formula>"Bajo"</formula>
    </cfRule>
    <cfRule type="cellIs" dxfId="15" priority="23" operator="equal">
      <formula>"Moderado"</formula>
    </cfRule>
    <cfRule type="cellIs" dxfId="14" priority="22" operator="equal">
      <formula>"Alto"</formula>
    </cfRule>
  </conditionalFormatting>
  <conditionalFormatting sqref="AI13:AI72">
    <cfRule type="cellIs" dxfId="13" priority="20" operator="equal">
      <formula>"Muy Baja"</formula>
    </cfRule>
    <cfRule type="cellIs" dxfId="12" priority="19" operator="equal">
      <formula>"Baja"</formula>
    </cfRule>
    <cfRule type="cellIs" dxfId="11" priority="18" operator="equal">
      <formula>"Media"</formula>
    </cfRule>
    <cfRule type="cellIs" dxfId="10" priority="17" operator="equal">
      <formula>"Alta"</formula>
    </cfRule>
    <cfRule type="cellIs" dxfId="9" priority="16" operator="equal">
      <formula>"Muy Alta"</formula>
    </cfRule>
  </conditionalFormatting>
  <conditionalFormatting sqref="AK13:AK72">
    <cfRule type="cellIs" dxfId="8" priority="14" operator="equal">
      <formula>"Menor"</formula>
    </cfRule>
    <cfRule type="cellIs" dxfId="7" priority="15" operator="equal">
      <formula>"Leve"</formula>
    </cfRule>
    <cfRule type="cellIs" dxfId="6" priority="12" operator="equal">
      <formula>"Mayor"</formula>
    </cfRule>
    <cfRule type="cellIs" dxfId="5" priority="11" operator="equal">
      <formula>"Catastrófico"</formula>
    </cfRule>
    <cfRule type="cellIs" dxfId="4" priority="13" operator="equal">
      <formula>"Moderado"</formula>
    </cfRule>
  </conditionalFormatting>
  <conditionalFormatting sqref="AM13:AM72">
    <cfRule type="cellIs" dxfId="3" priority="7" operator="equal">
      <formula>"Extremo"</formula>
    </cfRule>
    <cfRule type="cellIs" dxfId="2" priority="10" operator="equal">
      <formula>"Bajo"</formula>
    </cfRule>
    <cfRule type="cellIs" dxfId="1" priority="9" operator="equal">
      <formula>"Moderado"</formula>
    </cfRule>
    <cfRule type="cellIs" dxfId="0"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A00-000000000000}">
          <x14:formula1>
            <xm:f>'Intructivo control cambio'!$C$294:$C$318</xm:f>
          </x14:formula1>
          <xm:sqref>C6:T6</xm:sqref>
        </x14:dataValidation>
        <x14:dataValidation type="list" allowBlank="1" showInputMessage="1" showErrorMessage="1" xr:uid="{00000000-0002-0000-0A00-000001000000}">
          <x14:formula1>
            <xm:f>'Intructivo control cambio'!$C$294:$C$308</xm:f>
          </x14:formula1>
          <xm:sqref>U6:Y6</xm:sqref>
        </x14:dataValidation>
        <x14:dataValidation type="list" allowBlank="1" showInputMessage="1" showErrorMessage="1" xr:uid="{00000000-0002-0000-0A00-000002000000}">
          <x14:formula1>
            <xm:f>Listas!$H$4:$H$8</xm:f>
          </x14:formula1>
          <xm:sqref>X13:X72</xm:sqref>
        </x14:dataValidation>
        <x14:dataValidation type="list" allowBlank="1" showInputMessage="1" showErrorMessage="1" xr:uid="{00000000-0002-0000-0A00-000003000000}">
          <x14:formula1>
            <xm:f>Listas!$H$11:$H$15</xm:f>
          </x14:formula1>
          <xm:sqref>L13:L72</xm:sqref>
        </x14:dataValidation>
        <x14:dataValidation type="list" allowBlank="1" showInputMessage="1" showErrorMessage="1" xr:uid="{00000000-0002-0000-0A00-000004000000}">
          <x14:formula1>
            <xm:f>Listas!$F$11:$F$12</xm:f>
          </x14:formula1>
          <xm:sqref>H13:H72</xm:sqref>
        </x14:dataValidation>
        <x14:dataValidation type="list" allowBlank="1" showInputMessage="1" showErrorMessage="1" xr:uid="{00000000-0002-0000-0A00-000005000000}">
          <x14:formula1>
            <xm:f>Listas!$B$28:$B$31</xm:f>
          </x14:formula1>
          <xm:sqref>G13:G72</xm:sqref>
        </x14:dataValidation>
        <x14:dataValidation type="custom" allowBlank="1" showInputMessage="1" showErrorMessage="1" error="Recuerde que las acciones se generan bajo la medida de mitigar el riesgo" xr:uid="{00000000-0002-0000-0A00-000006000000}">
          <x14:formula1>
            <xm:f>IF(OR(#REF!=Listas!$B$4,#REF!=Listas!$B$5,#REF!=Listas!$B$6),ISBLANK(#REF!),ISTEXT(#REF!))</xm:f>
          </x14:formula1>
          <xm:sqref>AS25:AU25 AS67:AU67 AS61:AU61 AS55:AU55 AS49:AU49 AS43:AU43 AS37:AU37 AS31:AU31</xm:sqref>
        </x14:dataValidation>
        <x14:dataValidation type="list" allowBlank="1" showInputMessage="1" showErrorMessage="1" xr:uid="{00000000-0002-0000-0A00-000007000000}">
          <x14:formula1>
            <xm:f>Listas!$E$4:$E$6</xm:f>
          </x14:formula1>
          <xm:sqref>B13:B72</xm:sqref>
        </x14:dataValidation>
        <x14:dataValidation type="list" allowBlank="1" showInputMessage="1" showErrorMessage="1" xr:uid="{00000000-0002-0000-0A00-000008000000}">
          <x14:formula1>
            <xm:f>'Tabla Valoración controles'!$D$13:$D$14</xm:f>
          </x14:formula1>
          <xm:sqref>AG13:AG72</xm:sqref>
        </x14:dataValidation>
        <x14:dataValidation type="list" allowBlank="1" showInputMessage="1" showErrorMessage="1" xr:uid="{00000000-0002-0000-0A00-000009000000}">
          <x14:formula1>
            <xm:f>'Tabla Valoración controles'!$D$11:$D$12</xm:f>
          </x14:formula1>
          <xm:sqref>AF13:AF72</xm:sqref>
        </x14:dataValidation>
        <x14:dataValidation type="list" allowBlank="1" showInputMessage="1" showErrorMessage="1" xr:uid="{00000000-0002-0000-0A00-00000A000000}">
          <x14:formula1>
            <xm:f>'Tabla Valoración controles'!$D$9:$D$10</xm:f>
          </x14:formula1>
          <xm:sqref>AE13:AE72</xm:sqref>
        </x14:dataValidation>
        <x14:dataValidation type="list" allowBlank="1" showInputMessage="1" showErrorMessage="1" xr:uid="{00000000-0002-0000-0A00-00000B000000}">
          <x14:formula1>
            <xm:f>'Tabla Valoración controles'!$D$7:$D$8</xm:f>
          </x14:formula1>
          <xm:sqref>AC13:AC72</xm:sqref>
        </x14:dataValidation>
        <x14:dataValidation type="list" allowBlank="1" showInputMessage="1" showErrorMessage="1" xr:uid="{00000000-0002-0000-0A00-00000C000000}">
          <x14:formula1>
            <xm:f>'Tabla Valoración controles'!$D$4:$D$6</xm:f>
          </x14:formula1>
          <xm:sqref>AB13:AB72</xm:sqref>
        </x14:dataValidation>
        <x14:dataValidation type="list" allowBlank="1" showInputMessage="1" showErrorMessage="1" xr:uid="{00000000-0002-0000-0A00-00000D000000}">
          <x14:formula1>
            <xm:f>'Tabla Impacto'!$F$240:$F$263</xm:f>
          </x14:formula1>
          <xm:sqref>Q13:Q72</xm:sqref>
        </x14:dataValidation>
        <x14:dataValidation type="list" allowBlank="1" showInputMessage="1" showErrorMessage="1" xr:uid="{00000000-0002-0000-0A00-00000E000000}">
          <x14:formula1>
            <xm:f>Listas!$L$5:$L$9</xm:f>
          </x14:formula1>
          <xm:sqref>M19:M72</xm:sqref>
        </x14:dataValidation>
        <x14:dataValidation type="list" allowBlank="1" showInputMessage="1" showErrorMessage="1" xr:uid="{00000000-0002-0000-0A00-00000F000000}">
          <x14:formula1>
            <xm:f>Listas!$L$4:$L$9</xm:f>
          </x14:formula1>
          <xm:sqref>M13:M18</xm:sqref>
        </x14:dataValidation>
        <x14:dataValidation type="list" allowBlank="1" showInputMessage="1" showErrorMessage="1" xr:uid="{00000000-0002-0000-0A00-000010000000}">
          <x14:formula1>
            <xm:f>Listas!$B$4:$B$7</xm:f>
          </x14:formula1>
          <xm:sqref>AN13:AN72</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9" tint="-0.249977111117893"/>
  </sheetPr>
  <dimension ref="B2:F9"/>
  <sheetViews>
    <sheetView topLeftCell="A2" workbookViewId="0">
      <selection activeCell="B3" sqref="B3"/>
    </sheetView>
  </sheetViews>
  <sheetFormatPr baseColWidth="10" defaultColWidth="11.42578125" defaultRowHeight="12.75" x14ac:dyDescent="0.2"/>
  <cols>
    <col min="1" max="1" width="3.5703125" style="258" customWidth="1"/>
    <col min="2" max="2" width="14.28515625" style="1" customWidth="1"/>
    <col min="3" max="6" width="19.7109375" style="1" customWidth="1"/>
    <col min="7" max="16384" width="11.42578125" style="258"/>
  </cols>
  <sheetData>
    <row r="2" spans="2:6" x14ac:dyDescent="0.2">
      <c r="B2" s="755"/>
      <c r="C2" s="755"/>
      <c r="D2" s="755"/>
      <c r="E2" s="755"/>
      <c r="F2" s="755"/>
    </row>
    <row r="3" spans="2:6" x14ac:dyDescent="0.2">
      <c r="B3" s="281"/>
      <c r="C3" s="282"/>
      <c r="D3" s="282"/>
      <c r="E3" s="282"/>
      <c r="F3" s="282"/>
    </row>
    <row r="4" spans="2:6" ht="22.5" customHeight="1" x14ac:dyDescent="0.2">
      <c r="B4" s="283" t="s">
        <v>572</v>
      </c>
      <c r="C4" s="283" t="s">
        <v>573</v>
      </c>
      <c r="D4" s="284" t="s">
        <v>574</v>
      </c>
      <c r="E4" s="284" t="s">
        <v>575</v>
      </c>
      <c r="F4" s="284" t="s">
        <v>576</v>
      </c>
    </row>
    <row r="5" spans="2:6" ht="51" x14ac:dyDescent="0.2">
      <c r="B5" s="285" t="s">
        <v>577</v>
      </c>
      <c r="C5" s="286" t="s">
        <v>578</v>
      </c>
      <c r="D5" s="287" t="s">
        <v>579</v>
      </c>
      <c r="E5" s="288" t="s">
        <v>580</v>
      </c>
      <c r="F5" s="289" t="s">
        <v>581</v>
      </c>
    </row>
    <row r="6" spans="2:6" ht="76.5" x14ac:dyDescent="0.2">
      <c r="B6" s="290" t="s">
        <v>582</v>
      </c>
      <c r="C6" s="286" t="s">
        <v>583</v>
      </c>
      <c r="D6" s="287" t="s">
        <v>584</v>
      </c>
      <c r="E6" s="288" t="s">
        <v>585</v>
      </c>
      <c r="F6" s="289" t="s">
        <v>586</v>
      </c>
    </row>
    <row r="7" spans="2:6" ht="63.75" x14ac:dyDescent="0.2">
      <c r="B7" s="291" t="s">
        <v>587</v>
      </c>
      <c r="C7" s="286" t="s">
        <v>588</v>
      </c>
      <c r="D7" s="287" t="s">
        <v>589</v>
      </c>
      <c r="E7" s="288" t="s">
        <v>590</v>
      </c>
      <c r="F7" s="289" t="s">
        <v>591</v>
      </c>
    </row>
    <row r="8" spans="2:6" ht="63.75" x14ac:dyDescent="0.2">
      <c r="B8" s="292" t="s">
        <v>592</v>
      </c>
      <c r="C8" s="286" t="s">
        <v>593</v>
      </c>
      <c r="D8" s="287" t="s">
        <v>594</v>
      </c>
      <c r="E8" s="288" t="s">
        <v>595</v>
      </c>
      <c r="F8" s="289" t="s">
        <v>596</v>
      </c>
    </row>
    <row r="9" spans="2:6" ht="63.75" x14ac:dyDescent="0.2">
      <c r="B9" s="293" t="s">
        <v>597</v>
      </c>
      <c r="C9" s="286" t="s">
        <v>598</v>
      </c>
      <c r="D9" s="287" t="s">
        <v>599</v>
      </c>
      <c r="E9" s="288" t="s">
        <v>600</v>
      </c>
      <c r="F9" s="289" t="s">
        <v>601</v>
      </c>
    </row>
  </sheetData>
  <mergeCells count="1">
    <mergeCell ref="B2:F2"/>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U263"/>
  <sheetViews>
    <sheetView topLeftCell="B208" zoomScale="60" zoomScaleNormal="60" workbookViewId="0">
      <selection activeCell="C216" sqref="C216:C220"/>
    </sheetView>
  </sheetViews>
  <sheetFormatPr baseColWidth="10" defaultColWidth="11.42578125" defaultRowHeight="15" x14ac:dyDescent="0.25"/>
  <cols>
    <col min="1" max="1" width="5.28515625" customWidth="1"/>
    <col min="2" max="2" width="56.7109375" customWidth="1"/>
    <col min="3" max="3" width="75.28515625" customWidth="1"/>
    <col min="4" max="4" width="87.5703125" customWidth="1"/>
    <col min="5" max="5" width="46.42578125" customWidth="1"/>
    <col min="6" max="6" width="98.5703125" style="271" customWidth="1"/>
    <col min="7" max="7" width="26.7109375" customWidth="1"/>
    <col min="11" max="11" width="48.28515625" customWidth="1"/>
  </cols>
  <sheetData>
    <row r="2" spans="1:21" s="167" customFormat="1" ht="45.75" customHeight="1" x14ac:dyDescent="0.25">
      <c r="A2" s="166"/>
      <c r="B2" s="756" t="s">
        <v>602</v>
      </c>
      <c r="C2" s="756"/>
      <c r="D2" s="756"/>
      <c r="E2" s="756"/>
      <c r="F2" s="267"/>
      <c r="G2" s="166"/>
      <c r="H2" s="166"/>
      <c r="I2" s="166"/>
      <c r="J2" s="166"/>
      <c r="K2" s="166"/>
      <c r="L2" s="166"/>
      <c r="M2" s="166"/>
      <c r="N2" s="166"/>
      <c r="O2" s="166"/>
      <c r="P2" s="166"/>
      <c r="Q2" s="166"/>
      <c r="R2" s="166"/>
      <c r="S2" s="166"/>
      <c r="T2" s="166"/>
      <c r="U2" s="166"/>
    </row>
    <row r="3" spans="1:21" s="167" customFormat="1" ht="18.75" customHeight="1" x14ac:dyDescent="0.25">
      <c r="A3" s="166"/>
      <c r="B3" s="168"/>
      <c r="C3" s="166"/>
      <c r="D3" s="166"/>
      <c r="E3" s="166"/>
      <c r="F3" s="267"/>
      <c r="G3" s="166"/>
      <c r="H3" s="166"/>
      <c r="I3" s="166"/>
      <c r="J3" s="166"/>
      <c r="K3" s="166"/>
      <c r="L3" s="166"/>
      <c r="M3" s="166"/>
      <c r="N3" s="166"/>
      <c r="O3" s="166"/>
      <c r="P3" s="166"/>
      <c r="Q3" s="166"/>
      <c r="R3" s="166"/>
      <c r="S3" s="166"/>
      <c r="T3" s="166"/>
      <c r="U3" s="166"/>
    </row>
    <row r="4" spans="1:21" ht="67.5" customHeight="1" x14ac:dyDescent="0.25">
      <c r="A4" s="66"/>
      <c r="B4" s="106"/>
      <c r="C4" s="21" t="s">
        <v>603</v>
      </c>
      <c r="D4" s="21" t="s">
        <v>604</v>
      </c>
      <c r="E4" s="21" t="s">
        <v>605</v>
      </c>
      <c r="F4" s="268"/>
      <c r="G4" s="66"/>
      <c r="H4" s="66"/>
      <c r="I4" s="66"/>
      <c r="J4" s="66"/>
      <c r="K4" s="66"/>
      <c r="L4" s="66"/>
      <c r="M4" s="66"/>
      <c r="N4" s="66"/>
      <c r="O4" s="66"/>
      <c r="P4" s="66"/>
      <c r="Q4" s="66"/>
      <c r="R4" s="66"/>
      <c r="S4" s="66"/>
      <c r="T4" s="66"/>
      <c r="U4" s="66"/>
    </row>
    <row r="5" spans="1:21" ht="67.5" customHeight="1" x14ac:dyDescent="0.25">
      <c r="A5" s="86" t="s">
        <v>606</v>
      </c>
      <c r="B5" s="22" t="s">
        <v>577</v>
      </c>
      <c r="C5" s="27" t="s">
        <v>607</v>
      </c>
      <c r="D5" s="104" t="s">
        <v>566</v>
      </c>
      <c r="E5" s="199">
        <f>908526*130</f>
        <v>118108380</v>
      </c>
      <c r="F5" s="269"/>
      <c r="G5" s="66"/>
      <c r="H5" s="66"/>
      <c r="I5" s="66"/>
      <c r="J5" s="66"/>
      <c r="K5" s="66"/>
      <c r="L5" s="66"/>
      <c r="M5" s="66"/>
      <c r="N5" s="66"/>
      <c r="O5" s="66"/>
      <c r="P5" s="66"/>
      <c r="Q5" s="66"/>
      <c r="R5" s="66"/>
      <c r="S5" s="66"/>
      <c r="T5" s="66"/>
      <c r="U5" s="66"/>
    </row>
    <row r="6" spans="1:21" ht="129" customHeight="1" x14ac:dyDescent="0.25">
      <c r="A6" s="86" t="s">
        <v>608</v>
      </c>
      <c r="B6" s="23" t="s">
        <v>582</v>
      </c>
      <c r="C6" s="28" t="s">
        <v>609</v>
      </c>
      <c r="D6" s="105" t="s">
        <v>610</v>
      </c>
      <c r="E6" s="199">
        <f>908526*650</f>
        <v>590541900</v>
      </c>
      <c r="F6" s="269"/>
      <c r="G6" s="66"/>
      <c r="H6" s="66"/>
      <c r="I6" s="66"/>
      <c r="J6" s="66"/>
      <c r="K6" s="66"/>
      <c r="L6" s="66"/>
      <c r="M6" s="66"/>
      <c r="N6" s="66"/>
      <c r="O6" s="66"/>
      <c r="P6" s="66"/>
      <c r="Q6" s="66"/>
      <c r="R6" s="66"/>
      <c r="S6" s="66"/>
      <c r="T6" s="66"/>
      <c r="U6" s="66"/>
    </row>
    <row r="7" spans="1:21" ht="101.25" x14ac:dyDescent="0.25">
      <c r="A7" s="86" t="s">
        <v>490</v>
      </c>
      <c r="B7" s="24" t="s">
        <v>587</v>
      </c>
      <c r="C7" s="28" t="s">
        <v>611</v>
      </c>
      <c r="D7" s="105" t="s">
        <v>612</v>
      </c>
      <c r="E7" s="199">
        <f>908526*1300</f>
        <v>1181083800</v>
      </c>
      <c r="F7" s="269"/>
      <c r="G7" s="66"/>
      <c r="H7" s="66"/>
      <c r="I7" s="66"/>
      <c r="J7" s="66"/>
      <c r="K7" s="66"/>
      <c r="L7" s="66"/>
      <c r="M7" s="66"/>
      <c r="N7" s="66"/>
      <c r="O7" s="66"/>
      <c r="P7" s="66"/>
      <c r="Q7" s="66"/>
      <c r="R7" s="66"/>
      <c r="S7" s="66"/>
      <c r="T7" s="66"/>
      <c r="U7" s="66"/>
    </row>
    <row r="8" spans="1:21" ht="135" x14ac:dyDescent="0.25">
      <c r="A8" s="86" t="s">
        <v>613</v>
      </c>
      <c r="B8" s="25" t="s">
        <v>592</v>
      </c>
      <c r="C8" s="28" t="s">
        <v>614</v>
      </c>
      <c r="D8" s="105" t="s">
        <v>615</v>
      </c>
      <c r="E8" s="199">
        <f>908526*6500</f>
        <v>5905419000</v>
      </c>
      <c r="F8" s="269"/>
      <c r="G8" s="66"/>
      <c r="H8" s="66"/>
      <c r="I8" s="66"/>
      <c r="J8" s="66"/>
      <c r="K8" s="66"/>
      <c r="L8" s="66"/>
      <c r="M8" s="66"/>
      <c r="N8" s="66"/>
      <c r="O8" s="66"/>
      <c r="P8" s="66"/>
      <c r="Q8" s="66"/>
      <c r="R8" s="66"/>
      <c r="S8" s="66"/>
      <c r="T8" s="66"/>
      <c r="U8" s="66"/>
    </row>
    <row r="9" spans="1:21" ht="101.25" x14ac:dyDescent="0.25">
      <c r="A9" s="86" t="s">
        <v>616</v>
      </c>
      <c r="B9" s="26" t="s">
        <v>597</v>
      </c>
      <c r="C9" s="28" t="s">
        <v>617</v>
      </c>
      <c r="D9" s="105" t="s">
        <v>618</v>
      </c>
      <c r="E9" s="199"/>
      <c r="F9" s="270"/>
      <c r="G9" s="107"/>
      <c r="H9" s="66"/>
      <c r="I9" s="66"/>
      <c r="J9" s="66"/>
      <c r="K9" s="66"/>
      <c r="L9" s="66"/>
      <c r="M9" s="66"/>
      <c r="N9" s="66"/>
      <c r="O9" s="66"/>
      <c r="P9" s="66"/>
      <c r="Q9" s="66"/>
      <c r="R9" s="66"/>
      <c r="S9" s="66"/>
      <c r="T9" s="66"/>
      <c r="U9" s="66"/>
    </row>
    <row r="10" spans="1:21" s="110" customFormat="1" ht="20.25" x14ac:dyDescent="0.25">
      <c r="A10" s="108"/>
      <c r="B10" s="108"/>
      <c r="C10" s="109"/>
      <c r="D10" s="109"/>
      <c r="E10" s="108"/>
      <c r="F10" s="264"/>
      <c r="G10" s="108"/>
      <c r="H10" s="108"/>
      <c r="I10" s="108"/>
      <c r="J10" s="108"/>
      <c r="K10" s="108"/>
      <c r="L10" s="108"/>
      <c r="M10" s="108"/>
      <c r="N10" s="108"/>
      <c r="O10" s="108"/>
      <c r="P10" s="108"/>
      <c r="Q10" s="108"/>
      <c r="R10" s="108"/>
      <c r="S10" s="108"/>
      <c r="T10" s="108"/>
      <c r="U10" s="108"/>
    </row>
    <row r="11" spans="1:21" s="110" customFormat="1" ht="16.5" x14ac:dyDescent="0.25">
      <c r="A11" s="108"/>
      <c r="B11" s="111"/>
      <c r="C11" s="111"/>
      <c r="D11" s="111"/>
      <c r="E11" s="108"/>
      <c r="F11" s="264"/>
      <c r="G11" s="108"/>
      <c r="H11" s="108"/>
      <c r="I11" s="108"/>
      <c r="J11" s="108"/>
      <c r="K11" s="108"/>
      <c r="L11" s="108"/>
      <c r="M11" s="108"/>
      <c r="N11" s="108"/>
      <c r="O11" s="108"/>
      <c r="P11" s="108"/>
      <c r="Q11" s="108"/>
      <c r="R11" s="108"/>
      <c r="S11" s="108"/>
      <c r="T11" s="108"/>
      <c r="U11" s="108"/>
    </row>
    <row r="12" spans="1:21" s="110" customFormat="1" x14ac:dyDescent="0.25">
      <c r="A12" s="108"/>
      <c r="B12" s="108" t="s">
        <v>619</v>
      </c>
      <c r="C12" s="108" t="s">
        <v>570</v>
      </c>
      <c r="D12" s="108" t="s">
        <v>620</v>
      </c>
      <c r="E12" s="108"/>
      <c r="F12" s="264"/>
      <c r="G12" s="108"/>
      <c r="H12" s="108"/>
      <c r="I12" s="108"/>
      <c r="J12" s="108"/>
      <c r="K12" s="108"/>
      <c r="L12" s="108"/>
      <c r="M12" s="108"/>
      <c r="N12" s="108"/>
      <c r="O12" s="108"/>
      <c r="P12" s="108"/>
      <c r="Q12" s="108"/>
      <c r="R12" s="108"/>
      <c r="S12" s="108"/>
      <c r="T12" s="108"/>
      <c r="U12" s="108"/>
    </row>
    <row r="13" spans="1:21" s="110" customFormat="1" x14ac:dyDescent="0.25">
      <c r="A13" s="108"/>
      <c r="B13" s="108" t="s">
        <v>621</v>
      </c>
      <c r="C13" s="108" t="s">
        <v>507</v>
      </c>
      <c r="D13" s="108" t="s">
        <v>622</v>
      </c>
      <c r="E13" s="108"/>
      <c r="F13" s="264"/>
      <c r="G13" s="108"/>
      <c r="H13" s="108"/>
      <c r="I13" s="108"/>
      <c r="J13" s="108"/>
      <c r="K13" s="108"/>
      <c r="L13" s="108"/>
      <c r="M13" s="108"/>
      <c r="N13" s="108"/>
      <c r="O13" s="108"/>
      <c r="P13" s="108"/>
      <c r="Q13" s="108"/>
      <c r="R13" s="108"/>
      <c r="S13" s="108"/>
      <c r="T13" s="108"/>
      <c r="U13" s="108"/>
    </row>
    <row r="14" spans="1:21" s="110" customFormat="1" x14ac:dyDescent="0.25">
      <c r="A14" s="108"/>
      <c r="B14" s="108"/>
      <c r="C14" s="108" t="s">
        <v>503</v>
      </c>
      <c r="D14" s="108" t="s">
        <v>474</v>
      </c>
      <c r="E14" s="108"/>
      <c r="F14" s="264"/>
      <c r="G14" s="108"/>
      <c r="H14" s="108"/>
      <c r="I14" s="108"/>
      <c r="J14" s="108"/>
      <c r="K14" s="108"/>
      <c r="L14" s="108"/>
      <c r="M14" s="108"/>
      <c r="N14" s="108"/>
      <c r="O14" s="108"/>
      <c r="P14" s="108"/>
      <c r="Q14" s="108"/>
      <c r="R14" s="108"/>
      <c r="S14" s="108"/>
      <c r="T14" s="108"/>
      <c r="U14" s="108"/>
    </row>
    <row r="15" spans="1:21" s="110" customFormat="1" x14ac:dyDescent="0.25">
      <c r="A15" s="108"/>
      <c r="B15" s="108"/>
      <c r="C15" s="108" t="s">
        <v>623</v>
      </c>
      <c r="D15" s="108" t="s">
        <v>512</v>
      </c>
      <c r="E15" s="108"/>
      <c r="F15" s="264"/>
      <c r="G15" s="108"/>
      <c r="H15" s="108"/>
      <c r="I15" s="108"/>
      <c r="J15" s="108"/>
      <c r="K15" s="108"/>
      <c r="L15" s="108"/>
      <c r="M15" s="108"/>
      <c r="N15" s="108"/>
      <c r="O15" s="108"/>
      <c r="P15" s="108"/>
      <c r="Q15" s="108"/>
      <c r="R15" s="108"/>
      <c r="S15" s="108"/>
      <c r="T15" s="108"/>
      <c r="U15" s="108"/>
    </row>
    <row r="16" spans="1:21" s="110" customFormat="1" x14ac:dyDescent="0.25">
      <c r="A16" s="108"/>
      <c r="B16" s="108"/>
      <c r="C16" s="108" t="s">
        <v>624</v>
      </c>
      <c r="D16" s="108" t="s">
        <v>543</v>
      </c>
      <c r="E16" s="108"/>
      <c r="F16" s="264"/>
      <c r="G16" s="108"/>
      <c r="H16" s="108"/>
      <c r="I16" s="108"/>
      <c r="J16" s="108"/>
      <c r="K16" s="108"/>
      <c r="L16" s="108"/>
      <c r="M16" s="108"/>
      <c r="N16" s="108"/>
      <c r="O16" s="108"/>
      <c r="P16" s="108"/>
      <c r="Q16" s="108"/>
      <c r="R16" s="108"/>
      <c r="S16" s="108"/>
      <c r="T16" s="108"/>
      <c r="U16" s="108"/>
    </row>
    <row r="17" spans="1:15" s="110" customFormat="1" x14ac:dyDescent="0.25">
      <c r="A17" s="108"/>
      <c r="B17" s="108"/>
      <c r="C17" s="108"/>
      <c r="D17" s="108"/>
      <c r="E17" s="108"/>
      <c r="F17" s="264"/>
      <c r="G17" s="108"/>
      <c r="H17" s="108"/>
      <c r="I17" s="108"/>
      <c r="J17" s="108"/>
      <c r="K17" s="108"/>
      <c r="L17" s="108"/>
      <c r="M17" s="108"/>
      <c r="N17" s="108"/>
      <c r="O17" s="108"/>
    </row>
    <row r="18" spans="1:15" s="110" customFormat="1" x14ac:dyDescent="0.25">
      <c r="A18" s="108"/>
      <c r="B18" s="108"/>
      <c r="C18" s="108"/>
      <c r="D18" s="108"/>
      <c r="E18" s="108"/>
      <c r="F18" s="264"/>
      <c r="G18" s="108"/>
      <c r="H18" s="108"/>
      <c r="I18" s="108"/>
      <c r="J18" s="108"/>
      <c r="K18" s="108"/>
      <c r="L18" s="108"/>
      <c r="M18" s="108"/>
      <c r="N18" s="108"/>
      <c r="O18" s="108"/>
    </row>
    <row r="19" spans="1:15" s="110" customFormat="1" x14ac:dyDescent="0.25">
      <c r="A19" s="108"/>
      <c r="B19" s="108"/>
      <c r="C19" s="108"/>
      <c r="D19" s="108"/>
      <c r="E19" s="108"/>
      <c r="F19" s="264"/>
      <c r="G19" s="108"/>
      <c r="H19" s="108"/>
      <c r="I19" s="108"/>
      <c r="J19" s="108"/>
      <c r="K19" s="108"/>
      <c r="L19" s="108"/>
      <c r="M19" s="108"/>
      <c r="N19" s="108"/>
      <c r="O19" s="108"/>
    </row>
    <row r="20" spans="1:15" s="110" customFormat="1" x14ac:dyDescent="0.25">
      <c r="A20" s="108"/>
      <c r="B20" s="108"/>
      <c r="C20" s="108"/>
      <c r="D20" s="108"/>
      <c r="E20" s="108"/>
      <c r="F20" s="264"/>
      <c r="G20" s="108"/>
      <c r="H20" s="108"/>
      <c r="I20" s="108"/>
      <c r="J20" s="108"/>
      <c r="K20" s="108"/>
      <c r="L20" s="108"/>
      <c r="M20" s="108"/>
      <c r="N20" s="108"/>
      <c r="O20" s="108"/>
    </row>
    <row r="21" spans="1:15" s="110" customFormat="1" x14ac:dyDescent="0.25">
      <c r="A21" s="108"/>
      <c r="B21" s="108"/>
      <c r="C21" s="108"/>
      <c r="D21" s="108"/>
      <c r="E21" s="108"/>
      <c r="F21" s="265"/>
      <c r="G21" s="108"/>
      <c r="H21" s="108"/>
      <c r="I21" s="108"/>
      <c r="J21" s="108"/>
      <c r="K21" s="108"/>
      <c r="L21" s="108"/>
      <c r="M21" s="108"/>
      <c r="N21" s="108"/>
      <c r="O21" s="108"/>
    </row>
    <row r="22" spans="1:15" s="110" customFormat="1" x14ac:dyDescent="0.25">
      <c r="A22" s="108"/>
      <c r="B22" s="108"/>
      <c r="C22" s="108"/>
      <c r="D22" s="108"/>
      <c r="E22" s="108"/>
      <c r="F22" s="265"/>
      <c r="G22" s="108"/>
      <c r="H22" s="108"/>
      <c r="I22" s="108"/>
      <c r="J22" s="108"/>
      <c r="K22" s="108"/>
      <c r="L22" s="108"/>
      <c r="M22" s="108"/>
      <c r="N22" s="108"/>
      <c r="O22" s="108"/>
    </row>
    <row r="23" spans="1:15" s="110" customFormat="1" ht="20.25" x14ac:dyDescent="0.25">
      <c r="A23" s="108"/>
      <c r="B23" s="108"/>
      <c r="C23" s="109"/>
      <c r="D23" s="109"/>
      <c r="E23" s="108"/>
      <c r="F23" s="265"/>
      <c r="G23" s="108"/>
      <c r="H23" s="108"/>
      <c r="I23" s="108"/>
      <c r="J23" s="108"/>
      <c r="K23" s="108"/>
      <c r="L23" s="108"/>
      <c r="M23" s="108"/>
      <c r="N23" s="108"/>
      <c r="O23" s="108"/>
    </row>
    <row r="24" spans="1:15" s="110" customFormat="1" ht="20.25" x14ac:dyDescent="0.25">
      <c r="A24" s="108"/>
      <c r="B24" s="108"/>
      <c r="C24" s="109"/>
      <c r="D24" s="109"/>
      <c r="E24" s="108"/>
      <c r="F24" s="265"/>
      <c r="G24" s="108"/>
      <c r="H24" s="108"/>
      <c r="I24" s="108"/>
      <c r="J24" s="108"/>
      <c r="K24" s="108"/>
      <c r="L24" s="108"/>
      <c r="M24" s="108"/>
      <c r="N24" s="108"/>
      <c r="O24" s="108"/>
    </row>
    <row r="25" spans="1:15" s="110" customFormat="1" ht="20.25" x14ac:dyDescent="0.25">
      <c r="A25" s="108"/>
      <c r="B25" s="108"/>
      <c r="C25" s="109"/>
      <c r="D25" s="109"/>
      <c r="E25" s="108"/>
      <c r="F25" s="265"/>
      <c r="G25" s="108"/>
      <c r="H25" s="108"/>
      <c r="I25" s="108"/>
      <c r="J25" s="108"/>
      <c r="K25" s="108"/>
      <c r="L25" s="108"/>
      <c r="M25" s="108"/>
      <c r="N25" s="108"/>
      <c r="O25" s="108"/>
    </row>
    <row r="26" spans="1:15" s="110" customFormat="1" ht="20.25" x14ac:dyDescent="0.25">
      <c r="A26" s="108"/>
      <c r="B26" s="108"/>
      <c r="C26" s="109"/>
      <c r="D26" s="109"/>
      <c r="E26" s="108"/>
      <c r="F26" s="265"/>
      <c r="G26" s="108"/>
      <c r="H26" s="108"/>
      <c r="I26" s="108"/>
      <c r="J26" s="108"/>
      <c r="K26" s="108"/>
      <c r="L26" s="108"/>
      <c r="M26" s="108"/>
      <c r="N26" s="108"/>
      <c r="O26" s="108"/>
    </row>
    <row r="27" spans="1:15" s="110" customFormat="1" ht="20.25" x14ac:dyDescent="0.25">
      <c r="A27" s="108"/>
      <c r="B27" s="108"/>
      <c r="C27" s="109"/>
      <c r="D27" s="109"/>
      <c r="E27" s="108"/>
      <c r="F27" s="265"/>
      <c r="G27" s="108"/>
      <c r="H27" s="108"/>
      <c r="I27" s="108"/>
      <c r="J27" s="108"/>
      <c r="K27" s="108"/>
      <c r="L27" s="108"/>
      <c r="M27" s="108"/>
      <c r="N27" s="108"/>
      <c r="O27" s="108"/>
    </row>
    <row r="28" spans="1:15" s="110" customFormat="1" ht="20.25" x14ac:dyDescent="0.25">
      <c r="A28" s="108"/>
      <c r="B28" s="108"/>
      <c r="C28" s="109"/>
      <c r="D28" s="109"/>
      <c r="E28" s="108"/>
      <c r="F28" s="265"/>
      <c r="G28" s="108"/>
      <c r="H28" s="108"/>
      <c r="I28" s="108"/>
      <c r="J28" s="108"/>
      <c r="K28" s="108"/>
      <c r="L28" s="108"/>
      <c r="M28" s="108"/>
      <c r="N28" s="108"/>
      <c r="O28" s="108"/>
    </row>
    <row r="29" spans="1:15" s="110" customFormat="1" ht="20.25" x14ac:dyDescent="0.25">
      <c r="A29" s="108"/>
      <c r="B29" s="108"/>
      <c r="C29" s="109"/>
      <c r="D29" s="109"/>
      <c r="E29" s="108"/>
      <c r="F29" s="265"/>
      <c r="G29" s="108"/>
      <c r="H29" s="108"/>
      <c r="I29" s="108"/>
      <c r="J29" s="108"/>
      <c r="K29" s="108"/>
      <c r="L29" s="108"/>
      <c r="M29" s="108"/>
      <c r="N29" s="108"/>
      <c r="O29" s="108"/>
    </row>
    <row r="30" spans="1:15" s="110" customFormat="1" ht="20.25" x14ac:dyDescent="0.25">
      <c r="A30" s="108"/>
      <c r="B30" s="108"/>
      <c r="C30" s="109"/>
      <c r="D30" s="109"/>
      <c r="E30" s="108"/>
      <c r="F30" s="265"/>
      <c r="G30" s="108"/>
      <c r="H30" s="108"/>
      <c r="I30" s="108"/>
      <c r="J30" s="108"/>
      <c r="K30" s="108"/>
      <c r="L30" s="108"/>
      <c r="M30" s="108"/>
      <c r="N30" s="108"/>
      <c r="O30" s="108"/>
    </row>
    <row r="31" spans="1:15" s="110" customFormat="1" ht="20.25" x14ac:dyDescent="0.25">
      <c r="A31" s="108"/>
      <c r="B31" s="108"/>
      <c r="C31" s="109"/>
      <c r="D31" s="109"/>
      <c r="E31" s="108"/>
      <c r="F31" s="265"/>
      <c r="G31" s="108"/>
      <c r="H31" s="108"/>
      <c r="I31" s="108"/>
      <c r="J31" s="108"/>
      <c r="K31" s="108"/>
      <c r="L31" s="108"/>
      <c r="M31" s="108"/>
      <c r="N31" s="108"/>
      <c r="O31" s="108"/>
    </row>
    <row r="32" spans="1:15" s="110" customFormat="1" ht="20.25" x14ac:dyDescent="0.25">
      <c r="A32" s="108"/>
      <c r="B32" s="108"/>
      <c r="C32" s="109"/>
      <c r="D32" s="109"/>
      <c r="E32" s="108"/>
      <c r="F32" s="265"/>
      <c r="G32" s="108"/>
      <c r="H32" s="108"/>
      <c r="I32" s="108"/>
      <c r="J32" s="108"/>
      <c r="K32" s="108"/>
      <c r="L32" s="108"/>
      <c r="M32" s="108"/>
      <c r="N32" s="108"/>
      <c r="O32" s="108"/>
    </row>
    <row r="33" spans="1:15" s="110" customFormat="1" ht="20.25" x14ac:dyDescent="0.25">
      <c r="A33" s="108"/>
      <c r="B33" s="108"/>
      <c r="C33" s="109"/>
      <c r="D33" s="109"/>
      <c r="E33" s="108"/>
      <c r="F33" s="265"/>
      <c r="G33" s="108"/>
      <c r="H33" s="108"/>
      <c r="I33" s="108"/>
      <c r="J33" s="108"/>
      <c r="K33" s="108"/>
      <c r="L33" s="108"/>
      <c r="M33" s="108"/>
      <c r="N33" s="108"/>
      <c r="O33" s="108"/>
    </row>
    <row r="34" spans="1:15" s="110" customFormat="1" ht="20.25" x14ac:dyDescent="0.25">
      <c r="A34" s="108"/>
      <c r="B34" s="108"/>
      <c r="C34" s="109"/>
      <c r="D34" s="109"/>
      <c r="E34" s="108"/>
      <c r="F34" s="265"/>
      <c r="G34" s="108"/>
      <c r="H34" s="108"/>
      <c r="I34" s="108"/>
      <c r="J34" s="108"/>
      <c r="K34" s="108"/>
      <c r="L34" s="108"/>
      <c r="M34" s="108"/>
      <c r="N34" s="108"/>
      <c r="O34" s="108"/>
    </row>
    <row r="35" spans="1:15" s="110" customFormat="1" ht="20.25" x14ac:dyDescent="0.25">
      <c r="A35" s="108"/>
      <c r="B35" s="108"/>
      <c r="C35" s="109"/>
      <c r="D35" s="109"/>
      <c r="E35" s="108"/>
      <c r="F35" s="265"/>
      <c r="G35" s="108"/>
      <c r="H35" s="108"/>
      <c r="I35" s="108"/>
      <c r="J35" s="108"/>
      <c r="K35" s="108"/>
      <c r="L35" s="108"/>
      <c r="M35" s="108"/>
      <c r="N35" s="108"/>
      <c r="O35" s="108"/>
    </row>
    <row r="36" spans="1:15" s="110" customFormat="1" ht="20.25" x14ac:dyDescent="0.25">
      <c r="A36" s="108"/>
      <c r="B36" s="108"/>
      <c r="C36" s="109"/>
      <c r="D36" s="109"/>
      <c r="E36" s="108"/>
      <c r="F36" s="265"/>
      <c r="G36" s="108"/>
      <c r="H36" s="108"/>
      <c r="I36" s="108"/>
      <c r="J36" s="108"/>
      <c r="K36" s="108"/>
      <c r="L36" s="108"/>
      <c r="M36" s="108"/>
      <c r="N36" s="108"/>
      <c r="O36" s="108"/>
    </row>
    <row r="37" spans="1:15" s="110" customFormat="1" ht="20.25" x14ac:dyDescent="0.25">
      <c r="A37" s="108"/>
      <c r="B37" s="108"/>
      <c r="C37" s="109"/>
      <c r="D37" s="109"/>
      <c r="E37" s="108"/>
      <c r="F37" s="265"/>
      <c r="G37" s="108"/>
      <c r="H37" s="108"/>
      <c r="I37" s="108"/>
      <c r="J37" s="108"/>
      <c r="K37" s="108"/>
      <c r="L37" s="108"/>
      <c r="M37" s="108"/>
      <c r="N37" s="108"/>
      <c r="O37" s="108"/>
    </row>
    <row r="38" spans="1:15" s="110" customFormat="1" ht="20.25" x14ac:dyDescent="0.25">
      <c r="A38" s="108"/>
      <c r="B38" s="108"/>
      <c r="C38" s="109"/>
      <c r="D38" s="109"/>
      <c r="E38" s="108"/>
      <c r="F38" s="265"/>
      <c r="G38" s="108"/>
      <c r="H38" s="108"/>
      <c r="I38" s="108"/>
      <c r="J38" s="108"/>
      <c r="K38" s="108"/>
      <c r="L38" s="108"/>
      <c r="M38" s="108"/>
      <c r="N38" s="108"/>
      <c r="O38" s="108"/>
    </row>
    <row r="39" spans="1:15" s="110" customFormat="1" ht="20.25" x14ac:dyDescent="0.25">
      <c r="A39" s="108"/>
      <c r="B39" s="108"/>
      <c r="C39" s="109"/>
      <c r="D39" s="109"/>
      <c r="E39" s="108"/>
      <c r="F39" s="265"/>
      <c r="G39" s="108"/>
      <c r="H39" s="108"/>
      <c r="I39" s="108"/>
      <c r="J39" s="108"/>
      <c r="K39" s="108"/>
      <c r="L39" s="108"/>
      <c r="M39" s="108"/>
      <c r="N39" s="108"/>
      <c r="O39" s="108"/>
    </row>
    <row r="40" spans="1:15" s="110" customFormat="1" ht="20.25" x14ac:dyDescent="0.25">
      <c r="A40" s="108"/>
      <c r="B40" s="108"/>
      <c r="C40" s="109"/>
      <c r="D40" s="109"/>
      <c r="E40" s="108"/>
      <c r="F40" s="265"/>
      <c r="G40" s="108"/>
      <c r="H40" s="108"/>
      <c r="I40" s="108"/>
      <c r="J40" s="108"/>
      <c r="K40" s="108"/>
      <c r="L40" s="108"/>
      <c r="M40" s="108"/>
      <c r="N40" s="108"/>
      <c r="O40" s="108"/>
    </row>
    <row r="41" spans="1:15" s="110" customFormat="1" ht="20.25" x14ac:dyDescent="0.25">
      <c r="A41" s="108"/>
      <c r="B41" s="108"/>
      <c r="C41" s="109"/>
      <c r="D41" s="109"/>
      <c r="E41" s="108"/>
      <c r="F41" s="265"/>
      <c r="G41" s="108"/>
      <c r="H41" s="108"/>
      <c r="I41" s="108"/>
      <c r="J41" s="108"/>
      <c r="K41" s="108"/>
      <c r="L41" s="108"/>
      <c r="M41" s="108"/>
      <c r="N41" s="108"/>
      <c r="O41" s="108"/>
    </row>
    <row r="42" spans="1:15" s="110" customFormat="1" ht="20.25" x14ac:dyDescent="0.25">
      <c r="A42" s="108"/>
      <c r="B42" s="108"/>
      <c r="C42" s="109"/>
      <c r="D42" s="109"/>
      <c r="E42" s="108"/>
      <c r="F42" s="265"/>
      <c r="G42" s="108"/>
      <c r="H42" s="108"/>
      <c r="I42" s="108"/>
      <c r="J42" s="108"/>
      <c r="K42" s="108"/>
      <c r="L42" s="108"/>
      <c r="M42" s="108"/>
      <c r="N42" s="108"/>
      <c r="O42" s="108"/>
    </row>
    <row r="43" spans="1:15" s="110" customFormat="1" ht="20.25" x14ac:dyDescent="0.25">
      <c r="A43" s="108"/>
      <c r="B43" s="108"/>
      <c r="C43" s="109"/>
      <c r="D43" s="109"/>
      <c r="E43" s="108"/>
      <c r="F43" s="265"/>
      <c r="G43" s="108"/>
      <c r="H43" s="108"/>
      <c r="I43" s="108"/>
      <c r="J43" s="108"/>
      <c r="K43" s="108"/>
      <c r="L43" s="108"/>
      <c r="M43" s="108"/>
      <c r="N43" s="108"/>
      <c r="O43" s="108"/>
    </row>
    <row r="44" spans="1:15" s="110" customFormat="1" ht="20.25" x14ac:dyDescent="0.25">
      <c r="A44" s="108"/>
      <c r="B44" s="108"/>
      <c r="C44" s="109"/>
      <c r="D44" s="109"/>
      <c r="E44" s="108"/>
      <c r="F44" s="265"/>
      <c r="G44" s="108"/>
      <c r="H44" s="108"/>
      <c r="I44" s="108"/>
      <c r="J44" s="108"/>
      <c r="K44" s="108"/>
      <c r="L44" s="108"/>
      <c r="M44" s="108"/>
      <c r="N44" s="108"/>
      <c r="O44" s="108"/>
    </row>
    <row r="45" spans="1:15" s="110" customFormat="1" ht="20.25" x14ac:dyDescent="0.25">
      <c r="A45" s="108"/>
      <c r="B45" s="108"/>
      <c r="C45" s="109"/>
      <c r="D45" s="109"/>
      <c r="E45" s="108"/>
      <c r="F45" s="265"/>
      <c r="G45" s="108"/>
      <c r="H45" s="108"/>
      <c r="I45" s="108"/>
      <c r="J45" s="108"/>
      <c r="K45" s="108"/>
      <c r="L45" s="108"/>
      <c r="M45" s="108"/>
      <c r="N45" s="108"/>
      <c r="O45" s="108"/>
    </row>
    <row r="46" spans="1:15" s="110" customFormat="1" ht="20.25" x14ac:dyDescent="0.25">
      <c r="A46" s="108"/>
      <c r="B46" s="108"/>
      <c r="C46" s="109"/>
      <c r="D46" s="109"/>
      <c r="E46" s="108"/>
      <c r="F46" s="265"/>
      <c r="G46" s="108"/>
      <c r="H46" s="108"/>
      <c r="I46" s="108"/>
      <c r="J46" s="108"/>
      <c r="K46" s="108"/>
      <c r="L46" s="108"/>
      <c r="M46" s="108"/>
      <c r="N46" s="108"/>
      <c r="O46" s="108"/>
    </row>
    <row r="47" spans="1:15" ht="20.25" x14ac:dyDescent="0.25">
      <c r="A47" s="86"/>
      <c r="B47" s="86"/>
      <c r="C47" s="87"/>
      <c r="D47" s="87"/>
      <c r="E47" s="66"/>
      <c r="F47" s="268"/>
      <c r="G47" s="66"/>
      <c r="H47" s="66"/>
      <c r="I47" s="66"/>
      <c r="J47" s="66"/>
      <c r="K47" s="66"/>
      <c r="L47" s="66"/>
      <c r="M47" s="66"/>
      <c r="N47" s="66"/>
      <c r="O47" s="66"/>
    </row>
    <row r="48" spans="1:15" ht="20.25" x14ac:dyDescent="0.25">
      <c r="A48" s="86"/>
      <c r="B48" s="86"/>
      <c r="C48" s="87"/>
      <c r="D48" s="87"/>
      <c r="E48" s="66"/>
      <c r="F48" s="268"/>
      <c r="G48" s="66"/>
      <c r="H48" s="66"/>
      <c r="I48" s="66"/>
      <c r="J48" s="66"/>
      <c r="K48" s="66"/>
      <c r="L48" s="66"/>
      <c r="M48" s="66"/>
      <c r="N48" s="66"/>
      <c r="O48" s="66"/>
    </row>
    <row r="49" spans="1:15" ht="20.25" x14ac:dyDescent="0.25">
      <c r="A49" s="86"/>
      <c r="B49" s="86"/>
      <c r="C49" s="87"/>
      <c r="D49" s="87"/>
      <c r="E49" s="66"/>
      <c r="F49" s="268"/>
      <c r="G49" s="66"/>
      <c r="H49" s="66"/>
      <c r="I49" s="66"/>
      <c r="J49" s="66"/>
      <c r="K49" s="66"/>
      <c r="L49" s="66"/>
      <c r="M49" s="66"/>
      <c r="N49" s="66"/>
      <c r="O49" s="66"/>
    </row>
    <row r="50" spans="1:15" ht="20.25" x14ac:dyDescent="0.25">
      <c r="A50" s="86"/>
      <c r="B50" s="86"/>
      <c r="C50" s="87"/>
      <c r="D50" s="87"/>
      <c r="E50" s="66"/>
      <c r="F50" s="268"/>
      <c r="G50" s="66"/>
      <c r="H50" s="66"/>
      <c r="I50" s="66"/>
      <c r="J50" s="66"/>
      <c r="K50" s="66"/>
      <c r="L50" s="66"/>
      <c r="M50" s="66"/>
      <c r="N50" s="66"/>
      <c r="O50" s="66"/>
    </row>
    <row r="51" spans="1:15" ht="20.25" x14ac:dyDescent="0.25">
      <c r="A51" s="86"/>
      <c r="B51" s="86"/>
      <c r="C51" s="87"/>
      <c r="D51" s="87"/>
      <c r="E51" s="66"/>
      <c r="F51" s="268"/>
      <c r="G51" s="66"/>
      <c r="H51" s="66"/>
      <c r="I51" s="66"/>
      <c r="J51" s="66"/>
      <c r="K51" s="66"/>
      <c r="L51" s="66"/>
      <c r="M51" s="66"/>
      <c r="N51" s="66"/>
      <c r="O51" s="66"/>
    </row>
    <row r="52" spans="1:15" ht="20.25" x14ac:dyDescent="0.25">
      <c r="A52" s="86"/>
      <c r="B52" s="86"/>
      <c r="C52" s="87"/>
      <c r="D52" s="87"/>
      <c r="E52" s="66"/>
      <c r="F52" s="268"/>
      <c r="G52" s="66"/>
      <c r="H52" s="66"/>
      <c r="I52" s="66"/>
      <c r="J52" s="66"/>
      <c r="K52" s="66"/>
      <c r="L52" s="66"/>
      <c r="M52" s="66"/>
      <c r="N52" s="66"/>
      <c r="O52" s="66"/>
    </row>
    <row r="53" spans="1:15" ht="20.25" x14ac:dyDescent="0.25">
      <c r="A53" s="86"/>
      <c r="B53" s="15"/>
      <c r="C53" s="20"/>
      <c r="D53" s="20"/>
    </row>
    <row r="54" spans="1:15" ht="20.25" x14ac:dyDescent="0.25">
      <c r="A54" s="86"/>
      <c r="B54" s="15"/>
      <c r="C54" s="20"/>
      <c r="D54" s="20"/>
    </row>
    <row r="55" spans="1:15" ht="20.25" x14ac:dyDescent="0.25">
      <c r="A55" s="86"/>
      <c r="B55" s="15"/>
      <c r="C55" s="20"/>
      <c r="D55" s="20"/>
    </row>
    <row r="56" spans="1:15" ht="20.25" x14ac:dyDescent="0.25">
      <c r="A56" s="86"/>
      <c r="B56" s="15"/>
      <c r="C56" s="20"/>
      <c r="D56" s="20"/>
    </row>
    <row r="57" spans="1:15" ht="20.25" x14ac:dyDescent="0.25">
      <c r="A57" s="86"/>
      <c r="B57" s="15"/>
      <c r="C57" s="20"/>
      <c r="D57" s="20"/>
    </row>
    <row r="58" spans="1:15" ht="20.25" x14ac:dyDescent="0.25">
      <c r="A58" s="86"/>
      <c r="B58" s="15"/>
      <c r="C58" s="20"/>
      <c r="D58" s="20"/>
    </row>
    <row r="59" spans="1:15" ht="20.25" x14ac:dyDescent="0.25">
      <c r="A59" s="86"/>
      <c r="B59" s="15"/>
      <c r="C59" s="20"/>
      <c r="D59" s="20"/>
    </row>
    <row r="60" spans="1:15" ht="20.25" x14ac:dyDescent="0.25">
      <c r="A60" s="86"/>
      <c r="B60" s="15"/>
      <c r="C60" s="20"/>
      <c r="D60" s="20"/>
    </row>
    <row r="61" spans="1:15" ht="20.25" x14ac:dyDescent="0.25">
      <c r="A61" s="86"/>
      <c r="B61" s="15"/>
      <c r="C61" s="20"/>
      <c r="D61" s="20"/>
    </row>
    <row r="62" spans="1:15" ht="20.25" x14ac:dyDescent="0.25">
      <c r="A62" s="86"/>
      <c r="B62" s="15"/>
      <c r="C62" s="20"/>
      <c r="D62" s="20"/>
    </row>
    <row r="63" spans="1:15" ht="20.25" x14ac:dyDescent="0.25">
      <c r="A63" s="86"/>
      <c r="B63" s="15"/>
      <c r="C63" s="20"/>
      <c r="D63" s="20"/>
    </row>
    <row r="64" spans="1:15" ht="20.25" x14ac:dyDescent="0.25">
      <c r="A64" s="86"/>
      <c r="B64" s="15"/>
      <c r="C64" s="20"/>
      <c r="D64" s="20"/>
    </row>
    <row r="65" spans="1:4" ht="20.25" x14ac:dyDescent="0.25">
      <c r="A65" s="86"/>
      <c r="B65" s="15"/>
      <c r="C65" s="20"/>
      <c r="D65" s="20"/>
    </row>
    <row r="66" spans="1:4" ht="20.25" x14ac:dyDescent="0.25">
      <c r="A66" s="86"/>
      <c r="B66" s="15"/>
      <c r="C66" s="20"/>
      <c r="D66" s="20"/>
    </row>
    <row r="67" spans="1:4" ht="20.25" x14ac:dyDescent="0.25">
      <c r="A67" s="86"/>
      <c r="B67" s="15"/>
      <c r="C67" s="20"/>
      <c r="D67" s="20"/>
    </row>
    <row r="68" spans="1:4" ht="20.25" x14ac:dyDescent="0.25">
      <c r="A68" s="86"/>
      <c r="B68" s="15"/>
      <c r="C68" s="20"/>
      <c r="D68" s="20"/>
    </row>
    <row r="69" spans="1:4" ht="20.25" x14ac:dyDescent="0.25">
      <c r="A69" s="86"/>
      <c r="B69" s="15"/>
      <c r="C69" s="20"/>
      <c r="D69" s="20"/>
    </row>
    <row r="70" spans="1:4" ht="20.25" x14ac:dyDescent="0.25">
      <c r="A70" s="86"/>
      <c r="B70" s="15"/>
      <c r="C70" s="20"/>
      <c r="D70" s="20"/>
    </row>
    <row r="71" spans="1:4" ht="20.25" x14ac:dyDescent="0.25">
      <c r="A71" s="86"/>
      <c r="B71" s="15"/>
      <c r="C71" s="20"/>
      <c r="D71" s="20"/>
    </row>
    <row r="72" spans="1:4" ht="20.25" x14ac:dyDescent="0.25">
      <c r="A72" s="86"/>
      <c r="B72" s="15"/>
      <c r="C72" s="20"/>
      <c r="D72" s="20"/>
    </row>
    <row r="73" spans="1:4" ht="20.25" x14ac:dyDescent="0.25">
      <c r="A73" s="86"/>
      <c r="B73" s="15"/>
      <c r="C73" s="20"/>
      <c r="D73" s="20"/>
    </row>
    <row r="74" spans="1:4" ht="20.25" x14ac:dyDescent="0.25">
      <c r="A74" s="86"/>
      <c r="B74" s="15"/>
      <c r="C74" s="20"/>
      <c r="D74" s="20"/>
    </row>
    <row r="75" spans="1:4" ht="20.25" x14ac:dyDescent="0.25">
      <c r="A75" s="86"/>
      <c r="B75" s="15"/>
      <c r="C75" s="20"/>
      <c r="D75" s="20"/>
    </row>
    <row r="76" spans="1:4" ht="20.25" x14ac:dyDescent="0.25">
      <c r="A76" s="86"/>
      <c r="B76" s="15"/>
      <c r="C76" s="20"/>
      <c r="D76" s="20"/>
    </row>
    <row r="77" spans="1:4" ht="20.25" x14ac:dyDescent="0.25">
      <c r="A77" s="86"/>
      <c r="B77" s="15"/>
      <c r="C77" s="20"/>
      <c r="D77" s="20"/>
    </row>
    <row r="78" spans="1:4" ht="20.25" x14ac:dyDescent="0.25">
      <c r="A78" s="86"/>
      <c r="B78" s="15"/>
      <c r="C78" s="20"/>
      <c r="D78" s="20"/>
    </row>
    <row r="79" spans="1:4" ht="20.25" x14ac:dyDescent="0.25">
      <c r="A79" s="86"/>
      <c r="B79" s="15"/>
      <c r="C79" s="20"/>
      <c r="D79" s="20"/>
    </row>
    <row r="80" spans="1:4" ht="20.25" x14ac:dyDescent="0.25">
      <c r="A80" s="86"/>
      <c r="B80" s="15"/>
      <c r="C80" s="20"/>
      <c r="D80" s="20"/>
    </row>
    <row r="81" spans="1:4" ht="20.25" x14ac:dyDescent="0.25">
      <c r="A81" s="86"/>
      <c r="B81" s="15"/>
      <c r="C81" s="20"/>
      <c r="D81" s="20"/>
    </row>
    <row r="82" spans="1:4" ht="20.25" x14ac:dyDescent="0.25">
      <c r="A82" s="86"/>
      <c r="B82" s="15"/>
      <c r="C82" s="20"/>
      <c r="D82" s="20"/>
    </row>
    <row r="83" spans="1:4" ht="20.25" x14ac:dyDescent="0.25">
      <c r="A83" s="86"/>
      <c r="B83" s="15"/>
      <c r="C83" s="20"/>
      <c r="D83" s="20"/>
    </row>
    <row r="84" spans="1:4" ht="20.25" x14ac:dyDescent="0.25">
      <c r="A84" s="86"/>
      <c r="B84" s="15"/>
      <c r="C84" s="20"/>
      <c r="D84" s="20"/>
    </row>
    <row r="85" spans="1:4" ht="20.25" x14ac:dyDescent="0.25">
      <c r="A85" s="86"/>
      <c r="B85" s="15"/>
      <c r="C85" s="20"/>
      <c r="D85" s="20"/>
    </row>
    <row r="86" spans="1:4" ht="20.25" x14ac:dyDescent="0.25">
      <c r="A86" s="86"/>
      <c r="B86" s="15"/>
      <c r="C86" s="20"/>
      <c r="D86" s="20"/>
    </row>
    <row r="87" spans="1:4" ht="20.25" x14ac:dyDescent="0.25">
      <c r="A87" s="86"/>
      <c r="B87" s="15"/>
      <c r="C87" s="20"/>
      <c r="D87" s="20"/>
    </row>
    <row r="88" spans="1:4" ht="20.25" x14ac:dyDescent="0.25">
      <c r="A88" s="86"/>
      <c r="B88" s="15"/>
      <c r="C88" s="20"/>
      <c r="D88" s="20"/>
    </row>
    <row r="89" spans="1:4" ht="20.25" x14ac:dyDescent="0.25">
      <c r="A89" s="86"/>
      <c r="B89" s="15"/>
      <c r="C89" s="20"/>
      <c r="D89" s="20"/>
    </row>
    <row r="90" spans="1:4" ht="20.25" x14ac:dyDescent="0.25">
      <c r="A90" s="86"/>
      <c r="B90" s="15"/>
      <c r="C90" s="20"/>
      <c r="D90" s="20"/>
    </row>
    <row r="91" spans="1:4" ht="20.25" x14ac:dyDescent="0.25">
      <c r="A91" s="86"/>
      <c r="B91" s="15"/>
      <c r="C91" s="20"/>
      <c r="D91" s="20"/>
    </row>
    <row r="92" spans="1:4" ht="20.25" x14ac:dyDescent="0.25">
      <c r="A92" s="86"/>
      <c r="B92" s="15"/>
      <c r="C92" s="20"/>
      <c r="D92" s="20"/>
    </row>
    <row r="93" spans="1:4" ht="20.25" x14ac:dyDescent="0.25">
      <c r="A93" s="86"/>
      <c r="B93" s="15"/>
      <c r="C93" s="20"/>
      <c r="D93" s="20"/>
    </row>
    <row r="94" spans="1:4" ht="20.25" x14ac:dyDescent="0.25">
      <c r="A94" s="86"/>
      <c r="B94" s="15"/>
      <c r="C94" s="20"/>
      <c r="D94" s="20"/>
    </row>
    <row r="95" spans="1:4" ht="20.25" x14ac:dyDescent="0.25">
      <c r="A95" s="86"/>
      <c r="B95" s="15"/>
      <c r="C95" s="20"/>
      <c r="D95" s="20"/>
    </row>
    <row r="96" spans="1:4" ht="20.25" x14ac:dyDescent="0.25">
      <c r="A96" s="86"/>
      <c r="B96" s="15"/>
      <c r="C96" s="20"/>
      <c r="D96" s="20"/>
    </row>
    <row r="97" spans="1:4" ht="20.25" x14ac:dyDescent="0.25">
      <c r="A97" s="86"/>
      <c r="B97" s="15"/>
      <c r="C97" s="20"/>
      <c r="D97" s="20"/>
    </row>
    <row r="98" spans="1:4" ht="20.25" x14ac:dyDescent="0.25">
      <c r="A98" s="86"/>
      <c r="B98" s="15"/>
      <c r="C98" s="20"/>
      <c r="D98" s="20"/>
    </row>
    <row r="99" spans="1:4" ht="20.25" x14ac:dyDescent="0.25">
      <c r="A99" s="86"/>
      <c r="B99" s="15"/>
      <c r="C99" s="20"/>
      <c r="D99" s="20"/>
    </row>
    <row r="100" spans="1:4" ht="20.25" x14ac:dyDescent="0.25">
      <c r="A100" s="86"/>
      <c r="B100" s="15"/>
      <c r="C100" s="20"/>
      <c r="D100" s="20"/>
    </row>
    <row r="101" spans="1:4" ht="20.25" x14ac:dyDescent="0.25">
      <c r="A101" s="86"/>
      <c r="B101" s="15"/>
      <c r="C101" s="20"/>
      <c r="D101" s="20"/>
    </row>
    <row r="102" spans="1:4" ht="20.25" x14ac:dyDescent="0.25">
      <c r="A102" s="86"/>
      <c r="B102" s="15"/>
      <c r="C102" s="20"/>
      <c r="D102" s="20"/>
    </row>
    <row r="103" spans="1:4" ht="20.25" x14ac:dyDescent="0.25">
      <c r="A103" s="86"/>
      <c r="B103" s="15"/>
      <c r="C103" s="20"/>
      <c r="D103" s="20"/>
    </row>
    <row r="104" spans="1:4" ht="20.25" x14ac:dyDescent="0.25">
      <c r="A104" s="86"/>
      <c r="B104" s="15"/>
      <c r="C104" s="20"/>
      <c r="D104" s="20"/>
    </row>
    <row r="105" spans="1:4" ht="20.25" x14ac:dyDescent="0.25">
      <c r="A105" s="86"/>
      <c r="B105" s="15"/>
      <c r="C105" s="20"/>
      <c r="D105" s="20"/>
    </row>
    <row r="106" spans="1:4" ht="20.25" x14ac:dyDescent="0.25">
      <c r="A106" s="86"/>
      <c r="B106" s="15"/>
      <c r="C106" s="20"/>
      <c r="D106" s="20"/>
    </row>
    <row r="107" spans="1:4" ht="20.25" x14ac:dyDescent="0.25">
      <c r="A107" s="86"/>
      <c r="B107" s="15"/>
      <c r="C107" s="20"/>
      <c r="D107" s="20"/>
    </row>
    <row r="108" spans="1:4" ht="20.25" x14ac:dyDescent="0.25">
      <c r="A108" s="86"/>
      <c r="B108" s="15"/>
      <c r="C108" s="20"/>
      <c r="D108" s="20"/>
    </row>
    <row r="109" spans="1:4" ht="20.25" x14ac:dyDescent="0.25">
      <c r="A109" s="86"/>
      <c r="B109" s="15"/>
      <c r="C109" s="20"/>
      <c r="D109" s="20"/>
    </row>
    <row r="110" spans="1:4" ht="20.25" x14ac:dyDescent="0.25">
      <c r="A110" s="86"/>
      <c r="B110" s="15"/>
      <c r="C110" s="20"/>
      <c r="D110" s="20"/>
    </row>
    <row r="111" spans="1:4" ht="20.25" x14ac:dyDescent="0.25">
      <c r="A111" s="86"/>
      <c r="B111" s="15"/>
      <c r="C111" s="20"/>
      <c r="D111" s="20"/>
    </row>
    <row r="112" spans="1:4" ht="20.25" x14ac:dyDescent="0.25">
      <c r="A112" s="86"/>
      <c r="B112" s="15"/>
      <c r="C112" s="20"/>
      <c r="D112" s="20"/>
    </row>
    <row r="113" spans="1:4" ht="20.25" x14ac:dyDescent="0.25">
      <c r="A113" s="86"/>
      <c r="B113" s="15"/>
      <c r="C113" s="20"/>
      <c r="D113" s="20"/>
    </row>
    <row r="114" spans="1:4" ht="20.25" x14ac:dyDescent="0.25">
      <c r="A114" s="86"/>
      <c r="B114" s="15"/>
      <c r="C114" s="20"/>
      <c r="D114" s="20"/>
    </row>
    <row r="115" spans="1:4" ht="20.25" x14ac:dyDescent="0.25">
      <c r="A115" s="86"/>
      <c r="B115" s="15"/>
      <c r="C115" s="20"/>
      <c r="D115" s="20"/>
    </row>
    <row r="116" spans="1:4" ht="20.25" x14ac:dyDescent="0.25">
      <c r="A116" s="86"/>
      <c r="B116" s="15"/>
      <c r="C116" s="20"/>
      <c r="D116" s="20"/>
    </row>
    <row r="117" spans="1:4" ht="20.25" x14ac:dyDescent="0.25">
      <c r="A117" s="86"/>
      <c r="B117" s="15"/>
      <c r="C117" s="20"/>
      <c r="D117" s="20"/>
    </row>
    <row r="118" spans="1:4" ht="20.25" x14ac:dyDescent="0.25">
      <c r="A118" s="86"/>
      <c r="B118" s="15"/>
      <c r="C118" s="20"/>
      <c r="D118" s="20"/>
    </row>
    <row r="119" spans="1:4" ht="20.25" x14ac:dyDescent="0.25">
      <c r="A119" s="86"/>
      <c r="B119" s="15"/>
      <c r="C119" s="20"/>
      <c r="D119" s="20"/>
    </row>
    <row r="120" spans="1:4" ht="20.25" x14ac:dyDescent="0.25">
      <c r="A120" s="86"/>
      <c r="B120" s="15"/>
      <c r="C120" s="20"/>
      <c r="D120" s="20"/>
    </row>
    <row r="121" spans="1:4" ht="20.25" x14ac:dyDescent="0.25">
      <c r="A121" s="86"/>
      <c r="B121" s="15"/>
      <c r="C121" s="20"/>
      <c r="D121" s="20"/>
    </row>
    <row r="122" spans="1:4" ht="20.25" x14ac:dyDescent="0.25">
      <c r="A122" s="86"/>
      <c r="B122" s="15"/>
      <c r="C122" s="20"/>
      <c r="D122" s="20"/>
    </row>
    <row r="123" spans="1:4" ht="20.25" x14ac:dyDescent="0.25">
      <c r="A123" s="86"/>
      <c r="B123" s="15"/>
      <c r="C123" s="20"/>
      <c r="D123" s="20"/>
    </row>
    <row r="124" spans="1:4" ht="20.25" x14ac:dyDescent="0.25">
      <c r="A124" s="86"/>
      <c r="B124" s="15"/>
      <c r="C124" s="20"/>
      <c r="D124" s="20"/>
    </row>
    <row r="125" spans="1:4" ht="20.25" x14ac:dyDescent="0.25">
      <c r="A125" s="86"/>
      <c r="B125" s="15"/>
      <c r="C125" s="20"/>
      <c r="D125" s="20"/>
    </row>
    <row r="126" spans="1:4" ht="20.25" x14ac:dyDescent="0.25">
      <c r="A126" s="86"/>
      <c r="B126" s="15"/>
      <c r="C126" s="20"/>
      <c r="D126" s="20"/>
    </row>
    <row r="127" spans="1:4" ht="20.25" x14ac:dyDescent="0.25">
      <c r="A127" s="86"/>
      <c r="B127" s="15"/>
      <c r="C127" s="20"/>
      <c r="D127" s="20"/>
    </row>
    <row r="128" spans="1:4" ht="20.25" x14ac:dyDescent="0.25">
      <c r="A128" s="86"/>
      <c r="B128" s="15"/>
      <c r="C128" s="20"/>
      <c r="D128" s="20"/>
    </row>
    <row r="129" spans="1:4" ht="20.25" x14ac:dyDescent="0.25">
      <c r="A129" s="86"/>
      <c r="B129" s="15"/>
      <c r="C129" s="20"/>
      <c r="D129" s="20"/>
    </row>
    <row r="130" spans="1:4" ht="20.25" x14ac:dyDescent="0.25">
      <c r="A130" s="86"/>
      <c r="B130" s="15"/>
      <c r="C130" s="20"/>
      <c r="D130" s="20"/>
    </row>
    <row r="131" spans="1:4" ht="20.25" x14ac:dyDescent="0.25">
      <c r="A131" s="86"/>
      <c r="B131" s="15"/>
      <c r="C131" s="20"/>
      <c r="D131" s="20"/>
    </row>
    <row r="132" spans="1:4" ht="20.25" x14ac:dyDescent="0.25">
      <c r="A132" s="86"/>
      <c r="B132" s="15"/>
      <c r="C132" s="20"/>
      <c r="D132" s="20"/>
    </row>
    <row r="133" spans="1:4" ht="20.25" x14ac:dyDescent="0.25">
      <c r="A133" s="86"/>
      <c r="B133" s="15"/>
      <c r="C133" s="20"/>
      <c r="D133" s="20"/>
    </row>
    <row r="134" spans="1:4" ht="20.25" x14ac:dyDescent="0.25">
      <c r="A134" s="86"/>
      <c r="B134" s="15"/>
      <c r="C134" s="20"/>
      <c r="D134" s="20"/>
    </row>
    <row r="135" spans="1:4" ht="20.25" x14ac:dyDescent="0.25">
      <c r="A135" s="86"/>
      <c r="B135" s="15"/>
      <c r="C135" s="20"/>
      <c r="D135" s="20"/>
    </row>
    <row r="136" spans="1:4" ht="20.25" x14ac:dyDescent="0.25">
      <c r="A136" s="86"/>
      <c r="B136" s="15"/>
      <c r="C136" s="20"/>
      <c r="D136" s="20"/>
    </row>
    <row r="137" spans="1:4" ht="20.25" x14ac:dyDescent="0.25">
      <c r="A137" s="86"/>
      <c r="B137" s="15"/>
      <c r="C137" s="20"/>
      <c r="D137" s="20"/>
    </row>
    <row r="138" spans="1:4" ht="20.25" x14ac:dyDescent="0.25">
      <c r="A138" s="86"/>
      <c r="B138" s="15"/>
      <c r="C138" s="20"/>
      <c r="D138" s="20"/>
    </row>
    <row r="139" spans="1:4" ht="20.25" x14ac:dyDescent="0.25">
      <c r="A139" s="86"/>
      <c r="B139" s="15"/>
      <c r="C139" s="20"/>
      <c r="D139" s="20"/>
    </row>
    <row r="140" spans="1:4" ht="20.25" x14ac:dyDescent="0.25">
      <c r="A140" s="86"/>
      <c r="B140" s="15"/>
      <c r="C140" s="20"/>
      <c r="D140" s="20"/>
    </row>
    <row r="141" spans="1:4" ht="20.25" x14ac:dyDescent="0.25">
      <c r="A141" s="86"/>
      <c r="B141" s="15"/>
      <c r="C141" s="20"/>
      <c r="D141" s="20"/>
    </row>
    <row r="142" spans="1:4" ht="20.25" x14ac:dyDescent="0.25">
      <c r="A142" s="86"/>
      <c r="B142" s="15"/>
      <c r="C142" s="20"/>
      <c r="D142" s="20"/>
    </row>
    <row r="143" spans="1:4" ht="20.25" x14ac:dyDescent="0.25">
      <c r="A143" s="86"/>
      <c r="B143" s="15"/>
      <c r="C143" s="20"/>
      <c r="D143" s="20"/>
    </row>
    <row r="144" spans="1:4" ht="20.25" x14ac:dyDescent="0.25">
      <c r="A144" s="86"/>
      <c r="B144" s="15"/>
      <c r="C144" s="20"/>
      <c r="D144" s="20"/>
    </row>
    <row r="145" spans="1:4" ht="20.25" x14ac:dyDescent="0.25">
      <c r="A145" s="86"/>
      <c r="B145" s="15"/>
      <c r="C145" s="20"/>
      <c r="D145" s="20"/>
    </row>
    <row r="146" spans="1:4" ht="20.25" x14ac:dyDescent="0.25">
      <c r="A146" s="86"/>
      <c r="B146" s="15"/>
      <c r="C146" s="20"/>
      <c r="D146" s="20"/>
    </row>
    <row r="147" spans="1:4" ht="20.25" x14ac:dyDescent="0.25">
      <c r="A147" s="86"/>
      <c r="B147" s="15"/>
      <c r="C147" s="20"/>
      <c r="D147" s="20"/>
    </row>
    <row r="148" spans="1:4" ht="20.25" x14ac:dyDescent="0.25">
      <c r="A148" s="86"/>
      <c r="B148" s="15"/>
      <c r="C148" s="20"/>
      <c r="D148" s="20"/>
    </row>
    <row r="149" spans="1:4" ht="20.25" x14ac:dyDescent="0.25">
      <c r="A149" s="86"/>
      <c r="B149" s="15"/>
      <c r="C149" s="20"/>
      <c r="D149" s="20"/>
    </row>
    <row r="150" spans="1:4" ht="20.25" x14ac:dyDescent="0.25">
      <c r="A150" s="86"/>
      <c r="B150" s="15"/>
      <c r="C150" s="20"/>
      <c r="D150" s="20"/>
    </row>
    <row r="151" spans="1:4" ht="20.25" x14ac:dyDescent="0.25">
      <c r="A151" s="86"/>
      <c r="B151" s="15"/>
      <c r="C151" s="20"/>
      <c r="D151" s="20"/>
    </row>
    <row r="152" spans="1:4" ht="20.25" x14ac:dyDescent="0.25">
      <c r="A152" s="86"/>
      <c r="B152" s="15"/>
      <c r="C152" s="20"/>
      <c r="D152" s="20"/>
    </row>
    <row r="153" spans="1:4" ht="20.25" x14ac:dyDescent="0.25">
      <c r="A153" s="86"/>
      <c r="B153" s="15"/>
      <c r="C153" s="20"/>
      <c r="D153" s="20"/>
    </row>
    <row r="154" spans="1:4" ht="20.25" x14ac:dyDescent="0.25">
      <c r="A154" s="86"/>
      <c r="B154" s="15"/>
      <c r="C154" s="20"/>
      <c r="D154" s="20"/>
    </row>
    <row r="155" spans="1:4" ht="20.25" x14ac:dyDescent="0.25">
      <c r="A155" s="86"/>
      <c r="B155" s="15"/>
      <c r="C155" s="20"/>
      <c r="D155" s="20"/>
    </row>
    <row r="156" spans="1:4" ht="20.25" x14ac:dyDescent="0.25">
      <c r="A156" s="86"/>
      <c r="B156" s="15"/>
      <c r="C156" s="20"/>
      <c r="D156" s="20"/>
    </row>
    <row r="157" spans="1:4" ht="20.25" x14ac:dyDescent="0.25">
      <c r="A157" s="86"/>
      <c r="B157" s="15"/>
      <c r="C157" s="20"/>
      <c r="D157" s="20"/>
    </row>
    <row r="158" spans="1:4" ht="20.25" x14ac:dyDescent="0.25">
      <c r="A158" s="86"/>
      <c r="B158" s="15"/>
      <c r="C158" s="20"/>
      <c r="D158" s="20"/>
    </row>
    <row r="159" spans="1:4" ht="20.25" x14ac:dyDescent="0.25">
      <c r="A159" s="86"/>
      <c r="B159" s="15"/>
      <c r="C159" s="20"/>
      <c r="D159" s="20"/>
    </row>
    <row r="160" spans="1:4" ht="20.25" x14ac:dyDescent="0.25">
      <c r="A160" s="86"/>
      <c r="B160" s="15"/>
      <c r="C160" s="20"/>
      <c r="D160" s="20"/>
    </row>
    <row r="161" spans="1:4" ht="20.25" x14ac:dyDescent="0.25">
      <c r="A161" s="86"/>
      <c r="B161" s="15"/>
      <c r="C161" s="20"/>
      <c r="D161" s="20"/>
    </row>
    <row r="162" spans="1:4" ht="20.25" x14ac:dyDescent="0.25">
      <c r="A162" s="86"/>
      <c r="B162" s="15"/>
      <c r="C162" s="20"/>
      <c r="D162" s="20"/>
    </row>
    <row r="163" spans="1:4" ht="20.25" x14ac:dyDescent="0.25">
      <c r="A163" s="86"/>
      <c r="B163" s="15"/>
      <c r="C163" s="20"/>
      <c r="D163" s="20"/>
    </row>
    <row r="164" spans="1:4" ht="20.25" x14ac:dyDescent="0.25">
      <c r="A164" s="86"/>
      <c r="B164" s="15"/>
      <c r="C164" s="20"/>
      <c r="D164" s="20"/>
    </row>
    <row r="165" spans="1:4" ht="20.25" x14ac:dyDescent="0.25">
      <c r="A165" s="86"/>
      <c r="B165" s="15"/>
      <c r="C165" s="20"/>
      <c r="D165" s="20"/>
    </row>
    <row r="166" spans="1:4" ht="20.25" x14ac:dyDescent="0.25">
      <c r="A166" s="86"/>
      <c r="B166" s="15"/>
      <c r="C166" s="20"/>
      <c r="D166" s="20"/>
    </row>
    <row r="167" spans="1:4" ht="20.25" x14ac:dyDescent="0.25">
      <c r="A167" s="86"/>
      <c r="B167" s="15"/>
      <c r="C167" s="20"/>
      <c r="D167" s="20"/>
    </row>
    <row r="168" spans="1:4" ht="20.25" x14ac:dyDescent="0.25">
      <c r="A168" s="86"/>
      <c r="B168" s="15"/>
      <c r="C168" s="20"/>
      <c r="D168" s="20"/>
    </row>
    <row r="169" spans="1:4" ht="20.25" x14ac:dyDescent="0.25">
      <c r="A169" s="86"/>
      <c r="B169" s="15"/>
      <c r="C169" s="20"/>
      <c r="D169" s="20"/>
    </row>
    <row r="170" spans="1:4" ht="20.25" x14ac:dyDescent="0.25">
      <c r="A170" s="86"/>
      <c r="B170" s="15"/>
      <c r="C170" s="20"/>
      <c r="D170" s="20"/>
    </row>
    <row r="171" spans="1:4" ht="20.25" x14ac:dyDescent="0.25">
      <c r="A171" s="86"/>
      <c r="B171" s="15"/>
      <c r="C171" s="20"/>
      <c r="D171" s="20"/>
    </row>
    <row r="172" spans="1:4" ht="20.25" x14ac:dyDescent="0.25">
      <c r="A172" s="86"/>
      <c r="B172" s="15"/>
      <c r="C172" s="20"/>
      <c r="D172" s="20"/>
    </row>
    <row r="173" spans="1:4" ht="20.25" x14ac:dyDescent="0.25">
      <c r="A173" s="86"/>
      <c r="B173" s="15"/>
      <c r="C173" s="20"/>
      <c r="D173" s="20"/>
    </row>
    <row r="174" spans="1:4" ht="20.25" x14ac:dyDescent="0.25">
      <c r="A174" s="86"/>
      <c r="B174" s="15"/>
      <c r="C174" s="20"/>
      <c r="D174" s="20"/>
    </row>
    <row r="175" spans="1:4" ht="20.25" x14ac:dyDescent="0.25">
      <c r="A175" s="86"/>
      <c r="B175" s="15"/>
      <c r="C175" s="20"/>
      <c r="D175" s="20"/>
    </row>
    <row r="176" spans="1:4" ht="20.25" x14ac:dyDescent="0.25">
      <c r="A176" s="86"/>
      <c r="B176" s="15"/>
      <c r="C176" s="20"/>
      <c r="D176" s="20"/>
    </row>
    <row r="177" spans="1:4" ht="20.25" x14ac:dyDescent="0.25">
      <c r="A177" s="86"/>
      <c r="B177" s="15"/>
      <c r="C177" s="20"/>
      <c r="D177" s="20"/>
    </row>
    <row r="178" spans="1:4" ht="20.25" x14ac:dyDescent="0.25">
      <c r="A178" s="86"/>
      <c r="B178" s="15"/>
      <c r="C178" s="20"/>
      <c r="D178" s="20"/>
    </row>
    <row r="179" spans="1:4" ht="20.25" x14ac:dyDescent="0.25">
      <c r="A179" s="86"/>
      <c r="B179" s="15"/>
      <c r="C179" s="20"/>
      <c r="D179" s="20"/>
    </row>
    <row r="180" spans="1:4" ht="20.25" x14ac:dyDescent="0.25">
      <c r="A180" s="86"/>
      <c r="B180" s="15"/>
      <c r="C180" s="20"/>
      <c r="D180" s="20"/>
    </row>
    <row r="181" spans="1:4" ht="20.25" x14ac:dyDescent="0.25">
      <c r="A181" s="86"/>
      <c r="B181" s="15"/>
      <c r="C181" s="20"/>
      <c r="D181" s="20"/>
    </row>
    <row r="182" spans="1:4" ht="20.25" x14ac:dyDescent="0.25">
      <c r="A182" s="86"/>
      <c r="B182" s="15"/>
      <c r="C182" s="20"/>
      <c r="D182" s="20"/>
    </row>
    <row r="183" spans="1:4" ht="20.25" x14ac:dyDescent="0.25">
      <c r="A183" s="86"/>
      <c r="B183" s="15"/>
      <c r="C183" s="20"/>
      <c r="D183" s="20"/>
    </row>
    <row r="184" spans="1:4" ht="20.25" x14ac:dyDescent="0.25">
      <c r="A184" s="86"/>
      <c r="B184" s="15"/>
      <c r="C184" s="20"/>
      <c r="D184" s="20"/>
    </row>
    <row r="185" spans="1:4" ht="20.25" x14ac:dyDescent="0.25">
      <c r="A185" s="86"/>
      <c r="B185" s="15"/>
      <c r="C185" s="20"/>
      <c r="D185" s="20"/>
    </row>
    <row r="186" spans="1:4" ht="20.25" x14ac:dyDescent="0.25">
      <c r="A186" s="86"/>
      <c r="B186" s="15"/>
      <c r="C186" s="20"/>
      <c r="D186" s="20"/>
    </row>
    <row r="187" spans="1:4" ht="20.25" x14ac:dyDescent="0.25">
      <c r="A187" s="86"/>
      <c r="B187" s="15"/>
      <c r="C187" s="20"/>
      <c r="D187" s="20"/>
    </row>
    <row r="188" spans="1:4" ht="20.25" x14ac:dyDescent="0.25">
      <c r="A188" s="86"/>
      <c r="B188" s="15"/>
      <c r="C188" s="20"/>
      <c r="D188" s="20"/>
    </row>
    <row r="189" spans="1:4" ht="20.25" x14ac:dyDescent="0.25">
      <c r="A189" s="86"/>
      <c r="B189" s="15"/>
      <c r="C189" s="20"/>
      <c r="D189" s="20"/>
    </row>
    <row r="190" spans="1:4" ht="20.25" x14ac:dyDescent="0.25">
      <c r="A190" s="86"/>
      <c r="B190" s="15"/>
      <c r="C190" s="20"/>
      <c r="D190" s="20"/>
    </row>
    <row r="191" spans="1:4" ht="20.25" x14ac:dyDescent="0.25">
      <c r="A191" s="86"/>
      <c r="B191" s="15"/>
      <c r="C191" s="20"/>
      <c r="D191" s="20"/>
    </row>
    <row r="192" spans="1:4" ht="20.25" x14ac:dyDescent="0.25">
      <c r="A192" s="86"/>
      <c r="B192" s="15"/>
      <c r="C192" s="20"/>
      <c r="D192" s="20"/>
    </row>
    <row r="193" spans="1:6" ht="20.25" x14ac:dyDescent="0.25">
      <c r="A193" s="86"/>
      <c r="B193" s="15"/>
      <c r="C193" s="20"/>
      <c r="D193" s="20"/>
    </row>
    <row r="194" spans="1:6" ht="20.25" x14ac:dyDescent="0.25">
      <c r="A194" s="86"/>
      <c r="B194" s="15"/>
      <c r="C194" s="20"/>
      <c r="D194" s="20"/>
    </row>
    <row r="195" spans="1:6" ht="20.25" x14ac:dyDescent="0.25">
      <c r="A195" s="86"/>
      <c r="B195" s="15"/>
      <c r="C195" s="20"/>
      <c r="D195" s="20"/>
    </row>
    <row r="196" spans="1:6" ht="20.25" x14ac:dyDescent="0.25">
      <c r="A196" s="86"/>
      <c r="B196" s="15"/>
      <c r="C196" s="20"/>
      <c r="D196" s="20"/>
    </row>
    <row r="197" spans="1:6" ht="20.25" x14ac:dyDescent="0.25">
      <c r="A197" s="86"/>
      <c r="B197" s="15"/>
      <c r="C197" s="20"/>
      <c r="D197" s="20"/>
    </row>
    <row r="198" spans="1:6" ht="20.25" x14ac:dyDescent="0.25">
      <c r="A198" s="86"/>
      <c r="B198" s="15"/>
      <c r="C198" s="20"/>
      <c r="D198" s="20"/>
    </row>
    <row r="199" spans="1:6" ht="20.25" x14ac:dyDescent="0.25">
      <c r="A199" s="86"/>
      <c r="B199" s="15"/>
      <c r="C199" s="20"/>
      <c r="D199" s="20"/>
    </row>
    <row r="200" spans="1:6" ht="20.25" x14ac:dyDescent="0.25">
      <c r="A200" s="86"/>
      <c r="B200" s="15"/>
      <c r="C200" s="20"/>
      <c r="D200" s="20"/>
    </row>
    <row r="201" spans="1:6" ht="20.25" x14ac:dyDescent="0.25">
      <c r="A201" s="86"/>
      <c r="B201" s="15"/>
      <c r="C201" s="20"/>
      <c r="D201" s="20"/>
    </row>
    <row r="202" spans="1:6" ht="20.25" x14ac:dyDescent="0.25">
      <c r="A202" s="86"/>
      <c r="B202" s="15"/>
      <c r="C202" s="20"/>
      <c r="D202" s="20"/>
    </row>
    <row r="203" spans="1:6" ht="20.25" x14ac:dyDescent="0.25">
      <c r="A203" s="86"/>
      <c r="B203" s="15"/>
      <c r="C203" s="20"/>
      <c r="D203" s="20"/>
    </row>
    <row r="204" spans="1:6" ht="20.25" x14ac:dyDescent="0.25">
      <c r="A204" s="86"/>
      <c r="B204" s="15"/>
      <c r="C204" s="20"/>
      <c r="D204" s="20"/>
    </row>
    <row r="205" spans="1:6" ht="20.25" x14ac:dyDescent="0.25">
      <c r="A205" s="86"/>
      <c r="B205" s="15"/>
      <c r="C205" s="20"/>
      <c r="D205" s="20"/>
    </row>
    <row r="206" spans="1:6" ht="20.25" x14ac:dyDescent="0.25">
      <c r="A206" s="86"/>
      <c r="B206" s="15"/>
      <c r="C206" s="20"/>
      <c r="D206" s="20"/>
    </row>
    <row r="207" spans="1:6" ht="20.25" x14ac:dyDescent="0.25">
      <c r="A207" s="86"/>
      <c r="B207" s="15"/>
      <c r="C207" s="20"/>
      <c r="D207" s="20"/>
    </row>
    <row r="208" spans="1:6" ht="20.25" x14ac:dyDescent="0.25">
      <c r="A208" s="86"/>
      <c r="B208" s="15"/>
      <c r="C208" s="20"/>
      <c r="D208" s="20"/>
      <c r="F208" s="271" t="s">
        <v>490</v>
      </c>
    </row>
    <row r="209" spans="1:8" x14ac:dyDescent="0.25">
      <c r="A209" s="66"/>
      <c r="B209" s="15"/>
      <c r="C209" s="15"/>
      <c r="D209" s="15"/>
      <c r="F209" s="271" t="s">
        <v>613</v>
      </c>
    </row>
    <row r="210" spans="1:8" ht="20.25" x14ac:dyDescent="0.25">
      <c r="A210" s="66"/>
      <c r="B210" s="16" t="s">
        <v>625</v>
      </c>
      <c r="C210" s="16" t="s">
        <v>626</v>
      </c>
      <c r="D210" s="19" t="s">
        <v>625</v>
      </c>
      <c r="E210" s="19" t="s">
        <v>626</v>
      </c>
      <c r="F210" s="271" t="s">
        <v>627</v>
      </c>
    </row>
    <row r="211" spans="1:8" ht="21" x14ac:dyDescent="0.35">
      <c r="A211" s="66"/>
      <c r="B211" s="17" t="s">
        <v>628</v>
      </c>
      <c r="C211" s="114" t="s">
        <v>629</v>
      </c>
      <c r="D211" s="113" t="s">
        <v>628</v>
      </c>
      <c r="F211" s="271" t="str">
        <f>IF(NOT(ISBLANK(D211)),D211,IF(NOT(ISBLANK(E211)),"     "&amp;E211,FALSE))</f>
        <v>Afectación Económica o presupuestal</v>
      </c>
      <c r="G211" t="s">
        <v>628</v>
      </c>
      <c r="H211" t="str">
        <f>IF(NOT(ISERROR(MATCH(G211,_xlfn.ANCHORARRAY(B245),0))),F224&amp;"Por favor no seleccionar los criterios de impacto",G211)</f>
        <v>Afectación Económica o presupuestal</v>
      </c>
    </row>
    <row r="212" spans="1:8" ht="21" x14ac:dyDescent="0.35">
      <c r="A212" s="66"/>
      <c r="B212" s="17" t="s">
        <v>628</v>
      </c>
      <c r="C212" s="114" t="s">
        <v>609</v>
      </c>
      <c r="E212" t="s">
        <v>569</v>
      </c>
      <c r="F212" s="271" t="str">
        <f t="shared" ref="F212:F222" si="0">IF(NOT(ISBLANK(D212)),D212,IF(NOT(ISBLANK(E212)),"     "&amp;E212,FALSE))</f>
        <v xml:space="preserve">     Afectación menor a 130 SMLMV</v>
      </c>
    </row>
    <row r="213" spans="1:8" ht="21" x14ac:dyDescent="0.35">
      <c r="A213" s="66"/>
      <c r="B213" s="17" t="s">
        <v>628</v>
      </c>
      <c r="C213" s="114" t="s">
        <v>611</v>
      </c>
      <c r="E213" t="s">
        <v>630</v>
      </c>
      <c r="F213" s="271" t="str">
        <f t="shared" si="0"/>
        <v xml:space="preserve">     Entre 130 y 650 SMLMV</v>
      </c>
    </row>
    <row r="214" spans="1:8" ht="21" x14ac:dyDescent="0.35">
      <c r="A214" s="66"/>
      <c r="B214" s="17" t="s">
        <v>628</v>
      </c>
      <c r="C214" s="114" t="s">
        <v>614</v>
      </c>
      <c r="E214" t="s">
        <v>631</v>
      </c>
      <c r="F214" s="271" t="str">
        <f t="shared" si="0"/>
        <v xml:space="preserve">     Entre 650 y 1300 SMLMV</v>
      </c>
    </row>
    <row r="215" spans="1:8" ht="21" x14ac:dyDescent="0.35">
      <c r="A215" s="66"/>
      <c r="B215" s="17" t="s">
        <v>628</v>
      </c>
      <c r="C215" s="114" t="s">
        <v>617</v>
      </c>
      <c r="E215" t="s">
        <v>632</v>
      </c>
      <c r="F215" s="271" t="str">
        <f t="shared" si="0"/>
        <v xml:space="preserve">     Entre 1300 y 6500 SMLMV</v>
      </c>
    </row>
    <row r="216" spans="1:8" ht="21" x14ac:dyDescent="0.35">
      <c r="A216" s="66"/>
      <c r="B216" s="17" t="s">
        <v>604</v>
      </c>
      <c r="C216" s="114" t="s">
        <v>566</v>
      </c>
      <c r="E216" t="s">
        <v>565</v>
      </c>
      <c r="F216" s="271" t="str">
        <f t="shared" si="0"/>
        <v xml:space="preserve">     Mayor a 6500 SMLMV</v>
      </c>
    </row>
    <row r="217" spans="1:8" ht="63" x14ac:dyDescent="0.35">
      <c r="A217" s="66"/>
      <c r="B217" s="17" t="s">
        <v>604</v>
      </c>
      <c r="C217" s="114" t="s">
        <v>610</v>
      </c>
      <c r="D217" s="113" t="s">
        <v>604</v>
      </c>
      <c r="F217" s="271" t="str">
        <f t="shared" si="0"/>
        <v>Pérdida Reputacional</v>
      </c>
    </row>
    <row r="218" spans="1:8" ht="42" x14ac:dyDescent="0.35">
      <c r="A218" s="66"/>
      <c r="B218" s="17" t="s">
        <v>604</v>
      </c>
      <c r="C218" s="114" t="s">
        <v>612</v>
      </c>
      <c r="D218" s="113"/>
      <c r="E218" s="115" t="s">
        <v>566</v>
      </c>
      <c r="F218" s="271" t="str">
        <f t="shared" si="0"/>
        <v xml:space="preserve">     El riesgo afecta la imagen de alguna área de la organización</v>
      </c>
    </row>
    <row r="219" spans="1:8" ht="63" x14ac:dyDescent="0.35">
      <c r="A219" s="66"/>
      <c r="B219" s="17" t="s">
        <v>604</v>
      </c>
      <c r="C219" s="114" t="s">
        <v>633</v>
      </c>
      <c r="D219" s="113"/>
      <c r="E219" s="115" t="s">
        <v>610</v>
      </c>
      <c r="F219" s="271" t="str">
        <f t="shared" si="0"/>
        <v xml:space="preserve">     El riesgo afecta la imagen de la entidad internamente, de conocimiento general, nivel interno, de junta dircetiva y accionistas y/o de provedores</v>
      </c>
    </row>
    <row r="220" spans="1:8" ht="45" x14ac:dyDescent="0.35">
      <c r="A220" s="66"/>
      <c r="B220" s="17" t="s">
        <v>604</v>
      </c>
      <c r="C220" s="114" t="s">
        <v>618</v>
      </c>
      <c r="D220" s="113"/>
      <c r="E220" s="115" t="s">
        <v>612</v>
      </c>
      <c r="F220" s="271" t="str">
        <f t="shared" si="0"/>
        <v xml:space="preserve">     El riesgo afecta la imagen de la entidad con algunos usuarios de relevancia frente al logro de los objetivos</v>
      </c>
    </row>
    <row r="221" spans="1:8" ht="45" x14ac:dyDescent="0.25">
      <c r="A221" s="66"/>
      <c r="B221" s="18"/>
      <c r="C221" s="18"/>
      <c r="D221" s="113"/>
      <c r="E221" s="115" t="s">
        <v>633</v>
      </c>
      <c r="F221" s="271" t="str">
        <f t="shared" si="0"/>
        <v xml:space="preserve">     El riesgo afecta la imagen de de la entidad con efecto publicitario sostenido a nivel de sector administrativo, nivel departamental o municipal</v>
      </c>
    </row>
    <row r="222" spans="1:8" ht="58.5" customHeight="1" x14ac:dyDescent="0.25">
      <c r="A222" s="66"/>
      <c r="C222" s="18"/>
      <c r="D222" s="113"/>
      <c r="E222" s="115" t="s">
        <v>618</v>
      </c>
      <c r="F222" s="271" t="str">
        <f t="shared" si="0"/>
        <v xml:space="preserve">     El riesgo afecta la imagen de la entidad a nivel nacional, con efecto publicitarios sostenible a nivel país</v>
      </c>
    </row>
    <row r="223" spans="1:8" x14ac:dyDescent="0.25">
      <c r="A223" s="66"/>
      <c r="C223" s="18"/>
    </row>
    <row r="224" spans="1:8" x14ac:dyDescent="0.25">
      <c r="C224" s="18"/>
      <c r="F224" s="272" t="s">
        <v>634</v>
      </c>
    </row>
    <row r="225" spans="2:6" x14ac:dyDescent="0.25">
      <c r="B225" s="14"/>
      <c r="C225" s="14"/>
      <c r="F225" s="272" t="s">
        <v>635</v>
      </c>
    </row>
    <row r="226" spans="2:6" x14ac:dyDescent="0.25">
      <c r="B226" s="14"/>
      <c r="C226" s="14"/>
    </row>
    <row r="227" spans="2:6" x14ac:dyDescent="0.25">
      <c r="B227" s="14"/>
      <c r="C227" s="14"/>
    </row>
    <row r="228" spans="2:6" x14ac:dyDescent="0.25">
      <c r="B228" s="14"/>
      <c r="C228" s="14"/>
      <c r="D228" s="14"/>
      <c r="F228" s="266" t="s">
        <v>628</v>
      </c>
    </row>
    <row r="229" spans="2:6" ht="18" x14ac:dyDescent="0.25">
      <c r="B229" s="14"/>
      <c r="C229" s="14"/>
      <c r="D229" s="14"/>
      <c r="E229" s="259" t="s">
        <v>577</v>
      </c>
      <c r="F229" s="271" t="s">
        <v>570</v>
      </c>
    </row>
    <row r="230" spans="2:6" ht="18" x14ac:dyDescent="0.25">
      <c r="B230" s="14"/>
      <c r="C230" s="14"/>
      <c r="D230" s="14"/>
      <c r="E230" s="260" t="s">
        <v>582</v>
      </c>
      <c r="F230" s="271" t="s">
        <v>507</v>
      </c>
    </row>
    <row r="231" spans="2:6" ht="18" x14ac:dyDescent="0.25">
      <c r="B231" s="14"/>
      <c r="C231" s="14"/>
      <c r="D231" s="14"/>
      <c r="E231" s="261" t="s">
        <v>587</v>
      </c>
      <c r="F231" s="271" t="s">
        <v>503</v>
      </c>
    </row>
    <row r="232" spans="2:6" ht="18" x14ac:dyDescent="0.25">
      <c r="B232" s="14"/>
      <c r="C232" s="14"/>
      <c r="D232" s="14"/>
      <c r="E232" s="262" t="s">
        <v>592</v>
      </c>
      <c r="F232" s="271" t="s">
        <v>623</v>
      </c>
    </row>
    <row r="233" spans="2:6" ht="18" x14ac:dyDescent="0.25">
      <c r="B233" s="14"/>
      <c r="C233" s="14"/>
      <c r="D233" s="14"/>
      <c r="E233" s="263" t="s">
        <v>597</v>
      </c>
      <c r="F233" s="271" t="s">
        <v>624</v>
      </c>
    </row>
    <row r="234" spans="2:6" x14ac:dyDescent="0.25">
      <c r="F234" s="266" t="s">
        <v>604</v>
      </c>
    </row>
    <row r="235" spans="2:6" ht="30" x14ac:dyDescent="0.25">
      <c r="F235" s="273" t="s">
        <v>474</v>
      </c>
    </row>
    <row r="236" spans="2:6" ht="30" x14ac:dyDescent="0.25">
      <c r="F236" s="273" t="s">
        <v>512</v>
      </c>
    </row>
    <row r="237" spans="2:6" x14ac:dyDescent="0.25">
      <c r="F237" s="273" t="s">
        <v>543</v>
      </c>
    </row>
    <row r="240" spans="2:6" x14ac:dyDescent="0.25">
      <c r="F240" s="274" t="s">
        <v>573</v>
      </c>
    </row>
    <row r="241" spans="2:11" ht="18" x14ac:dyDescent="0.25">
      <c r="F241" s="275" t="s">
        <v>578</v>
      </c>
      <c r="G241" s="259" t="s">
        <v>636</v>
      </c>
      <c r="K241" s="259" t="s">
        <v>577</v>
      </c>
    </row>
    <row r="242" spans="2:11" ht="25.5" x14ac:dyDescent="0.25">
      <c r="F242" s="275" t="s">
        <v>583</v>
      </c>
      <c r="G242" s="260" t="s">
        <v>608</v>
      </c>
      <c r="K242" s="260" t="s">
        <v>582</v>
      </c>
    </row>
    <row r="243" spans="2:11" ht="18" x14ac:dyDescent="0.25">
      <c r="F243" s="275" t="s">
        <v>588</v>
      </c>
      <c r="G243" s="261" t="s">
        <v>490</v>
      </c>
      <c r="K243" s="261" t="s">
        <v>587</v>
      </c>
    </row>
    <row r="244" spans="2:11" ht="18" x14ac:dyDescent="0.25">
      <c r="F244" s="275" t="s">
        <v>593</v>
      </c>
      <c r="G244" s="262" t="s">
        <v>613</v>
      </c>
      <c r="K244" s="262" t="s">
        <v>592</v>
      </c>
    </row>
    <row r="245" spans="2:11" ht="18" x14ac:dyDescent="0.25">
      <c r="F245" s="275" t="s">
        <v>598</v>
      </c>
      <c r="G245" s="263" t="s">
        <v>616</v>
      </c>
      <c r="K245" s="263" t="s">
        <v>597</v>
      </c>
    </row>
    <row r="246" spans="2:11" x14ac:dyDescent="0.25">
      <c r="B246" t="s">
        <v>573</v>
      </c>
      <c r="F246" s="276" t="s">
        <v>574</v>
      </c>
    </row>
    <row r="247" spans="2:11" ht="18" x14ac:dyDescent="0.25">
      <c r="B247" t="s">
        <v>574</v>
      </c>
      <c r="F247" s="277" t="s">
        <v>579</v>
      </c>
      <c r="G247" s="259" t="s">
        <v>636</v>
      </c>
      <c r="K247" s="259" t="s">
        <v>577</v>
      </c>
    </row>
    <row r="248" spans="2:11" ht="18" x14ac:dyDescent="0.25">
      <c r="B248" t="s">
        <v>575</v>
      </c>
      <c r="F248" s="277" t="s">
        <v>584</v>
      </c>
      <c r="G248" s="260" t="s">
        <v>608</v>
      </c>
      <c r="K248" s="260" t="s">
        <v>582</v>
      </c>
    </row>
    <row r="249" spans="2:11" ht="18" x14ac:dyDescent="0.25">
      <c r="B249" t="s">
        <v>576</v>
      </c>
      <c r="F249" s="277" t="s">
        <v>589</v>
      </c>
      <c r="G249" s="261" t="s">
        <v>490</v>
      </c>
      <c r="K249" s="261" t="s">
        <v>587</v>
      </c>
    </row>
    <row r="250" spans="2:11" ht="18" x14ac:dyDescent="0.25">
      <c r="F250" s="277" t="s">
        <v>594</v>
      </c>
      <c r="G250" s="262" t="s">
        <v>613</v>
      </c>
      <c r="K250" s="262" t="s">
        <v>592</v>
      </c>
    </row>
    <row r="251" spans="2:11" ht="18" x14ac:dyDescent="0.25">
      <c r="F251" s="277" t="s">
        <v>599</v>
      </c>
      <c r="G251" s="263" t="s">
        <v>616</v>
      </c>
      <c r="K251" s="263" t="s">
        <v>597</v>
      </c>
    </row>
    <row r="252" spans="2:11" x14ac:dyDescent="0.25">
      <c r="F252" s="278" t="s">
        <v>575</v>
      </c>
    </row>
    <row r="253" spans="2:11" ht="18" x14ac:dyDescent="0.25">
      <c r="F253" s="279" t="s">
        <v>580</v>
      </c>
      <c r="G253" s="259" t="s">
        <v>636</v>
      </c>
      <c r="K253" s="259" t="s">
        <v>577</v>
      </c>
    </row>
    <row r="254" spans="2:11" ht="18" x14ac:dyDescent="0.25">
      <c r="F254" s="279" t="s">
        <v>585</v>
      </c>
      <c r="G254" s="260" t="s">
        <v>608</v>
      </c>
      <c r="K254" s="260" t="s">
        <v>582</v>
      </c>
    </row>
    <row r="255" spans="2:11" ht="18" x14ac:dyDescent="0.25">
      <c r="F255" s="279" t="s">
        <v>590</v>
      </c>
      <c r="G255" s="261" t="s">
        <v>490</v>
      </c>
      <c r="K255" s="261" t="s">
        <v>587</v>
      </c>
    </row>
    <row r="256" spans="2:11" ht="18" x14ac:dyDescent="0.25">
      <c r="F256" s="279" t="s">
        <v>595</v>
      </c>
      <c r="G256" s="262" t="s">
        <v>613</v>
      </c>
      <c r="K256" s="262" t="s">
        <v>592</v>
      </c>
    </row>
    <row r="257" spans="6:11" ht="18" x14ac:dyDescent="0.25">
      <c r="F257" s="279" t="s">
        <v>600</v>
      </c>
      <c r="G257" s="263" t="s">
        <v>616</v>
      </c>
      <c r="K257" s="263" t="s">
        <v>597</v>
      </c>
    </row>
    <row r="258" spans="6:11" x14ac:dyDescent="0.25">
      <c r="F258" s="278" t="s">
        <v>576</v>
      </c>
    </row>
    <row r="259" spans="6:11" ht="18" x14ac:dyDescent="0.25">
      <c r="F259" s="280" t="s">
        <v>581</v>
      </c>
      <c r="G259" s="259" t="s">
        <v>636</v>
      </c>
      <c r="K259" s="259" t="s">
        <v>577</v>
      </c>
    </row>
    <row r="260" spans="6:11" ht="18" x14ac:dyDescent="0.25">
      <c r="F260" s="280" t="s">
        <v>586</v>
      </c>
      <c r="G260" s="260" t="s">
        <v>608</v>
      </c>
      <c r="K260" s="260" t="s">
        <v>582</v>
      </c>
    </row>
    <row r="261" spans="6:11" ht="18" x14ac:dyDescent="0.25">
      <c r="F261" s="280" t="s">
        <v>591</v>
      </c>
      <c r="G261" s="261" t="s">
        <v>490</v>
      </c>
      <c r="K261" s="261" t="s">
        <v>587</v>
      </c>
    </row>
    <row r="262" spans="6:11" ht="18" x14ac:dyDescent="0.25">
      <c r="F262" s="280" t="s">
        <v>596</v>
      </c>
      <c r="G262" s="262" t="s">
        <v>613</v>
      </c>
      <c r="K262" s="262" t="s">
        <v>592</v>
      </c>
    </row>
    <row r="263" spans="6:11" ht="18" x14ac:dyDescent="0.25">
      <c r="F263" s="280" t="s">
        <v>601</v>
      </c>
      <c r="G263" s="263" t="s">
        <v>616</v>
      </c>
      <c r="K263" s="263" t="s">
        <v>597</v>
      </c>
    </row>
  </sheetData>
  <mergeCells count="1">
    <mergeCell ref="B2:E2"/>
  </mergeCells>
  <dataValidations disablePrompts="1" count="1">
    <dataValidation type="list" allowBlank="1" showInputMessage="1" showErrorMessage="1" sqref="G211" xr:uid="{00000000-0002-0000-0C00-000000000000}">
      <formula1>$F$211:$F$222</formula1>
    </dataValidation>
  </dataValidations>
  <pageMargins left="0.7" right="0.7" top="0.75" bottom="0.75" header="0.3" footer="0.3"/>
  <pageSetup orientation="portrait" r:id="rId2"/>
  <tableParts count="1">
    <tablePart r:id="rId3"/>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K55"/>
  <sheetViews>
    <sheetView zoomScale="90" zoomScaleNormal="90" workbookViewId="0">
      <selection activeCell="B7" sqref="B7"/>
    </sheetView>
  </sheetViews>
  <sheetFormatPr baseColWidth="10" defaultColWidth="11.42578125" defaultRowHeight="15" x14ac:dyDescent="0.25"/>
  <cols>
    <col min="2" max="2" width="24.28515625" customWidth="1"/>
    <col min="3" max="3" width="70.28515625" customWidth="1"/>
    <col min="4" max="4" width="29.7109375" customWidth="1"/>
  </cols>
  <sheetData>
    <row r="1" spans="1:37" ht="23.25" x14ac:dyDescent="0.25">
      <c r="A1" s="66"/>
      <c r="B1" s="757" t="s">
        <v>637</v>
      </c>
      <c r="C1" s="757"/>
      <c r="D1" s="757"/>
      <c r="E1" s="66"/>
      <c r="F1" s="66"/>
      <c r="G1" s="66"/>
      <c r="H1" s="66"/>
      <c r="I1" s="66"/>
      <c r="J1" s="66"/>
      <c r="K1" s="66"/>
      <c r="L1" s="66"/>
      <c r="M1" s="66"/>
      <c r="N1" s="66"/>
      <c r="O1" s="66"/>
      <c r="P1" s="66"/>
      <c r="Q1" s="66"/>
      <c r="R1" s="66"/>
      <c r="S1" s="66"/>
      <c r="T1" s="66"/>
      <c r="U1" s="66"/>
      <c r="V1" s="66"/>
      <c r="W1" s="66"/>
      <c r="X1" s="66"/>
      <c r="Y1" s="66"/>
      <c r="Z1" s="66"/>
      <c r="AA1" s="66"/>
      <c r="AB1" s="66"/>
      <c r="AC1" s="66"/>
      <c r="AD1" s="66"/>
      <c r="AE1" s="66"/>
    </row>
    <row r="2" spans="1:37" x14ac:dyDescent="0.25">
      <c r="A2" s="66"/>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row>
    <row r="3" spans="1:37" ht="25.5" x14ac:dyDescent="0.25">
      <c r="A3" s="66"/>
      <c r="B3" s="3"/>
      <c r="C3" s="4" t="s">
        <v>638</v>
      </c>
      <c r="D3" s="4" t="s">
        <v>484</v>
      </c>
      <c r="E3" s="66"/>
      <c r="F3" s="66"/>
      <c r="G3" s="66"/>
      <c r="H3" s="66"/>
      <c r="I3" s="66"/>
      <c r="J3" s="66"/>
      <c r="K3" s="66"/>
      <c r="L3" s="66"/>
      <c r="M3" s="66"/>
      <c r="N3" s="66"/>
      <c r="O3" s="66"/>
      <c r="P3" s="66"/>
      <c r="Q3" s="66"/>
      <c r="R3" s="66"/>
      <c r="S3" s="66"/>
      <c r="T3" s="66"/>
      <c r="U3" s="66"/>
      <c r="V3" s="66"/>
      <c r="W3" s="66"/>
      <c r="X3" s="66"/>
      <c r="Y3" s="66"/>
      <c r="Z3" s="66"/>
      <c r="AA3" s="66"/>
      <c r="AB3" s="66"/>
      <c r="AC3" s="66"/>
      <c r="AD3" s="66"/>
      <c r="AE3" s="66"/>
    </row>
    <row r="4" spans="1:37" ht="51" x14ac:dyDescent="0.25">
      <c r="A4" s="66"/>
      <c r="B4" s="5" t="s">
        <v>639</v>
      </c>
      <c r="C4" s="6" t="s">
        <v>640</v>
      </c>
      <c r="D4" s="7">
        <v>0.2</v>
      </c>
      <c r="E4" s="66"/>
      <c r="F4" s="66"/>
      <c r="G4" s="66"/>
      <c r="H4" s="66"/>
      <c r="I4" s="66"/>
      <c r="J4" s="66"/>
      <c r="K4" s="66"/>
      <c r="L4" s="66"/>
      <c r="M4" s="66"/>
      <c r="N4" s="66"/>
      <c r="O4" s="66"/>
      <c r="P4" s="66"/>
      <c r="Q4" s="66"/>
      <c r="R4" s="66"/>
      <c r="S4" s="66"/>
      <c r="T4" s="66"/>
      <c r="U4" s="66"/>
      <c r="V4" s="66"/>
      <c r="W4" s="66"/>
      <c r="X4" s="66"/>
      <c r="Y4" s="66"/>
      <c r="Z4" s="66"/>
      <c r="AA4" s="66"/>
      <c r="AB4" s="66"/>
      <c r="AC4" s="66"/>
      <c r="AD4" s="66"/>
      <c r="AE4" s="66"/>
    </row>
    <row r="5" spans="1:37" ht="51" x14ac:dyDescent="0.25">
      <c r="A5" s="66"/>
      <c r="B5" s="8" t="s">
        <v>641</v>
      </c>
      <c r="C5" s="9" t="s">
        <v>642</v>
      </c>
      <c r="D5" s="10">
        <v>0.4</v>
      </c>
      <c r="E5" s="66"/>
      <c r="F5" s="66"/>
      <c r="G5" s="66"/>
      <c r="H5" s="66"/>
      <c r="I5" s="66"/>
      <c r="J5" s="66"/>
      <c r="K5" s="66"/>
      <c r="L5" s="66"/>
      <c r="M5" s="66"/>
      <c r="N5" s="66"/>
      <c r="O5" s="66"/>
      <c r="P5" s="66"/>
      <c r="Q5" s="66"/>
      <c r="R5" s="66"/>
      <c r="S5" s="66"/>
      <c r="T5" s="66"/>
      <c r="U5" s="66"/>
      <c r="V5" s="66"/>
      <c r="W5" s="66"/>
      <c r="X5" s="66"/>
      <c r="Y5" s="66"/>
      <c r="Z5" s="66"/>
      <c r="AA5" s="66"/>
      <c r="AB5" s="66"/>
      <c r="AC5" s="66"/>
      <c r="AD5" s="66"/>
      <c r="AE5" s="66"/>
    </row>
    <row r="6" spans="1:37" ht="51" x14ac:dyDescent="0.25">
      <c r="A6" s="66"/>
      <c r="B6" s="11" t="s">
        <v>643</v>
      </c>
      <c r="C6" s="9" t="s">
        <v>644</v>
      </c>
      <c r="D6" s="10">
        <v>0.6</v>
      </c>
      <c r="E6" s="66"/>
      <c r="F6" s="66"/>
      <c r="G6" s="66"/>
      <c r="H6" s="66"/>
      <c r="I6" s="66"/>
      <c r="J6" s="66"/>
      <c r="K6" s="66"/>
      <c r="L6" s="66"/>
      <c r="M6" s="66"/>
      <c r="N6" s="66"/>
      <c r="O6" s="66"/>
      <c r="P6" s="66"/>
      <c r="Q6" s="66"/>
      <c r="R6" s="66"/>
      <c r="S6" s="66"/>
      <c r="T6" s="66"/>
      <c r="U6" s="66"/>
      <c r="V6" s="66"/>
      <c r="W6" s="66"/>
      <c r="X6" s="66"/>
      <c r="Y6" s="66"/>
      <c r="Z6" s="66"/>
      <c r="AA6" s="66"/>
      <c r="AB6" s="66"/>
      <c r="AC6" s="66"/>
      <c r="AD6" s="66"/>
      <c r="AE6" s="66"/>
    </row>
    <row r="7" spans="1:37" ht="76.5" x14ac:dyDescent="0.25">
      <c r="A7" s="66"/>
      <c r="B7" s="12" t="s">
        <v>645</v>
      </c>
      <c r="C7" s="9" t="s">
        <v>646</v>
      </c>
      <c r="D7" s="10">
        <v>0.8</v>
      </c>
      <c r="E7" s="66"/>
      <c r="F7" s="66"/>
      <c r="G7" s="66"/>
      <c r="H7" s="66"/>
      <c r="I7" s="66"/>
      <c r="J7" s="66"/>
      <c r="K7" s="66"/>
      <c r="L7" s="66"/>
      <c r="M7" s="66"/>
      <c r="N7" s="66"/>
      <c r="O7" s="66"/>
      <c r="P7" s="66"/>
      <c r="Q7" s="66"/>
      <c r="R7" s="66"/>
      <c r="S7" s="66"/>
      <c r="T7" s="66"/>
      <c r="U7" s="66"/>
      <c r="V7" s="66"/>
      <c r="W7" s="66"/>
      <c r="X7" s="66"/>
      <c r="Y7" s="66"/>
      <c r="Z7" s="66"/>
      <c r="AA7" s="66"/>
      <c r="AB7" s="66"/>
      <c r="AC7" s="66"/>
      <c r="AD7" s="66"/>
      <c r="AE7" s="66"/>
    </row>
    <row r="8" spans="1:37" ht="51" x14ac:dyDescent="0.25">
      <c r="A8" s="66"/>
      <c r="B8" s="13" t="s">
        <v>647</v>
      </c>
      <c r="C8" s="9" t="s">
        <v>648</v>
      </c>
      <c r="D8" s="10">
        <v>1</v>
      </c>
      <c r="E8" s="66"/>
      <c r="F8" s="66"/>
      <c r="G8" s="66"/>
      <c r="H8" s="66"/>
      <c r="I8" s="66"/>
      <c r="J8" s="66"/>
      <c r="K8" s="66"/>
      <c r="L8" s="66"/>
      <c r="M8" s="66"/>
      <c r="N8" s="66"/>
      <c r="O8" s="66"/>
      <c r="P8" s="66"/>
      <c r="Q8" s="66"/>
      <c r="R8" s="66"/>
      <c r="S8" s="66"/>
      <c r="T8" s="66"/>
      <c r="U8" s="66"/>
      <c r="V8" s="66"/>
      <c r="W8" s="66"/>
      <c r="X8" s="66"/>
      <c r="Y8" s="66"/>
      <c r="Z8" s="66"/>
      <c r="AA8" s="66"/>
      <c r="AB8" s="66"/>
      <c r="AC8" s="66"/>
      <c r="AD8" s="66"/>
      <c r="AE8" s="66"/>
    </row>
    <row r="9" spans="1:37" x14ac:dyDescent="0.25">
      <c r="A9" s="66"/>
      <c r="B9" s="88"/>
      <c r="C9" s="88"/>
      <c r="D9" s="88"/>
      <c r="E9" s="66"/>
      <c r="F9" s="66"/>
      <c r="G9" s="66"/>
      <c r="H9" s="66"/>
      <c r="I9" s="66"/>
      <c r="J9" s="66"/>
      <c r="K9" s="66"/>
      <c r="L9" s="66"/>
      <c r="M9" s="66"/>
      <c r="N9" s="66"/>
      <c r="O9" s="66"/>
      <c r="P9" s="66"/>
      <c r="Q9" s="66"/>
      <c r="R9" s="66"/>
      <c r="S9" s="66"/>
      <c r="T9" s="66"/>
      <c r="U9" s="66"/>
      <c r="V9" s="66"/>
      <c r="W9" s="66"/>
      <c r="X9" s="66"/>
      <c r="Y9" s="66"/>
      <c r="Z9" s="66"/>
      <c r="AA9" s="66"/>
      <c r="AB9" s="66"/>
      <c r="AC9" s="66"/>
      <c r="AD9" s="66"/>
      <c r="AE9" s="66"/>
      <c r="AF9" s="66"/>
      <c r="AG9" s="66"/>
      <c r="AH9" s="66"/>
      <c r="AI9" s="66"/>
      <c r="AJ9" s="66"/>
      <c r="AK9" s="66"/>
    </row>
    <row r="10" spans="1:37" ht="16.5" x14ac:dyDescent="0.25">
      <c r="A10" s="66"/>
      <c r="B10" s="89"/>
      <c r="C10" s="88"/>
      <c r="D10" s="88"/>
      <c r="E10" s="66"/>
      <c r="F10" s="66"/>
      <c r="G10" s="66"/>
      <c r="H10" s="66"/>
      <c r="I10" s="66"/>
      <c r="J10" s="66"/>
      <c r="K10" s="66"/>
      <c r="L10" s="66"/>
      <c r="M10" s="66"/>
      <c r="N10" s="66"/>
      <c r="O10" s="66"/>
      <c r="P10" s="66"/>
      <c r="Q10" s="66"/>
      <c r="R10" s="66"/>
      <c r="S10" s="66"/>
      <c r="T10" s="66"/>
      <c r="U10" s="66"/>
      <c r="V10" s="66"/>
      <c r="W10" s="66"/>
      <c r="X10" s="66"/>
      <c r="Y10" s="66"/>
      <c r="Z10" s="66"/>
      <c r="AA10" s="66"/>
      <c r="AB10" s="66"/>
      <c r="AC10" s="66"/>
      <c r="AD10" s="66"/>
      <c r="AE10" s="66"/>
      <c r="AF10" s="66"/>
      <c r="AG10" s="66"/>
      <c r="AH10" s="66"/>
      <c r="AI10" s="66"/>
      <c r="AJ10" s="66"/>
      <c r="AK10" s="66"/>
    </row>
    <row r="11" spans="1:37" x14ac:dyDescent="0.25">
      <c r="A11" s="66"/>
      <c r="B11" s="88"/>
      <c r="C11" s="88"/>
      <c r="D11" s="88"/>
      <c r="E11" s="66"/>
      <c r="F11" s="66"/>
      <c r="G11" s="66"/>
      <c r="H11" s="66"/>
      <c r="I11" s="66"/>
      <c r="J11" s="66"/>
      <c r="K11" s="66"/>
      <c r="L11" s="66"/>
      <c r="M11" s="66"/>
      <c r="N11" s="66"/>
      <c r="O11" s="66"/>
      <c r="P11" s="66"/>
      <c r="Q11" s="66"/>
      <c r="R11" s="66"/>
      <c r="S11" s="66"/>
      <c r="T11" s="66"/>
      <c r="U11" s="66"/>
      <c r="V11" s="66"/>
      <c r="W11" s="66"/>
      <c r="X11" s="66"/>
      <c r="Y11" s="66"/>
      <c r="Z11" s="66"/>
      <c r="AA11" s="66"/>
      <c r="AB11" s="66"/>
      <c r="AC11" s="66"/>
      <c r="AD11" s="66"/>
      <c r="AE11" s="66"/>
      <c r="AF11" s="66"/>
      <c r="AG11" s="66"/>
      <c r="AH11" s="66"/>
      <c r="AI11" s="66"/>
      <c r="AJ11" s="66"/>
      <c r="AK11" s="66"/>
    </row>
    <row r="12" spans="1:37" x14ac:dyDescent="0.25">
      <c r="A12" s="66"/>
      <c r="B12" s="88"/>
      <c r="C12" s="88"/>
      <c r="D12" s="88"/>
      <c r="E12" s="66"/>
      <c r="F12" s="66"/>
      <c r="G12" s="66"/>
      <c r="H12" s="66"/>
      <c r="I12" s="66"/>
      <c r="J12" s="66"/>
      <c r="K12" s="66"/>
      <c r="L12" s="66"/>
      <c r="M12" s="66"/>
      <c r="N12" s="66"/>
      <c r="O12" s="66"/>
      <c r="P12" s="66"/>
      <c r="Q12" s="66"/>
      <c r="R12" s="66"/>
      <c r="S12" s="66"/>
      <c r="T12" s="66"/>
      <c r="U12" s="66"/>
      <c r="V12" s="66"/>
      <c r="W12" s="66"/>
      <c r="X12" s="66"/>
      <c r="Y12" s="66"/>
      <c r="Z12" s="66"/>
      <c r="AA12" s="66"/>
      <c r="AB12" s="66"/>
      <c r="AC12" s="66"/>
      <c r="AD12" s="66"/>
      <c r="AE12" s="66"/>
      <c r="AF12" s="66"/>
      <c r="AG12" s="66"/>
      <c r="AH12" s="66"/>
      <c r="AI12" s="66"/>
      <c r="AJ12" s="66"/>
      <c r="AK12" s="66"/>
    </row>
    <row r="13" spans="1:37" x14ac:dyDescent="0.25">
      <c r="A13" s="66"/>
      <c r="B13" s="88"/>
      <c r="C13" s="88"/>
      <c r="D13" s="88"/>
      <c r="E13" s="66"/>
      <c r="F13" s="66"/>
      <c r="G13" s="66"/>
      <c r="H13" s="66"/>
      <c r="I13" s="66"/>
      <c r="J13" s="66"/>
      <c r="K13" s="66"/>
      <c r="L13" s="66"/>
      <c r="M13" s="66"/>
      <c r="N13" s="66"/>
      <c r="O13" s="66"/>
      <c r="P13" s="66"/>
      <c r="Q13" s="66"/>
      <c r="R13" s="66"/>
      <c r="S13" s="66"/>
      <c r="T13" s="66"/>
      <c r="U13" s="66"/>
      <c r="V13" s="66"/>
      <c r="W13" s="66"/>
      <c r="X13" s="66"/>
      <c r="Y13" s="66"/>
      <c r="Z13" s="66"/>
      <c r="AA13" s="66"/>
      <c r="AB13" s="66"/>
      <c r="AC13" s="66"/>
      <c r="AD13" s="66"/>
      <c r="AE13" s="66"/>
      <c r="AF13" s="66"/>
      <c r="AG13" s="66"/>
      <c r="AH13" s="66"/>
      <c r="AI13" s="66"/>
      <c r="AJ13" s="66"/>
      <c r="AK13" s="66"/>
    </row>
    <row r="14" spans="1:37" x14ac:dyDescent="0.25">
      <c r="A14" s="66"/>
      <c r="B14" s="88"/>
      <c r="C14" s="88"/>
      <c r="D14" s="88"/>
      <c r="E14" s="66"/>
      <c r="F14" s="66"/>
      <c r="G14" s="66"/>
      <c r="H14" s="66"/>
      <c r="I14" s="66"/>
      <c r="J14" s="66"/>
      <c r="K14" s="66"/>
      <c r="L14" s="66"/>
      <c r="M14" s="66"/>
      <c r="N14" s="66"/>
      <c r="O14" s="66"/>
      <c r="P14" s="66"/>
      <c r="Q14" s="66"/>
      <c r="R14" s="66"/>
      <c r="S14" s="66"/>
      <c r="T14" s="66"/>
      <c r="U14" s="66"/>
      <c r="V14" s="66"/>
      <c r="W14" s="66"/>
      <c r="X14" s="66"/>
      <c r="Y14" s="66"/>
      <c r="Z14" s="66"/>
      <c r="AA14" s="66"/>
      <c r="AB14" s="66"/>
      <c r="AC14" s="66"/>
      <c r="AD14" s="66"/>
      <c r="AE14" s="66"/>
      <c r="AF14" s="66"/>
      <c r="AG14" s="66"/>
      <c r="AH14" s="66"/>
      <c r="AI14" s="66"/>
      <c r="AJ14" s="66"/>
      <c r="AK14" s="66"/>
    </row>
    <row r="15" spans="1:37" x14ac:dyDescent="0.25">
      <c r="A15" s="66"/>
      <c r="B15" s="88"/>
      <c r="C15" s="88"/>
      <c r="D15" s="88"/>
      <c r="E15" s="66"/>
      <c r="F15" s="66"/>
      <c r="G15" s="66"/>
      <c r="H15" s="66"/>
      <c r="I15" s="66"/>
      <c r="J15" s="66"/>
      <c r="K15" s="66"/>
      <c r="L15" s="66"/>
      <c r="M15" s="66"/>
      <c r="N15" s="66"/>
      <c r="O15" s="66"/>
      <c r="P15" s="66"/>
      <c r="Q15" s="66"/>
      <c r="R15" s="66"/>
      <c r="S15" s="66"/>
      <c r="T15" s="66"/>
      <c r="U15" s="66"/>
      <c r="V15" s="66"/>
      <c r="W15" s="66"/>
      <c r="X15" s="66"/>
      <c r="Y15" s="66"/>
      <c r="Z15" s="66"/>
      <c r="AA15" s="66"/>
      <c r="AB15" s="66"/>
      <c r="AC15" s="66"/>
      <c r="AD15" s="66"/>
      <c r="AE15" s="66"/>
      <c r="AF15" s="66"/>
      <c r="AG15" s="66"/>
      <c r="AH15" s="66"/>
      <c r="AI15" s="66"/>
      <c r="AJ15" s="66"/>
      <c r="AK15" s="66"/>
    </row>
    <row r="16" spans="1:37" x14ac:dyDescent="0.25">
      <c r="A16" s="66"/>
      <c r="B16" s="88"/>
      <c r="C16" s="88"/>
      <c r="D16" s="88"/>
      <c r="E16" s="66"/>
      <c r="F16" s="66"/>
      <c r="G16" s="66"/>
      <c r="H16" s="66"/>
      <c r="I16" s="66"/>
      <c r="J16" s="66"/>
      <c r="K16" s="66"/>
      <c r="L16" s="66"/>
      <c r="M16" s="66"/>
      <c r="N16" s="66"/>
      <c r="O16" s="66"/>
      <c r="P16" s="66"/>
      <c r="Q16" s="66"/>
      <c r="R16" s="66"/>
      <c r="S16" s="66"/>
      <c r="T16" s="66"/>
      <c r="U16" s="66"/>
      <c r="V16" s="66"/>
      <c r="W16" s="66"/>
      <c r="X16" s="66"/>
      <c r="Y16" s="66"/>
      <c r="Z16" s="66"/>
      <c r="AA16" s="66"/>
      <c r="AB16" s="66"/>
      <c r="AC16" s="66"/>
      <c r="AD16" s="66"/>
      <c r="AE16" s="66"/>
      <c r="AF16" s="66"/>
      <c r="AG16" s="66"/>
      <c r="AH16" s="66"/>
      <c r="AI16" s="66"/>
      <c r="AJ16" s="66"/>
      <c r="AK16" s="66"/>
    </row>
    <row r="17" spans="1:37" x14ac:dyDescent="0.25">
      <c r="A17" s="66"/>
      <c r="B17" s="88"/>
      <c r="C17" s="88"/>
      <c r="D17" s="88"/>
      <c r="E17" s="66"/>
      <c r="F17" s="66"/>
      <c r="G17" s="66"/>
      <c r="H17" s="66"/>
      <c r="I17" s="66"/>
      <c r="J17" s="66"/>
      <c r="K17" s="66"/>
      <c r="L17" s="66"/>
      <c r="M17" s="66"/>
      <c r="N17" s="66"/>
      <c r="O17" s="66"/>
      <c r="P17" s="66"/>
      <c r="Q17" s="66"/>
      <c r="R17" s="66"/>
      <c r="S17" s="66"/>
      <c r="T17" s="66"/>
      <c r="U17" s="66"/>
      <c r="V17" s="66"/>
      <c r="W17" s="66"/>
      <c r="X17" s="66"/>
      <c r="Y17" s="66"/>
      <c r="Z17" s="66"/>
      <c r="AA17" s="66"/>
      <c r="AB17" s="66"/>
      <c r="AC17" s="66"/>
      <c r="AD17" s="66"/>
      <c r="AE17" s="66"/>
      <c r="AF17" s="66"/>
      <c r="AG17" s="66"/>
      <c r="AH17" s="66"/>
      <c r="AI17" s="66"/>
      <c r="AJ17" s="66"/>
      <c r="AK17" s="66"/>
    </row>
    <row r="18" spans="1:37" x14ac:dyDescent="0.25">
      <c r="A18" s="66"/>
      <c r="B18" s="88"/>
      <c r="C18" s="88"/>
      <c r="D18" s="88"/>
      <c r="E18" s="66"/>
      <c r="F18" s="66"/>
      <c r="G18" s="66"/>
      <c r="H18" s="66"/>
      <c r="I18" s="66"/>
      <c r="J18" s="66"/>
      <c r="K18" s="66"/>
      <c r="L18" s="66"/>
      <c r="M18" s="66"/>
      <c r="N18" s="66"/>
      <c r="O18" s="66"/>
      <c r="P18" s="66"/>
      <c r="Q18" s="66"/>
      <c r="R18" s="66"/>
      <c r="S18" s="66"/>
      <c r="T18" s="66"/>
      <c r="U18" s="66"/>
      <c r="V18" s="66"/>
      <c r="W18" s="66"/>
      <c r="X18" s="66"/>
      <c r="Y18" s="66"/>
      <c r="Z18" s="66"/>
      <c r="AA18" s="66"/>
      <c r="AB18" s="66"/>
      <c r="AC18" s="66"/>
      <c r="AD18" s="66"/>
      <c r="AE18" s="66"/>
      <c r="AF18" s="66"/>
      <c r="AG18" s="66"/>
      <c r="AH18" s="66"/>
      <c r="AI18" s="66"/>
      <c r="AJ18" s="66"/>
      <c r="AK18" s="66"/>
    </row>
    <row r="19" spans="1:37" x14ac:dyDescent="0.25">
      <c r="A19" s="66"/>
      <c r="B19" s="66"/>
      <c r="C19" s="66"/>
      <c r="D19" s="66"/>
      <c r="E19" s="66"/>
      <c r="F19" s="66"/>
      <c r="G19" s="66"/>
      <c r="H19" s="66"/>
      <c r="I19" s="66"/>
      <c r="J19" s="66"/>
      <c r="K19" s="66"/>
      <c r="L19" s="66"/>
      <c r="M19" s="66"/>
      <c r="N19" s="66"/>
      <c r="O19" s="66"/>
      <c r="P19" s="66"/>
      <c r="Q19" s="66"/>
      <c r="R19" s="66"/>
      <c r="S19" s="66"/>
      <c r="T19" s="66"/>
      <c r="U19" s="66"/>
      <c r="V19" s="66"/>
      <c r="W19" s="66"/>
      <c r="X19" s="66"/>
      <c r="Y19" s="66"/>
      <c r="Z19" s="66"/>
      <c r="AA19" s="66"/>
      <c r="AB19" s="66"/>
      <c r="AC19" s="66"/>
      <c r="AD19" s="66"/>
      <c r="AE19" s="66"/>
      <c r="AF19" s="66"/>
      <c r="AG19" s="66"/>
      <c r="AH19" s="66"/>
      <c r="AI19" s="66"/>
      <c r="AJ19" s="66"/>
      <c r="AK19" s="66"/>
    </row>
    <row r="20" spans="1:37" x14ac:dyDescent="0.25">
      <c r="A20" s="66"/>
      <c r="B20" s="66"/>
      <c r="C20" s="66"/>
      <c r="D20" s="66"/>
      <c r="E20" s="66"/>
      <c r="F20" s="66"/>
      <c r="G20" s="66"/>
      <c r="H20" s="66"/>
      <c r="I20" s="66"/>
      <c r="J20" s="66"/>
      <c r="K20" s="66"/>
      <c r="L20" s="66"/>
      <c r="M20" s="66"/>
      <c r="N20" s="66"/>
      <c r="O20" s="66"/>
      <c r="P20" s="66"/>
      <c r="Q20" s="66"/>
      <c r="R20" s="66"/>
      <c r="S20" s="66"/>
      <c r="T20" s="66"/>
      <c r="U20" s="66"/>
      <c r="V20" s="66"/>
      <c r="W20" s="66"/>
      <c r="X20" s="66"/>
      <c r="Y20" s="66"/>
      <c r="Z20" s="66"/>
      <c r="AA20" s="66"/>
      <c r="AB20" s="66"/>
      <c r="AC20" s="66"/>
      <c r="AD20" s="66"/>
      <c r="AE20" s="66"/>
      <c r="AF20" s="66"/>
      <c r="AG20" s="66"/>
      <c r="AH20" s="66"/>
      <c r="AI20" s="66"/>
      <c r="AJ20" s="66"/>
      <c r="AK20" s="66"/>
    </row>
    <row r="21" spans="1:37" x14ac:dyDescent="0.25">
      <c r="A21" s="66"/>
      <c r="B21" s="66"/>
      <c r="C21" s="66"/>
      <c r="D21" s="66"/>
      <c r="E21" s="66"/>
      <c r="F21" s="66"/>
      <c r="G21" s="66"/>
      <c r="H21" s="66"/>
      <c r="I21" s="66"/>
      <c r="J21" s="66"/>
      <c r="K21" s="66"/>
      <c r="L21" s="66"/>
      <c r="M21" s="66"/>
      <c r="N21" s="66"/>
      <c r="O21" s="66"/>
      <c r="P21" s="66"/>
      <c r="Q21" s="66"/>
      <c r="R21" s="66"/>
      <c r="S21" s="66"/>
      <c r="T21" s="66"/>
      <c r="U21" s="66"/>
      <c r="V21" s="66"/>
      <c r="W21" s="66"/>
      <c r="X21" s="66"/>
      <c r="Y21" s="66"/>
      <c r="Z21" s="66"/>
      <c r="AA21" s="66"/>
      <c r="AB21" s="66"/>
      <c r="AC21" s="66"/>
      <c r="AD21" s="66"/>
      <c r="AE21" s="66"/>
      <c r="AF21" s="66"/>
      <c r="AG21" s="66"/>
      <c r="AH21" s="66"/>
      <c r="AI21" s="66"/>
      <c r="AJ21" s="66"/>
      <c r="AK21" s="66"/>
    </row>
    <row r="22" spans="1:37" x14ac:dyDescent="0.25">
      <c r="A22" s="66"/>
      <c r="B22" s="66"/>
      <c r="C22" s="66"/>
      <c r="D22" s="66"/>
      <c r="E22" s="66"/>
      <c r="F22" s="66"/>
      <c r="G22" s="66"/>
      <c r="H22" s="66"/>
      <c r="I22" s="66"/>
      <c r="J22" s="66"/>
      <c r="K22" s="66"/>
      <c r="L22" s="66"/>
      <c r="M22" s="66"/>
      <c r="N22" s="66"/>
      <c r="O22" s="66"/>
      <c r="P22" s="66"/>
      <c r="Q22" s="66"/>
      <c r="R22" s="66"/>
      <c r="S22" s="66"/>
      <c r="T22" s="66"/>
      <c r="U22" s="66"/>
      <c r="V22" s="66"/>
      <c r="W22" s="66"/>
      <c r="X22" s="66"/>
      <c r="Y22" s="66"/>
      <c r="Z22" s="66"/>
      <c r="AA22" s="66"/>
      <c r="AB22" s="66"/>
      <c r="AC22" s="66"/>
      <c r="AD22" s="66"/>
      <c r="AE22" s="66"/>
      <c r="AF22" s="66"/>
      <c r="AG22" s="66"/>
      <c r="AH22" s="66"/>
      <c r="AI22" s="66"/>
      <c r="AJ22" s="66"/>
      <c r="AK22" s="66"/>
    </row>
    <row r="23" spans="1:37" x14ac:dyDescent="0.25">
      <c r="A23" s="66"/>
      <c r="B23" s="66"/>
      <c r="C23" s="66"/>
      <c r="D23" s="66"/>
      <c r="E23" s="66"/>
      <c r="F23" s="66"/>
      <c r="G23" s="66"/>
      <c r="H23" s="66"/>
      <c r="I23" s="66"/>
      <c r="J23" s="66"/>
      <c r="K23" s="66"/>
      <c r="L23" s="66"/>
      <c r="M23" s="66"/>
      <c r="N23" s="66"/>
      <c r="O23" s="66"/>
      <c r="P23" s="66"/>
      <c r="Q23" s="66"/>
      <c r="R23" s="66"/>
      <c r="S23" s="66"/>
      <c r="T23" s="66"/>
      <c r="U23" s="66"/>
      <c r="V23" s="66"/>
      <c r="W23" s="66"/>
      <c r="X23" s="66"/>
      <c r="Y23" s="66"/>
      <c r="Z23" s="66"/>
      <c r="AA23" s="66"/>
      <c r="AB23" s="66"/>
      <c r="AC23" s="66"/>
      <c r="AD23" s="66"/>
      <c r="AE23" s="66"/>
      <c r="AF23" s="66"/>
      <c r="AG23" s="66"/>
      <c r="AH23" s="66"/>
      <c r="AI23" s="66"/>
      <c r="AJ23" s="66"/>
      <c r="AK23" s="66"/>
    </row>
    <row r="24" spans="1:37" x14ac:dyDescent="0.25">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6"/>
      <c r="AA24" s="66"/>
      <c r="AB24" s="66"/>
      <c r="AC24" s="66"/>
      <c r="AD24" s="66"/>
      <c r="AE24" s="66"/>
      <c r="AF24" s="66"/>
      <c r="AG24" s="66"/>
      <c r="AH24" s="66"/>
      <c r="AI24" s="66"/>
      <c r="AJ24" s="66"/>
      <c r="AK24" s="66"/>
    </row>
    <row r="25" spans="1:37" x14ac:dyDescent="0.25">
      <c r="A25" s="66"/>
      <c r="B25" s="66"/>
      <c r="C25" s="66"/>
      <c r="D25" s="66"/>
      <c r="E25" s="66"/>
      <c r="F25" s="66"/>
      <c r="G25" s="66"/>
      <c r="H25" s="66"/>
      <c r="I25" s="66"/>
      <c r="J25" s="66"/>
      <c r="K25" s="66"/>
      <c r="L25" s="66"/>
      <c r="M25" s="66"/>
      <c r="N25" s="66"/>
      <c r="O25" s="66"/>
      <c r="P25" s="66"/>
      <c r="Q25" s="66"/>
      <c r="R25" s="66"/>
      <c r="S25" s="66"/>
      <c r="T25" s="66"/>
      <c r="U25" s="66"/>
      <c r="V25" s="66"/>
      <c r="W25" s="66"/>
      <c r="X25" s="66"/>
      <c r="Y25" s="66"/>
      <c r="Z25" s="66"/>
      <c r="AA25" s="66"/>
      <c r="AB25" s="66"/>
      <c r="AC25" s="66"/>
      <c r="AD25" s="66"/>
      <c r="AE25" s="66"/>
      <c r="AF25" s="66"/>
      <c r="AG25" s="66"/>
      <c r="AH25" s="66"/>
      <c r="AI25" s="66"/>
      <c r="AJ25" s="66"/>
      <c r="AK25" s="66"/>
    </row>
    <row r="26" spans="1:37" x14ac:dyDescent="0.25">
      <c r="A26" s="66"/>
      <c r="B26" s="66"/>
      <c r="C26" s="66"/>
      <c r="D26" s="66"/>
      <c r="E26" s="66"/>
      <c r="F26" s="66"/>
      <c r="G26" s="66"/>
      <c r="H26" s="66"/>
      <c r="I26" s="66"/>
      <c r="J26" s="66"/>
      <c r="K26" s="66"/>
      <c r="L26" s="66"/>
      <c r="M26" s="66"/>
      <c r="N26" s="66"/>
      <c r="O26" s="66"/>
      <c r="P26" s="66"/>
      <c r="Q26" s="66"/>
      <c r="R26" s="66"/>
      <c r="S26" s="66"/>
      <c r="T26" s="66"/>
      <c r="U26" s="66"/>
      <c r="V26" s="66"/>
      <c r="W26" s="66"/>
      <c r="X26" s="66"/>
      <c r="Y26" s="66"/>
      <c r="Z26" s="66"/>
      <c r="AA26" s="66"/>
      <c r="AB26" s="66"/>
      <c r="AC26" s="66"/>
      <c r="AD26" s="66"/>
      <c r="AE26" s="66"/>
      <c r="AF26" s="66"/>
      <c r="AG26" s="66"/>
      <c r="AH26" s="66"/>
      <c r="AI26" s="66"/>
      <c r="AJ26" s="66"/>
      <c r="AK26" s="66"/>
    </row>
    <row r="27" spans="1:37" x14ac:dyDescent="0.25">
      <c r="A27" s="66"/>
      <c r="B27" s="66"/>
      <c r="C27" s="66"/>
      <c r="D27" s="66"/>
      <c r="E27" s="66"/>
      <c r="F27" s="66"/>
      <c r="G27" s="66"/>
      <c r="H27" s="66"/>
      <c r="I27" s="66"/>
      <c r="J27" s="66"/>
      <c r="K27" s="66"/>
      <c r="L27" s="66"/>
      <c r="M27" s="66"/>
      <c r="N27" s="66"/>
      <c r="O27" s="66"/>
      <c r="P27" s="66"/>
      <c r="Q27" s="66"/>
      <c r="R27" s="66"/>
      <c r="S27" s="66"/>
      <c r="T27" s="66"/>
      <c r="U27" s="66"/>
      <c r="V27" s="66"/>
      <c r="W27" s="66"/>
      <c r="X27" s="66"/>
      <c r="Y27" s="66"/>
      <c r="Z27" s="66"/>
      <c r="AA27" s="66"/>
      <c r="AB27" s="66"/>
      <c r="AC27" s="66"/>
      <c r="AD27" s="66"/>
      <c r="AE27" s="66"/>
      <c r="AF27" s="66"/>
      <c r="AG27" s="66"/>
      <c r="AH27" s="66"/>
      <c r="AI27" s="66"/>
      <c r="AJ27" s="66"/>
      <c r="AK27" s="66"/>
    </row>
    <row r="28" spans="1:37" x14ac:dyDescent="0.25">
      <c r="A28" s="66"/>
      <c r="B28" s="66"/>
      <c r="C28" s="66"/>
      <c r="D28" s="66"/>
      <c r="E28" s="66"/>
      <c r="F28" s="66"/>
      <c r="G28" s="66"/>
      <c r="H28" s="66"/>
      <c r="I28" s="66"/>
      <c r="J28" s="66"/>
      <c r="K28" s="66"/>
      <c r="L28" s="66"/>
      <c r="M28" s="66"/>
      <c r="N28" s="66"/>
      <c r="O28" s="66"/>
      <c r="P28" s="66"/>
      <c r="Q28" s="66"/>
      <c r="R28" s="66"/>
      <c r="S28" s="66"/>
      <c r="T28" s="66"/>
      <c r="U28" s="66"/>
      <c r="V28" s="66"/>
      <c r="W28" s="66"/>
      <c r="X28" s="66"/>
      <c r="Y28" s="66"/>
      <c r="Z28" s="66"/>
      <c r="AA28" s="66"/>
      <c r="AB28" s="66"/>
      <c r="AC28" s="66"/>
      <c r="AD28" s="66"/>
      <c r="AE28" s="66"/>
      <c r="AF28" s="66"/>
      <c r="AG28" s="66"/>
      <c r="AH28" s="66"/>
      <c r="AI28" s="66"/>
      <c r="AJ28" s="66"/>
      <c r="AK28" s="66"/>
    </row>
    <row r="29" spans="1:37" x14ac:dyDescent="0.25">
      <c r="A29" s="66"/>
      <c r="B29" s="66"/>
      <c r="C29" s="66"/>
      <c r="D29" s="66"/>
      <c r="E29" s="66"/>
      <c r="F29" s="66"/>
      <c r="G29" s="66"/>
      <c r="H29" s="66"/>
      <c r="I29" s="66"/>
      <c r="J29" s="66"/>
      <c r="K29" s="66"/>
      <c r="L29" s="66"/>
      <c r="M29" s="66"/>
      <c r="N29" s="66"/>
      <c r="O29" s="66"/>
      <c r="P29" s="66"/>
      <c r="Q29" s="66"/>
      <c r="R29" s="66"/>
      <c r="S29" s="66"/>
      <c r="T29" s="66"/>
      <c r="U29" s="66"/>
      <c r="V29" s="66"/>
      <c r="W29" s="66"/>
      <c r="X29" s="66"/>
      <c r="Y29" s="66"/>
      <c r="Z29" s="66"/>
      <c r="AA29" s="66"/>
      <c r="AB29" s="66"/>
      <c r="AC29" s="66"/>
      <c r="AD29" s="66"/>
      <c r="AE29" s="66"/>
      <c r="AF29" s="66"/>
      <c r="AG29" s="66"/>
      <c r="AH29" s="66"/>
      <c r="AI29" s="66"/>
      <c r="AJ29" s="66"/>
      <c r="AK29" s="66"/>
    </row>
    <row r="30" spans="1:37" x14ac:dyDescent="0.25">
      <c r="A30" s="66"/>
      <c r="B30" s="66"/>
      <c r="C30" s="66"/>
      <c r="D30" s="66"/>
      <c r="E30" s="66"/>
      <c r="F30" s="66"/>
      <c r="G30" s="66"/>
      <c r="H30" s="66"/>
      <c r="I30" s="66"/>
      <c r="J30" s="66"/>
      <c r="K30" s="66"/>
      <c r="L30" s="66"/>
      <c r="M30" s="66"/>
      <c r="N30" s="66"/>
      <c r="O30" s="66"/>
      <c r="P30" s="66"/>
      <c r="Q30" s="66"/>
      <c r="R30" s="66"/>
      <c r="S30" s="66"/>
      <c r="T30" s="66"/>
      <c r="U30" s="66"/>
      <c r="V30" s="66"/>
      <c r="W30" s="66"/>
      <c r="X30" s="66"/>
      <c r="Y30" s="66"/>
      <c r="Z30" s="66"/>
      <c r="AA30" s="66"/>
      <c r="AB30" s="66"/>
      <c r="AC30" s="66"/>
      <c r="AD30" s="66"/>
      <c r="AE30" s="66"/>
      <c r="AF30" s="66"/>
      <c r="AG30" s="66"/>
      <c r="AH30" s="66"/>
      <c r="AI30" s="66"/>
      <c r="AJ30" s="66"/>
      <c r="AK30" s="66"/>
    </row>
    <row r="31" spans="1:37" x14ac:dyDescent="0.25">
      <c r="A31" s="66"/>
      <c r="B31" s="66"/>
      <c r="C31" s="66"/>
      <c r="D31" s="66"/>
      <c r="E31" s="66"/>
      <c r="F31" s="66"/>
      <c r="G31" s="66"/>
      <c r="H31" s="66"/>
      <c r="I31" s="66"/>
      <c r="J31" s="66"/>
      <c r="K31" s="66"/>
      <c r="L31" s="66"/>
      <c r="M31" s="66"/>
      <c r="N31" s="66"/>
      <c r="O31" s="66"/>
      <c r="P31" s="66"/>
      <c r="Q31" s="66"/>
      <c r="R31" s="66"/>
      <c r="S31" s="66"/>
      <c r="T31" s="66"/>
      <c r="U31" s="66"/>
      <c r="V31" s="66"/>
      <c r="W31" s="66"/>
      <c r="X31" s="66"/>
      <c r="Y31" s="66"/>
      <c r="Z31" s="66"/>
      <c r="AA31" s="66"/>
      <c r="AB31" s="66"/>
      <c r="AC31" s="66"/>
      <c r="AD31" s="66"/>
      <c r="AE31" s="66"/>
      <c r="AF31" s="66"/>
      <c r="AG31" s="66"/>
      <c r="AH31" s="66"/>
      <c r="AI31" s="66"/>
      <c r="AJ31" s="66"/>
      <c r="AK31" s="66"/>
    </row>
    <row r="32" spans="1:37" x14ac:dyDescent="0.25">
      <c r="A32" s="66"/>
      <c r="B32" s="66"/>
      <c r="C32" s="66"/>
      <c r="D32" s="66"/>
      <c r="E32" s="66"/>
      <c r="F32" s="66"/>
      <c r="G32" s="66"/>
      <c r="H32" s="66"/>
      <c r="I32" s="66"/>
      <c r="J32" s="66"/>
      <c r="K32" s="66"/>
      <c r="L32" s="66"/>
      <c r="M32" s="66"/>
      <c r="N32" s="66"/>
      <c r="O32" s="66"/>
      <c r="P32" s="66"/>
      <c r="Q32" s="66"/>
      <c r="R32" s="66"/>
      <c r="S32" s="66"/>
      <c r="T32" s="66"/>
      <c r="U32" s="66"/>
      <c r="V32" s="66"/>
      <c r="W32" s="66"/>
      <c r="X32" s="66"/>
      <c r="Y32" s="66"/>
      <c r="Z32" s="66"/>
      <c r="AA32" s="66"/>
      <c r="AB32" s="66"/>
      <c r="AC32" s="66"/>
      <c r="AD32" s="66"/>
      <c r="AE32" s="66"/>
      <c r="AF32" s="66"/>
      <c r="AG32" s="66"/>
      <c r="AH32" s="66"/>
      <c r="AI32" s="66"/>
      <c r="AJ32" s="66"/>
      <c r="AK32" s="66"/>
    </row>
    <row r="33" spans="1:31" x14ac:dyDescent="0.25">
      <c r="A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row>
    <row r="34" spans="1:31" x14ac:dyDescent="0.25">
      <c r="A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row>
    <row r="35" spans="1:31" x14ac:dyDescent="0.25">
      <c r="A35" s="66"/>
    </row>
    <row r="36" spans="1:31" x14ac:dyDescent="0.25">
      <c r="A36" s="66"/>
    </row>
    <row r="37" spans="1:31" x14ac:dyDescent="0.25">
      <c r="A37" s="66"/>
    </row>
    <row r="38" spans="1:31" x14ac:dyDescent="0.25">
      <c r="A38" s="66"/>
    </row>
    <row r="39" spans="1:31" x14ac:dyDescent="0.25">
      <c r="A39" s="66"/>
    </row>
    <row r="40" spans="1:31" x14ac:dyDescent="0.25">
      <c r="A40" s="66"/>
    </row>
    <row r="41" spans="1:31" x14ac:dyDescent="0.25">
      <c r="A41" s="66"/>
    </row>
    <row r="42" spans="1:31" x14ac:dyDescent="0.25">
      <c r="A42" s="66"/>
    </row>
    <row r="43" spans="1:31" x14ac:dyDescent="0.25">
      <c r="A43" s="66"/>
    </row>
    <row r="44" spans="1:31" x14ac:dyDescent="0.25">
      <c r="A44" s="66"/>
    </row>
    <row r="45" spans="1:31" x14ac:dyDescent="0.25">
      <c r="A45" s="66"/>
    </row>
    <row r="46" spans="1:31" x14ac:dyDescent="0.25">
      <c r="A46" s="66"/>
    </row>
    <row r="47" spans="1:31" x14ac:dyDescent="0.25">
      <c r="A47" s="66"/>
    </row>
    <row r="48" spans="1:31" x14ac:dyDescent="0.25">
      <c r="A48" s="66"/>
    </row>
    <row r="49" spans="1:1" x14ac:dyDescent="0.25">
      <c r="A49" s="66"/>
    </row>
    <row r="50" spans="1:1" x14ac:dyDescent="0.25">
      <c r="A50" s="66"/>
    </row>
    <row r="51" spans="1:1" x14ac:dyDescent="0.25">
      <c r="A51" s="66"/>
    </row>
    <row r="52" spans="1:1" x14ac:dyDescent="0.25">
      <c r="A52" s="66"/>
    </row>
    <row r="53" spans="1:1" x14ac:dyDescent="0.25">
      <c r="A53" s="66"/>
    </row>
    <row r="54" spans="1:1" x14ac:dyDescent="0.25">
      <c r="A54" s="66"/>
    </row>
    <row r="55" spans="1:1" x14ac:dyDescent="0.25">
      <c r="A55" s="66"/>
    </row>
  </sheetData>
  <mergeCells count="1">
    <mergeCell ref="B1:D1"/>
  </mergeCell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B3:AX19"/>
  <sheetViews>
    <sheetView zoomScaleNormal="100" workbookViewId="0">
      <pane xSplit="4" ySplit="2" topLeftCell="E3" activePane="bottomRight" state="frozen"/>
      <selection pane="topRight" activeCell="E1" sqref="E1"/>
      <selection pane="bottomLeft" activeCell="A3" sqref="A3"/>
      <selection pane="bottomRight" activeCell="I18" sqref="I18"/>
    </sheetView>
  </sheetViews>
  <sheetFormatPr baseColWidth="10" defaultColWidth="11.42578125" defaultRowHeight="14.25" x14ac:dyDescent="0.2"/>
  <cols>
    <col min="1" max="1" width="11.42578125" style="250"/>
    <col min="2" max="2" width="18" style="251" customWidth="1"/>
    <col min="3" max="3" width="17.7109375" style="251" customWidth="1"/>
    <col min="4" max="4" width="46.7109375" style="251" customWidth="1"/>
    <col min="5" max="49" width="11.42578125" style="250"/>
    <col min="50" max="50" width="15.42578125" style="250" customWidth="1"/>
    <col min="51" max="16384" width="11.42578125" style="250"/>
  </cols>
  <sheetData>
    <row r="3" spans="2:50" ht="17.25" customHeight="1" x14ac:dyDescent="0.2">
      <c r="B3" s="254" t="s">
        <v>649</v>
      </c>
      <c r="C3" s="254" t="s">
        <v>650</v>
      </c>
      <c r="D3" s="254" t="s">
        <v>651</v>
      </c>
      <c r="AX3" s="250" t="s">
        <v>652</v>
      </c>
    </row>
    <row r="4" spans="2:50" ht="36" x14ac:dyDescent="0.2">
      <c r="B4" s="255" t="s">
        <v>653</v>
      </c>
      <c r="C4" s="255" t="s">
        <v>654</v>
      </c>
      <c r="D4" s="253" t="s">
        <v>655</v>
      </c>
      <c r="AX4" s="250" t="s">
        <v>163</v>
      </c>
    </row>
    <row r="5" spans="2:50" ht="30" customHeight="1" x14ac:dyDescent="0.2">
      <c r="B5" s="255" t="s">
        <v>653</v>
      </c>
      <c r="C5" s="255" t="s">
        <v>656</v>
      </c>
      <c r="D5" s="253" t="s">
        <v>657</v>
      </c>
      <c r="AX5" s="250" t="s">
        <v>658</v>
      </c>
    </row>
    <row r="6" spans="2:50" ht="36" x14ac:dyDescent="0.2">
      <c r="B6" s="255" t="s">
        <v>653</v>
      </c>
      <c r="C6" s="255" t="s">
        <v>659</v>
      </c>
      <c r="D6" s="253" t="s">
        <v>660</v>
      </c>
    </row>
    <row r="7" spans="2:50" ht="36" x14ac:dyDescent="0.2">
      <c r="B7" s="255" t="s">
        <v>653</v>
      </c>
      <c r="C7" s="255" t="s">
        <v>661</v>
      </c>
      <c r="D7" s="253" t="s">
        <v>662</v>
      </c>
    </row>
    <row r="8" spans="2:50" ht="36" x14ac:dyDescent="0.2">
      <c r="B8" s="255" t="s">
        <v>653</v>
      </c>
      <c r="C8" s="255" t="s">
        <v>663</v>
      </c>
      <c r="D8" s="253" t="s">
        <v>664</v>
      </c>
    </row>
    <row r="9" spans="2:50" ht="36" x14ac:dyDescent="0.2">
      <c r="B9" s="255" t="s">
        <v>653</v>
      </c>
      <c r="C9" s="255" t="s">
        <v>161</v>
      </c>
      <c r="D9" s="253" t="s">
        <v>665</v>
      </c>
    </row>
    <row r="10" spans="2:50" ht="36" x14ac:dyDescent="0.2">
      <c r="B10" s="252" t="s">
        <v>163</v>
      </c>
      <c r="C10" s="252" t="s">
        <v>666</v>
      </c>
      <c r="D10" s="253" t="s">
        <v>667</v>
      </c>
    </row>
    <row r="11" spans="2:50" ht="96" x14ac:dyDescent="0.2">
      <c r="B11" s="252" t="s">
        <v>163</v>
      </c>
      <c r="C11" s="252" t="s">
        <v>668</v>
      </c>
      <c r="D11" s="253" t="s">
        <v>669</v>
      </c>
    </row>
    <row r="12" spans="2:50" ht="48" x14ac:dyDescent="0.2">
      <c r="B12" s="252" t="s">
        <v>163</v>
      </c>
      <c r="C12" s="252" t="s">
        <v>166</v>
      </c>
      <c r="D12" s="253" t="s">
        <v>670</v>
      </c>
    </row>
    <row r="13" spans="2:50" ht="60" x14ac:dyDescent="0.2">
      <c r="B13" s="252" t="s">
        <v>171</v>
      </c>
      <c r="C13" s="252" t="s">
        <v>172</v>
      </c>
      <c r="D13" s="253" t="s">
        <v>671</v>
      </c>
    </row>
    <row r="14" spans="2:50" ht="72" x14ac:dyDescent="0.2">
      <c r="B14" s="252" t="s">
        <v>171</v>
      </c>
      <c r="C14" s="252" t="s">
        <v>672</v>
      </c>
      <c r="D14" s="253" t="s">
        <v>673</v>
      </c>
    </row>
    <row r="15" spans="2:50" ht="48" x14ac:dyDescent="0.2">
      <c r="B15" s="252" t="s">
        <v>171</v>
      </c>
      <c r="C15" s="252" t="s">
        <v>674</v>
      </c>
      <c r="D15" s="253" t="s">
        <v>675</v>
      </c>
    </row>
    <row r="16" spans="2:50" ht="60" x14ac:dyDescent="0.2">
      <c r="B16" s="252" t="s">
        <v>171</v>
      </c>
      <c r="C16" s="252" t="s">
        <v>676</v>
      </c>
      <c r="D16" s="253" t="s">
        <v>677</v>
      </c>
    </row>
    <row r="17" spans="2:4" ht="36" x14ac:dyDescent="0.2">
      <c r="B17" s="252" t="s">
        <v>658</v>
      </c>
      <c r="C17" s="252" t="s">
        <v>678</v>
      </c>
      <c r="D17" s="253" t="s">
        <v>679</v>
      </c>
    </row>
    <row r="18" spans="2:4" ht="36" x14ac:dyDescent="0.2">
      <c r="B18" s="252" t="s">
        <v>658</v>
      </c>
      <c r="C18" s="252" t="s">
        <v>680</v>
      </c>
      <c r="D18" s="253" t="s">
        <v>681</v>
      </c>
    </row>
    <row r="19" spans="2:4" ht="60" x14ac:dyDescent="0.2">
      <c r="B19" s="252" t="s">
        <v>658</v>
      </c>
      <c r="C19" s="252" t="s">
        <v>682</v>
      </c>
      <c r="D19" s="253" t="s">
        <v>683</v>
      </c>
    </row>
  </sheetData>
  <pageMargins left="0.7" right="0.7" top="0.75" bottom="0.75" header="0.3" footer="0.3"/>
  <pageSetup paperSize="9" orientation="portrait" r:id="rId1"/>
  <tableParts count="1">
    <tablePart r:id="rId2"/>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0.249977111117893"/>
  </sheetPr>
  <dimension ref="C1:F48"/>
  <sheetViews>
    <sheetView zoomScale="110" zoomScaleNormal="110" workbookViewId="0">
      <selection activeCell="C14" sqref="C14"/>
    </sheetView>
  </sheetViews>
  <sheetFormatPr baseColWidth="10" defaultColWidth="11.42578125" defaultRowHeight="15" x14ac:dyDescent="0.25"/>
  <cols>
    <col min="1" max="1" width="3.7109375" customWidth="1"/>
    <col min="2" max="2" width="8.28515625" customWidth="1"/>
    <col min="3" max="3" width="27" customWidth="1"/>
    <col min="5" max="5" width="15" customWidth="1"/>
    <col min="6" max="6" width="33.42578125" customWidth="1"/>
  </cols>
  <sheetData>
    <row r="1" spans="3:6" ht="15.75" thickBot="1" x14ac:dyDescent="0.3">
      <c r="C1" s="163" t="s">
        <v>684</v>
      </c>
    </row>
    <row r="2" spans="3:6" ht="15.75" thickBot="1" x14ac:dyDescent="0.3">
      <c r="C2" s="161" t="s">
        <v>685</v>
      </c>
      <c r="E2" s="164" t="s">
        <v>180</v>
      </c>
      <c r="F2" s="165" t="s">
        <v>181</v>
      </c>
    </row>
    <row r="3" spans="3:6" ht="15.75" thickBot="1" x14ac:dyDescent="0.3">
      <c r="C3" s="161" t="s">
        <v>564</v>
      </c>
      <c r="E3" s="435" t="s">
        <v>179</v>
      </c>
      <c r="F3" s="152" t="s">
        <v>183</v>
      </c>
    </row>
    <row r="4" spans="3:6" ht="15.75" thickBot="1" x14ac:dyDescent="0.3">
      <c r="C4" s="161" t="s">
        <v>686</v>
      </c>
      <c r="E4" s="433"/>
      <c r="F4" s="152" t="s">
        <v>185</v>
      </c>
    </row>
    <row r="5" spans="3:6" ht="15.75" thickBot="1" x14ac:dyDescent="0.3">
      <c r="C5" s="161" t="s">
        <v>687</v>
      </c>
      <c r="E5" s="433"/>
      <c r="F5" s="152" t="s">
        <v>187</v>
      </c>
    </row>
    <row r="6" spans="3:6" ht="15.75" thickBot="1" x14ac:dyDescent="0.3">
      <c r="C6" s="161" t="s">
        <v>688</v>
      </c>
      <c r="E6" s="433"/>
      <c r="F6" s="152" t="s">
        <v>189</v>
      </c>
    </row>
    <row r="7" spans="3:6" ht="15.75" thickBot="1" x14ac:dyDescent="0.3">
      <c r="C7" s="162" t="s">
        <v>689</v>
      </c>
      <c r="E7" s="433"/>
      <c r="F7" s="152" t="s">
        <v>190</v>
      </c>
    </row>
    <row r="8" spans="3:6" ht="15.75" thickBot="1" x14ac:dyDescent="0.3">
      <c r="C8" s="161" t="s">
        <v>568</v>
      </c>
      <c r="E8" s="434"/>
      <c r="F8" s="152" t="s">
        <v>191</v>
      </c>
    </row>
    <row r="9" spans="3:6" ht="15.75" thickBot="1" x14ac:dyDescent="0.3">
      <c r="C9" s="161" t="s">
        <v>690</v>
      </c>
      <c r="E9" s="432" t="s">
        <v>188</v>
      </c>
      <c r="F9" s="152" t="s">
        <v>192</v>
      </c>
    </row>
    <row r="10" spans="3:6" ht="15.75" thickBot="1" x14ac:dyDescent="0.3">
      <c r="C10" s="160" t="s">
        <v>691</v>
      </c>
      <c r="E10" s="433"/>
      <c r="F10" s="152" t="s">
        <v>193</v>
      </c>
    </row>
    <row r="11" spans="3:6" ht="15.75" thickBot="1" x14ac:dyDescent="0.3">
      <c r="C11" s="226" t="s">
        <v>692</v>
      </c>
      <c r="E11" s="433"/>
      <c r="F11" s="152" t="s">
        <v>194</v>
      </c>
    </row>
    <row r="12" spans="3:6" ht="15.75" thickBot="1" x14ac:dyDescent="0.3">
      <c r="E12" s="433"/>
      <c r="F12" s="152" t="s">
        <v>195</v>
      </c>
    </row>
    <row r="13" spans="3:6" ht="15.75" thickBot="1" x14ac:dyDescent="0.3">
      <c r="E13" s="434"/>
      <c r="F13" s="152" t="s">
        <v>196</v>
      </c>
    </row>
    <row r="14" spans="3:6" ht="24.75" thickBot="1" x14ac:dyDescent="0.3">
      <c r="E14" s="432" t="s">
        <v>184</v>
      </c>
      <c r="F14" s="152" t="s">
        <v>197</v>
      </c>
    </row>
    <row r="15" spans="3:6" ht="15.75" thickBot="1" x14ac:dyDescent="0.3">
      <c r="E15" s="433"/>
      <c r="F15" s="152" t="s">
        <v>198</v>
      </c>
    </row>
    <row r="16" spans="3:6" ht="15.75" thickBot="1" x14ac:dyDescent="0.3">
      <c r="E16" s="434"/>
      <c r="F16" s="152" t="s">
        <v>199</v>
      </c>
    </row>
    <row r="17" spans="5:6" ht="15.75" thickBot="1" x14ac:dyDescent="0.3">
      <c r="E17" s="432" t="s">
        <v>186</v>
      </c>
      <c r="F17" s="152" t="s">
        <v>200</v>
      </c>
    </row>
    <row r="18" spans="5:6" ht="15.75" thickBot="1" x14ac:dyDescent="0.3">
      <c r="E18" s="433"/>
      <c r="F18" s="152" t="s">
        <v>201</v>
      </c>
    </row>
    <row r="19" spans="5:6" ht="15.75" thickBot="1" x14ac:dyDescent="0.3">
      <c r="E19" s="434"/>
      <c r="F19" s="152" t="s">
        <v>202</v>
      </c>
    </row>
    <row r="20" spans="5:6" ht="24.75" thickBot="1" x14ac:dyDescent="0.3">
      <c r="E20" s="432" t="s">
        <v>177</v>
      </c>
      <c r="F20" s="152" t="s">
        <v>203</v>
      </c>
    </row>
    <row r="21" spans="5:6" ht="15.75" thickBot="1" x14ac:dyDescent="0.3">
      <c r="E21" s="433"/>
      <c r="F21" s="152" t="s">
        <v>204</v>
      </c>
    </row>
    <row r="22" spans="5:6" ht="15.75" thickBot="1" x14ac:dyDescent="0.3">
      <c r="E22" s="433"/>
      <c r="F22" s="152" t="s">
        <v>205</v>
      </c>
    </row>
    <row r="23" spans="5:6" ht="15.75" thickBot="1" x14ac:dyDescent="0.3">
      <c r="E23" s="433"/>
      <c r="F23" s="152" t="s">
        <v>206</v>
      </c>
    </row>
    <row r="24" spans="5:6" ht="15.75" thickBot="1" x14ac:dyDescent="0.3">
      <c r="E24" s="433"/>
      <c r="F24" s="152" t="s">
        <v>207</v>
      </c>
    </row>
    <row r="25" spans="5:6" ht="24.75" thickBot="1" x14ac:dyDescent="0.3">
      <c r="E25" s="433"/>
      <c r="F25" s="152" t="s">
        <v>208</v>
      </c>
    </row>
    <row r="26" spans="5:6" ht="15.75" thickBot="1" x14ac:dyDescent="0.3">
      <c r="E26" s="433"/>
      <c r="F26" s="152" t="s">
        <v>209</v>
      </c>
    </row>
    <row r="27" spans="5:6" ht="24.75" thickBot="1" x14ac:dyDescent="0.3">
      <c r="E27" s="433"/>
      <c r="F27" s="152" t="s">
        <v>210</v>
      </c>
    </row>
    <row r="28" spans="5:6" ht="15.75" thickBot="1" x14ac:dyDescent="0.3">
      <c r="E28" s="433"/>
      <c r="F28" s="152" t="s">
        <v>211</v>
      </c>
    </row>
    <row r="29" spans="5:6" ht="15.75" thickBot="1" x14ac:dyDescent="0.3">
      <c r="E29" s="433"/>
      <c r="F29" s="152" t="s">
        <v>212</v>
      </c>
    </row>
    <row r="30" spans="5:6" ht="15.75" thickBot="1" x14ac:dyDescent="0.3">
      <c r="E30" s="434"/>
      <c r="F30" s="152" t="s">
        <v>213</v>
      </c>
    </row>
    <row r="31" spans="5:6" ht="15.75" thickBot="1" x14ac:dyDescent="0.3">
      <c r="E31" s="432" t="s">
        <v>182</v>
      </c>
      <c r="F31" s="152" t="s">
        <v>214</v>
      </c>
    </row>
    <row r="32" spans="5:6" ht="15.75" thickBot="1" x14ac:dyDescent="0.3">
      <c r="E32" s="433"/>
      <c r="F32" s="152" t="s">
        <v>215</v>
      </c>
    </row>
    <row r="33" spans="5:6" ht="15.75" thickBot="1" x14ac:dyDescent="0.3">
      <c r="E33" s="433"/>
      <c r="F33" s="152" t="s">
        <v>216</v>
      </c>
    </row>
    <row r="34" spans="5:6" ht="15.75" thickBot="1" x14ac:dyDescent="0.3">
      <c r="E34" s="433"/>
      <c r="F34" s="152" t="s">
        <v>217</v>
      </c>
    </row>
    <row r="35" spans="5:6" ht="24.75" thickBot="1" x14ac:dyDescent="0.3">
      <c r="E35" s="434"/>
      <c r="F35" s="152" t="s">
        <v>218</v>
      </c>
    </row>
    <row r="36" spans="5:6" ht="15.75" thickBot="1" x14ac:dyDescent="0.3">
      <c r="E36" s="432" t="s">
        <v>176</v>
      </c>
      <c r="F36" s="152" t="s">
        <v>219</v>
      </c>
    </row>
    <row r="37" spans="5:6" ht="15.75" thickBot="1" x14ac:dyDescent="0.3">
      <c r="E37" s="433"/>
      <c r="F37" s="152" t="s">
        <v>220</v>
      </c>
    </row>
    <row r="38" spans="5:6" ht="15.75" thickBot="1" x14ac:dyDescent="0.3">
      <c r="E38" s="433"/>
      <c r="F38" s="152" t="s">
        <v>221</v>
      </c>
    </row>
    <row r="39" spans="5:6" ht="15.75" thickBot="1" x14ac:dyDescent="0.3">
      <c r="E39" s="433"/>
      <c r="F39" s="152" t="s">
        <v>222</v>
      </c>
    </row>
    <row r="40" spans="5:6" ht="15.75" thickBot="1" x14ac:dyDescent="0.3">
      <c r="E40" s="434"/>
      <c r="F40" s="152" t="s">
        <v>223</v>
      </c>
    </row>
    <row r="41" spans="5:6" ht="15.75" thickBot="1" x14ac:dyDescent="0.3">
      <c r="E41" s="432" t="s">
        <v>178</v>
      </c>
      <c r="F41" s="152" t="s">
        <v>224</v>
      </c>
    </row>
    <row r="42" spans="5:6" ht="15.75" thickBot="1" x14ac:dyDescent="0.3">
      <c r="E42" s="433"/>
      <c r="F42" s="152" t="s">
        <v>225</v>
      </c>
    </row>
    <row r="43" spans="5:6" ht="15.75" thickBot="1" x14ac:dyDescent="0.3">
      <c r="E43" s="433"/>
      <c r="F43" s="152" t="s">
        <v>226</v>
      </c>
    </row>
    <row r="44" spans="5:6" ht="15.75" thickBot="1" x14ac:dyDescent="0.3">
      <c r="E44" s="433"/>
      <c r="F44" s="152" t="s">
        <v>227</v>
      </c>
    </row>
    <row r="45" spans="5:6" ht="24.75" thickBot="1" x14ac:dyDescent="0.3">
      <c r="E45" s="434"/>
      <c r="F45" s="152" t="s">
        <v>229</v>
      </c>
    </row>
    <row r="48" spans="5:6" ht="15" customHeight="1" x14ac:dyDescent="0.25"/>
  </sheetData>
  <mergeCells count="8">
    <mergeCell ref="E36:E40"/>
    <mergeCell ref="E41:E45"/>
    <mergeCell ref="E3:E8"/>
    <mergeCell ref="E9:E13"/>
    <mergeCell ref="E14:E16"/>
    <mergeCell ref="E17:E19"/>
    <mergeCell ref="E20:E30"/>
    <mergeCell ref="E31:E35"/>
  </mergeCells>
  <pageMargins left="0.7" right="0.7" top="0.75" bottom="0.75" header="0.3" footer="0.3"/>
  <pageSetup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election activeCell="AA44" sqref="AA44"/>
    </sheetView>
  </sheetViews>
  <sheetFormatPr baseColWidth="10" defaultColWidth="11.42578125" defaultRowHeight="15" x14ac:dyDescent="0.25"/>
  <cols>
    <col min="27" max="27" width="36" customWidth="1"/>
  </cols>
  <sheetData/>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7" tint="-0.249977111117893"/>
  </sheetPr>
  <dimension ref="B1:F16"/>
  <sheetViews>
    <sheetView topLeftCell="A8" workbookViewId="0">
      <selection activeCell="B1" sqref="B1:F1"/>
    </sheetView>
  </sheetViews>
  <sheetFormatPr baseColWidth="10" defaultColWidth="14.28515625" defaultRowHeight="12.75" x14ac:dyDescent="0.2"/>
  <cols>
    <col min="1" max="2" width="14.28515625" style="71"/>
    <col min="3" max="3" width="17" style="71" customWidth="1"/>
    <col min="4" max="4" width="14.28515625" style="71"/>
    <col min="5" max="5" width="46" style="71" customWidth="1"/>
    <col min="6" max="16384" width="14.28515625" style="71"/>
  </cols>
  <sheetData>
    <row r="1" spans="2:6" ht="24" customHeight="1" thickBot="1" x14ac:dyDescent="0.25">
      <c r="B1" s="758" t="s">
        <v>693</v>
      </c>
      <c r="C1" s="759"/>
      <c r="D1" s="759"/>
      <c r="E1" s="759"/>
      <c r="F1" s="760"/>
    </row>
    <row r="2" spans="2:6" ht="16.5" thickBot="1" x14ac:dyDescent="0.3">
      <c r="B2" s="72"/>
      <c r="C2" s="72"/>
      <c r="D2" s="72"/>
      <c r="E2" s="72"/>
      <c r="F2" s="72"/>
    </row>
    <row r="3" spans="2:6" ht="16.5" thickBot="1" x14ac:dyDescent="0.25">
      <c r="B3" s="762" t="s">
        <v>694</v>
      </c>
      <c r="C3" s="763"/>
      <c r="D3" s="763"/>
      <c r="E3" s="84" t="s">
        <v>695</v>
      </c>
      <c r="F3" s="85" t="s">
        <v>696</v>
      </c>
    </row>
    <row r="4" spans="2:6" ht="31.5" x14ac:dyDescent="0.2">
      <c r="B4" s="764" t="s">
        <v>697</v>
      </c>
      <c r="C4" s="766" t="s">
        <v>467</v>
      </c>
      <c r="D4" s="73" t="s">
        <v>475</v>
      </c>
      <c r="E4" s="74" t="s">
        <v>698</v>
      </c>
      <c r="F4" s="75">
        <v>0.25</v>
      </c>
    </row>
    <row r="5" spans="2:6" ht="47.25" x14ac:dyDescent="0.2">
      <c r="B5" s="765"/>
      <c r="C5" s="767"/>
      <c r="D5" s="76" t="s">
        <v>480</v>
      </c>
      <c r="E5" s="77" t="s">
        <v>699</v>
      </c>
      <c r="F5" s="78">
        <v>0.15</v>
      </c>
    </row>
    <row r="6" spans="2:6" ht="47.25" x14ac:dyDescent="0.2">
      <c r="B6" s="765"/>
      <c r="C6" s="767"/>
      <c r="D6" s="76" t="s">
        <v>567</v>
      </c>
      <c r="E6" s="77" t="s">
        <v>700</v>
      </c>
      <c r="F6" s="78">
        <v>0.1</v>
      </c>
    </row>
    <row r="7" spans="2:6" ht="63" x14ac:dyDescent="0.2">
      <c r="B7" s="765"/>
      <c r="C7" s="767" t="s">
        <v>468</v>
      </c>
      <c r="D7" s="76" t="s">
        <v>505</v>
      </c>
      <c r="E7" s="77" t="s">
        <v>701</v>
      </c>
      <c r="F7" s="78">
        <v>0.25</v>
      </c>
    </row>
    <row r="8" spans="2:6" ht="31.5" x14ac:dyDescent="0.2">
      <c r="B8" s="765"/>
      <c r="C8" s="767"/>
      <c r="D8" s="76" t="s">
        <v>476</v>
      </c>
      <c r="E8" s="77" t="s">
        <v>702</v>
      </c>
      <c r="F8" s="78">
        <v>0.15</v>
      </c>
    </row>
    <row r="9" spans="2:6" ht="47.25" x14ac:dyDescent="0.2">
      <c r="B9" s="765" t="s">
        <v>703</v>
      </c>
      <c r="C9" s="767" t="s">
        <v>470</v>
      </c>
      <c r="D9" s="76" t="s">
        <v>477</v>
      </c>
      <c r="E9" s="77" t="s">
        <v>704</v>
      </c>
      <c r="F9" s="79" t="s">
        <v>705</v>
      </c>
    </row>
    <row r="10" spans="2:6" ht="63" x14ac:dyDescent="0.2">
      <c r="B10" s="765"/>
      <c r="C10" s="767"/>
      <c r="D10" s="76" t="s">
        <v>506</v>
      </c>
      <c r="E10" s="77" t="s">
        <v>706</v>
      </c>
      <c r="F10" s="79" t="s">
        <v>705</v>
      </c>
    </row>
    <row r="11" spans="2:6" ht="47.25" x14ac:dyDescent="0.2">
      <c r="B11" s="765"/>
      <c r="C11" s="767" t="s">
        <v>471</v>
      </c>
      <c r="D11" s="76" t="s">
        <v>478</v>
      </c>
      <c r="E11" s="77" t="s">
        <v>707</v>
      </c>
      <c r="F11" s="79" t="s">
        <v>705</v>
      </c>
    </row>
    <row r="12" spans="2:6" ht="47.25" x14ac:dyDescent="0.2">
      <c r="B12" s="765"/>
      <c r="C12" s="767"/>
      <c r="D12" s="76" t="s">
        <v>481</v>
      </c>
      <c r="E12" s="77" t="s">
        <v>708</v>
      </c>
      <c r="F12" s="79" t="s">
        <v>705</v>
      </c>
    </row>
    <row r="13" spans="2:6" ht="31.5" x14ac:dyDescent="0.2">
      <c r="B13" s="765"/>
      <c r="C13" s="767" t="s">
        <v>472</v>
      </c>
      <c r="D13" s="76" t="s">
        <v>482</v>
      </c>
      <c r="E13" s="77" t="s">
        <v>709</v>
      </c>
      <c r="F13" s="79" t="s">
        <v>705</v>
      </c>
    </row>
    <row r="14" spans="2:6" ht="32.25" thickBot="1" x14ac:dyDescent="0.25">
      <c r="B14" s="768"/>
      <c r="C14" s="769"/>
      <c r="D14" s="80" t="s">
        <v>479</v>
      </c>
      <c r="E14" s="81" t="s">
        <v>710</v>
      </c>
      <c r="F14" s="82" t="s">
        <v>705</v>
      </c>
    </row>
    <row r="15" spans="2:6" ht="49.5" customHeight="1" x14ac:dyDescent="0.2">
      <c r="B15" s="761" t="s">
        <v>711</v>
      </c>
      <c r="C15" s="761"/>
      <c r="D15" s="761"/>
      <c r="E15" s="761"/>
      <c r="F15" s="761"/>
    </row>
    <row r="16" spans="2:6" ht="27" customHeight="1" x14ac:dyDescent="0.25">
      <c r="B16" s="83"/>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3:A21"/>
  <sheetViews>
    <sheetView workbookViewId="0">
      <selection activeCell="A19" sqref="A19"/>
    </sheetView>
  </sheetViews>
  <sheetFormatPr baseColWidth="10" defaultColWidth="11.42578125" defaultRowHeight="12.75" x14ac:dyDescent="0.2"/>
  <cols>
    <col min="1" max="1" width="32.7109375" style="1" customWidth="1"/>
    <col min="2" max="16384" width="11.42578125" style="1"/>
  </cols>
  <sheetData>
    <row r="3" spans="1:1" x14ac:dyDescent="0.2">
      <c r="A3" s="2" t="s">
        <v>475</v>
      </c>
    </row>
    <row r="4" spans="1:1" x14ac:dyDescent="0.2">
      <c r="A4" s="2" t="s">
        <v>480</v>
      </c>
    </row>
    <row r="5" spans="1:1" x14ac:dyDescent="0.2">
      <c r="A5" s="2" t="s">
        <v>567</v>
      </c>
    </row>
    <row r="6" spans="1:1" x14ac:dyDescent="0.2">
      <c r="A6" s="2" t="s">
        <v>505</v>
      </c>
    </row>
    <row r="7" spans="1:1" x14ac:dyDescent="0.2">
      <c r="A7" s="2" t="s">
        <v>476</v>
      </c>
    </row>
    <row r="8" spans="1:1" x14ac:dyDescent="0.2">
      <c r="A8" s="2" t="s">
        <v>477</v>
      </c>
    </row>
    <row r="9" spans="1:1" x14ac:dyDescent="0.2">
      <c r="A9" s="2" t="s">
        <v>506</v>
      </c>
    </row>
    <row r="10" spans="1:1" x14ac:dyDescent="0.2">
      <c r="A10" s="2" t="s">
        <v>478</v>
      </c>
    </row>
    <row r="11" spans="1:1" x14ac:dyDescent="0.2">
      <c r="A11" s="2" t="s">
        <v>481</v>
      </c>
    </row>
    <row r="12" spans="1:1" x14ac:dyDescent="0.2">
      <c r="A12" s="2" t="s">
        <v>712</v>
      </c>
    </row>
    <row r="13" spans="1:1" x14ac:dyDescent="0.2">
      <c r="A13" s="2" t="s">
        <v>713</v>
      </c>
    </row>
    <row r="14" spans="1:1" x14ac:dyDescent="0.2">
      <c r="A14" s="2" t="s">
        <v>714</v>
      </c>
    </row>
    <row r="16" spans="1:1" x14ac:dyDescent="0.2">
      <c r="A16" s="2" t="s">
        <v>715</v>
      </c>
    </row>
    <row r="17" spans="1:1" x14ac:dyDescent="0.2">
      <c r="A17" s="2" t="s">
        <v>116</v>
      </c>
    </row>
    <row r="18" spans="1:1" x14ac:dyDescent="0.2">
      <c r="A18" s="2" t="s">
        <v>120</v>
      </c>
    </row>
    <row r="20" spans="1:1" x14ac:dyDescent="0.2">
      <c r="A20" s="2" t="s">
        <v>142</v>
      </c>
    </row>
    <row r="21" spans="1:1" x14ac:dyDescent="0.2">
      <c r="A21" s="2" t="s">
        <v>145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9"/>
  <sheetViews>
    <sheetView topLeftCell="B1" zoomScale="50" zoomScaleNormal="50" workbookViewId="0">
      <selection activeCell="I4" sqref="I4"/>
    </sheetView>
  </sheetViews>
  <sheetFormatPr baseColWidth="10" defaultColWidth="11.42578125" defaultRowHeight="26.25" x14ac:dyDescent="0.35"/>
  <cols>
    <col min="1" max="1" width="11.7109375" style="116" customWidth="1"/>
    <col min="2" max="2" width="7.42578125" style="117" customWidth="1"/>
    <col min="3" max="3" width="36.7109375" style="118" customWidth="1"/>
    <col min="4" max="4" width="150" style="144" customWidth="1"/>
    <col min="5" max="5" width="168" style="118" customWidth="1"/>
    <col min="6" max="6" width="51.7109375" style="116" customWidth="1"/>
    <col min="7" max="16384" width="11.42578125" style="116"/>
  </cols>
  <sheetData>
    <row r="1" spans="1:6" x14ac:dyDescent="0.35">
      <c r="D1" s="119"/>
      <c r="E1" s="120"/>
    </row>
    <row r="2" spans="1:6" ht="40.5" customHeight="1" thickBot="1" x14ac:dyDescent="0.3">
      <c r="A2" s="121"/>
      <c r="B2" s="425" t="s">
        <v>86</v>
      </c>
      <c r="C2" s="425"/>
      <c r="D2" s="425"/>
      <c r="E2" s="426"/>
      <c r="F2" s="430" t="s">
        <v>87</v>
      </c>
    </row>
    <row r="3" spans="1:6" s="126" customFormat="1" ht="40.5" customHeight="1" thickBot="1" x14ac:dyDescent="0.4">
      <c r="A3" s="122"/>
      <c r="B3" s="427" t="s">
        <v>88</v>
      </c>
      <c r="C3" s="123" t="s">
        <v>89</v>
      </c>
      <c r="D3" s="124" t="s">
        <v>90</v>
      </c>
      <c r="E3" s="125" t="s">
        <v>91</v>
      </c>
      <c r="F3" s="431"/>
    </row>
    <row r="4" spans="1:6" s="126" customFormat="1" ht="228.75" customHeight="1" thickBot="1" x14ac:dyDescent="0.4">
      <c r="A4" s="122"/>
      <c r="B4" s="428"/>
      <c r="C4" s="127" t="s">
        <v>92</v>
      </c>
      <c r="D4" s="128" t="s">
        <v>93</v>
      </c>
      <c r="E4" s="153" t="s">
        <v>94</v>
      </c>
      <c r="F4" s="158" t="s">
        <v>95</v>
      </c>
    </row>
    <row r="5" spans="1:6" s="126" customFormat="1" ht="289.5" thickBot="1" x14ac:dyDescent="0.4">
      <c r="A5" s="122"/>
      <c r="B5" s="428"/>
      <c r="C5" s="129" t="s">
        <v>96</v>
      </c>
      <c r="D5" s="130" t="s">
        <v>97</v>
      </c>
      <c r="E5" s="154" t="s">
        <v>98</v>
      </c>
      <c r="F5" s="157" t="s">
        <v>99</v>
      </c>
    </row>
    <row r="6" spans="1:6" s="126" customFormat="1" ht="237" thickBot="1" x14ac:dyDescent="0.4">
      <c r="A6" s="122"/>
      <c r="B6" s="428"/>
      <c r="C6" s="131" t="s">
        <v>100</v>
      </c>
      <c r="D6" s="132" t="s">
        <v>101</v>
      </c>
      <c r="E6" s="155" t="s">
        <v>102</v>
      </c>
      <c r="F6" s="157"/>
    </row>
    <row r="7" spans="1:6" s="126" customFormat="1" ht="154.5" customHeight="1" thickBot="1" x14ac:dyDescent="0.4">
      <c r="A7" s="122"/>
      <c r="B7" s="428"/>
      <c r="C7" s="133" t="s">
        <v>103</v>
      </c>
      <c r="D7" s="134"/>
      <c r="E7" s="154"/>
      <c r="F7" s="157"/>
    </row>
    <row r="8" spans="1:6" s="126" customFormat="1" ht="157.5" thickBot="1" x14ac:dyDescent="0.4">
      <c r="A8" s="122"/>
      <c r="B8" s="428"/>
      <c r="C8" s="135" t="s">
        <v>104</v>
      </c>
      <c r="D8" s="132" t="s">
        <v>105</v>
      </c>
      <c r="E8" s="156" t="s">
        <v>106</v>
      </c>
      <c r="F8" s="157"/>
    </row>
    <row r="9" spans="1:6" s="126" customFormat="1" ht="143.25" thickBot="1" x14ac:dyDescent="0.4">
      <c r="A9" s="122"/>
      <c r="B9" s="428"/>
      <c r="C9" s="133" t="s">
        <v>107</v>
      </c>
      <c r="D9" s="130" t="s">
        <v>108</v>
      </c>
      <c r="E9" s="156" t="s">
        <v>109</v>
      </c>
      <c r="F9" s="157"/>
    </row>
    <row r="10" spans="1:6" s="138" customFormat="1" ht="263.25" thickBot="1" x14ac:dyDescent="0.4">
      <c r="A10" s="136"/>
      <c r="B10" s="428"/>
      <c r="C10" s="137" t="s">
        <v>110</v>
      </c>
      <c r="D10" s="130" t="s">
        <v>111</v>
      </c>
      <c r="E10" s="155" t="s">
        <v>112</v>
      </c>
      <c r="F10" s="159"/>
    </row>
    <row r="11" spans="1:6" s="138" customFormat="1" ht="28.5" thickBot="1" x14ac:dyDescent="0.4">
      <c r="A11" s="136"/>
      <c r="B11" s="429"/>
      <c r="C11" s="139"/>
      <c r="D11" s="140"/>
      <c r="E11" s="141"/>
    </row>
    <row r="12" spans="1:6" ht="27" x14ac:dyDescent="0.35">
      <c r="D12" s="142"/>
      <c r="E12" s="143"/>
    </row>
    <row r="17" spans="4:4" x14ac:dyDescent="0.35">
      <c r="D17" s="119"/>
    </row>
    <row r="18" spans="4:4" x14ac:dyDescent="0.35">
      <c r="D18" s="119"/>
    </row>
    <row r="19" spans="4:4" x14ac:dyDescent="0.35">
      <c r="D19" s="119"/>
    </row>
  </sheetData>
  <mergeCells count="3">
    <mergeCell ref="B2:E2"/>
    <mergeCell ref="B3:B11"/>
    <mergeCell ref="F2:F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M180"/>
  <sheetViews>
    <sheetView workbookViewId="0">
      <selection activeCell="G17" sqref="G17"/>
    </sheetView>
  </sheetViews>
  <sheetFormatPr baseColWidth="10" defaultColWidth="11.42578125" defaultRowHeight="15" x14ac:dyDescent="0.25"/>
  <cols>
    <col min="2" max="2" width="22.7109375" customWidth="1"/>
    <col min="6" max="6" width="17.28515625" customWidth="1"/>
    <col min="7" max="7" width="29.28515625" customWidth="1"/>
  </cols>
  <sheetData>
    <row r="2" spans="1:13" x14ac:dyDescent="0.25">
      <c r="E2" s="300" t="s">
        <v>113</v>
      </c>
      <c r="F2" s="300"/>
      <c r="G2" s="300"/>
    </row>
    <row r="3" spans="1:13" x14ac:dyDescent="0.25">
      <c r="E3" s="300" t="s">
        <v>114</v>
      </c>
      <c r="F3" s="300"/>
      <c r="G3" s="300"/>
      <c r="L3" s="296" t="s">
        <v>115</v>
      </c>
      <c r="M3" s="296"/>
    </row>
    <row r="4" spans="1:13" x14ac:dyDescent="0.25">
      <c r="B4" t="s">
        <v>116</v>
      </c>
      <c r="E4" s="297" t="s">
        <v>117</v>
      </c>
      <c r="F4" s="297"/>
      <c r="G4" s="297"/>
      <c r="H4" t="s">
        <v>118</v>
      </c>
      <c r="L4" t="s">
        <v>119</v>
      </c>
    </row>
    <row r="5" spans="1:13" x14ac:dyDescent="0.25">
      <c r="B5" t="s">
        <v>120</v>
      </c>
      <c r="E5" s="297" t="s">
        <v>121</v>
      </c>
      <c r="F5" s="297"/>
      <c r="G5" s="297"/>
      <c r="H5" t="s">
        <v>122</v>
      </c>
      <c r="L5" t="s">
        <v>123</v>
      </c>
    </row>
    <row r="6" spans="1:13" x14ac:dyDescent="0.25">
      <c r="B6" t="s">
        <v>124</v>
      </c>
      <c r="E6" s="297" t="s">
        <v>125</v>
      </c>
      <c r="F6" s="297"/>
      <c r="G6" s="297"/>
      <c r="H6" t="s">
        <v>126</v>
      </c>
      <c r="L6" t="s">
        <v>127</v>
      </c>
    </row>
    <row r="7" spans="1:13" x14ac:dyDescent="0.25">
      <c r="B7" t="s">
        <v>128</v>
      </c>
      <c r="E7" s="209" t="s">
        <v>129</v>
      </c>
      <c r="F7" s="209"/>
      <c r="G7" s="209"/>
      <c r="H7" t="s">
        <v>130</v>
      </c>
      <c r="L7" t="s">
        <v>131</v>
      </c>
    </row>
    <row r="8" spans="1:13" x14ac:dyDescent="0.25">
      <c r="E8" s="209" t="s">
        <v>132</v>
      </c>
      <c r="F8" s="209"/>
      <c r="G8" s="209"/>
      <c r="H8" t="s">
        <v>133</v>
      </c>
      <c r="L8" t="s">
        <v>134</v>
      </c>
    </row>
    <row r="9" spans="1:13" x14ac:dyDescent="0.25">
      <c r="E9" s="209" t="s">
        <v>135</v>
      </c>
      <c r="F9" s="209"/>
      <c r="G9" s="209"/>
      <c r="L9" t="s">
        <v>136</v>
      </c>
    </row>
    <row r="10" spans="1:13" x14ac:dyDescent="0.25">
      <c r="F10" t="s">
        <v>137</v>
      </c>
      <c r="H10" s="296" t="s">
        <v>138</v>
      </c>
    </row>
    <row r="11" spans="1:13" x14ac:dyDescent="0.25">
      <c r="B11" t="s">
        <v>139</v>
      </c>
      <c r="F11" t="s">
        <v>140</v>
      </c>
      <c r="H11" t="s">
        <v>141</v>
      </c>
    </row>
    <row r="12" spans="1:13" x14ac:dyDescent="0.25">
      <c r="B12" t="s">
        <v>142</v>
      </c>
      <c r="F12" t="s">
        <v>143</v>
      </c>
      <c r="H12" t="s">
        <v>144</v>
      </c>
    </row>
    <row r="13" spans="1:13" ht="15.75" thickBot="1" x14ac:dyDescent="0.3">
      <c r="B13" t="s">
        <v>145</v>
      </c>
      <c r="H13" t="s">
        <v>146</v>
      </c>
    </row>
    <row r="14" spans="1:13" ht="15.75" thickBot="1" x14ac:dyDescent="0.3">
      <c r="A14" s="214" t="s">
        <v>23</v>
      </c>
      <c r="B14" s="215"/>
      <c r="C14" s="216"/>
      <c r="D14" s="217"/>
      <c r="E14" s="204" t="s">
        <v>147</v>
      </c>
      <c r="H14" t="s">
        <v>148</v>
      </c>
    </row>
    <row r="15" spans="1:13" ht="15.75" thickBot="1" x14ac:dyDescent="0.3">
      <c r="A15" s="203" t="s">
        <v>149</v>
      </c>
      <c r="B15" s="298" t="s">
        <v>150</v>
      </c>
      <c r="D15" s="205"/>
      <c r="E15" s="204" t="s">
        <v>151</v>
      </c>
      <c r="H15" t="s">
        <v>152</v>
      </c>
    </row>
    <row r="16" spans="1:13" ht="15.75" thickBot="1" x14ac:dyDescent="0.3">
      <c r="A16" s="203"/>
      <c r="B16" s="298" t="s">
        <v>153</v>
      </c>
      <c r="D16" s="205"/>
      <c r="H16" t="s">
        <v>154</v>
      </c>
    </row>
    <row r="17" spans="1:8" ht="15.75" thickBot="1" x14ac:dyDescent="0.3">
      <c r="A17" s="203"/>
      <c r="B17" s="298" t="s">
        <v>155</v>
      </c>
      <c r="D17" s="205"/>
      <c r="H17" t="s">
        <v>156</v>
      </c>
    </row>
    <row r="18" spans="1:8" ht="15.75" thickBot="1" x14ac:dyDescent="0.3">
      <c r="A18" s="203"/>
      <c r="B18" s="298" t="s">
        <v>157</v>
      </c>
      <c r="D18" s="205"/>
      <c r="H18" t="s">
        <v>158</v>
      </c>
    </row>
    <row r="19" spans="1:8" ht="15.75" thickBot="1" x14ac:dyDescent="0.3">
      <c r="A19" s="203"/>
      <c r="B19" s="298" t="s">
        <v>159</v>
      </c>
      <c r="D19" s="205"/>
      <c r="H19" t="s">
        <v>160</v>
      </c>
    </row>
    <row r="20" spans="1:8" ht="15.75" thickBot="1" x14ac:dyDescent="0.3">
      <c r="A20" s="299" t="s">
        <v>161</v>
      </c>
      <c r="D20" s="205"/>
      <c r="H20" t="s">
        <v>162</v>
      </c>
    </row>
    <row r="21" spans="1:8" x14ac:dyDescent="0.25">
      <c r="A21" s="206" t="s">
        <v>163</v>
      </c>
      <c r="B21" s="207" t="s">
        <v>164</v>
      </c>
      <c r="D21" s="205"/>
      <c r="H21" t="s">
        <v>136</v>
      </c>
    </row>
    <row r="22" spans="1:8" x14ac:dyDescent="0.25">
      <c r="A22" s="206"/>
      <c r="B22" s="207" t="s">
        <v>165</v>
      </c>
      <c r="D22" s="205"/>
    </row>
    <row r="23" spans="1:8" x14ac:dyDescent="0.25">
      <c r="A23" s="206"/>
      <c r="B23" s="207" t="s">
        <v>166</v>
      </c>
      <c r="D23" s="205"/>
    </row>
    <row r="24" spans="1:8" x14ac:dyDescent="0.25">
      <c r="A24" s="257"/>
      <c r="D24" s="205"/>
    </row>
    <row r="25" spans="1:8" x14ac:dyDescent="0.25">
      <c r="A25" s="208" t="s">
        <v>167</v>
      </c>
      <c r="B25" s="209" t="s">
        <v>168</v>
      </c>
      <c r="D25" s="205"/>
    </row>
    <row r="26" spans="1:8" x14ac:dyDescent="0.25">
      <c r="A26" s="208"/>
      <c r="B26" s="209" t="s">
        <v>169</v>
      </c>
      <c r="D26" s="205"/>
    </row>
    <row r="27" spans="1:8" ht="15.75" thickBot="1" x14ac:dyDescent="0.3">
      <c r="A27" s="210"/>
      <c r="B27" s="211" t="s">
        <v>170</v>
      </c>
      <c r="C27" s="212"/>
      <c r="D27" s="213"/>
    </row>
    <row r="28" spans="1:8" x14ac:dyDescent="0.25">
      <c r="A28" s="256" t="s">
        <v>171</v>
      </c>
      <c r="B28" s="256" t="s">
        <v>172</v>
      </c>
    </row>
    <row r="29" spans="1:8" x14ac:dyDescent="0.25">
      <c r="A29" s="256"/>
      <c r="B29" s="256" t="s">
        <v>173</v>
      </c>
    </row>
    <row r="30" spans="1:8" x14ac:dyDescent="0.25">
      <c r="A30" s="256"/>
      <c r="B30" s="256" t="s">
        <v>174</v>
      </c>
    </row>
    <row r="31" spans="1:8" x14ac:dyDescent="0.25">
      <c r="A31" s="256"/>
      <c r="B31" s="256" t="s">
        <v>175</v>
      </c>
    </row>
    <row r="38" spans="2:7" x14ac:dyDescent="0.25">
      <c r="B38" t="s">
        <v>176</v>
      </c>
    </row>
    <row r="39" spans="2:7" x14ac:dyDescent="0.25">
      <c r="B39" t="s">
        <v>177</v>
      </c>
    </row>
    <row r="40" spans="2:7" ht="15.75" thickBot="1" x14ac:dyDescent="0.3">
      <c r="B40" t="s">
        <v>178</v>
      </c>
    </row>
    <row r="41" spans="2:7" ht="15.75" thickBot="1" x14ac:dyDescent="0.3">
      <c r="B41" t="s">
        <v>179</v>
      </c>
      <c r="F41" s="150" t="s">
        <v>180</v>
      </c>
      <c r="G41" s="151" t="s">
        <v>181</v>
      </c>
    </row>
    <row r="42" spans="2:7" ht="15.75" thickBot="1" x14ac:dyDescent="0.3">
      <c r="B42" t="s">
        <v>182</v>
      </c>
      <c r="F42" s="435" t="s">
        <v>179</v>
      </c>
      <c r="G42" s="152" t="s">
        <v>183</v>
      </c>
    </row>
    <row r="43" spans="2:7" ht="15.75" thickBot="1" x14ac:dyDescent="0.3">
      <c r="B43" t="s">
        <v>184</v>
      </c>
      <c r="F43" s="433"/>
      <c r="G43" s="152" t="s">
        <v>185</v>
      </c>
    </row>
    <row r="44" spans="2:7" ht="15.75" thickBot="1" x14ac:dyDescent="0.3">
      <c r="B44" t="s">
        <v>186</v>
      </c>
      <c r="F44" s="433"/>
      <c r="G44" s="152" t="s">
        <v>187</v>
      </c>
    </row>
    <row r="45" spans="2:7" ht="15.75" thickBot="1" x14ac:dyDescent="0.3">
      <c r="B45" t="s">
        <v>188</v>
      </c>
      <c r="F45" s="433"/>
      <c r="G45" s="152" t="s">
        <v>189</v>
      </c>
    </row>
    <row r="46" spans="2:7" ht="15.75" thickBot="1" x14ac:dyDescent="0.3">
      <c r="F46" s="433"/>
      <c r="G46" s="152" t="s">
        <v>190</v>
      </c>
    </row>
    <row r="47" spans="2:7" ht="15.75" thickBot="1" x14ac:dyDescent="0.3">
      <c r="F47" s="434"/>
      <c r="G47" s="152" t="s">
        <v>191</v>
      </c>
    </row>
    <row r="48" spans="2:7" ht="15.75" thickBot="1" x14ac:dyDescent="0.3">
      <c r="F48" s="432" t="s">
        <v>188</v>
      </c>
      <c r="G48" s="152" t="s">
        <v>192</v>
      </c>
    </row>
    <row r="49" spans="6:7" ht="15.75" thickBot="1" x14ac:dyDescent="0.3">
      <c r="F49" s="433"/>
      <c r="G49" s="152" t="s">
        <v>193</v>
      </c>
    </row>
    <row r="50" spans="6:7" ht="15.75" thickBot="1" x14ac:dyDescent="0.3">
      <c r="F50" s="433"/>
      <c r="G50" s="152" t="s">
        <v>194</v>
      </c>
    </row>
    <row r="51" spans="6:7" ht="21.75" customHeight="1" thickBot="1" x14ac:dyDescent="0.3">
      <c r="F51" s="433"/>
      <c r="G51" s="152" t="s">
        <v>195</v>
      </c>
    </row>
    <row r="52" spans="6:7" ht="15.75" thickBot="1" x14ac:dyDescent="0.3">
      <c r="F52" s="434"/>
      <c r="G52" s="152" t="s">
        <v>196</v>
      </c>
    </row>
    <row r="53" spans="6:7" ht="45.75" customHeight="1" thickBot="1" x14ac:dyDescent="0.3">
      <c r="F53" s="432" t="s">
        <v>184</v>
      </c>
      <c r="G53" s="152" t="s">
        <v>197</v>
      </c>
    </row>
    <row r="54" spans="6:7" ht="15.75" thickBot="1" x14ac:dyDescent="0.3">
      <c r="F54" s="433"/>
      <c r="G54" s="152" t="s">
        <v>198</v>
      </c>
    </row>
    <row r="55" spans="6:7" ht="30" customHeight="1" thickBot="1" x14ac:dyDescent="0.3">
      <c r="F55" s="434"/>
      <c r="G55" s="152" t="s">
        <v>199</v>
      </c>
    </row>
    <row r="56" spans="6:7" ht="15.75" thickBot="1" x14ac:dyDescent="0.3">
      <c r="F56" s="432" t="s">
        <v>186</v>
      </c>
      <c r="G56" s="152" t="s">
        <v>200</v>
      </c>
    </row>
    <row r="57" spans="6:7" ht="15.75" thickBot="1" x14ac:dyDescent="0.3">
      <c r="F57" s="433"/>
      <c r="G57" s="152" t="s">
        <v>201</v>
      </c>
    </row>
    <row r="58" spans="6:7" ht="15.75" thickBot="1" x14ac:dyDescent="0.3">
      <c r="F58" s="434"/>
      <c r="G58" s="152" t="s">
        <v>202</v>
      </c>
    </row>
    <row r="59" spans="6:7" ht="24.75" thickBot="1" x14ac:dyDescent="0.3">
      <c r="F59" s="432" t="s">
        <v>177</v>
      </c>
      <c r="G59" s="152" t="s">
        <v>203</v>
      </c>
    </row>
    <row r="60" spans="6:7" ht="15.75" thickBot="1" x14ac:dyDescent="0.3">
      <c r="F60" s="433"/>
      <c r="G60" s="152" t="s">
        <v>204</v>
      </c>
    </row>
    <row r="61" spans="6:7" ht="15.75" thickBot="1" x14ac:dyDescent="0.3">
      <c r="F61" s="433"/>
      <c r="G61" s="152" t="s">
        <v>205</v>
      </c>
    </row>
    <row r="62" spans="6:7" ht="15.75" thickBot="1" x14ac:dyDescent="0.3">
      <c r="F62" s="433"/>
      <c r="G62" s="152" t="s">
        <v>206</v>
      </c>
    </row>
    <row r="63" spans="6:7" ht="15.75" thickBot="1" x14ac:dyDescent="0.3">
      <c r="F63" s="433"/>
      <c r="G63" s="152" t="s">
        <v>207</v>
      </c>
    </row>
    <row r="64" spans="6:7" ht="24.75" thickBot="1" x14ac:dyDescent="0.3">
      <c r="F64" s="433"/>
      <c r="G64" s="152" t="s">
        <v>208</v>
      </c>
    </row>
    <row r="65" spans="6:7" ht="15.75" thickBot="1" x14ac:dyDescent="0.3">
      <c r="F65" s="433"/>
      <c r="G65" s="152" t="s">
        <v>209</v>
      </c>
    </row>
    <row r="66" spans="6:7" ht="24.75" thickBot="1" x14ac:dyDescent="0.3">
      <c r="F66" s="433"/>
      <c r="G66" s="152" t="s">
        <v>210</v>
      </c>
    </row>
    <row r="67" spans="6:7" ht="15.75" thickBot="1" x14ac:dyDescent="0.3">
      <c r="F67" s="433"/>
      <c r="G67" s="152" t="s">
        <v>211</v>
      </c>
    </row>
    <row r="68" spans="6:7" ht="15.75" thickBot="1" x14ac:dyDescent="0.3">
      <c r="F68" s="433"/>
      <c r="G68" s="152" t="s">
        <v>212</v>
      </c>
    </row>
    <row r="69" spans="6:7" ht="15.75" thickBot="1" x14ac:dyDescent="0.3">
      <c r="F69" s="434"/>
      <c r="G69" s="152" t="s">
        <v>213</v>
      </c>
    </row>
    <row r="70" spans="6:7" ht="15.75" thickBot="1" x14ac:dyDescent="0.3">
      <c r="F70" s="432" t="s">
        <v>182</v>
      </c>
      <c r="G70" s="152" t="s">
        <v>214</v>
      </c>
    </row>
    <row r="71" spans="6:7" ht="15.75" thickBot="1" x14ac:dyDescent="0.3">
      <c r="F71" s="433"/>
      <c r="G71" s="152" t="s">
        <v>215</v>
      </c>
    </row>
    <row r="72" spans="6:7" ht="24.75" thickBot="1" x14ac:dyDescent="0.3">
      <c r="F72" s="433"/>
      <c r="G72" s="152" t="s">
        <v>216</v>
      </c>
    </row>
    <row r="73" spans="6:7" ht="15.75" thickBot="1" x14ac:dyDescent="0.3">
      <c r="F73" s="433"/>
      <c r="G73" s="152" t="s">
        <v>217</v>
      </c>
    </row>
    <row r="74" spans="6:7" ht="36.75" thickBot="1" x14ac:dyDescent="0.3">
      <c r="F74" s="434"/>
      <c r="G74" s="152" t="s">
        <v>218</v>
      </c>
    </row>
    <row r="75" spans="6:7" ht="15.75" thickBot="1" x14ac:dyDescent="0.3">
      <c r="F75" s="432" t="s">
        <v>176</v>
      </c>
      <c r="G75" s="152" t="s">
        <v>219</v>
      </c>
    </row>
    <row r="76" spans="6:7" ht="15.75" thickBot="1" x14ac:dyDescent="0.3">
      <c r="F76" s="433"/>
      <c r="G76" s="152" t="s">
        <v>220</v>
      </c>
    </row>
    <row r="77" spans="6:7" ht="15.75" thickBot="1" x14ac:dyDescent="0.3">
      <c r="F77" s="433"/>
      <c r="G77" s="152" t="s">
        <v>221</v>
      </c>
    </row>
    <row r="78" spans="6:7" ht="15.75" thickBot="1" x14ac:dyDescent="0.3">
      <c r="F78" s="433"/>
      <c r="G78" s="152" t="s">
        <v>222</v>
      </c>
    </row>
    <row r="79" spans="6:7" ht="15.75" thickBot="1" x14ac:dyDescent="0.3">
      <c r="F79" s="434"/>
      <c r="G79" s="152" t="s">
        <v>223</v>
      </c>
    </row>
    <row r="80" spans="6:7" ht="15.75" thickBot="1" x14ac:dyDescent="0.3">
      <c r="F80" s="432" t="s">
        <v>178</v>
      </c>
      <c r="G80" s="152" t="s">
        <v>224</v>
      </c>
    </row>
    <row r="81" spans="1:7" ht="15.75" thickBot="1" x14ac:dyDescent="0.3">
      <c r="F81" s="433"/>
      <c r="G81" s="152" t="s">
        <v>225</v>
      </c>
    </row>
    <row r="82" spans="1:7" ht="15.75" thickBot="1" x14ac:dyDescent="0.3">
      <c r="F82" s="433"/>
      <c r="G82" s="152" t="s">
        <v>226</v>
      </c>
    </row>
    <row r="83" spans="1:7" ht="15.75" thickBot="1" x14ac:dyDescent="0.3">
      <c r="F83" s="433"/>
      <c r="G83" s="152" t="s">
        <v>227</v>
      </c>
    </row>
    <row r="84" spans="1:7" ht="45.75" thickBot="1" x14ac:dyDescent="0.3">
      <c r="A84" s="301" t="s">
        <v>228</v>
      </c>
      <c r="F84" s="434"/>
      <c r="G84" s="152" t="s">
        <v>229</v>
      </c>
    </row>
    <row r="85" spans="1:7" x14ac:dyDescent="0.25">
      <c r="A85" s="301"/>
    </row>
    <row r="86" spans="1:7" x14ac:dyDescent="0.25">
      <c r="A86" s="302"/>
      <c r="B86" s="303" t="s">
        <v>230</v>
      </c>
      <c r="C86" s="304">
        <v>0</v>
      </c>
    </row>
    <row r="87" spans="1:7" ht="45" x14ac:dyDescent="0.25">
      <c r="A87" s="349" t="s">
        <v>231</v>
      </c>
      <c r="B87" s="113" t="s">
        <v>232</v>
      </c>
      <c r="C87" s="304">
        <v>1</v>
      </c>
    </row>
    <row r="88" spans="1:7" ht="60" x14ac:dyDescent="0.25">
      <c r="A88" s="302" t="s">
        <v>233</v>
      </c>
      <c r="B88" s="115" t="s">
        <v>234</v>
      </c>
      <c r="C88" s="304">
        <v>2</v>
      </c>
    </row>
    <row r="89" spans="1:7" ht="30" x14ac:dyDescent="0.25">
      <c r="A89" s="302" t="s">
        <v>235</v>
      </c>
      <c r="B89" s="113" t="s">
        <v>236</v>
      </c>
      <c r="C89" s="304">
        <v>3</v>
      </c>
    </row>
    <row r="90" spans="1:7" ht="30" x14ac:dyDescent="0.25">
      <c r="A90" s="302" t="s">
        <v>237</v>
      </c>
      <c r="B90" s="113" t="s">
        <v>238</v>
      </c>
      <c r="C90" s="304">
        <v>4</v>
      </c>
    </row>
    <row r="91" spans="1:7" ht="30" x14ac:dyDescent="0.25">
      <c r="A91" s="302" t="s">
        <v>239</v>
      </c>
      <c r="B91" s="113" t="s">
        <v>240</v>
      </c>
      <c r="C91" s="304">
        <v>5</v>
      </c>
    </row>
    <row r="92" spans="1:7" ht="30" x14ac:dyDescent="0.25">
      <c r="A92" s="302" t="s">
        <v>241</v>
      </c>
      <c r="B92" s="113" t="s">
        <v>242</v>
      </c>
      <c r="C92" s="304">
        <v>6</v>
      </c>
    </row>
    <row r="93" spans="1:7" ht="30" x14ac:dyDescent="0.25">
      <c r="A93" s="302" t="s">
        <v>243</v>
      </c>
      <c r="B93" s="113" t="s">
        <v>244</v>
      </c>
      <c r="C93" s="304">
        <v>7</v>
      </c>
    </row>
    <row r="94" spans="1:7" ht="45" x14ac:dyDescent="0.25">
      <c r="A94" s="302" t="s">
        <v>245</v>
      </c>
      <c r="B94" s="113" t="s">
        <v>246</v>
      </c>
      <c r="C94" s="304">
        <v>8</v>
      </c>
    </row>
    <row r="95" spans="1:7" ht="45" x14ac:dyDescent="0.25">
      <c r="A95" s="302" t="s">
        <v>247</v>
      </c>
      <c r="B95" s="113" t="s">
        <v>248</v>
      </c>
      <c r="C95" s="304">
        <v>9</v>
      </c>
    </row>
    <row r="96" spans="1:7" ht="45" x14ac:dyDescent="0.25">
      <c r="A96" s="302" t="s">
        <v>249</v>
      </c>
      <c r="B96" s="113" t="s">
        <v>250</v>
      </c>
      <c r="C96" s="304">
        <v>10</v>
      </c>
    </row>
    <row r="97" spans="1:3" x14ac:dyDescent="0.25">
      <c r="A97" s="302" t="s">
        <v>251</v>
      </c>
      <c r="B97" s="113" t="s">
        <v>252</v>
      </c>
      <c r="C97" s="304">
        <v>11</v>
      </c>
    </row>
    <row r="98" spans="1:3" ht="30" x14ac:dyDescent="0.25">
      <c r="A98" s="302" t="s">
        <v>253</v>
      </c>
      <c r="B98" s="113" t="s">
        <v>254</v>
      </c>
      <c r="C98" s="304">
        <v>12</v>
      </c>
    </row>
    <row r="99" spans="1:3" ht="30" x14ac:dyDescent="0.25">
      <c r="A99" s="302" t="s">
        <v>255</v>
      </c>
      <c r="B99" s="113" t="s">
        <v>256</v>
      </c>
      <c r="C99" s="304">
        <v>13</v>
      </c>
    </row>
    <row r="100" spans="1:3" ht="30" x14ac:dyDescent="0.25">
      <c r="A100" s="302" t="s">
        <v>257</v>
      </c>
      <c r="B100" s="113" t="s">
        <v>258</v>
      </c>
      <c r="C100" s="304">
        <v>14</v>
      </c>
    </row>
    <row r="101" spans="1:3" x14ac:dyDescent="0.25">
      <c r="A101" s="302" t="s">
        <v>259</v>
      </c>
      <c r="B101" s="113" t="s">
        <v>260</v>
      </c>
      <c r="C101" s="304">
        <v>15</v>
      </c>
    </row>
    <row r="102" spans="1:3" x14ac:dyDescent="0.25">
      <c r="A102" s="302" t="s">
        <v>261</v>
      </c>
      <c r="B102" s="113" t="s">
        <v>262</v>
      </c>
      <c r="C102" s="304">
        <v>16</v>
      </c>
    </row>
    <row r="103" spans="1:3" ht="30" x14ac:dyDescent="0.25">
      <c r="A103" s="302" t="s">
        <v>263</v>
      </c>
      <c r="B103" s="113" t="s">
        <v>264</v>
      </c>
      <c r="C103" s="304">
        <v>17</v>
      </c>
    </row>
    <row r="104" spans="1:3" x14ac:dyDescent="0.25">
      <c r="A104" s="302" t="s">
        <v>265</v>
      </c>
      <c r="B104" s="113" t="s">
        <v>266</v>
      </c>
      <c r="C104" s="304">
        <v>18</v>
      </c>
    </row>
    <row r="105" spans="1:3" ht="60" x14ac:dyDescent="0.25">
      <c r="A105" s="302" t="s">
        <v>267</v>
      </c>
      <c r="B105" s="113" t="s">
        <v>268</v>
      </c>
      <c r="C105" s="304">
        <v>19</v>
      </c>
    </row>
    <row r="106" spans="1:3" ht="60" x14ac:dyDescent="0.25">
      <c r="A106" s="302" t="s">
        <v>269</v>
      </c>
      <c r="B106" s="113" t="s">
        <v>270</v>
      </c>
      <c r="C106" s="304">
        <v>20</v>
      </c>
    </row>
    <row r="107" spans="1:3" ht="90" x14ac:dyDescent="0.25">
      <c r="A107" s="302" t="s">
        <v>271</v>
      </c>
      <c r="B107" s="113" t="s">
        <v>272</v>
      </c>
      <c r="C107" s="304">
        <v>21</v>
      </c>
    </row>
    <row r="108" spans="1:3" ht="60" x14ac:dyDescent="0.25">
      <c r="A108" s="302" t="s">
        <v>273</v>
      </c>
      <c r="B108" s="113" t="s">
        <v>274</v>
      </c>
      <c r="C108" s="304">
        <v>22</v>
      </c>
    </row>
    <row r="109" spans="1:3" ht="45" x14ac:dyDescent="0.25">
      <c r="A109" s="302" t="s">
        <v>275</v>
      </c>
      <c r="B109" s="113" t="s">
        <v>276</v>
      </c>
      <c r="C109" s="304">
        <v>23</v>
      </c>
    </row>
    <row r="110" spans="1:3" ht="75" x14ac:dyDescent="0.25">
      <c r="A110" s="302" t="s">
        <v>277</v>
      </c>
      <c r="B110" s="113" t="s">
        <v>278</v>
      </c>
      <c r="C110" s="304">
        <v>24</v>
      </c>
    </row>
    <row r="111" spans="1:3" ht="60" x14ac:dyDescent="0.25">
      <c r="A111" s="302" t="s">
        <v>279</v>
      </c>
      <c r="B111" s="113" t="s">
        <v>280</v>
      </c>
      <c r="C111" s="304">
        <v>25</v>
      </c>
    </row>
    <row r="112" spans="1:3" ht="45" x14ac:dyDescent="0.25">
      <c r="A112" s="302" t="s">
        <v>281</v>
      </c>
      <c r="B112" s="113" t="s">
        <v>282</v>
      </c>
      <c r="C112" s="304">
        <v>26</v>
      </c>
    </row>
    <row r="113" spans="1:3" ht="45" x14ac:dyDescent="0.25">
      <c r="A113" s="302" t="s">
        <v>283</v>
      </c>
      <c r="B113" s="113" t="s">
        <v>284</v>
      </c>
      <c r="C113" s="304">
        <v>27</v>
      </c>
    </row>
    <row r="114" spans="1:3" ht="30" x14ac:dyDescent="0.25">
      <c r="A114" s="302" t="s">
        <v>285</v>
      </c>
      <c r="B114" s="113" t="s">
        <v>286</v>
      </c>
      <c r="C114" s="304">
        <v>28</v>
      </c>
    </row>
    <row r="115" spans="1:3" ht="45" x14ac:dyDescent="0.25">
      <c r="A115" s="302" t="s">
        <v>287</v>
      </c>
      <c r="B115" s="113" t="s">
        <v>288</v>
      </c>
      <c r="C115" s="304">
        <v>29</v>
      </c>
    </row>
    <row r="116" spans="1:3" ht="45" x14ac:dyDescent="0.25">
      <c r="A116" s="302" t="s">
        <v>289</v>
      </c>
      <c r="B116" s="113" t="s">
        <v>290</v>
      </c>
      <c r="C116" s="304">
        <v>30</v>
      </c>
    </row>
    <row r="117" spans="1:3" ht="45" x14ac:dyDescent="0.25">
      <c r="A117" s="302" t="s">
        <v>291</v>
      </c>
      <c r="B117" s="113" t="s">
        <v>292</v>
      </c>
      <c r="C117" s="304">
        <v>31</v>
      </c>
    </row>
    <row r="118" spans="1:3" ht="30" x14ac:dyDescent="0.25">
      <c r="A118" s="302" t="s">
        <v>293</v>
      </c>
      <c r="B118" s="113" t="s">
        <v>294</v>
      </c>
      <c r="C118" s="304">
        <v>32</v>
      </c>
    </row>
    <row r="119" spans="1:3" x14ac:dyDescent="0.25">
      <c r="A119" s="302" t="s">
        <v>295</v>
      </c>
      <c r="B119" s="113" t="s">
        <v>296</v>
      </c>
      <c r="C119" s="304">
        <v>33</v>
      </c>
    </row>
    <row r="120" spans="1:3" ht="75" x14ac:dyDescent="0.25">
      <c r="A120" s="302" t="s">
        <v>297</v>
      </c>
      <c r="B120" s="113" t="s">
        <v>298</v>
      </c>
      <c r="C120" s="304">
        <v>34</v>
      </c>
    </row>
    <row r="121" spans="1:3" ht="45" x14ac:dyDescent="0.25">
      <c r="A121" s="302" t="s">
        <v>299</v>
      </c>
      <c r="B121" s="113" t="s">
        <v>300</v>
      </c>
      <c r="C121" s="304">
        <v>35</v>
      </c>
    </row>
    <row r="122" spans="1:3" ht="75" x14ac:dyDescent="0.25">
      <c r="A122" s="302" t="s">
        <v>301</v>
      </c>
      <c r="B122" s="113" t="s">
        <v>302</v>
      </c>
      <c r="C122" s="304">
        <v>36</v>
      </c>
    </row>
    <row r="123" spans="1:3" ht="45" x14ac:dyDescent="0.25">
      <c r="A123" s="302" t="s">
        <v>303</v>
      </c>
      <c r="B123" s="113" t="s">
        <v>304</v>
      </c>
      <c r="C123" s="304">
        <v>37</v>
      </c>
    </row>
    <row r="124" spans="1:3" x14ac:dyDescent="0.25">
      <c r="A124" s="302" t="s">
        <v>305</v>
      </c>
      <c r="B124" s="113" t="s">
        <v>306</v>
      </c>
      <c r="C124" s="304">
        <v>38</v>
      </c>
    </row>
    <row r="125" spans="1:3" ht="30" x14ac:dyDescent="0.25">
      <c r="A125" s="302" t="s">
        <v>307</v>
      </c>
      <c r="B125" s="113" t="s">
        <v>308</v>
      </c>
      <c r="C125" s="304">
        <v>39</v>
      </c>
    </row>
    <row r="126" spans="1:3" ht="45" x14ac:dyDescent="0.25">
      <c r="A126" s="302" t="s">
        <v>309</v>
      </c>
      <c r="B126" s="113" t="s">
        <v>310</v>
      </c>
      <c r="C126" s="304">
        <v>40</v>
      </c>
    </row>
    <row r="127" spans="1:3" x14ac:dyDescent="0.25">
      <c r="A127" s="302" t="s">
        <v>311</v>
      </c>
      <c r="B127" s="113" t="s">
        <v>312</v>
      </c>
      <c r="C127" s="304">
        <v>41</v>
      </c>
    </row>
    <row r="128" spans="1:3" ht="60" x14ac:dyDescent="0.25">
      <c r="A128" s="302" t="s">
        <v>313</v>
      </c>
      <c r="B128" s="113" t="s">
        <v>314</v>
      </c>
      <c r="C128" s="304">
        <v>42</v>
      </c>
    </row>
    <row r="129" spans="1:3" ht="45" x14ac:dyDescent="0.25">
      <c r="A129" s="302" t="s">
        <v>315</v>
      </c>
      <c r="B129" s="113" t="s">
        <v>316</v>
      </c>
      <c r="C129" s="304">
        <v>43</v>
      </c>
    </row>
    <row r="130" spans="1:3" x14ac:dyDescent="0.25">
      <c r="A130" s="302" t="s">
        <v>317</v>
      </c>
      <c r="B130" s="113" t="s">
        <v>318</v>
      </c>
      <c r="C130" s="304">
        <v>44</v>
      </c>
    </row>
    <row r="131" spans="1:3" ht="45" x14ac:dyDescent="0.25">
      <c r="A131" s="302" t="s">
        <v>319</v>
      </c>
      <c r="B131" s="113" t="s">
        <v>320</v>
      </c>
      <c r="C131" s="304">
        <v>45</v>
      </c>
    </row>
    <row r="132" spans="1:3" ht="30" x14ac:dyDescent="0.25">
      <c r="A132" s="302" t="s">
        <v>321</v>
      </c>
      <c r="B132" s="113" t="s">
        <v>322</v>
      </c>
      <c r="C132" s="304">
        <v>46</v>
      </c>
    </row>
    <row r="133" spans="1:3" x14ac:dyDescent="0.25">
      <c r="A133" s="302" t="s">
        <v>323</v>
      </c>
      <c r="B133" s="113" t="s">
        <v>324</v>
      </c>
      <c r="C133" s="304">
        <v>47</v>
      </c>
    </row>
    <row r="134" spans="1:3" ht="45" x14ac:dyDescent="0.25">
      <c r="A134" s="302" t="s">
        <v>325</v>
      </c>
      <c r="B134" s="113" t="s">
        <v>326</v>
      </c>
      <c r="C134" s="304">
        <v>48</v>
      </c>
    </row>
    <row r="135" spans="1:3" ht="30" x14ac:dyDescent="0.25">
      <c r="A135" s="302" t="s">
        <v>327</v>
      </c>
      <c r="B135" s="113" t="s">
        <v>328</v>
      </c>
      <c r="C135" s="304">
        <v>49</v>
      </c>
    </row>
    <row r="136" spans="1:3" ht="45" x14ac:dyDescent="0.25">
      <c r="A136" s="302" t="s">
        <v>329</v>
      </c>
      <c r="B136" s="113" t="s">
        <v>330</v>
      </c>
      <c r="C136" s="304">
        <v>50</v>
      </c>
    </row>
    <row r="137" spans="1:3" ht="30" x14ac:dyDescent="0.25">
      <c r="A137" s="302" t="s">
        <v>331</v>
      </c>
      <c r="B137" s="113" t="s">
        <v>332</v>
      </c>
      <c r="C137" s="304">
        <v>51</v>
      </c>
    </row>
    <row r="138" spans="1:3" ht="30" x14ac:dyDescent="0.25">
      <c r="A138" s="302" t="s">
        <v>333</v>
      </c>
      <c r="B138" s="113" t="s">
        <v>334</v>
      </c>
      <c r="C138" s="304">
        <v>52</v>
      </c>
    </row>
    <row r="139" spans="1:3" ht="30" x14ac:dyDescent="0.25">
      <c r="A139" s="302" t="s">
        <v>335</v>
      </c>
      <c r="B139" s="113" t="s">
        <v>336</v>
      </c>
      <c r="C139" s="304">
        <v>53</v>
      </c>
    </row>
    <row r="140" spans="1:3" ht="45" x14ac:dyDescent="0.25">
      <c r="A140" s="302" t="s">
        <v>337</v>
      </c>
      <c r="B140" s="113" t="s">
        <v>338</v>
      </c>
      <c r="C140" s="304">
        <v>54</v>
      </c>
    </row>
    <row r="141" spans="1:3" ht="30" x14ac:dyDescent="0.25">
      <c r="A141" s="302" t="s">
        <v>339</v>
      </c>
      <c r="B141" s="113" t="s">
        <v>340</v>
      </c>
      <c r="C141" s="304">
        <v>55</v>
      </c>
    </row>
    <row r="142" spans="1:3" ht="30" x14ac:dyDescent="0.25">
      <c r="A142" s="302" t="s">
        <v>341</v>
      </c>
      <c r="B142" s="113" t="s">
        <v>342</v>
      </c>
      <c r="C142" s="304">
        <v>56</v>
      </c>
    </row>
    <row r="143" spans="1:3" x14ac:dyDescent="0.25">
      <c r="A143" s="302" t="s">
        <v>343</v>
      </c>
      <c r="B143" s="113" t="s">
        <v>344</v>
      </c>
      <c r="C143" s="304">
        <v>57</v>
      </c>
    </row>
    <row r="144" spans="1:3" ht="30" x14ac:dyDescent="0.25">
      <c r="A144" s="302" t="s">
        <v>345</v>
      </c>
      <c r="B144" s="113" t="s">
        <v>346</v>
      </c>
      <c r="C144" s="304">
        <v>58</v>
      </c>
    </row>
    <row r="145" spans="1:3" ht="45" x14ac:dyDescent="0.25">
      <c r="A145" s="302" t="s">
        <v>347</v>
      </c>
      <c r="B145" s="113" t="s">
        <v>348</v>
      </c>
      <c r="C145" s="304">
        <v>59</v>
      </c>
    </row>
    <row r="146" spans="1:3" ht="30" x14ac:dyDescent="0.25">
      <c r="A146" s="302" t="s">
        <v>349</v>
      </c>
      <c r="B146" s="113" t="s">
        <v>350</v>
      </c>
      <c r="C146" s="304">
        <v>60</v>
      </c>
    </row>
    <row r="147" spans="1:3" ht="30" x14ac:dyDescent="0.25">
      <c r="A147" s="302" t="s">
        <v>351</v>
      </c>
      <c r="B147" s="113" t="s">
        <v>352</v>
      </c>
      <c r="C147" s="304">
        <v>61</v>
      </c>
    </row>
    <row r="148" spans="1:3" ht="30" x14ac:dyDescent="0.25">
      <c r="A148" s="302" t="s">
        <v>353</v>
      </c>
      <c r="B148" s="113" t="s">
        <v>354</v>
      </c>
      <c r="C148" s="304">
        <v>62</v>
      </c>
    </row>
    <row r="149" spans="1:3" x14ac:dyDescent="0.25">
      <c r="A149" s="302" t="s">
        <v>355</v>
      </c>
      <c r="B149" s="113" t="s">
        <v>356</v>
      </c>
      <c r="C149" s="304">
        <v>63</v>
      </c>
    </row>
    <row r="150" spans="1:3" x14ac:dyDescent="0.25">
      <c r="A150" s="302" t="s">
        <v>357</v>
      </c>
      <c r="B150" s="113" t="s">
        <v>358</v>
      </c>
      <c r="C150" s="304">
        <v>64</v>
      </c>
    </row>
    <row r="151" spans="1:3" x14ac:dyDescent="0.25">
      <c r="A151" s="302" t="s">
        <v>359</v>
      </c>
      <c r="B151" s="113" t="s">
        <v>360</v>
      </c>
      <c r="C151" s="304">
        <v>65</v>
      </c>
    </row>
    <row r="152" spans="1:3" ht="30" x14ac:dyDescent="0.25">
      <c r="A152" s="302" t="s">
        <v>361</v>
      </c>
      <c r="B152" s="113" t="s">
        <v>362</v>
      </c>
      <c r="C152" s="304">
        <v>66</v>
      </c>
    </row>
    <row r="153" spans="1:3" ht="45" x14ac:dyDescent="0.25">
      <c r="A153" s="302" t="s">
        <v>363</v>
      </c>
      <c r="B153" s="113" t="s">
        <v>364</v>
      </c>
      <c r="C153" s="304">
        <v>67</v>
      </c>
    </row>
    <row r="154" spans="1:3" ht="30" x14ac:dyDescent="0.25">
      <c r="A154" s="302" t="s">
        <v>365</v>
      </c>
      <c r="B154" s="113" t="s">
        <v>366</v>
      </c>
      <c r="C154" s="304">
        <v>68</v>
      </c>
    </row>
    <row r="155" spans="1:3" ht="30" x14ac:dyDescent="0.25">
      <c r="A155" s="302" t="s">
        <v>367</v>
      </c>
      <c r="B155" s="113" t="s">
        <v>368</v>
      </c>
      <c r="C155" s="304">
        <v>69</v>
      </c>
    </row>
    <row r="156" spans="1:3" ht="30" x14ac:dyDescent="0.25">
      <c r="A156" s="302" t="s">
        <v>369</v>
      </c>
      <c r="B156" s="113" t="s">
        <v>370</v>
      </c>
      <c r="C156" s="304">
        <v>70</v>
      </c>
    </row>
    <row r="157" spans="1:3" ht="30" x14ac:dyDescent="0.25">
      <c r="A157" s="302" t="s">
        <v>371</v>
      </c>
      <c r="B157" s="113" t="s">
        <v>372</v>
      </c>
      <c r="C157" s="304">
        <v>71</v>
      </c>
    </row>
    <row r="158" spans="1:3" ht="30" x14ac:dyDescent="0.25">
      <c r="A158" s="302" t="s">
        <v>373</v>
      </c>
      <c r="B158" s="113" t="s">
        <v>374</v>
      </c>
      <c r="C158" s="304">
        <v>72</v>
      </c>
    </row>
    <row r="159" spans="1:3" ht="60" x14ac:dyDescent="0.25">
      <c r="A159" s="302" t="s">
        <v>375</v>
      </c>
      <c r="B159" s="113" t="s">
        <v>376</v>
      </c>
      <c r="C159" s="304">
        <v>73</v>
      </c>
    </row>
    <row r="160" spans="1:3" x14ac:dyDescent="0.25">
      <c r="A160" s="302" t="s">
        <v>377</v>
      </c>
      <c r="B160" s="113" t="s">
        <v>378</v>
      </c>
      <c r="C160" s="304">
        <v>74</v>
      </c>
    </row>
    <row r="161" spans="1:3" ht="30" x14ac:dyDescent="0.25">
      <c r="A161" s="302" t="s">
        <v>379</v>
      </c>
      <c r="B161" s="113" t="s">
        <v>380</v>
      </c>
      <c r="C161" s="304">
        <v>75</v>
      </c>
    </row>
    <row r="162" spans="1:3" x14ac:dyDescent="0.25">
      <c r="A162" s="302" t="s">
        <v>381</v>
      </c>
      <c r="B162" s="113" t="s">
        <v>382</v>
      </c>
      <c r="C162" s="304">
        <v>76</v>
      </c>
    </row>
    <row r="163" spans="1:3" ht="30" x14ac:dyDescent="0.25">
      <c r="A163" s="302" t="s">
        <v>383</v>
      </c>
      <c r="B163" s="113" t="s">
        <v>384</v>
      </c>
      <c r="C163" s="304">
        <v>77</v>
      </c>
    </row>
    <row r="164" spans="1:3" ht="30" x14ac:dyDescent="0.25">
      <c r="A164" s="302" t="s">
        <v>385</v>
      </c>
      <c r="B164" s="113" t="s">
        <v>386</v>
      </c>
      <c r="C164" s="304">
        <v>78</v>
      </c>
    </row>
    <row r="165" spans="1:3" x14ac:dyDescent="0.25">
      <c r="A165" s="302" t="s">
        <v>387</v>
      </c>
      <c r="B165" s="113" t="s">
        <v>388</v>
      </c>
      <c r="C165" s="304">
        <v>79</v>
      </c>
    </row>
    <row r="166" spans="1:3" ht="30" x14ac:dyDescent="0.25">
      <c r="A166" s="302" t="s">
        <v>389</v>
      </c>
      <c r="B166" s="113" t="s">
        <v>390</v>
      </c>
      <c r="C166" s="304">
        <v>80</v>
      </c>
    </row>
    <row r="167" spans="1:3" x14ac:dyDescent="0.25">
      <c r="A167" s="302" t="s">
        <v>391</v>
      </c>
      <c r="B167" s="113" t="s">
        <v>392</v>
      </c>
      <c r="C167" s="304">
        <v>81</v>
      </c>
    </row>
    <row r="168" spans="1:3" x14ac:dyDescent="0.25">
      <c r="A168" s="302" t="s">
        <v>393</v>
      </c>
      <c r="B168" s="113" t="s">
        <v>394</v>
      </c>
      <c r="C168" s="304">
        <v>82</v>
      </c>
    </row>
    <row r="169" spans="1:3" x14ac:dyDescent="0.25">
      <c r="A169" s="302" t="s">
        <v>395</v>
      </c>
      <c r="B169" s="113" t="s">
        <v>396</v>
      </c>
      <c r="C169" s="304">
        <v>83</v>
      </c>
    </row>
    <row r="170" spans="1:3" ht="30" x14ac:dyDescent="0.25">
      <c r="A170" s="302" t="s">
        <v>397</v>
      </c>
      <c r="B170" s="113" t="s">
        <v>398</v>
      </c>
      <c r="C170" s="304">
        <v>84</v>
      </c>
    </row>
    <row r="171" spans="1:3" ht="30" x14ac:dyDescent="0.25">
      <c r="A171" s="302" t="s">
        <v>399</v>
      </c>
      <c r="B171" s="113" t="s">
        <v>400</v>
      </c>
      <c r="C171" s="304">
        <v>85</v>
      </c>
    </row>
    <row r="172" spans="1:3" ht="45" x14ac:dyDescent="0.25">
      <c r="A172" s="302" t="s">
        <v>401</v>
      </c>
      <c r="B172" s="113" t="s">
        <v>402</v>
      </c>
      <c r="C172" s="304">
        <v>86</v>
      </c>
    </row>
    <row r="173" spans="1:3" x14ac:dyDescent="0.25">
      <c r="A173" s="302" t="s">
        <v>403</v>
      </c>
      <c r="B173" s="113" t="s">
        <v>404</v>
      </c>
      <c r="C173" s="304">
        <v>87</v>
      </c>
    </row>
    <row r="174" spans="1:3" ht="45" x14ac:dyDescent="0.25">
      <c r="A174" s="302" t="s">
        <v>405</v>
      </c>
      <c r="B174" s="113" t="s">
        <v>406</v>
      </c>
      <c r="C174" s="304">
        <v>88</v>
      </c>
    </row>
    <row r="175" spans="1:3" ht="30" x14ac:dyDescent="0.25">
      <c r="A175" s="302" t="s">
        <v>407</v>
      </c>
      <c r="B175" s="113" t="s">
        <v>408</v>
      </c>
      <c r="C175" s="304">
        <v>89</v>
      </c>
    </row>
    <row r="176" spans="1:3" ht="45" x14ac:dyDescent="0.25">
      <c r="A176" s="302" t="s">
        <v>409</v>
      </c>
      <c r="B176" s="113" t="s">
        <v>410</v>
      </c>
      <c r="C176" s="304">
        <v>90</v>
      </c>
    </row>
    <row r="177" spans="1:3" x14ac:dyDescent="0.25">
      <c r="A177" s="302" t="s">
        <v>411</v>
      </c>
      <c r="B177" s="113" t="s">
        <v>412</v>
      </c>
      <c r="C177" s="304">
        <v>91</v>
      </c>
    </row>
    <row r="178" spans="1:3" ht="30" x14ac:dyDescent="0.25">
      <c r="A178" s="302" t="s">
        <v>413</v>
      </c>
      <c r="B178" s="113" t="s">
        <v>414</v>
      </c>
      <c r="C178" s="304">
        <v>92</v>
      </c>
    </row>
    <row r="179" spans="1:3" ht="60" x14ac:dyDescent="0.25">
      <c r="A179" s="302" t="s">
        <v>415</v>
      </c>
      <c r="B179" s="113" t="s">
        <v>416</v>
      </c>
      <c r="C179" s="304">
        <v>93</v>
      </c>
    </row>
    <row r="180" spans="1:3" ht="60" x14ac:dyDescent="0.25">
      <c r="A180" s="302" t="s">
        <v>417</v>
      </c>
      <c r="B180" s="113" t="s">
        <v>418</v>
      </c>
      <c r="C180" s="304">
        <v>94</v>
      </c>
    </row>
  </sheetData>
  <sortState xmlns:xlrd2="http://schemas.microsoft.com/office/spreadsheetml/2017/richdata2" ref="B4:B7">
    <sortCondition ref="B4:B7"/>
  </sortState>
  <mergeCells count="8">
    <mergeCell ref="F75:F79"/>
    <mergeCell ref="F80:F84"/>
    <mergeCell ref="F42:F47"/>
    <mergeCell ref="F48:F52"/>
    <mergeCell ref="F53:F55"/>
    <mergeCell ref="F56:F58"/>
    <mergeCell ref="F59:F69"/>
    <mergeCell ref="F70:F7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JO64"/>
  <sheetViews>
    <sheetView topLeftCell="A10" zoomScale="50" zoomScaleNormal="50" zoomScaleSheetLayoutView="50" zoomScalePageLayoutView="60" workbookViewId="0">
      <pane xSplit="1" ySplit="3" topLeftCell="B13" activePane="bottomRight" state="frozen"/>
      <selection activeCell="A10" sqref="A10"/>
      <selection pane="topRight" activeCell="B10" sqref="B10"/>
      <selection pane="bottomLeft" activeCell="A13" sqref="A13"/>
      <selection pane="bottomRight" activeCell="A17" sqref="A17:A19"/>
    </sheetView>
  </sheetViews>
  <sheetFormatPr baseColWidth="10" defaultColWidth="11.42578125" defaultRowHeight="18" x14ac:dyDescent="0.2"/>
  <cols>
    <col min="1" max="1" width="6.5703125" style="370" customWidth="1"/>
    <col min="2" max="2" width="22.7109375" style="197" customWidth="1"/>
    <col min="3" max="3" width="19.28515625" style="197" customWidth="1"/>
    <col min="4" max="4" width="28.28515625" style="197" customWidth="1"/>
    <col min="5" max="5" width="25.28515625" style="197" customWidth="1"/>
    <col min="6" max="6" width="51.28515625" style="197" customWidth="1"/>
    <col min="7" max="7" width="21" style="179" customWidth="1"/>
    <col min="8" max="8" width="17.7109375" style="179" customWidth="1"/>
    <col min="9" max="10" width="18.7109375" style="179" customWidth="1"/>
    <col min="11" max="11" width="24.28515625" style="179" customWidth="1"/>
    <col min="12" max="12" width="26" style="179" customWidth="1"/>
    <col min="13" max="13" width="20.5703125" style="179" customWidth="1"/>
    <col min="14" max="14" width="16.7109375" style="198" customWidth="1"/>
    <col min="15" max="15" width="16.7109375" style="179" customWidth="1"/>
    <col min="16" max="16" width="20.42578125" style="179" hidden="1" customWidth="1"/>
    <col min="17" max="17" width="23.28515625" style="179" customWidth="1"/>
    <col min="18" max="18" width="23.28515625" style="179" hidden="1" customWidth="1"/>
    <col min="19" max="19" width="23.28515625" style="179" customWidth="1"/>
    <col min="20" max="20" width="17.5703125" style="179" hidden="1" customWidth="1"/>
    <col min="21" max="21" width="15" style="179" customWidth="1"/>
    <col min="22" max="22" width="5.28515625" style="179" customWidth="1"/>
    <col min="23" max="23" width="29.7109375" style="179" customWidth="1"/>
    <col min="24" max="24" width="11.7109375" style="179" customWidth="1"/>
    <col min="25" max="25" width="62.42578125" style="179" customWidth="1"/>
    <col min="26" max="26" width="75.5703125" style="179" customWidth="1"/>
    <col min="27" max="27" width="19.7109375" style="179" hidden="1" customWidth="1"/>
    <col min="28" max="28" width="5.7109375" style="179" customWidth="1"/>
    <col min="29" max="29" width="6.7109375" style="179" customWidth="1"/>
    <col min="30" max="30" width="5" style="179" hidden="1" customWidth="1"/>
    <col min="31" max="31" width="5.5703125" style="179" customWidth="1"/>
    <col min="32" max="32" width="7.28515625" style="179" customWidth="1"/>
    <col min="33" max="33" width="6.7109375" style="179" customWidth="1"/>
    <col min="34" max="34" width="7.5703125" style="179" hidden="1" customWidth="1"/>
    <col min="35" max="35" width="8.5703125" style="179" customWidth="1"/>
    <col min="36" max="40" width="10.7109375" style="179" customWidth="1"/>
    <col min="41" max="41" width="33.28515625" style="196" customWidth="1"/>
    <col min="42" max="42" width="23" style="179" customWidth="1"/>
    <col min="43" max="43" width="18.7109375" style="179" customWidth="1"/>
    <col min="44" max="44" width="23.7109375" style="179" customWidth="1"/>
    <col min="45" max="45" width="22.42578125" style="179" customWidth="1"/>
    <col min="46" max="46" width="19.28515625" style="179" customWidth="1"/>
    <col min="47" max="47" width="20.5703125" style="179" customWidth="1"/>
    <col min="48" max="16384" width="11.42578125" style="179"/>
  </cols>
  <sheetData>
    <row r="1" spans="1:275" s="181" customFormat="1" ht="20.25" x14ac:dyDescent="0.3">
      <c r="A1" s="450"/>
      <c r="B1" s="451"/>
      <c r="C1" s="452"/>
      <c r="D1" s="439" t="s">
        <v>419</v>
      </c>
      <c r="E1" s="440"/>
      <c r="F1" s="440"/>
      <c r="G1" s="440"/>
      <c r="H1" s="440"/>
      <c r="I1" s="440"/>
      <c r="J1" s="440"/>
      <c r="K1" s="440"/>
      <c r="L1" s="440"/>
      <c r="M1" s="440"/>
      <c r="N1" s="440"/>
      <c r="O1" s="440"/>
      <c r="P1" s="440"/>
      <c r="Q1" s="440"/>
      <c r="R1" s="440"/>
      <c r="S1" s="440"/>
      <c r="T1" s="441"/>
      <c r="U1" s="228"/>
      <c r="V1" s="228"/>
      <c r="W1" s="228"/>
      <c r="X1" s="228"/>
      <c r="Y1" s="228"/>
      <c r="Z1" s="228"/>
      <c r="AA1" s="465"/>
      <c r="AB1" s="465"/>
      <c r="AC1" s="465"/>
      <c r="AD1" s="465"/>
      <c r="AE1" s="465"/>
      <c r="AF1" s="465"/>
      <c r="AG1" s="465"/>
      <c r="AH1" s="465"/>
      <c r="AI1" s="465"/>
      <c r="AJ1" s="465"/>
      <c r="AK1" s="465"/>
      <c r="AL1" s="465"/>
      <c r="AM1" s="465"/>
      <c r="AN1" s="465"/>
      <c r="AO1" s="465"/>
      <c r="AP1" s="465"/>
      <c r="AQ1" s="465"/>
      <c r="AR1" s="465"/>
      <c r="AS1" s="465"/>
      <c r="AT1" s="465"/>
      <c r="AU1" s="465"/>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row>
    <row r="2" spans="1:275" s="181" customFormat="1" ht="21" thickBot="1" x14ac:dyDescent="0.35">
      <c r="A2" s="453"/>
      <c r="B2" s="454"/>
      <c r="C2" s="455"/>
      <c r="D2" s="442"/>
      <c r="E2" s="443"/>
      <c r="F2" s="443"/>
      <c r="G2" s="443"/>
      <c r="H2" s="443"/>
      <c r="I2" s="443"/>
      <c r="J2" s="443"/>
      <c r="K2" s="443"/>
      <c r="L2" s="443"/>
      <c r="M2" s="443"/>
      <c r="N2" s="443"/>
      <c r="O2" s="443"/>
      <c r="P2" s="443"/>
      <c r="Q2" s="443"/>
      <c r="R2" s="443"/>
      <c r="S2" s="443"/>
      <c r="T2" s="444"/>
      <c r="U2" s="228"/>
      <c r="V2" s="228"/>
      <c r="W2" s="228"/>
      <c r="X2" s="228"/>
      <c r="Y2" s="228"/>
      <c r="Z2" s="228"/>
      <c r="AA2" s="465"/>
      <c r="AB2" s="465"/>
      <c r="AC2" s="465"/>
      <c r="AD2" s="465"/>
      <c r="AE2" s="465"/>
      <c r="AF2" s="465"/>
      <c r="AG2" s="465"/>
      <c r="AH2" s="465"/>
      <c r="AI2" s="465"/>
      <c r="AJ2" s="465"/>
      <c r="AK2" s="465"/>
      <c r="AL2" s="465"/>
      <c r="AM2" s="465"/>
      <c r="AN2" s="465"/>
      <c r="AO2" s="465"/>
      <c r="AP2" s="465"/>
      <c r="AQ2" s="465"/>
      <c r="AR2" s="465"/>
      <c r="AS2" s="465"/>
      <c r="AT2" s="465"/>
      <c r="AU2" s="465"/>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row>
    <row r="3" spans="1:275" s="181" customFormat="1" ht="27.75" customHeight="1" thickBot="1" x14ac:dyDescent="0.35">
      <c r="A3" s="453"/>
      <c r="B3" s="454"/>
      <c r="C3" s="455"/>
      <c r="D3" s="445" t="s">
        <v>420</v>
      </c>
      <c r="E3" s="446"/>
      <c r="F3" s="446"/>
      <c r="G3" s="446"/>
      <c r="H3" s="446"/>
      <c r="I3" s="447"/>
      <c r="J3" s="445" t="s">
        <v>421</v>
      </c>
      <c r="K3" s="446"/>
      <c r="L3" s="446"/>
      <c r="M3" s="446"/>
      <c r="N3" s="446"/>
      <c r="O3" s="446"/>
      <c r="P3" s="446"/>
      <c r="Q3" s="446"/>
      <c r="R3" s="446"/>
      <c r="S3" s="446"/>
      <c r="T3" s="447"/>
      <c r="U3" s="229"/>
      <c r="V3" s="229"/>
      <c r="W3" s="229"/>
      <c r="X3" s="229"/>
      <c r="Y3" s="229"/>
      <c r="Z3" s="228"/>
      <c r="AA3" s="466"/>
      <c r="AB3" s="466"/>
      <c r="AC3" s="466"/>
      <c r="AD3" s="466"/>
      <c r="AE3" s="466"/>
      <c r="AF3" s="466"/>
      <c r="AG3" s="466"/>
      <c r="AH3" s="466"/>
      <c r="AI3" s="466"/>
      <c r="AJ3" s="466"/>
      <c r="AK3" s="466"/>
      <c r="AL3" s="466"/>
      <c r="AM3" s="466"/>
      <c r="AN3" s="466"/>
      <c r="AO3" s="466"/>
      <c r="AP3" s="466"/>
      <c r="AQ3" s="466"/>
      <c r="AR3" s="466"/>
      <c r="AS3" s="466"/>
      <c r="AT3" s="466"/>
      <c r="AU3" s="466"/>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row>
    <row r="4" spans="1:275" s="181" customFormat="1" ht="27.75" customHeight="1" thickBot="1" x14ac:dyDescent="0.35">
      <c r="A4" s="456"/>
      <c r="B4" s="457"/>
      <c r="C4" s="458"/>
      <c r="D4" s="445" t="s">
        <v>422</v>
      </c>
      <c r="E4" s="446"/>
      <c r="F4" s="446"/>
      <c r="G4" s="446"/>
      <c r="H4" s="446"/>
      <c r="I4" s="446"/>
      <c r="J4" s="446"/>
      <c r="K4" s="446"/>
      <c r="L4" s="446"/>
      <c r="M4" s="446"/>
      <c r="N4" s="446"/>
      <c r="O4" s="446"/>
      <c r="P4" s="446"/>
      <c r="Q4" s="446"/>
      <c r="R4" s="446"/>
      <c r="S4" s="446"/>
      <c r="T4" s="447"/>
      <c r="U4" s="228"/>
      <c r="V4" s="228"/>
      <c r="W4" s="228"/>
      <c r="X4" s="228"/>
      <c r="Y4" s="228"/>
      <c r="Z4" s="228"/>
      <c r="AA4" s="466"/>
      <c r="AB4" s="466"/>
      <c r="AC4" s="466"/>
      <c r="AD4" s="466"/>
      <c r="AE4" s="466"/>
      <c r="AF4" s="466"/>
      <c r="AG4" s="466"/>
      <c r="AH4" s="466"/>
      <c r="AI4" s="466"/>
      <c r="AJ4" s="466"/>
      <c r="AK4" s="466"/>
      <c r="AL4" s="466"/>
      <c r="AM4" s="466"/>
      <c r="AN4" s="466"/>
      <c r="AO4" s="466"/>
      <c r="AP4" s="466"/>
      <c r="AQ4" s="466"/>
      <c r="AR4" s="466"/>
      <c r="AS4" s="466"/>
      <c r="AT4" s="466"/>
      <c r="AU4" s="466"/>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row>
    <row r="5" spans="1:275" ht="18.75" thickBot="1" x14ac:dyDescent="0.25">
      <c r="A5" s="367"/>
      <c r="B5" s="183"/>
      <c r="C5" s="182"/>
      <c r="D5" s="182"/>
      <c r="E5" s="182"/>
      <c r="F5" s="182"/>
      <c r="G5" s="184"/>
      <c r="H5" s="184"/>
      <c r="I5" s="184"/>
      <c r="J5" s="184"/>
      <c r="K5" s="184"/>
      <c r="L5" s="184"/>
      <c r="M5" s="184"/>
      <c r="N5" s="185"/>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230"/>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row>
    <row r="6" spans="1:275" ht="27" customHeight="1" thickBot="1" x14ac:dyDescent="0.25">
      <c r="A6" s="467" t="s">
        <v>423</v>
      </c>
      <c r="B6" s="468"/>
      <c r="C6" s="474" t="s">
        <v>72</v>
      </c>
      <c r="D6" s="475"/>
      <c r="E6" s="475"/>
      <c r="F6" s="475"/>
      <c r="G6" s="475"/>
      <c r="H6" s="475"/>
      <c r="I6" s="475"/>
      <c r="J6" s="475"/>
      <c r="K6" s="475"/>
      <c r="L6" s="475"/>
      <c r="M6" s="475"/>
      <c r="N6" s="475"/>
      <c r="O6" s="475"/>
      <c r="P6" s="475"/>
      <c r="Q6" s="475"/>
      <c r="R6" s="475"/>
      <c r="S6" s="475"/>
      <c r="T6" s="476"/>
      <c r="U6" s="231"/>
      <c r="V6" s="231"/>
      <c r="W6" s="231"/>
      <c r="X6" s="231"/>
      <c r="Y6" s="231"/>
      <c r="Z6" s="473"/>
      <c r="AA6" s="473"/>
      <c r="AB6" s="473"/>
      <c r="AC6" s="464"/>
      <c r="AD6" s="464"/>
      <c r="AE6" s="464"/>
      <c r="AF6" s="464"/>
      <c r="AG6" s="464"/>
      <c r="AH6" s="464"/>
      <c r="AI6" s="464"/>
      <c r="AJ6" s="464"/>
      <c r="AK6" s="464"/>
      <c r="AL6" s="464"/>
      <c r="AM6" s="464"/>
      <c r="AN6" s="464"/>
      <c r="AO6" s="464"/>
      <c r="AP6" s="464"/>
      <c r="AQ6" s="464"/>
      <c r="AR6" s="464"/>
      <c r="AS6" s="464"/>
      <c r="AT6" s="464"/>
      <c r="AU6" s="46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row>
    <row r="7" spans="1:275" ht="27" customHeight="1" thickBot="1" x14ac:dyDescent="0.3">
      <c r="A7" s="469" t="s">
        <v>425</v>
      </c>
      <c r="B7" s="470"/>
      <c r="C7" s="436" t="s">
        <v>738</v>
      </c>
      <c r="D7" s="437"/>
      <c r="E7" s="437"/>
      <c r="F7" s="437"/>
      <c r="G7" s="437"/>
      <c r="H7" s="437"/>
      <c r="I7" s="437"/>
      <c r="J7" s="437"/>
      <c r="K7" s="437"/>
      <c r="L7" s="437"/>
      <c r="M7" s="437"/>
      <c r="N7" s="437"/>
      <c r="O7" s="437"/>
      <c r="P7" s="437"/>
      <c r="Q7" s="437"/>
      <c r="R7" s="437"/>
      <c r="S7" s="437"/>
      <c r="T7" s="438"/>
      <c r="U7" s="232"/>
      <c r="V7" s="232"/>
      <c r="W7" s="232"/>
      <c r="X7" s="232"/>
      <c r="Y7" s="232"/>
      <c r="Z7" s="233"/>
      <c r="AA7" s="233"/>
      <c r="AB7" s="233"/>
      <c r="AC7" s="464"/>
      <c r="AD7" s="464"/>
      <c r="AE7" s="464"/>
      <c r="AF7" s="464"/>
      <c r="AG7" s="464"/>
      <c r="AH7" s="464"/>
      <c r="AI7" s="464"/>
      <c r="AJ7" s="464"/>
      <c r="AK7" s="464"/>
      <c r="AL7" s="464"/>
      <c r="AM7" s="464"/>
      <c r="AN7" s="464"/>
      <c r="AO7" s="464"/>
      <c r="AP7" s="464"/>
      <c r="AQ7" s="464"/>
      <c r="AR7" s="464"/>
      <c r="AS7" s="464"/>
      <c r="AT7" s="464"/>
      <c r="AU7" s="46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row>
    <row r="8" spans="1:275" ht="27" customHeight="1" thickBot="1" x14ac:dyDescent="0.3">
      <c r="A8" s="471" t="s">
        <v>426</v>
      </c>
      <c r="B8" s="472"/>
      <c r="C8" s="436" t="s">
        <v>739</v>
      </c>
      <c r="D8" s="437"/>
      <c r="E8" s="437"/>
      <c r="F8" s="437"/>
      <c r="G8" s="437"/>
      <c r="H8" s="437"/>
      <c r="I8" s="437"/>
      <c r="J8" s="437"/>
      <c r="K8" s="437"/>
      <c r="L8" s="437"/>
      <c r="M8" s="437"/>
      <c r="N8" s="437"/>
      <c r="O8" s="437"/>
      <c r="P8" s="437"/>
      <c r="Q8" s="437"/>
      <c r="R8" s="437"/>
      <c r="S8" s="437"/>
      <c r="T8" s="438"/>
      <c r="U8" s="232"/>
      <c r="V8" s="232"/>
      <c r="W8" s="232"/>
      <c r="X8" s="232"/>
      <c r="Y8" s="232"/>
      <c r="Z8" s="233"/>
      <c r="AA8" s="233"/>
      <c r="AB8" s="233"/>
      <c r="AC8" s="464"/>
      <c r="AD8" s="464"/>
      <c r="AE8" s="464"/>
      <c r="AF8" s="464"/>
      <c r="AG8" s="464"/>
      <c r="AH8" s="464"/>
      <c r="AI8" s="464"/>
      <c r="AJ8" s="464"/>
      <c r="AK8" s="464"/>
      <c r="AL8" s="464"/>
      <c r="AM8" s="464"/>
      <c r="AN8" s="464"/>
      <c r="AO8" s="464"/>
      <c r="AP8" s="464"/>
      <c r="AQ8" s="464"/>
      <c r="AR8" s="464"/>
      <c r="AS8" s="464"/>
      <c r="AT8" s="464"/>
      <c r="AU8" s="46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row>
    <row r="9" spans="1:275" x14ac:dyDescent="0.25">
      <c r="A9" s="368"/>
      <c r="B9" s="186"/>
      <c r="C9" s="187"/>
      <c r="D9" s="187"/>
      <c r="E9" s="187"/>
      <c r="F9" s="187"/>
      <c r="G9" s="187"/>
      <c r="H9" s="187"/>
      <c r="I9" s="187"/>
      <c r="J9" s="187"/>
      <c r="K9" s="187"/>
      <c r="L9" s="187"/>
      <c r="M9" s="187"/>
      <c r="N9" s="187"/>
      <c r="O9" s="187"/>
      <c r="P9" s="187"/>
      <c r="Q9" s="187"/>
      <c r="R9" s="187"/>
      <c r="S9" s="187"/>
      <c r="T9" s="187"/>
      <c r="U9" s="187"/>
      <c r="V9" s="187"/>
      <c r="W9" s="187"/>
      <c r="X9" s="187"/>
      <c r="Y9" s="187"/>
      <c r="Z9" s="188"/>
      <c r="AA9" s="188"/>
      <c r="AB9" s="188"/>
      <c r="AC9" s="189"/>
      <c r="AD9" s="189"/>
      <c r="AE9" s="189"/>
      <c r="AF9" s="189"/>
      <c r="AG9" s="189"/>
      <c r="AH9" s="189"/>
      <c r="AI9" s="189"/>
      <c r="AJ9" s="189"/>
      <c r="AK9" s="189"/>
      <c r="AL9" s="189"/>
      <c r="AM9" s="189"/>
      <c r="AN9" s="189"/>
      <c r="AO9" s="189"/>
      <c r="AP9" s="189"/>
      <c r="AQ9" s="189"/>
      <c r="AR9" s="189"/>
      <c r="AS9" s="189"/>
      <c r="AT9" s="189"/>
      <c r="AU9" s="189"/>
    </row>
    <row r="10" spans="1:275" ht="18.75" customHeight="1" x14ac:dyDescent="0.2">
      <c r="A10" s="485" t="s">
        <v>427</v>
      </c>
      <c r="B10" s="486"/>
      <c r="C10" s="486"/>
      <c r="D10" s="486"/>
      <c r="E10" s="486"/>
      <c r="F10" s="486"/>
      <c r="G10" s="487"/>
      <c r="H10" s="512" t="s">
        <v>428</v>
      </c>
      <c r="I10" s="513"/>
      <c r="J10" s="513"/>
      <c r="K10" s="514"/>
      <c r="L10" s="518" t="s">
        <v>429</v>
      </c>
      <c r="M10" s="519"/>
      <c r="N10" s="522" t="s">
        <v>430</v>
      </c>
      <c r="O10" s="523"/>
      <c r="P10" s="523"/>
      <c r="Q10" s="523"/>
      <c r="R10" s="523"/>
      <c r="S10" s="523"/>
      <c r="T10" s="523"/>
      <c r="U10" s="523"/>
      <c r="V10" s="486" t="s">
        <v>431</v>
      </c>
      <c r="W10" s="486"/>
      <c r="X10" s="486"/>
      <c r="Y10" s="486"/>
      <c r="Z10" s="486"/>
      <c r="AA10" s="486"/>
      <c r="AB10" s="486"/>
      <c r="AC10" s="486"/>
      <c r="AD10" s="486"/>
      <c r="AE10" s="486"/>
      <c r="AF10" s="486"/>
      <c r="AG10" s="486"/>
      <c r="AH10" s="487"/>
      <c r="AI10" s="515" t="s">
        <v>432</v>
      </c>
      <c r="AJ10" s="516"/>
      <c r="AK10" s="516"/>
      <c r="AL10" s="516"/>
      <c r="AM10" s="517"/>
      <c r="AN10" s="485" t="s">
        <v>433</v>
      </c>
      <c r="AO10" s="486"/>
      <c r="AP10" s="486"/>
      <c r="AQ10" s="486"/>
      <c r="AR10" s="487"/>
      <c r="AS10" s="512" t="s">
        <v>434</v>
      </c>
      <c r="AT10" s="513"/>
      <c r="AU10" s="51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row>
    <row r="11" spans="1:275" ht="15.75" x14ac:dyDescent="0.2">
      <c r="A11" s="498" t="s">
        <v>435</v>
      </c>
      <c r="B11" s="488" t="s">
        <v>436</v>
      </c>
      <c r="C11" s="488" t="s">
        <v>437</v>
      </c>
      <c r="D11" s="488" t="s">
        <v>438</v>
      </c>
      <c r="E11" s="524" t="s">
        <v>439</v>
      </c>
      <c r="F11" s="488" t="s">
        <v>440</v>
      </c>
      <c r="G11" s="488" t="s">
        <v>23</v>
      </c>
      <c r="H11" s="500" t="s">
        <v>137</v>
      </c>
      <c r="I11" s="500" t="s">
        <v>441</v>
      </c>
      <c r="J11" s="500" t="s">
        <v>442</v>
      </c>
      <c r="K11" s="500" t="s">
        <v>443</v>
      </c>
      <c r="L11" s="518"/>
      <c r="M11" s="519"/>
      <c r="N11" s="502" t="s">
        <v>444</v>
      </c>
      <c r="O11" s="502" t="s">
        <v>445</v>
      </c>
      <c r="P11" s="508" t="s">
        <v>446</v>
      </c>
      <c r="Q11" s="502" t="s">
        <v>447</v>
      </c>
      <c r="R11" s="502" t="s">
        <v>448</v>
      </c>
      <c r="S11" s="502" t="s">
        <v>449</v>
      </c>
      <c r="T11" s="508" t="s">
        <v>446</v>
      </c>
      <c r="U11" s="502" t="s">
        <v>450</v>
      </c>
      <c r="V11" s="506" t="s">
        <v>451</v>
      </c>
      <c r="W11" s="245"/>
      <c r="X11" s="245"/>
      <c r="Y11" s="245"/>
      <c r="Z11" s="488" t="s">
        <v>31</v>
      </c>
      <c r="AA11" s="488" t="s">
        <v>33</v>
      </c>
      <c r="AB11" s="488" t="s">
        <v>452</v>
      </c>
      <c r="AC11" s="488"/>
      <c r="AD11" s="488"/>
      <c r="AE11" s="488"/>
      <c r="AF11" s="488"/>
      <c r="AG11" s="488"/>
      <c r="AH11" s="506" t="s">
        <v>453</v>
      </c>
      <c r="AI11" s="507" t="s">
        <v>454</v>
      </c>
      <c r="AJ11" s="507" t="s">
        <v>446</v>
      </c>
      <c r="AK11" s="507" t="s">
        <v>455</v>
      </c>
      <c r="AL11" s="507" t="s">
        <v>446</v>
      </c>
      <c r="AM11" s="507" t="s">
        <v>456</v>
      </c>
      <c r="AN11" s="506" t="s">
        <v>49</v>
      </c>
      <c r="AO11" s="488" t="s">
        <v>457</v>
      </c>
      <c r="AP11" s="488" t="s">
        <v>458</v>
      </c>
      <c r="AQ11" s="488" t="s">
        <v>459</v>
      </c>
      <c r="AR11" s="488" t="s">
        <v>460</v>
      </c>
      <c r="AS11" s="503" t="s">
        <v>461</v>
      </c>
      <c r="AT11" s="503" t="s">
        <v>462</v>
      </c>
      <c r="AU11" s="503" t="s">
        <v>458</v>
      </c>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row>
    <row r="12" spans="1:275" s="192" customFormat="1" ht="39.75" customHeight="1" x14ac:dyDescent="0.25">
      <c r="A12" s="498"/>
      <c r="B12" s="499"/>
      <c r="C12" s="488"/>
      <c r="D12" s="488"/>
      <c r="E12" s="525"/>
      <c r="F12" s="499"/>
      <c r="G12" s="488"/>
      <c r="H12" s="501"/>
      <c r="I12" s="501"/>
      <c r="J12" s="501"/>
      <c r="K12" s="501"/>
      <c r="L12" s="244" t="s">
        <v>463</v>
      </c>
      <c r="M12" s="244" t="s">
        <v>464</v>
      </c>
      <c r="N12" s="502"/>
      <c r="O12" s="502"/>
      <c r="P12" s="508"/>
      <c r="Q12" s="502"/>
      <c r="R12" s="502"/>
      <c r="S12" s="508"/>
      <c r="T12" s="508"/>
      <c r="U12" s="502"/>
      <c r="V12" s="506"/>
      <c r="W12" s="243" t="s">
        <v>465</v>
      </c>
      <c r="X12" s="243" t="s">
        <v>461</v>
      </c>
      <c r="Y12" s="243" t="s">
        <v>466</v>
      </c>
      <c r="Z12" s="488"/>
      <c r="AA12" s="488"/>
      <c r="AB12" s="242" t="s">
        <v>467</v>
      </c>
      <c r="AC12" s="242" t="s">
        <v>468</v>
      </c>
      <c r="AD12" s="242" t="s">
        <v>469</v>
      </c>
      <c r="AE12" s="242" t="s">
        <v>470</v>
      </c>
      <c r="AF12" s="242" t="s">
        <v>471</v>
      </c>
      <c r="AG12" s="242" t="s">
        <v>472</v>
      </c>
      <c r="AH12" s="506"/>
      <c r="AI12" s="507"/>
      <c r="AJ12" s="507"/>
      <c r="AK12" s="507"/>
      <c r="AL12" s="507"/>
      <c r="AM12" s="507"/>
      <c r="AN12" s="506"/>
      <c r="AO12" s="488"/>
      <c r="AP12" s="488"/>
      <c r="AQ12" s="488"/>
      <c r="AR12" s="488"/>
      <c r="AS12" s="503"/>
      <c r="AT12" s="503"/>
      <c r="AU12" s="503"/>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c r="IW12" s="191"/>
      <c r="IX12" s="191"/>
      <c r="IY12" s="191"/>
      <c r="IZ12" s="191"/>
      <c r="JA12" s="191"/>
      <c r="JB12" s="191"/>
      <c r="JC12" s="191"/>
      <c r="JD12" s="191"/>
      <c r="JE12" s="191"/>
      <c r="JF12" s="191"/>
      <c r="JG12" s="191"/>
      <c r="JH12" s="191"/>
      <c r="JI12" s="191"/>
      <c r="JJ12" s="191"/>
      <c r="JK12" s="191"/>
      <c r="JL12" s="191"/>
      <c r="JM12" s="191"/>
      <c r="JN12" s="191"/>
      <c r="JO12" s="191"/>
    </row>
    <row r="13" spans="1:275" s="194" customFormat="1" ht="186" customHeight="1" x14ac:dyDescent="0.25">
      <c r="A13" s="496">
        <v>1</v>
      </c>
      <c r="B13" s="462" t="s">
        <v>117</v>
      </c>
      <c r="C13" s="462" t="s">
        <v>740</v>
      </c>
      <c r="D13" s="462" t="s">
        <v>741</v>
      </c>
      <c r="E13" s="462" t="s">
        <v>717</v>
      </c>
      <c r="F13" s="510" t="str">
        <f>+CONCATENATE(B13," ",C13," ",D13)</f>
        <v xml:space="preserve">Posibilidad de afectación económica por no contemplar todos los aspectos que pueden afectar la ejecución de un contrato, debido a que no se respeten los lineamiento establecido por Colombia Compra Eficiente, en el diligenciamiento del formato Análisis de Riesgos Contractuales </v>
      </c>
      <c r="G13" s="462" t="s">
        <v>473</v>
      </c>
      <c r="H13" s="462" t="s">
        <v>143</v>
      </c>
      <c r="I13" s="462" t="s">
        <v>742</v>
      </c>
      <c r="J13" s="462" t="s">
        <v>743</v>
      </c>
      <c r="K13" s="462" t="s">
        <v>744</v>
      </c>
      <c r="L13" s="462" t="s">
        <v>144</v>
      </c>
      <c r="M13" s="462" t="s">
        <v>127</v>
      </c>
      <c r="N13" s="520">
        <v>90</v>
      </c>
      <c r="O13" s="483" t="str">
        <f>IF(N13&lt;=0,"",IF(N13&lt;=2,"Muy Baja",IF(N13&lt;=24,"Baja",IF(N13&lt;=500,"Media",IF(N13&lt;=5000,"Alta","Muy Alta")))))</f>
        <v>Media</v>
      </c>
      <c r="P13" s="479">
        <f>IF(O13="","",IF(O13="Muy Baja",0.2,IF(O13="Baja",0.4,IF(O13="Media",0.6,IF(O13="Alta",0.8,IF(O13="Muy Alta",1,))))))</f>
        <v>0.6</v>
      </c>
      <c r="Q13" s="481" t="s">
        <v>622</v>
      </c>
      <c r="R13" s="364" t="str">
        <f>IF(NOT(ISERROR(MATCH(Q13,'Tabla Impacto'!$B$245:$B$247,0))),'Tabla Impacto'!$F$224&amp;"Por favor no seleccionar los criterios de impacto(Afectación Económica o presupuestal y Pérdida Reputacional)",Q13)</f>
        <v xml:space="preserve">     El riesgo afecta la imagen de la entidad internamente, de conocimiento general, nivel interno, de junta dircetiva y accionistas y/o de provedores</v>
      </c>
      <c r="S13" s="483" t="str">
        <f>IF(OR(R13='Tabla Impacto'!$C$12,R13='Tabla Impacto'!$D$12),"Leve",IF(OR(R13='Tabla Impacto'!$C$13,R13='Tabla Impacto'!$D$13),"Menor",IF(OR(R13='Tabla Impacto'!$C$14,R13='Tabla Impacto'!$D$14),"Moderado",IF(OR(R13='Tabla Impacto'!$C$15,R13='Tabla Impacto'!$D$15),"Mayor",IF(OR(R13='Tabla Impacto'!$C$16,R13='Tabla Impacto'!$D$16),"Catastrófico","")))))</f>
        <v>Menor</v>
      </c>
      <c r="T13" s="479">
        <f>IF(S13="","",IF(S13="Leve",0.2,IF(S13="Menor",0.4,IF(S13="Moderado",0.6,IF(S13="Mayor",0.8,IF(S13="Catastrófico",1,))))))</f>
        <v>0.4</v>
      </c>
      <c r="U13" s="477"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193">
        <v>1</v>
      </c>
      <c r="W13" s="238" t="s">
        <v>745</v>
      </c>
      <c r="X13" s="238" t="s">
        <v>133</v>
      </c>
      <c r="Y13" s="238" t="s">
        <v>746</v>
      </c>
      <c r="Z13" s="218" t="str">
        <f>+CONCATENATE(W13," ",X13," ",Y13)</f>
        <v>El servidor público o colaborador (profesional) asignado por la Gerencia de Contratación, cada vez que adelante un proceso contractual selectivo Revisa Que los riesgos identificados para el proceso de selección sean coherentes con lo estipulado en los lineamientos de Colombia Compra Eficiente y del objeto a contratar. Como evidencia se deja en el aplicativo ORFEO registro de la aprobación de la matriz de riesgos del proceso de selección. 
En caso de que se evidencien inconsistencias en la matriz de riesgos del proceso selectivo, se realizarán en el aplicativo ORFEO las observaciones para sus ajustes por parte del servidor público o colaborador que revisó, .</v>
      </c>
      <c r="AA13" s="170" t="str">
        <f t="shared" ref="AA13:AA14" si="0">IF(OR(AB13="Preventivo",AB13="Detectivo"),"Probabilidad",IF(AB13="Correctivo","Impacto",""))</f>
        <v>Probabilidad</v>
      </c>
      <c r="AB13" s="171" t="s">
        <v>480</v>
      </c>
      <c r="AC13" s="171" t="s">
        <v>476</v>
      </c>
      <c r="AD13" s="172" t="str">
        <f>IF(AND(AB13="Preventivo",AC13="Automático"),"50%",IF(AND(AB13="Preventivo",AC13="Manual"),"40%",IF(AND(AB13="Detectivo",AC13="Automático"),"40%",IF(AND(AB13="Detectivo",AC13="Manual"),"30%",IF(AND(AB13="Correctivo",AC13="Automático"),"35%",IF(AND(AB13="Correctivo",AC13="Manual"),"25%",""))))))</f>
        <v>30%</v>
      </c>
      <c r="AE13" s="171" t="s">
        <v>477</v>
      </c>
      <c r="AF13" s="171" t="s">
        <v>478</v>
      </c>
      <c r="AG13" s="171" t="s">
        <v>482</v>
      </c>
      <c r="AH13" s="173">
        <f>IFERROR(IF(AA13="Probabilidad",(P13-(+P13*AD13)),IF(AA13="Impacto",P13,"")),"")</f>
        <v>0.42</v>
      </c>
      <c r="AI13" s="174" t="str">
        <f>IFERROR(IF(AH13="","",IF(AH13&lt;=0.2,"Muy Baja",IF(AH13&lt;=0.4,"Baja",IF(AH13&lt;=0.6,"Media",IF(AH13&lt;=0.8,"Alta","Muy Alta"))))),"")</f>
        <v>Media</v>
      </c>
      <c r="AJ13" s="172">
        <f>+AH13</f>
        <v>0.42</v>
      </c>
      <c r="AK13" s="174" t="str">
        <f>IFERROR(IF(AL13="","",IF(AL13&lt;=0.2,"Leve",IF(AL13&lt;=0.4,"Menor",IF(AL13&lt;=0.6,"Moderado",IF(AL13&lt;=0.8,"Mayor","Catastrófico"))))),"")</f>
        <v>Menor</v>
      </c>
      <c r="AL13" s="172">
        <f>IFERROR(IF(AA13="Impacto",(T13-(+T13*AD13)),IF(AA13="Probabilidad",T13,"")),"")</f>
        <v>0.4</v>
      </c>
      <c r="AM13" s="175"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Moderado</v>
      </c>
      <c r="AN13" s="176" t="s">
        <v>124</v>
      </c>
      <c r="AO13" s="169" t="s">
        <v>747</v>
      </c>
      <c r="AP13" s="169" t="s">
        <v>748</v>
      </c>
      <c r="AQ13" s="169" t="s">
        <v>719</v>
      </c>
      <c r="AR13" s="178">
        <v>45838</v>
      </c>
      <c r="AS13" s="462" t="s">
        <v>749</v>
      </c>
      <c r="AT13" s="462" t="s">
        <v>750</v>
      </c>
      <c r="AU13" s="504" t="s">
        <v>731</v>
      </c>
    </row>
    <row r="14" spans="1:275" ht="10.5" customHeight="1" x14ac:dyDescent="0.2">
      <c r="A14" s="497"/>
      <c r="B14" s="463"/>
      <c r="C14" s="463"/>
      <c r="D14" s="463"/>
      <c r="E14" s="463"/>
      <c r="F14" s="511"/>
      <c r="G14" s="463"/>
      <c r="H14" s="463"/>
      <c r="I14" s="463"/>
      <c r="J14" s="463"/>
      <c r="K14" s="463"/>
      <c r="L14" s="463"/>
      <c r="M14" s="463"/>
      <c r="N14" s="521"/>
      <c r="O14" s="484"/>
      <c r="P14" s="480"/>
      <c r="Q14" s="482"/>
      <c r="R14" s="364">
        <f>IF(NOT(ISERROR(MATCH(Q14,_xlfn.ANCHORARRAY(F17),0))),P19&amp;"Por favor no seleccionar los criterios de impacto",Q14)</f>
        <v>0</v>
      </c>
      <c r="S14" s="484"/>
      <c r="T14" s="480"/>
      <c r="U14" s="478"/>
      <c r="V14" s="193">
        <v>2</v>
      </c>
      <c r="W14" s="238"/>
      <c r="X14" s="193"/>
      <c r="Y14" s="193"/>
      <c r="Z14" s="218" t="str">
        <f t="shared" ref="Z14:Z61" si="1">+CONCATENATE(W14," ",X14," ",Y14)</f>
        <v xml:space="preserve">  </v>
      </c>
      <c r="AA14" s="170" t="str">
        <f t="shared" si="0"/>
        <v/>
      </c>
      <c r="AB14" s="171"/>
      <c r="AC14" s="171"/>
      <c r="AD14" s="172" t="str">
        <f t="shared" ref="AD14" si="2">IF(AND(AB14="Preventivo",AC14="Automático"),"50%",IF(AND(AB14="Preventivo",AC14="Manual"),"40%",IF(AND(AB14="Detectivo",AC14="Automático"),"40%",IF(AND(AB14="Detectivo",AC14="Manual"),"30%",IF(AND(AB14="Correctivo",AC14="Automático"),"35%",IF(AND(AB14="Correctivo",AC14="Manual"),"25%",""))))))</f>
        <v/>
      </c>
      <c r="AE14" s="171"/>
      <c r="AF14" s="171"/>
      <c r="AG14" s="171"/>
      <c r="AH14" s="173" t="str">
        <f>IFERROR(IF(AND(AA13="Probabilidad",AA14="Probabilidad"),(AJ13-(+AJ13*AD14)),IF(AA14="Probabilidad",(P13-(+P13*AD14)),IF(AA14="Impacto",AJ13,""))),"")</f>
        <v/>
      </c>
      <c r="AI14" s="174" t="str">
        <f t="shared" ref="AI14:AI61" si="3">IFERROR(IF(AH14="","",IF(AH14&lt;=0.2,"Muy Baja",IF(AH14&lt;=0.4,"Baja",IF(AH14&lt;=0.6,"Media",IF(AH14&lt;=0.8,"Alta","Muy Alta"))))),"")</f>
        <v/>
      </c>
      <c r="AJ14" s="172" t="str">
        <f t="shared" ref="AJ14" si="4">+AH14</f>
        <v/>
      </c>
      <c r="AK14" s="174" t="str">
        <f t="shared" ref="AK14:AK61" si="5">IFERROR(IF(AL14="","",IF(AL14&lt;=0.2,"Leve",IF(AL14&lt;=0.4,"Menor",IF(AL14&lt;=0.6,"Moderado",IF(AL14&lt;=0.8,"Mayor","Catastrófico"))))),"")</f>
        <v/>
      </c>
      <c r="AL14" s="172" t="str">
        <f>IFERROR(IF(AND(AA13="Impacto",AA14="Impacto"),(AL13-(+AL13*AD14)),IF(AA14="Impacto",($T$13-(+$T$13*AD14)),IF(AA14="Probabilidad",AL13,""))),"")</f>
        <v/>
      </c>
      <c r="AM14" s="175" t="str">
        <f t="shared" ref="AM14"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176"/>
      <c r="AO14" s="169"/>
      <c r="AP14" s="177"/>
      <c r="AQ14" s="169"/>
      <c r="AR14" s="178"/>
      <c r="AS14" s="463"/>
      <c r="AT14" s="463"/>
      <c r="AU14" s="505"/>
    </row>
    <row r="15" spans="1:275" ht="214.5" customHeight="1" x14ac:dyDescent="0.2">
      <c r="A15" s="448">
        <v>2</v>
      </c>
      <c r="B15" s="449" t="s">
        <v>121</v>
      </c>
      <c r="C15" s="449" t="s">
        <v>752</v>
      </c>
      <c r="D15" s="449" t="s">
        <v>751</v>
      </c>
      <c r="E15" s="449" t="s">
        <v>717</v>
      </c>
      <c r="F15" s="492" t="str">
        <f t="shared" ref="F15" si="7">+CONCATENATE(B15," ",C15," ",D15)</f>
        <v>Posibilidad de afectación reputacional por perdida de credibilidad y confianza de las partes interesadas, debido a que la información y documentos soporte publicados en el SECOP son diferentes al del expediente contractual en el aplicativo Orfeo que emplea la entidad</v>
      </c>
      <c r="G15" s="449" t="s">
        <v>473</v>
      </c>
      <c r="H15" s="462" t="s">
        <v>143</v>
      </c>
      <c r="I15" s="462" t="s">
        <v>753</v>
      </c>
      <c r="J15" s="462" t="s">
        <v>754</v>
      </c>
      <c r="K15" s="462" t="s">
        <v>755</v>
      </c>
      <c r="L15" s="462" t="s">
        <v>136</v>
      </c>
      <c r="M15" s="462" t="s">
        <v>136</v>
      </c>
      <c r="N15" s="459">
        <v>90</v>
      </c>
      <c r="O15" s="460" t="str">
        <f>IF(N15&lt;=0,"",IF(N15&lt;=2,"Muy Baja",IF(N15&lt;=24,"Baja",IF(N15&lt;=500,"Media",IF(N15&lt;=5000,"Alta","Muy Alta")))))</f>
        <v>Media</v>
      </c>
      <c r="P15" s="461">
        <f>IF(O15="","",IF(O15="Muy Baja",0.2,IF(O15="Baja",0.4,IF(O15="Media",0.6,IF(O15="Alta",0.8,IF(O15="Muy Alta",1,))))))</f>
        <v>0.6</v>
      </c>
      <c r="Q15" s="490" t="s">
        <v>620</v>
      </c>
      <c r="R15" s="461" t="str">
        <f>IF(NOT(ISERROR(MATCH(Q15,'Tabla Impacto'!$B$245:$B$247,0))),'Tabla Impacto'!$F$224&amp;"Por favor no seleccionar los criterios de impacto(Afectación Económica o presupuestal y Pérdida Reputacional)",Q15)</f>
        <v xml:space="preserve">     El riesgo afecta la imagen de alguna área de la organización</v>
      </c>
      <c r="S15" s="460" t="str">
        <f>IF(OR(R15='Tabla Impacto'!$C$12,R15='Tabla Impacto'!$D$12),"Leve",IF(OR(R15='Tabla Impacto'!$C$13,R15='Tabla Impacto'!$D$13),"Menor",IF(OR(R15='Tabla Impacto'!$C$14,R15='Tabla Impacto'!$D$14),"Moderado",IF(OR(R15='Tabla Impacto'!$C$15,R15='Tabla Impacto'!$D$15),"Mayor",IF(OR(R15='Tabla Impacto'!$C$16,R15='Tabla Impacto'!$D$16),"Catastrófico","")))))</f>
        <v>Leve</v>
      </c>
      <c r="T15" s="461">
        <f>IF(S15="","",IF(S15="Leve",0.2,IF(S15="Menor",0.4,IF(S15="Moderado",0.6,IF(S15="Mayor",0.8,IF(S15="Catastrófico",1,))))))</f>
        <v>0.2</v>
      </c>
      <c r="U15" s="489" t="str">
        <f>IF(OR(AND(O15="Muy Baja",S15="Leve"),AND(O15="Muy Baja",S15="Menor"),AND(O15="Baja",S15="Leve")),"Bajo",IF(OR(AND(O15="Muy baja",S15="Moderado"),AND(O15="Baja",S15="Menor"),AND(O15="Baja",S15="Moderado"),AND(O15="Media",S15="Leve"),AND(O15="Media",S15="Menor"),AND(O15="Media",S15="Moderado"),AND(O15="Alta",S15="Leve"),AND(O15="Alta",S15="Menor")),"Moderado",IF(OR(AND(O15="Muy Baja",S15="Mayor"),AND(O15="Baja",S15="Mayor"),AND(O15="Media",S15="Mayor"),AND(O15="Alta",S15="Moderado"),AND(O15="Alta",S15="Mayor"),AND(O15="Muy Alta",S15="Leve"),AND(O15="Muy Alta",S15="Menor"),AND(O15="Muy Alta",S15="Moderado"),AND(O15="Muy Alta",S15="Mayor")),"Alto",IF(OR(AND(O15="Muy Baja",S15="Catastrófico"),AND(O15="Baja",S15="Catastrófico"),AND(O15="Media",S15="Catastrófico"),AND(O15="Alta",S15="Catastrófico"),AND(O15="Muy Alta",S15="Catastrófico")),"Extremo",""))))</f>
        <v>Moderado</v>
      </c>
      <c r="V15" s="193">
        <v>1</v>
      </c>
      <c r="W15" s="238" t="s">
        <v>756</v>
      </c>
      <c r="X15" s="193" t="s">
        <v>118</v>
      </c>
      <c r="Y15" s="218" t="s">
        <v>757</v>
      </c>
      <c r="Z15" s="357" t="str">
        <f>+CONCATENATE(W15," ",X15," ",Y15)</f>
        <v>El servidor público o colaborador (profesional) del proceso GCON asignado por la Gerencia de Contratación para adelantar el proceso de selección Verifica que en el expediente del proceso contractual en Orfeo se encuentre el formato de referencia cruzada, el cual debe ser concordante con el proceso de selección que se adelante a través de la plataforma del Secop II. 
Como evidencia: Formato de referencia cruzada diligenciado de cada proceso Selectivo, a excepción a los que corresponden a Tienda Virtual, publicado en el ORFEO. 
En caso de identificar que no se encuentra cargado en el ORFEO deberá incluirlo en el respectivo expediente contractual.</v>
      </c>
      <c r="AA15" s="170" t="str">
        <f t="shared" ref="AA15:AA22" si="8">IF(OR(AB15="Preventivo",AB15="Detectivo"),"Probabilidad",IF(AB15="Correctivo","Impacto",""))</f>
        <v>Probabilidad</v>
      </c>
      <c r="AB15" s="171" t="s">
        <v>480</v>
      </c>
      <c r="AC15" s="171" t="s">
        <v>476</v>
      </c>
      <c r="AD15" s="172" t="str">
        <f>IF(AND(AB15="Preventivo",AC15="Automático"),"50%",IF(AND(AB15="Preventivo",AC15="Manual"),"40%",IF(AND(AB15="Detectivo",AC15="Automático"),"40%",IF(AND(AB15="Detectivo",AC15="Manual"),"30%",IF(AND(AB15="Correctivo",AC15="Automático"),"35%",IF(AND(AB15="Correctivo",AC15="Manual"),"25%",""))))))</f>
        <v>30%</v>
      </c>
      <c r="AE15" s="171" t="s">
        <v>477</v>
      </c>
      <c r="AF15" s="171" t="s">
        <v>478</v>
      </c>
      <c r="AG15" s="171" t="s">
        <v>482</v>
      </c>
      <c r="AH15" s="173">
        <f>IFERROR(IF(AA15="Probabilidad",(P15-(+P15*AD15)),IF(AA15="Impacto",P15,"")),"")</f>
        <v>0.42</v>
      </c>
      <c r="AI15" s="174" t="str">
        <f>IFERROR(IF(AH15="","",IF(AH15&lt;=0.2,"Muy Baja",IF(AH15&lt;=0.4,"Baja",IF(AH15&lt;=0.6,"Media",IF(AH15&lt;=0.8,"Alta","Muy Alta"))))),"")</f>
        <v>Media</v>
      </c>
      <c r="AJ15" s="172">
        <v>0.3</v>
      </c>
      <c r="AK15" s="174" t="str">
        <f>IFERROR(IF(AL15="","",IF(AL15&lt;=0.2,"Leve",IF(AL15&lt;=0.4,"Menor",IF(AL15&lt;=0.6,"Moderado",IF(AL15&lt;=0.8,"Mayor","Catastrófico"))))),"")</f>
        <v>Leve</v>
      </c>
      <c r="AL15" s="172">
        <f t="shared" ref="AL15" si="9">IFERROR(IF(AA15="Impacto",(T15-(+T15*AD15)),IF(AA15="Probabilidad",T15,"")),"")</f>
        <v>0.2</v>
      </c>
      <c r="AM15" s="175" t="str">
        <f>IFERROR(IF(OR(AND(AI15="Muy Baja",AK15="Leve"),AND(AI15="Muy Baja",AK15="Menor"),AND(AI15="Baja",AK15="Leve")),"Bajo",IF(OR(AND(AI15="Muy baja",AK15="Moderado"),AND(AI15="Baja",AK15="Menor"),AND(AI15="Baja",AK15="Moderado"),AND(AI15="Media",AK15="Leve"),AND(AI15="Media",AK15="Menor"),AND(AI15="Media",AK15="Moderado"),AND(AI15="Alta",AK15="Leve"),AND(AI15="Alta",AK15="Menor")),"Moderado",IF(OR(AND(AI15="Muy Baja",AK15="Mayor"),AND(AI15="Baja",AK15="Mayor"),AND(AI15="Media",AK15="Mayor"),AND(AI15="Alta",AK15="Moderado"),AND(AI15="Alta",AK15="Mayor"),AND(AI15="Muy Alta",AK15="Leve"),AND(AI15="Muy Alta",AK15="Menor"),AND(AI15="Muy Alta",AK15="Moderado"),AND(AI15="Muy Alta",AK15="Mayor")),"Alto",IF(OR(AND(AI15="Muy Baja",AK15="Catastrófico"),AND(AI15="Baja",AK15="Catastrófico"),AND(AI15="Media",AK15="Catastrófico"),AND(AI15="Alta",AK15="Catastrófico"),AND(AI15="Muy Alta",AK15="Catastrófico")),"Extremo","")))),"")</f>
        <v>Moderado</v>
      </c>
      <c r="AN15" s="176" t="s">
        <v>124</v>
      </c>
      <c r="AO15" s="169" t="s">
        <v>758</v>
      </c>
      <c r="AP15" s="169" t="s">
        <v>748</v>
      </c>
      <c r="AQ15" s="169" t="s">
        <v>719</v>
      </c>
      <c r="AR15" s="178">
        <v>45838</v>
      </c>
      <c r="AS15" s="449" t="s">
        <v>759</v>
      </c>
      <c r="AT15" s="449" t="s">
        <v>760</v>
      </c>
      <c r="AU15" s="509" t="s">
        <v>731</v>
      </c>
    </row>
    <row r="16" spans="1:275" ht="15" x14ac:dyDescent="0.2">
      <c r="A16" s="448"/>
      <c r="B16" s="449"/>
      <c r="C16" s="449"/>
      <c r="D16" s="449"/>
      <c r="E16" s="449"/>
      <c r="F16" s="492"/>
      <c r="G16" s="449"/>
      <c r="H16" s="463"/>
      <c r="I16" s="463"/>
      <c r="J16" s="463"/>
      <c r="K16" s="463"/>
      <c r="L16" s="463"/>
      <c r="M16" s="463"/>
      <c r="N16" s="459"/>
      <c r="O16" s="460"/>
      <c r="P16" s="461"/>
      <c r="Q16" s="490"/>
      <c r="R16" s="461">
        <f>IF(NOT(ISERROR(MATCH(Q16,_xlfn.ANCHORARRAY(F20),0))),P22&amp;"Por favor no seleccionar los criterios de impacto",Q16)</f>
        <v>0</v>
      </c>
      <c r="S16" s="460"/>
      <c r="T16" s="461"/>
      <c r="U16" s="489"/>
      <c r="V16" s="193">
        <v>2</v>
      </c>
      <c r="W16" s="238"/>
      <c r="X16" s="193"/>
      <c r="Y16" s="193"/>
      <c r="Z16" s="218" t="str">
        <f t="shared" si="1"/>
        <v xml:space="preserve">  </v>
      </c>
      <c r="AA16" s="170" t="str">
        <f t="shared" si="8"/>
        <v/>
      </c>
      <c r="AB16" s="171"/>
      <c r="AC16" s="171"/>
      <c r="AD16" s="172" t="str">
        <f t="shared" ref="AD16" si="10">IF(AND(AB16="Preventivo",AC16="Automático"),"50%",IF(AND(AB16="Preventivo",AC16="Manual"),"40%",IF(AND(AB16="Detectivo",AC16="Automático"),"40%",IF(AND(AB16="Detectivo",AC16="Manual"),"30%",IF(AND(AB16="Correctivo",AC16="Automático"),"35%",IF(AND(AB16="Correctivo",AC16="Manual"),"25%",""))))))</f>
        <v/>
      </c>
      <c r="AE16" s="171"/>
      <c r="AF16" s="171"/>
      <c r="AG16" s="171"/>
      <c r="AH16" s="173" t="str">
        <f>IFERROR(IF(AND(AA15="Probabilidad",AA16="Probabilidad"),(AJ15-(+AJ15*AD16)),IF(AA16="Probabilidad",(P15-(+P15*AD16)),IF(AA16="Impacto",AJ15,""))),"")</f>
        <v/>
      </c>
      <c r="AI16" s="174" t="str">
        <f t="shared" si="3"/>
        <v/>
      </c>
      <c r="AJ16" s="172" t="str">
        <f t="shared" ref="AJ16" si="11">+AH16</f>
        <v/>
      </c>
      <c r="AK16" s="174" t="str">
        <f t="shared" si="5"/>
        <v/>
      </c>
      <c r="AL16" s="172" t="str">
        <f t="shared" ref="AL16" si="12">IFERROR(IF(AND(AA15="Impacto",AA16="Impacto"),(AL15-(+AL15*AD16)),IF(AA16="Impacto",($T$13-(+$T$13*AD16)),IF(AA16="Probabilidad",AL15,""))),"")</f>
        <v/>
      </c>
      <c r="AM16" s="175" t="str">
        <f t="shared" ref="AM16" si="13">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176"/>
      <c r="AO16" s="169"/>
      <c r="AP16" s="177"/>
      <c r="AQ16" s="169"/>
      <c r="AR16" s="178"/>
      <c r="AS16" s="449"/>
      <c r="AT16" s="449"/>
      <c r="AU16" s="509"/>
    </row>
    <row r="17" spans="1:47" ht="244.5" customHeight="1" x14ac:dyDescent="0.2">
      <c r="A17" s="448">
        <v>3</v>
      </c>
      <c r="B17" s="449" t="s">
        <v>121</v>
      </c>
      <c r="C17" s="449" t="s">
        <v>752</v>
      </c>
      <c r="D17" s="449" t="s">
        <v>761</v>
      </c>
      <c r="E17" s="449" t="s">
        <v>717</v>
      </c>
      <c r="F17" s="492" t="str">
        <f t="shared" ref="F17" si="14">+CONCATENATE(B17," ",C17," ",D17)</f>
        <v>Posibilidad de afectación reputacional por perdida de credibilidad y confianza de las partes interesadas, debido a la contratación de prestación de servicios profesionales y de apoyo a la gestión innecesarios, por no contar con la certificación de personal  insuficiente o idoneo dentro de la planta de personal.</v>
      </c>
      <c r="G17" s="449" t="s">
        <v>473</v>
      </c>
      <c r="H17" s="462" t="s">
        <v>143</v>
      </c>
      <c r="I17" s="462" t="s">
        <v>762</v>
      </c>
      <c r="J17" s="462" t="s">
        <v>763</v>
      </c>
      <c r="K17" s="462" t="s">
        <v>718</v>
      </c>
      <c r="L17" s="462" t="s">
        <v>136</v>
      </c>
      <c r="M17" s="462" t="s">
        <v>136</v>
      </c>
      <c r="N17" s="459">
        <v>465</v>
      </c>
      <c r="O17" s="460" t="str">
        <f>IF(N17&lt;=0,"",IF(N17&lt;=2,"Muy Baja",IF(N17&lt;=24,"Baja",IF(N17&lt;=500,"Media",IF(N17&lt;=5000,"Alta","Muy Alta")))))</f>
        <v>Media</v>
      </c>
      <c r="P17" s="461">
        <f>IF(O17="","",IF(O17="Muy Baja",0.2,IF(O17="Baja",0.4,IF(O17="Media",0.6,IF(O17="Alta",0.8,IF(O17="Muy Alta",1,))))))</f>
        <v>0.6</v>
      </c>
      <c r="Q17" s="490" t="s">
        <v>620</v>
      </c>
      <c r="R17" s="461" t="str">
        <f>IF(NOT(ISERROR(MATCH(Q17,'Tabla Impacto'!$B$245:$B$247,0))),'Tabla Impacto'!$F$224&amp;"Por favor no seleccionar los criterios de impacto(Afectación Económica o presupuestal y Pérdida Reputacional)",Q17)</f>
        <v xml:space="preserve">     El riesgo afecta la imagen de alguna área de la organización</v>
      </c>
      <c r="S17" s="460" t="str">
        <f>IF(OR(R17='Tabla Impacto'!$C$12,R17='Tabla Impacto'!$D$12),"Leve",IF(OR(R17='Tabla Impacto'!$C$13,R17='Tabla Impacto'!$D$13),"Menor",IF(OR(R17='Tabla Impacto'!$C$14,R17='Tabla Impacto'!$D$14),"Moderado",IF(OR(R17='Tabla Impacto'!$C$15,R17='Tabla Impacto'!$D$15),"Mayor",IF(OR(R17='Tabla Impacto'!$C$16,R17='Tabla Impacto'!$D$16),"Catastrófico","")))))</f>
        <v>Leve</v>
      </c>
      <c r="T17" s="461">
        <f>IF(S17="","",IF(S17="Leve",0.2,IF(S17="Menor",0.4,IF(S17="Moderado",0.6,IF(S17="Mayor",0.8,IF(S17="Catastrófico",1,))))))</f>
        <v>0.2</v>
      </c>
      <c r="U17" s="489" t="str">
        <f>IF(OR(AND(O17="Muy Baja",S17="Leve"),AND(O17="Muy Baja",S17="Menor"),AND(O17="Baja",S17="Leve")),"Bajo",IF(OR(AND(O17="Muy baja",S17="Moderado"),AND(O17="Baja",S17="Menor"),AND(O17="Baja",S17="Moderado"),AND(O17="Media",S17="Leve"),AND(O17="Media",S17="Menor"),AND(O17="Media",S17="Moderado"),AND(O17="Alta",S17="Leve"),AND(O17="Alta",S17="Menor")),"Moderado",IF(OR(AND(O17="Muy Baja",S17="Mayor"),AND(O17="Baja",S17="Mayor"),AND(O17="Media",S17="Mayor"),AND(O17="Alta",S17="Moderado"),AND(O17="Alta",S17="Mayor"),AND(O17="Muy Alta",S17="Leve"),AND(O17="Muy Alta",S17="Menor"),AND(O17="Muy Alta",S17="Moderado"),AND(O17="Muy Alta",S17="Mayor")),"Alto",IF(OR(AND(O17="Muy Baja",S17="Catastrófico"),AND(O17="Baja",S17="Catastrófico"),AND(O17="Media",S17="Catastrófico"),AND(O17="Alta",S17="Catastrófico"),AND(O17="Muy Alta",S17="Catastrófico")),"Extremo",""))))</f>
        <v>Moderado</v>
      </c>
      <c r="V17" s="193">
        <v>1</v>
      </c>
      <c r="W17" s="238" t="s">
        <v>764</v>
      </c>
      <c r="X17" s="193" t="s">
        <v>118</v>
      </c>
      <c r="Y17" s="365" t="s">
        <v>765</v>
      </c>
      <c r="Z17" s="357" t="str">
        <f>+CONCATENATE(W17," ",X17," ",Y17)</f>
        <v>El servidor público o colaborador (profesional) del proceso GCON asignado por la Gerencia de Contratación para adelantar el proceso contratación directa debe Verifica  la existencia del certificado de inexistencia o insuficiencia de personal de planta, donde se identifique que:
I. No existe personal que pueda desarrollar la actividad para la cual se requiere contratar la prestación del servicio.
II.Existe personal en la planta, pero este no es suficiente.
III. El desarrollo de la actividad requiere un grado de especialización y un perfil diferente a los establecidos en el manual de funciones y competencias de la Unidad, lo que implica la inminente necesidad de contratación del servicio.
Como evidencia se entregaran formatos aleatorios de CERTIFICADO DE INEXISTENCIA O INSUFICIENCIA DE PERSONAL(GTHU-FM-031).
En caso de verificar que no se cuenta con el certificado, se debe solicitar al área generador de la necesidad la presentación de este.</v>
      </c>
      <c r="AA17" s="170" t="str">
        <f t="shared" si="8"/>
        <v>Probabilidad</v>
      </c>
      <c r="AB17" s="171" t="s">
        <v>475</v>
      </c>
      <c r="AC17" s="171" t="s">
        <v>476</v>
      </c>
      <c r="AD17" s="172" t="str">
        <f>IF(AND(AB17="Preventivo",AC17="Automático"),"50%",IF(AND(AB17="Preventivo",AC17="Manual"),"40%",IF(AND(AB17="Detectivo",AC17="Automático"),"40%",IF(AND(AB17="Detectivo",AC17="Manual"),"30%",IF(AND(AB17="Correctivo",AC17="Automático"),"35%",IF(AND(AB17="Correctivo",AC17="Manual"),"25%",""))))))</f>
        <v>40%</v>
      </c>
      <c r="AE17" s="171" t="s">
        <v>477</v>
      </c>
      <c r="AF17" s="171" t="s">
        <v>478</v>
      </c>
      <c r="AG17" s="171" t="s">
        <v>482</v>
      </c>
      <c r="AH17" s="173">
        <f>IFERROR(IF(AA17="Probabilidad",(P17-(+P17*AD17)),IF(AA17="Impacto",P17,"")),"")</f>
        <v>0.36</v>
      </c>
      <c r="AI17" s="174" t="str">
        <f>IFERROR(IF(AH17="","",IF(AH17&lt;=0.2,"Muy Baja",IF(AH17&lt;=0.4,"Baja",IF(AH17&lt;=0.6,"Media",IF(AH17&lt;=0.8,"Alta","Muy Alta"))))),"")</f>
        <v>Baja</v>
      </c>
      <c r="AJ17" s="172">
        <f>+AH17</f>
        <v>0.36</v>
      </c>
      <c r="AK17" s="174" t="str">
        <f>IFERROR(IF(AL17="","",IF(AL17&lt;=0.2,"Leve",IF(AL17&lt;=0.4,"Menor",IF(AL17&lt;=0.6,"Moderado",IF(AL17&lt;=0.8,"Mayor","Catastrófico"))))),"")</f>
        <v>Leve</v>
      </c>
      <c r="AL17" s="172">
        <f t="shared" ref="AL17" si="15">IFERROR(IF(AA17="Impacto",(T17-(+T17*AD17)),IF(AA17="Probabilidad",T17,"")),"")</f>
        <v>0.2</v>
      </c>
      <c r="AM17" s="175" t="str">
        <f>IFERROR(IF(OR(AND(AI17="Muy Baja",AK17="Leve"),AND(AI17="Muy Baja",AK17="Menor"),AND(AI17="Baja",AK17="Leve")),"Bajo",IF(OR(AND(AI17="Muy baja",AK17="Moderado"),AND(AI17="Baja",AK17="Menor"),AND(AI17="Baja",AK17="Moderado"),AND(AI17="Media",AK17="Leve"),AND(AI17="Media",AK17="Menor"),AND(AI17="Media",AK17="Moderado"),AND(AI17="Alta",AK17="Leve"),AND(AI17="Alta",AK17="Menor")),"Moderado",IF(OR(AND(AI17="Muy Baja",AK17="Mayor"),AND(AI17="Baja",AK17="Mayor"),AND(AI17="Media",AK17="Mayor"),AND(AI17="Alta",AK17="Moderado"),AND(AI17="Alta",AK17="Mayor"),AND(AI17="Muy Alta",AK17="Leve"),AND(AI17="Muy Alta",AK17="Menor"),AND(AI17="Muy Alta",AK17="Moderado"),AND(AI17="Muy Alta",AK17="Mayor")),"Alto",IF(OR(AND(AI17="Muy Baja",AK17="Catastrófico"),AND(AI17="Baja",AK17="Catastrófico"),AND(AI17="Media",AK17="Catastrófico"),AND(AI17="Alta",AK17="Catastrófico"),AND(AI17="Muy Alta",AK17="Catastrófico")),"Extremo","")))),"")</f>
        <v>Bajo</v>
      </c>
      <c r="AN17" s="363" t="s">
        <v>124</v>
      </c>
      <c r="AO17" s="169" t="s">
        <v>767</v>
      </c>
      <c r="AP17" s="169" t="s">
        <v>766</v>
      </c>
      <c r="AQ17" s="169" t="s">
        <v>719</v>
      </c>
      <c r="AR17" s="178">
        <v>45838</v>
      </c>
      <c r="AS17" s="372" t="s">
        <v>768</v>
      </c>
      <c r="AT17" s="372" t="s">
        <v>769</v>
      </c>
      <c r="AU17" s="372" t="s">
        <v>721</v>
      </c>
    </row>
    <row r="18" spans="1:47" ht="140.25" customHeight="1" x14ac:dyDescent="0.2">
      <c r="A18" s="448"/>
      <c r="B18" s="449"/>
      <c r="C18" s="449"/>
      <c r="D18" s="449"/>
      <c r="E18" s="449"/>
      <c r="F18" s="492"/>
      <c r="G18" s="449"/>
      <c r="H18" s="463"/>
      <c r="I18" s="463"/>
      <c r="J18" s="463"/>
      <c r="K18" s="463"/>
      <c r="L18" s="463"/>
      <c r="M18" s="463"/>
      <c r="N18" s="459"/>
      <c r="O18" s="460"/>
      <c r="P18" s="461"/>
      <c r="Q18" s="490"/>
      <c r="R18" s="461">
        <f>IF(NOT(ISERROR(MATCH(Q18,_xlfn.ANCHORARRAY(F26),0))),P28&amp;"Por favor no seleccionar los criterios de impacto",Q18)</f>
        <v>0</v>
      </c>
      <c r="S18" s="460"/>
      <c r="T18" s="461"/>
      <c r="U18" s="489"/>
      <c r="V18" s="193">
        <v>2</v>
      </c>
      <c r="W18" s="238" t="s">
        <v>770</v>
      </c>
      <c r="X18" s="193" t="s">
        <v>118</v>
      </c>
      <c r="Y18" s="365" t="s">
        <v>771</v>
      </c>
      <c r="Z18" s="357" t="str">
        <f>+CONCATENATE(W18," ",X18," ",Y18)</f>
        <v>El profesional de GCON asignado por la Gerencia de Contratación  Verifica que el colaborador designado por los jefes dependencias como punto de control, realicen el seguimiento mensual al cargue en el SECOP II de los documentos requeridos.
Como evidencia se cuenta con archivo de los seguimientos realizados.
En el caso de que no se identifiquen seguimientos por las dependencias, se remitía correo electrónico al directivo responsable informando el estado.</v>
      </c>
      <c r="AA18" s="170" t="str">
        <f t="shared" si="8"/>
        <v>Probabilidad</v>
      </c>
      <c r="AB18" s="171" t="s">
        <v>475</v>
      </c>
      <c r="AC18" s="171" t="s">
        <v>476</v>
      </c>
      <c r="AD18" s="172" t="str">
        <f>IF(AND(AB18="Preventivo",AC18="Automático"),"50%",IF(AND(AB18="Preventivo",AC18="Manual"),"40%",IF(AND(AB18="Detectivo",AC18="Automático"),"40%",IF(AND(AB18="Detectivo",AC18="Manual"),"30%",IF(AND(AB18="Correctivo",AC18="Automático"),"35%",IF(AND(AB18="Correctivo",AC18="Manual"),"25%",""))))))</f>
        <v>40%</v>
      </c>
      <c r="AE18" s="171" t="s">
        <v>477</v>
      </c>
      <c r="AF18" s="171" t="s">
        <v>478</v>
      </c>
      <c r="AG18" s="171" t="s">
        <v>482</v>
      </c>
      <c r="AH18" s="173">
        <f>IFERROR(IF(AA18="Probabilidad",(P18-(+P18*AD18)),IF(AA18="Impacto",P18,"")),"")</f>
        <v>0</v>
      </c>
      <c r="AI18" s="174" t="str">
        <f>IFERROR(IF(AH18="","",IF(AH18&lt;=0.2,"Muy Baja",IF(AH18&lt;=0.4,"Baja",IF(AH18&lt;=0.6,"Media",IF(AH18&lt;=0.8,"Alta","Muy Alta"))))),"")</f>
        <v>Muy Baja</v>
      </c>
      <c r="AJ18" s="172">
        <f>+AH18</f>
        <v>0</v>
      </c>
      <c r="AK18" s="174" t="str">
        <f>IFERROR(IF(AL18="","",IF(AL18&lt;=0.2,"Leve",IF(AL18&lt;=0.4,"Menor",IF(AL18&lt;=0.6,"Moderado",IF(AL18&lt;=0.8,"Mayor","Catastrófico"))))),"")</f>
        <v>Leve</v>
      </c>
      <c r="AL18" s="172">
        <f t="shared" ref="AL18" si="16">IFERROR(IF(AA18="Impacto",(T18-(+T18*AD18)),IF(AA18="Probabilidad",T18,"")),"")</f>
        <v>0</v>
      </c>
      <c r="AM18" s="175" t="str">
        <f>IFERROR(IF(OR(AND(AI18="Muy Baja",AK18="Leve"),AND(AI18="Muy Baja",AK18="Menor"),AND(AI18="Baja",AK18="Leve")),"Bajo",IF(OR(AND(AI18="Muy baja",AK18="Moderado"),AND(AI18="Baja",AK18="Menor"),AND(AI18="Baja",AK18="Moderado"),AND(AI18="Media",AK18="Leve"),AND(AI18="Media",AK18="Menor"),AND(AI18="Media",AK18="Moderado"),AND(AI18="Alta",AK18="Leve"),AND(AI18="Alta",AK18="Menor")),"Moderado",IF(OR(AND(AI18="Muy Baja",AK18="Mayor"),AND(AI18="Baja",AK18="Mayor"),AND(AI18="Media",AK18="Mayor"),AND(AI18="Alta",AK18="Moderado"),AND(AI18="Alta",AK18="Mayor"),AND(AI18="Muy Alta",AK18="Leve"),AND(AI18="Muy Alta",AK18="Menor"),AND(AI18="Muy Alta",AK18="Moderado"),AND(AI18="Muy Alta",AK18="Mayor")),"Alto",IF(OR(AND(AI18="Muy Baja",AK18="Catastrófico"),AND(AI18="Baja",AK18="Catastrófico"),AND(AI18="Media",AK18="Catastrófico"),AND(AI18="Alta",AK18="Catastrófico"),AND(AI18="Muy Alta",AK18="Catastrófico")),"Extremo","")))),"")</f>
        <v>Bajo</v>
      </c>
      <c r="AN18" s="363" t="s">
        <v>124</v>
      </c>
      <c r="AO18" s="169"/>
      <c r="AP18" s="177"/>
      <c r="AQ18" s="177"/>
      <c r="AR18" s="178"/>
      <c r="AS18" s="373" t="s">
        <v>772</v>
      </c>
      <c r="AT18" s="373" t="s">
        <v>773</v>
      </c>
      <c r="AU18" s="373" t="s">
        <v>721</v>
      </c>
    </row>
    <row r="19" spans="1:47" ht="15" x14ac:dyDescent="0.2">
      <c r="A19" s="448"/>
      <c r="B19" s="449"/>
      <c r="C19" s="449"/>
      <c r="D19" s="449"/>
      <c r="E19" s="449"/>
      <c r="F19" s="492"/>
      <c r="G19" s="449"/>
      <c r="H19" s="463"/>
      <c r="I19" s="463"/>
      <c r="J19" s="463"/>
      <c r="K19" s="463"/>
      <c r="L19" s="463"/>
      <c r="M19" s="463"/>
      <c r="N19" s="459"/>
      <c r="O19" s="460"/>
      <c r="P19" s="461"/>
      <c r="Q19" s="490"/>
      <c r="R19" s="461">
        <f>IF(NOT(ISERROR(MATCH(Q19,_xlfn.ANCHORARRAY(F27),0))),P29&amp;"Por favor no seleccionar los criterios de impacto",Q19)</f>
        <v>0</v>
      </c>
      <c r="S19" s="460"/>
      <c r="T19" s="461"/>
      <c r="U19" s="489"/>
      <c r="V19" s="193">
        <v>3</v>
      </c>
      <c r="W19" s="193"/>
      <c r="X19" s="193"/>
      <c r="Y19" s="193"/>
      <c r="Z19" s="218" t="str">
        <f t="shared" si="1"/>
        <v xml:space="preserve">  </v>
      </c>
      <c r="AA19" s="170" t="str">
        <f t="shared" si="8"/>
        <v/>
      </c>
      <c r="AB19" s="171"/>
      <c r="AC19" s="171"/>
      <c r="AD19" s="172" t="str">
        <f t="shared" ref="AD19" si="17">IF(AND(AB19="Preventivo",AC19="Automático"),"50%",IF(AND(AB19="Preventivo",AC19="Manual"),"40%",IF(AND(AB19="Detectivo",AC19="Automático"),"40%",IF(AND(AB19="Detectivo",AC19="Manual"),"30%",IF(AND(AB19="Correctivo",AC19="Automático"),"35%",IF(AND(AB19="Correctivo",AC19="Manual"),"25%",""))))))</f>
        <v/>
      </c>
      <c r="AE19" s="171"/>
      <c r="AF19" s="171"/>
      <c r="AG19" s="171"/>
      <c r="AH19" s="173" t="str">
        <f>IFERROR(IF(AND(AA18="Probabilidad",AA19="Probabilidad"),(AJ18-(+AJ18*AD19)),IF(AND(AA18="Impacto",AA19="Probabilidad"),(AJ17-(+AJ17*AD19)),IF(AA19="Impacto",AJ18,""))),"")</f>
        <v/>
      </c>
      <c r="AI19" s="174" t="str">
        <f t="shared" si="3"/>
        <v/>
      </c>
      <c r="AJ19" s="172" t="str">
        <f t="shared" ref="AJ19" si="18">+AH19</f>
        <v/>
      </c>
      <c r="AK19" s="174" t="str">
        <f t="shared" si="5"/>
        <v/>
      </c>
      <c r="AL19" s="172" t="str">
        <f t="shared" ref="AL19" si="19">IFERROR(IF(AND(AA18="Impacto",AA19="Impacto"),(AL18-(+AL18*AD19)),IF(AND(AA18="Probabilidad",AA19="Impacto"),(AL17-(+AL17*AD19)),IF(AA19="Probabilidad",AL18,""))),"")</f>
        <v/>
      </c>
      <c r="AM19" s="175" t="str">
        <f t="shared" ref="AM19" si="20">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76"/>
      <c r="AO19" s="169"/>
      <c r="AP19" s="177"/>
      <c r="AQ19" s="177"/>
      <c r="AR19" s="178"/>
      <c r="AS19" s="366"/>
      <c r="AT19" s="366"/>
      <c r="AU19" s="366"/>
    </row>
    <row r="20" spans="1:47" ht="15" x14ac:dyDescent="0.2">
      <c r="A20" s="448">
        <v>4</v>
      </c>
      <c r="B20" s="449"/>
      <c r="C20" s="449"/>
      <c r="D20" s="449"/>
      <c r="E20" s="449"/>
      <c r="F20" s="492" t="str">
        <f t="shared" ref="F20" si="21">+CONCATENATE(B20," ",C20," ",D20)</f>
        <v xml:space="preserve">  </v>
      </c>
      <c r="G20" s="449"/>
      <c r="H20" s="462"/>
      <c r="I20" s="462"/>
      <c r="J20" s="462"/>
      <c r="K20" s="462"/>
      <c r="L20" s="462"/>
      <c r="M20" s="462"/>
      <c r="N20" s="459"/>
      <c r="O20" s="460" t="str">
        <f>IF(N20&lt;=0,"",IF(N20&lt;=2,"Muy Baja",IF(N20&lt;=24,"Baja",IF(N20&lt;=500,"Media",IF(N20&lt;=5000,"Alta","Muy Alta")))))</f>
        <v/>
      </c>
      <c r="P20" s="461" t="str">
        <f>IF(O20="","",IF(O20="Muy Baja",0.2,IF(O20="Baja",0.4,IF(O20="Media",0.6,IF(O20="Alta",0.8,IF(O20="Muy Alta",1,))))))</f>
        <v/>
      </c>
      <c r="Q20" s="490"/>
      <c r="R20" s="461">
        <f>IF(NOT(ISERROR(MATCH(Q20,'Tabla Impacto'!$B$245:$B$247,0))),'Tabla Impacto'!$F$224&amp;"Por favor no seleccionar los criterios de impacto(Afectación Económica o presupuestal y Pérdida Reputacional)",Q20)</f>
        <v>0</v>
      </c>
      <c r="S20" s="460" t="str">
        <f>IF(OR(R20='Tabla Impacto'!$C$12,R20='Tabla Impacto'!$D$12),"Leve",IF(OR(R20='Tabla Impacto'!$C$13,R20='Tabla Impacto'!$D$13),"Menor",IF(OR(R20='Tabla Impacto'!$C$14,R20='Tabla Impacto'!$D$14),"Moderado",IF(OR(R20='Tabla Impacto'!$C$15,R20='Tabla Impacto'!$D$15),"Mayor",IF(OR(R20='Tabla Impacto'!$C$16,R20='Tabla Impacto'!$D$16),"Catastrófico","")))))</f>
        <v/>
      </c>
      <c r="T20" s="461" t="str">
        <f>IF(S20="","",IF(S20="Leve",0.2,IF(S20="Menor",0.4,IF(S20="Moderado",0.6,IF(S20="Mayor",0.8,IF(S20="Catastrófico",1,))))))</f>
        <v/>
      </c>
      <c r="U20" s="489" t="str">
        <f>IF(OR(AND(O20="Muy Baja",S20="Leve"),AND(O20="Muy Baja",S20="Menor"),AND(O20="Baja",S20="Leve")),"Bajo",IF(OR(AND(O20="Muy baja",S20="Moderado"),AND(O20="Baja",S20="Menor"),AND(O20="Baja",S20="Moderado"),AND(O20="Media",S20="Leve"),AND(O20="Media",S20="Menor"),AND(O20="Media",S20="Moderado"),AND(O20="Alta",S20="Leve"),AND(O20="Alta",S20="Menor")),"Moderado",IF(OR(AND(O20="Muy Baja",S20="Mayor"),AND(O20="Baja",S20="Mayor"),AND(O20="Media",S20="Mayor"),AND(O20="Alta",S20="Moderado"),AND(O20="Alta",S20="Mayor"),AND(O20="Muy Alta",S20="Leve"),AND(O20="Muy Alta",S20="Menor"),AND(O20="Muy Alta",S20="Moderado"),AND(O20="Muy Alta",S20="Mayor")),"Alto",IF(OR(AND(O20="Muy Baja",S20="Catastrófico"),AND(O20="Baja",S20="Catastrófico"),AND(O20="Media",S20="Catastrófico"),AND(O20="Alta",S20="Catastrófico"),AND(O20="Muy Alta",S20="Catastrófico")),"Extremo",""))))</f>
        <v/>
      </c>
      <c r="V20" s="193">
        <v>1</v>
      </c>
      <c r="W20" s="193"/>
      <c r="X20" s="193"/>
      <c r="Y20" s="193"/>
      <c r="Z20" s="218" t="str">
        <f t="shared" si="1"/>
        <v xml:space="preserve">  </v>
      </c>
      <c r="AA20" s="170" t="str">
        <f t="shared" si="8"/>
        <v/>
      </c>
      <c r="AB20" s="171"/>
      <c r="AC20" s="171"/>
      <c r="AD20" s="172" t="str">
        <f>IF(AND(AB20="Preventivo",AC20="Automático"),"50%",IF(AND(AB20="Preventivo",AC20="Manual"),"40%",IF(AND(AB20="Detectivo",AC20="Automático"),"40%",IF(AND(AB20="Detectivo",AC20="Manual"),"30%",IF(AND(AB20="Correctivo",AC20="Automático"),"35%",IF(AND(AB20="Correctivo",AC20="Manual"),"25%",""))))))</f>
        <v/>
      </c>
      <c r="AE20" s="171"/>
      <c r="AF20" s="171"/>
      <c r="AG20" s="171"/>
      <c r="AH20" s="173" t="str">
        <f>IFERROR(IF(AA20="Probabilidad",(P20-(+P20*AD20)),IF(AA20="Impacto",P20,"")),"")</f>
        <v/>
      </c>
      <c r="AI20" s="174" t="str">
        <f>IFERROR(IF(AH20="","",IF(AH20&lt;=0.2,"Muy Baja",IF(AH20&lt;=0.4,"Baja",IF(AH20&lt;=0.6,"Media",IF(AH20&lt;=0.8,"Alta","Muy Alta"))))),"")</f>
        <v/>
      </c>
      <c r="AJ20" s="172" t="str">
        <f>+AH20</f>
        <v/>
      </c>
      <c r="AK20" s="174" t="str">
        <f>IFERROR(IF(AL20="","",IF(AL20&lt;=0.2,"Leve",IF(AL20&lt;=0.4,"Menor",IF(AL20&lt;=0.6,"Moderado",IF(AL20&lt;=0.8,"Mayor","Catastrófico"))))),"")</f>
        <v/>
      </c>
      <c r="AL20" s="172" t="str">
        <f t="shared" ref="AL20" si="22">IFERROR(IF(AA20="Impacto",(T20-(+T20*AD20)),IF(AA20="Probabilidad",T20,"")),"")</f>
        <v/>
      </c>
      <c r="AM20" s="175" t="str">
        <f>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76"/>
      <c r="AO20" s="169"/>
      <c r="AP20" s="177"/>
      <c r="AQ20" s="177"/>
      <c r="AR20" s="178"/>
      <c r="AS20" s="459"/>
      <c r="AT20" s="459"/>
      <c r="AU20" s="459"/>
    </row>
    <row r="21" spans="1:47" ht="15" x14ac:dyDescent="0.2">
      <c r="A21" s="448"/>
      <c r="B21" s="449"/>
      <c r="C21" s="449"/>
      <c r="D21" s="449"/>
      <c r="E21" s="449"/>
      <c r="F21" s="492"/>
      <c r="G21" s="449"/>
      <c r="H21" s="463"/>
      <c r="I21" s="463"/>
      <c r="J21" s="463"/>
      <c r="K21" s="463"/>
      <c r="L21" s="463"/>
      <c r="M21" s="463"/>
      <c r="N21" s="459"/>
      <c r="O21" s="460"/>
      <c r="P21" s="461"/>
      <c r="Q21" s="490"/>
      <c r="R21" s="461">
        <f>IF(NOT(ISERROR(MATCH(Q21,_xlfn.ANCHORARRAY(F32),0))),P34&amp;"Por favor no seleccionar los criterios de impacto",Q21)</f>
        <v>0</v>
      </c>
      <c r="S21" s="460"/>
      <c r="T21" s="461"/>
      <c r="U21" s="489"/>
      <c r="V21" s="193">
        <v>2</v>
      </c>
      <c r="W21" s="193"/>
      <c r="X21" s="193"/>
      <c r="Y21" s="193"/>
      <c r="Z21" s="218" t="str">
        <f t="shared" si="1"/>
        <v xml:space="preserve">  </v>
      </c>
      <c r="AA21" s="170" t="str">
        <f t="shared" si="8"/>
        <v/>
      </c>
      <c r="AB21" s="171"/>
      <c r="AC21" s="171"/>
      <c r="AD21" s="172" t="str">
        <f t="shared" ref="AD21:AD25" si="23">IF(AND(AB21="Preventivo",AC21="Automático"),"50%",IF(AND(AB21="Preventivo",AC21="Manual"),"40%",IF(AND(AB21="Detectivo",AC21="Automático"),"40%",IF(AND(AB21="Detectivo",AC21="Manual"),"30%",IF(AND(AB21="Correctivo",AC21="Automático"),"35%",IF(AND(AB21="Correctivo",AC21="Manual"),"25%",""))))))</f>
        <v/>
      </c>
      <c r="AE21" s="171"/>
      <c r="AF21" s="171"/>
      <c r="AG21" s="171"/>
      <c r="AH21" s="173" t="str">
        <f>IFERROR(IF(AND(AA20="Probabilidad",AA21="Probabilidad"),(AJ20-(+AJ20*AD21)),IF(AA21="Probabilidad",(P20-(+P20*AD21)),IF(AA21="Impacto",AJ20,""))),"")</f>
        <v/>
      </c>
      <c r="AI21" s="174" t="str">
        <f t="shared" si="3"/>
        <v/>
      </c>
      <c r="AJ21" s="172" t="str">
        <f t="shared" ref="AJ21:AJ25" si="24">+AH21</f>
        <v/>
      </c>
      <c r="AK21" s="174" t="str">
        <f t="shared" si="5"/>
        <v/>
      </c>
      <c r="AL21" s="172" t="str">
        <f t="shared" ref="AL21" si="25">IFERROR(IF(AND(AA20="Impacto",AA21="Impacto"),(AL20-(+AL20*AD21)),IF(AA21="Impacto",($T$13-(+$T$13*AD21)),IF(AA21="Probabilidad",AL20,""))),"")</f>
        <v/>
      </c>
      <c r="AM21" s="175" t="str">
        <f t="shared" ref="AM21:AM22" si="26">IFERROR(IF(OR(AND(AI21="Muy Baja",AK21="Leve"),AND(AI21="Muy Baja",AK21="Menor"),AND(AI21="Baja",AK21="Leve")),"Bajo",IF(OR(AND(AI21="Muy baja",AK21="Moderado"),AND(AI21="Baja",AK21="Menor"),AND(AI21="Baja",AK21="Moderado"),AND(AI21="Media",AK21="Leve"),AND(AI21="Media",AK21="Menor"),AND(AI21="Media",AK21="Moderado"),AND(AI21="Alta",AK21="Leve"),AND(AI21="Alta",AK21="Menor")),"Moderado",IF(OR(AND(AI21="Muy Baja",AK21="Mayor"),AND(AI21="Baja",AK21="Mayor"),AND(AI21="Media",AK21="Mayor"),AND(AI21="Alta",AK21="Moderado"),AND(AI21="Alta",AK21="Mayor"),AND(AI21="Muy Alta",AK21="Leve"),AND(AI21="Muy Alta",AK21="Menor"),AND(AI21="Muy Alta",AK21="Moderado"),AND(AI21="Muy Alta",AK21="Mayor")),"Alto",IF(OR(AND(AI21="Muy Baja",AK21="Catastrófico"),AND(AI21="Baja",AK21="Catastrófico"),AND(AI21="Media",AK21="Catastrófico"),AND(AI21="Alta",AK21="Catastrófico"),AND(AI21="Muy Alta",AK21="Catastrófico")),"Extremo","")))),"")</f>
        <v/>
      </c>
      <c r="AN21" s="176"/>
      <c r="AO21" s="169"/>
      <c r="AP21" s="177"/>
      <c r="AQ21" s="177"/>
      <c r="AR21" s="178"/>
      <c r="AS21" s="459"/>
      <c r="AT21" s="459"/>
      <c r="AU21" s="459"/>
    </row>
    <row r="22" spans="1:47" ht="15" x14ac:dyDescent="0.2">
      <c r="A22" s="448"/>
      <c r="B22" s="449"/>
      <c r="C22" s="449"/>
      <c r="D22" s="449"/>
      <c r="E22" s="449"/>
      <c r="F22" s="492"/>
      <c r="G22" s="449"/>
      <c r="H22" s="463"/>
      <c r="I22" s="463"/>
      <c r="J22" s="463"/>
      <c r="K22" s="463"/>
      <c r="L22" s="463"/>
      <c r="M22" s="463"/>
      <c r="N22" s="459"/>
      <c r="O22" s="460"/>
      <c r="P22" s="461"/>
      <c r="Q22" s="490"/>
      <c r="R22" s="461">
        <f>IF(NOT(ISERROR(MATCH(Q22,_xlfn.ANCHORARRAY(F33),0))),P35&amp;"Por favor no seleccionar los criterios de impacto",Q22)</f>
        <v>0</v>
      </c>
      <c r="S22" s="460"/>
      <c r="T22" s="461"/>
      <c r="U22" s="489"/>
      <c r="V22" s="193">
        <v>3</v>
      </c>
      <c r="W22" s="193"/>
      <c r="X22" s="193"/>
      <c r="Y22" s="193"/>
      <c r="Z22" s="218" t="str">
        <f t="shared" si="1"/>
        <v xml:space="preserve">  </v>
      </c>
      <c r="AA22" s="170" t="str">
        <f t="shared" si="8"/>
        <v/>
      </c>
      <c r="AB22" s="171"/>
      <c r="AC22" s="171"/>
      <c r="AD22" s="172" t="str">
        <f t="shared" si="23"/>
        <v/>
      </c>
      <c r="AE22" s="171"/>
      <c r="AF22" s="171"/>
      <c r="AG22" s="171"/>
      <c r="AH22" s="173" t="str">
        <f>IFERROR(IF(AND(AA21="Probabilidad",AA22="Probabilidad"),(AJ21-(+AJ21*AD22)),IF(AND(AA21="Impacto",AA22="Probabilidad"),(AJ20-(+AJ20*AD22)),IF(AA22="Impacto",AJ21,""))),"")</f>
        <v/>
      </c>
      <c r="AI22" s="174" t="str">
        <f t="shared" si="3"/>
        <v/>
      </c>
      <c r="AJ22" s="172" t="str">
        <f t="shared" si="24"/>
        <v/>
      </c>
      <c r="AK22" s="174" t="str">
        <f t="shared" si="5"/>
        <v/>
      </c>
      <c r="AL22" s="172" t="str">
        <f t="shared" ref="AL22" si="27">IFERROR(IF(AND(AA21="Impacto",AA22="Impacto"),(AL21-(+AL21*AD22)),IF(AND(AA21="Probabilidad",AA22="Impacto"),(AL20-(+AL20*AD22)),IF(AA22="Probabilidad",AL21,""))),"")</f>
        <v/>
      </c>
      <c r="AM22" s="175" t="str">
        <f t="shared" si="26"/>
        <v/>
      </c>
      <c r="AN22" s="176"/>
      <c r="AO22" s="169"/>
      <c r="AP22" s="177"/>
      <c r="AQ22" s="177"/>
      <c r="AR22" s="178"/>
      <c r="AS22" s="459"/>
      <c r="AT22" s="459"/>
      <c r="AU22" s="459"/>
    </row>
    <row r="23" spans="1:47" ht="15" x14ac:dyDescent="0.2">
      <c r="A23" s="448"/>
      <c r="B23" s="449"/>
      <c r="C23" s="449"/>
      <c r="D23" s="449"/>
      <c r="E23" s="449"/>
      <c r="F23" s="492"/>
      <c r="G23" s="449"/>
      <c r="H23" s="463"/>
      <c r="I23" s="463"/>
      <c r="J23" s="463"/>
      <c r="K23" s="463"/>
      <c r="L23" s="463"/>
      <c r="M23" s="463"/>
      <c r="N23" s="459"/>
      <c r="O23" s="460"/>
      <c r="P23" s="461"/>
      <c r="Q23" s="490"/>
      <c r="R23" s="461">
        <f>IF(NOT(ISERROR(MATCH(Q23,_xlfn.ANCHORARRAY(F34),0))),P36&amp;"Por favor no seleccionar los criterios de impacto",Q23)</f>
        <v>0</v>
      </c>
      <c r="S23" s="460"/>
      <c r="T23" s="461"/>
      <c r="U23" s="489"/>
      <c r="V23" s="193">
        <v>4</v>
      </c>
      <c r="W23" s="193"/>
      <c r="X23" s="193"/>
      <c r="Y23" s="193"/>
      <c r="Z23" s="218" t="str">
        <f t="shared" si="1"/>
        <v xml:space="preserve">  </v>
      </c>
      <c r="AA23" s="170" t="str">
        <f t="shared" ref="AA23:AA25" si="28">IF(OR(AB23="Preventivo",AB23="Detectivo"),"Probabilidad",IF(AB23="Correctivo","Impacto",""))</f>
        <v/>
      </c>
      <c r="AB23" s="171"/>
      <c r="AC23" s="171"/>
      <c r="AD23" s="172" t="str">
        <f t="shared" si="23"/>
        <v/>
      </c>
      <c r="AE23" s="171"/>
      <c r="AF23" s="171"/>
      <c r="AG23" s="171"/>
      <c r="AH23" s="173" t="str">
        <f t="shared" ref="AH23:AH25" si="29">IFERROR(IF(AND(AA22="Probabilidad",AA23="Probabilidad"),(AJ22-(+AJ22*AD23)),IF(AND(AA22="Impacto",AA23="Probabilidad"),(AJ21-(+AJ21*AD23)),IF(AA23="Impacto",AJ22,""))),"")</f>
        <v/>
      </c>
      <c r="AI23" s="174" t="str">
        <f t="shared" si="3"/>
        <v/>
      </c>
      <c r="AJ23" s="172" t="str">
        <f t="shared" si="24"/>
        <v/>
      </c>
      <c r="AK23" s="174" t="str">
        <f t="shared" si="5"/>
        <v/>
      </c>
      <c r="AL23" s="172" t="str">
        <f t="shared" ref="AL23:AL61" si="30">IFERROR(IF(AND(AA22="Impacto",AA23="Impacto"),(AL22-(+AL22*AD23)),IF(AND(AA22="Probabilidad",AA23="Impacto"),(AL21-(+AL21*AD23)),IF(AA23="Probabilidad",AL22,""))),"")</f>
        <v/>
      </c>
      <c r="AM23" s="175" t="str">
        <f>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76"/>
      <c r="AO23" s="169"/>
      <c r="AP23" s="177"/>
      <c r="AQ23" s="177"/>
      <c r="AR23" s="178"/>
      <c r="AS23" s="459"/>
      <c r="AT23" s="459"/>
      <c r="AU23" s="459"/>
    </row>
    <row r="24" spans="1:47" ht="15" x14ac:dyDescent="0.2">
      <c r="A24" s="448"/>
      <c r="B24" s="449"/>
      <c r="C24" s="449"/>
      <c r="D24" s="449"/>
      <c r="E24" s="449"/>
      <c r="F24" s="492"/>
      <c r="G24" s="449"/>
      <c r="H24" s="463"/>
      <c r="I24" s="463"/>
      <c r="J24" s="463"/>
      <c r="K24" s="463"/>
      <c r="L24" s="463"/>
      <c r="M24" s="463"/>
      <c r="N24" s="459"/>
      <c r="O24" s="460"/>
      <c r="P24" s="461"/>
      <c r="Q24" s="490"/>
      <c r="R24" s="461">
        <f>IF(NOT(ISERROR(MATCH(Q24,_xlfn.ANCHORARRAY(F35),0))),P37&amp;"Por favor no seleccionar los criterios de impacto",Q24)</f>
        <v>0</v>
      </c>
      <c r="S24" s="460"/>
      <c r="T24" s="461"/>
      <c r="U24" s="489"/>
      <c r="V24" s="193">
        <v>5</v>
      </c>
      <c r="W24" s="193"/>
      <c r="X24" s="193"/>
      <c r="Y24" s="193"/>
      <c r="Z24" s="218" t="str">
        <f t="shared" si="1"/>
        <v xml:space="preserve">  </v>
      </c>
      <c r="AA24" s="170" t="str">
        <f t="shared" si="28"/>
        <v/>
      </c>
      <c r="AB24" s="171"/>
      <c r="AC24" s="171"/>
      <c r="AD24" s="172" t="str">
        <f t="shared" si="23"/>
        <v/>
      </c>
      <c r="AE24" s="171"/>
      <c r="AF24" s="171"/>
      <c r="AG24" s="171"/>
      <c r="AH24" s="173" t="str">
        <f t="shared" si="29"/>
        <v/>
      </c>
      <c r="AI24" s="174" t="str">
        <f>IFERROR(IF(AH24="","",IF(AH24&lt;=0.2,"Muy Baja",IF(AH24&lt;=0.4,"Baja",IF(AH24&lt;=0.6,"Media",IF(AH24&lt;=0.8,"Alta","Muy Alta"))))),"")</f>
        <v/>
      </c>
      <c r="AJ24" s="172" t="str">
        <f t="shared" si="24"/>
        <v/>
      </c>
      <c r="AK24" s="174" t="str">
        <f t="shared" si="5"/>
        <v/>
      </c>
      <c r="AL24" s="172" t="str">
        <f t="shared" si="30"/>
        <v/>
      </c>
      <c r="AM24" s="175" t="str">
        <f t="shared" ref="AM24:AM25" si="31">IFERROR(IF(OR(AND(AI24="Muy Baja",AK24="Leve"),AND(AI24="Muy Baja",AK24="Menor"),AND(AI24="Baja",AK24="Leve")),"Bajo",IF(OR(AND(AI24="Muy baja",AK24="Moderado"),AND(AI24="Baja",AK24="Menor"),AND(AI24="Baja",AK24="Moderado"),AND(AI24="Media",AK24="Leve"),AND(AI24="Media",AK24="Menor"),AND(AI24="Media",AK24="Moderado"),AND(AI24="Alta",AK24="Leve"),AND(AI24="Alta",AK24="Menor")),"Moderado",IF(OR(AND(AI24="Muy Baja",AK24="Mayor"),AND(AI24="Baja",AK24="Mayor"),AND(AI24="Media",AK24="Mayor"),AND(AI24="Alta",AK24="Moderado"),AND(AI24="Alta",AK24="Mayor"),AND(AI24="Muy Alta",AK24="Leve"),AND(AI24="Muy Alta",AK24="Menor"),AND(AI24="Muy Alta",AK24="Moderado"),AND(AI24="Muy Alta",AK24="Mayor")),"Alto",IF(OR(AND(AI24="Muy Baja",AK24="Catastrófico"),AND(AI24="Baja",AK24="Catastrófico"),AND(AI24="Media",AK24="Catastrófico"),AND(AI24="Alta",AK24="Catastrófico"),AND(AI24="Muy Alta",AK24="Catastrófico")),"Extremo","")))),"")</f>
        <v/>
      </c>
      <c r="AN24" s="176"/>
      <c r="AO24" s="169"/>
      <c r="AP24" s="177"/>
      <c r="AQ24" s="177"/>
      <c r="AR24" s="178"/>
      <c r="AS24" s="459"/>
      <c r="AT24" s="459"/>
      <c r="AU24" s="459"/>
    </row>
    <row r="25" spans="1:47" ht="15" x14ac:dyDescent="0.2">
      <c r="A25" s="448"/>
      <c r="B25" s="449"/>
      <c r="C25" s="449"/>
      <c r="D25" s="449"/>
      <c r="E25" s="449"/>
      <c r="F25" s="492"/>
      <c r="G25" s="449"/>
      <c r="H25" s="491"/>
      <c r="I25" s="491"/>
      <c r="J25" s="491"/>
      <c r="K25" s="491"/>
      <c r="L25" s="491"/>
      <c r="M25" s="491"/>
      <c r="N25" s="459"/>
      <c r="O25" s="460"/>
      <c r="P25" s="461"/>
      <c r="Q25" s="490"/>
      <c r="R25" s="461">
        <f>IF(NOT(ISERROR(MATCH(Q25,_xlfn.ANCHORARRAY(F36),0))),P38&amp;"Por favor no seleccionar los criterios de impacto",Q25)</f>
        <v>0</v>
      </c>
      <c r="S25" s="460"/>
      <c r="T25" s="461"/>
      <c r="U25" s="489"/>
      <c r="V25" s="193">
        <v>6</v>
      </c>
      <c r="W25" s="193"/>
      <c r="X25" s="193"/>
      <c r="Y25" s="193"/>
      <c r="Z25" s="218" t="str">
        <f t="shared" si="1"/>
        <v xml:space="preserve">  </v>
      </c>
      <c r="AA25" s="170" t="str">
        <f t="shared" si="28"/>
        <v/>
      </c>
      <c r="AB25" s="171"/>
      <c r="AC25" s="171"/>
      <c r="AD25" s="172" t="str">
        <f t="shared" si="23"/>
        <v/>
      </c>
      <c r="AE25" s="171"/>
      <c r="AF25" s="171"/>
      <c r="AG25" s="171"/>
      <c r="AH25" s="173" t="str">
        <f t="shared" si="29"/>
        <v/>
      </c>
      <c r="AI25" s="174" t="str">
        <f t="shared" si="3"/>
        <v/>
      </c>
      <c r="AJ25" s="172" t="str">
        <f t="shared" si="24"/>
        <v/>
      </c>
      <c r="AK25" s="174" t="str">
        <f t="shared" si="5"/>
        <v/>
      </c>
      <c r="AL25" s="172" t="str">
        <f t="shared" si="30"/>
        <v/>
      </c>
      <c r="AM25" s="175" t="str">
        <f t="shared" si="31"/>
        <v/>
      </c>
      <c r="AN25" s="176"/>
      <c r="AO25" s="169"/>
      <c r="AP25" s="177"/>
      <c r="AQ25" s="177"/>
      <c r="AR25" s="178"/>
      <c r="AS25" s="459"/>
      <c r="AT25" s="459"/>
      <c r="AU25" s="459"/>
    </row>
    <row r="26" spans="1:47" ht="15" x14ac:dyDescent="0.2">
      <c r="A26" s="448">
        <v>5</v>
      </c>
      <c r="B26" s="449"/>
      <c r="C26" s="449"/>
      <c r="D26" s="449"/>
      <c r="E26" s="449"/>
      <c r="F26" s="492" t="str">
        <f t="shared" ref="F26" si="32">+CONCATENATE(B26," ",C26," ",D26)</f>
        <v xml:space="preserve">  </v>
      </c>
      <c r="G26" s="449"/>
      <c r="H26" s="462"/>
      <c r="I26" s="462"/>
      <c r="J26" s="462"/>
      <c r="K26" s="462"/>
      <c r="L26" s="462"/>
      <c r="M26" s="462"/>
      <c r="N26" s="459"/>
      <c r="O26" s="460" t="str">
        <f>IF(N26&lt;=0,"",IF(N26&lt;=2,"Muy Baja",IF(N26&lt;=24,"Baja",IF(N26&lt;=500,"Media",IF(N26&lt;=5000,"Alta","Muy Alta")))))</f>
        <v/>
      </c>
      <c r="P26" s="461" t="str">
        <f>IF(O26="","",IF(O26="Muy Baja",0.2,IF(O26="Baja",0.4,IF(O26="Media",0.6,IF(O26="Alta",0.8,IF(O26="Muy Alta",1,))))))</f>
        <v/>
      </c>
      <c r="Q26" s="490"/>
      <c r="R26" s="461">
        <f>IF(NOT(ISERROR(MATCH(Q26,'Tabla Impacto'!$B$245:$B$247,0))),'Tabla Impacto'!$F$224&amp;"Por favor no seleccionar los criterios de impacto(Afectación Económica o presupuestal y Pérdida Reputacional)",Q26)</f>
        <v>0</v>
      </c>
      <c r="S26" s="460" t="str">
        <f>IF(OR(R26='Tabla Impacto'!$C$12,R26='Tabla Impacto'!$D$12),"Leve",IF(OR(R26='Tabla Impacto'!$C$13,R26='Tabla Impacto'!$D$13),"Menor",IF(OR(R26='Tabla Impacto'!$C$14,R26='Tabla Impacto'!$D$14),"Moderado",IF(OR(R26='Tabla Impacto'!$C$15,R26='Tabla Impacto'!$D$15),"Mayor",IF(OR(R26='Tabla Impacto'!$C$16,R26='Tabla Impacto'!$D$16),"Catastrófico","")))))</f>
        <v/>
      </c>
      <c r="T26" s="461" t="str">
        <f>IF(S26="","",IF(S26="Leve",0.2,IF(S26="Menor",0.4,IF(S26="Moderado",0.6,IF(S26="Mayor",0.8,IF(S26="Catastrófico",1,))))))</f>
        <v/>
      </c>
      <c r="U26" s="489" t="str">
        <f>IF(OR(AND(O26="Muy Baja",S26="Leve"),AND(O26="Muy Baja",S26="Menor"),AND(O26="Baja",S26="Leve")),"Bajo",IF(OR(AND(O26="Muy baja",S26="Moderado"),AND(O26="Baja",S26="Menor"),AND(O26="Baja",S26="Moderado"),AND(O26="Media",S26="Leve"),AND(O26="Media",S26="Menor"),AND(O26="Media",S26="Moderado"),AND(O26="Alta",S26="Leve"),AND(O26="Alta",S26="Menor")),"Moderado",IF(OR(AND(O26="Muy Baja",S26="Mayor"),AND(O26="Baja",S26="Mayor"),AND(O26="Media",S26="Mayor"),AND(O26="Alta",S26="Moderado"),AND(O26="Alta",S26="Mayor"),AND(O26="Muy Alta",S26="Leve"),AND(O26="Muy Alta",S26="Menor"),AND(O26="Muy Alta",S26="Moderado"),AND(O26="Muy Alta",S26="Mayor")),"Alto",IF(OR(AND(O26="Muy Baja",S26="Catastrófico"),AND(O26="Baja",S26="Catastrófico"),AND(O26="Media",S26="Catastrófico"),AND(O26="Alta",S26="Catastrófico"),AND(O26="Muy Alta",S26="Catastrófico")),"Extremo",""))))</f>
        <v/>
      </c>
      <c r="V26" s="193">
        <v>1</v>
      </c>
      <c r="W26" s="193"/>
      <c r="X26" s="193"/>
      <c r="Y26" s="193"/>
      <c r="Z26" s="218" t="str">
        <f t="shared" si="1"/>
        <v xml:space="preserve">  </v>
      </c>
      <c r="AA26" s="170" t="str">
        <f>IF(OR(AB26="Preventivo",AB26="Detectivo"),"Probabilidad",IF(AB26="Correctivo","Impacto",""))</f>
        <v/>
      </c>
      <c r="AB26" s="171"/>
      <c r="AC26" s="171"/>
      <c r="AD26" s="172" t="str">
        <f>IF(AND(AB26="Preventivo",AC26="Automático"),"50%",IF(AND(AB26="Preventivo",AC26="Manual"),"40%",IF(AND(AB26="Detectivo",AC26="Automático"),"40%",IF(AND(AB26="Detectivo",AC26="Manual"),"30%",IF(AND(AB26="Correctivo",AC26="Automático"),"35%",IF(AND(AB26="Correctivo",AC26="Manual"),"25%",""))))))</f>
        <v/>
      </c>
      <c r="AE26" s="171"/>
      <c r="AF26" s="171"/>
      <c r="AG26" s="171"/>
      <c r="AH26" s="173" t="str">
        <f>IFERROR(IF(AA26="Probabilidad",(P26-(+P26*AD26)),IF(AA26="Impacto",P26,"")),"")</f>
        <v/>
      </c>
      <c r="AI26" s="174" t="str">
        <f>IFERROR(IF(AH26="","",IF(AH26&lt;=0.2,"Muy Baja",IF(AH26&lt;=0.4,"Baja",IF(AH26&lt;=0.6,"Media",IF(AH26&lt;=0.8,"Alta","Muy Alta"))))),"")</f>
        <v/>
      </c>
      <c r="AJ26" s="172" t="str">
        <f>+AH26</f>
        <v/>
      </c>
      <c r="AK26" s="174" t="str">
        <f>IFERROR(IF(AL26="","",IF(AL26&lt;=0.2,"Leve",IF(AL26&lt;=0.4,"Menor",IF(AL26&lt;=0.6,"Moderado",IF(AL26&lt;=0.8,"Mayor","Catastrófico"))))),"")</f>
        <v/>
      </c>
      <c r="AL26" s="172" t="str">
        <f t="shared" ref="AL26" si="33">IFERROR(IF(AA26="Impacto",(T26-(+T26*AD26)),IF(AA26="Probabilidad",T26,"")),"")</f>
        <v/>
      </c>
      <c r="AM26" s="175" t="str">
        <f>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76"/>
      <c r="AO26" s="169"/>
      <c r="AP26" s="177"/>
      <c r="AQ26" s="177"/>
      <c r="AR26" s="178"/>
      <c r="AS26" s="459"/>
      <c r="AT26" s="459"/>
      <c r="AU26" s="459"/>
    </row>
    <row r="27" spans="1:47" ht="15" x14ac:dyDescent="0.2">
      <c r="A27" s="448"/>
      <c r="B27" s="449"/>
      <c r="C27" s="449"/>
      <c r="D27" s="449"/>
      <c r="E27" s="449"/>
      <c r="F27" s="492"/>
      <c r="G27" s="449"/>
      <c r="H27" s="463"/>
      <c r="I27" s="463"/>
      <c r="J27" s="463"/>
      <c r="K27" s="463"/>
      <c r="L27" s="463"/>
      <c r="M27" s="463"/>
      <c r="N27" s="459"/>
      <c r="O27" s="460"/>
      <c r="P27" s="461"/>
      <c r="Q27" s="490"/>
      <c r="R27" s="461">
        <f>IF(NOT(ISERROR(MATCH(Q27,_xlfn.ANCHORARRAY(F38),0))),P40&amp;"Por favor no seleccionar los criterios de impacto",Q27)</f>
        <v>0</v>
      </c>
      <c r="S27" s="460"/>
      <c r="T27" s="461"/>
      <c r="U27" s="489"/>
      <c r="V27" s="193">
        <v>2</v>
      </c>
      <c r="W27" s="193"/>
      <c r="X27" s="193"/>
      <c r="Y27" s="193"/>
      <c r="Z27" s="218" t="str">
        <f t="shared" si="1"/>
        <v xml:space="preserve">  </v>
      </c>
      <c r="AA27" s="170" t="str">
        <f>IF(OR(AB27="Preventivo",AB27="Detectivo"),"Probabilidad",IF(AB27="Correctivo","Impacto",""))</f>
        <v/>
      </c>
      <c r="AB27" s="171"/>
      <c r="AC27" s="171"/>
      <c r="AD27" s="172" t="str">
        <f t="shared" ref="AD27:AD31" si="34">IF(AND(AB27="Preventivo",AC27="Automático"),"50%",IF(AND(AB27="Preventivo",AC27="Manual"),"40%",IF(AND(AB27="Detectivo",AC27="Automático"),"40%",IF(AND(AB27="Detectivo",AC27="Manual"),"30%",IF(AND(AB27="Correctivo",AC27="Automático"),"35%",IF(AND(AB27="Correctivo",AC27="Manual"),"25%",""))))))</f>
        <v/>
      </c>
      <c r="AE27" s="171"/>
      <c r="AF27" s="171"/>
      <c r="AG27" s="171"/>
      <c r="AH27" s="173" t="str">
        <f>IFERROR(IF(AND(AA26="Probabilidad",AA27="Probabilidad"),(AJ26-(+AJ26*AD27)),IF(AA27="Probabilidad",(P26-(+P26*AD27)),IF(AA27="Impacto",AJ26,""))),"")</f>
        <v/>
      </c>
      <c r="AI27" s="174" t="str">
        <f t="shared" si="3"/>
        <v/>
      </c>
      <c r="AJ27" s="172" t="str">
        <f t="shared" ref="AJ27:AJ31" si="35">+AH27</f>
        <v/>
      </c>
      <c r="AK27" s="174" t="str">
        <f t="shared" si="5"/>
        <v/>
      </c>
      <c r="AL27" s="172" t="str">
        <f t="shared" ref="AL27" si="36">IFERROR(IF(AND(AA26="Impacto",AA27="Impacto"),(AL26-(+AL26*AD27)),IF(AA27="Impacto",($T$13-(+$T$13*AD27)),IF(AA27="Probabilidad",AL26,""))),"")</f>
        <v/>
      </c>
      <c r="AM27" s="175" t="str">
        <f t="shared" ref="AM27:AM28" si="37">IFERROR(IF(OR(AND(AI27="Muy Baja",AK27="Leve"),AND(AI27="Muy Baja",AK27="Menor"),AND(AI27="Baja",AK27="Leve")),"Bajo",IF(OR(AND(AI27="Muy baja",AK27="Moderado"),AND(AI27="Baja",AK27="Menor"),AND(AI27="Baja",AK27="Moderado"),AND(AI27="Media",AK27="Leve"),AND(AI27="Media",AK27="Menor"),AND(AI27="Media",AK27="Moderado"),AND(AI27="Alta",AK27="Leve"),AND(AI27="Alta",AK27="Menor")),"Moderado",IF(OR(AND(AI27="Muy Baja",AK27="Mayor"),AND(AI27="Baja",AK27="Mayor"),AND(AI27="Media",AK27="Mayor"),AND(AI27="Alta",AK27="Moderado"),AND(AI27="Alta",AK27="Mayor"),AND(AI27="Muy Alta",AK27="Leve"),AND(AI27="Muy Alta",AK27="Menor"),AND(AI27="Muy Alta",AK27="Moderado"),AND(AI27="Muy Alta",AK27="Mayor")),"Alto",IF(OR(AND(AI27="Muy Baja",AK27="Catastrófico"),AND(AI27="Baja",AK27="Catastrófico"),AND(AI27="Media",AK27="Catastrófico"),AND(AI27="Alta",AK27="Catastrófico"),AND(AI27="Muy Alta",AK27="Catastrófico")),"Extremo","")))),"")</f>
        <v/>
      </c>
      <c r="AN27" s="176"/>
      <c r="AO27" s="169"/>
      <c r="AP27" s="177"/>
      <c r="AQ27" s="177"/>
      <c r="AR27" s="178"/>
      <c r="AS27" s="459"/>
      <c r="AT27" s="459"/>
      <c r="AU27" s="459"/>
    </row>
    <row r="28" spans="1:47" ht="15" x14ac:dyDescent="0.2">
      <c r="A28" s="448"/>
      <c r="B28" s="449"/>
      <c r="C28" s="449"/>
      <c r="D28" s="449"/>
      <c r="E28" s="449"/>
      <c r="F28" s="492"/>
      <c r="G28" s="449"/>
      <c r="H28" s="463"/>
      <c r="I28" s="463"/>
      <c r="J28" s="463"/>
      <c r="K28" s="463"/>
      <c r="L28" s="463"/>
      <c r="M28" s="463"/>
      <c r="N28" s="459"/>
      <c r="O28" s="460"/>
      <c r="P28" s="461"/>
      <c r="Q28" s="490"/>
      <c r="R28" s="461">
        <f>IF(NOT(ISERROR(MATCH(Q28,_xlfn.ANCHORARRAY(F39),0))),P41&amp;"Por favor no seleccionar los criterios de impacto",Q28)</f>
        <v>0</v>
      </c>
      <c r="S28" s="460"/>
      <c r="T28" s="461"/>
      <c r="U28" s="489"/>
      <c r="V28" s="193">
        <v>3</v>
      </c>
      <c r="W28" s="193"/>
      <c r="X28" s="193"/>
      <c r="Y28" s="193"/>
      <c r="Z28" s="218" t="str">
        <f t="shared" si="1"/>
        <v xml:space="preserve">  </v>
      </c>
      <c r="AA28" s="170" t="str">
        <f>IF(OR(AB28="Preventivo",AB28="Detectivo"),"Probabilidad",IF(AB28="Correctivo","Impacto",""))</f>
        <v/>
      </c>
      <c r="AB28" s="171"/>
      <c r="AC28" s="171"/>
      <c r="AD28" s="172" t="str">
        <f t="shared" si="34"/>
        <v/>
      </c>
      <c r="AE28" s="171"/>
      <c r="AF28" s="171"/>
      <c r="AG28" s="171"/>
      <c r="AH28" s="173" t="str">
        <f>IFERROR(IF(AND(AA27="Probabilidad",AA28="Probabilidad"),(AJ27-(+AJ27*AD28)),IF(AND(AA27="Impacto",AA28="Probabilidad"),(AJ26-(+AJ26*AD28)),IF(AA28="Impacto",AJ27,""))),"")</f>
        <v/>
      </c>
      <c r="AI28" s="174" t="str">
        <f t="shared" si="3"/>
        <v/>
      </c>
      <c r="AJ28" s="172" t="str">
        <f t="shared" si="35"/>
        <v/>
      </c>
      <c r="AK28" s="174" t="str">
        <f t="shared" si="5"/>
        <v/>
      </c>
      <c r="AL28" s="172" t="str">
        <f t="shared" ref="AL28" si="38">IFERROR(IF(AND(AA27="Impacto",AA28="Impacto"),(AL27-(+AL27*AD28)),IF(AND(AA27="Probabilidad",AA28="Impacto"),(AL26-(+AL26*AD28)),IF(AA28="Probabilidad",AL27,""))),"")</f>
        <v/>
      </c>
      <c r="AM28" s="175" t="str">
        <f t="shared" si="37"/>
        <v/>
      </c>
      <c r="AN28" s="176"/>
      <c r="AO28" s="169"/>
      <c r="AP28" s="177"/>
      <c r="AQ28" s="177"/>
      <c r="AR28" s="178"/>
      <c r="AS28" s="459"/>
      <c r="AT28" s="459"/>
      <c r="AU28" s="459"/>
    </row>
    <row r="29" spans="1:47" ht="15" x14ac:dyDescent="0.2">
      <c r="A29" s="448"/>
      <c r="B29" s="449"/>
      <c r="C29" s="449"/>
      <c r="D29" s="449"/>
      <c r="E29" s="449"/>
      <c r="F29" s="492"/>
      <c r="G29" s="449"/>
      <c r="H29" s="463"/>
      <c r="I29" s="463"/>
      <c r="J29" s="463"/>
      <c r="K29" s="463"/>
      <c r="L29" s="463"/>
      <c r="M29" s="463"/>
      <c r="N29" s="459"/>
      <c r="O29" s="460"/>
      <c r="P29" s="461"/>
      <c r="Q29" s="490"/>
      <c r="R29" s="461">
        <f>IF(NOT(ISERROR(MATCH(Q29,_xlfn.ANCHORARRAY(F40),0))),P42&amp;"Por favor no seleccionar los criterios de impacto",Q29)</f>
        <v>0</v>
      </c>
      <c r="S29" s="460"/>
      <c r="T29" s="461"/>
      <c r="U29" s="489"/>
      <c r="V29" s="193">
        <v>4</v>
      </c>
      <c r="W29" s="193"/>
      <c r="X29" s="193"/>
      <c r="Y29" s="193"/>
      <c r="Z29" s="218" t="str">
        <f t="shared" si="1"/>
        <v xml:space="preserve">  </v>
      </c>
      <c r="AA29" s="170" t="str">
        <f t="shared" ref="AA29:AA31" si="39">IF(OR(AB29="Preventivo",AB29="Detectivo"),"Probabilidad",IF(AB29="Correctivo","Impacto",""))</f>
        <v/>
      </c>
      <c r="AB29" s="171"/>
      <c r="AC29" s="171"/>
      <c r="AD29" s="172" t="str">
        <f t="shared" si="34"/>
        <v/>
      </c>
      <c r="AE29" s="171"/>
      <c r="AF29" s="171"/>
      <c r="AG29" s="171"/>
      <c r="AH29" s="173" t="str">
        <f t="shared" ref="AH29:AH31" si="40">IFERROR(IF(AND(AA28="Probabilidad",AA29="Probabilidad"),(AJ28-(+AJ28*AD29)),IF(AND(AA28="Impacto",AA29="Probabilidad"),(AJ27-(+AJ27*AD29)),IF(AA29="Impacto",AJ28,""))),"")</f>
        <v/>
      </c>
      <c r="AI29" s="174" t="str">
        <f t="shared" si="3"/>
        <v/>
      </c>
      <c r="AJ29" s="172" t="str">
        <f t="shared" si="35"/>
        <v/>
      </c>
      <c r="AK29" s="174" t="str">
        <f t="shared" si="5"/>
        <v/>
      </c>
      <c r="AL29" s="172" t="str">
        <f t="shared" si="30"/>
        <v/>
      </c>
      <c r="AM29" s="175" t="str">
        <f>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76"/>
      <c r="AO29" s="169"/>
      <c r="AP29" s="177"/>
      <c r="AQ29" s="177"/>
      <c r="AR29" s="178"/>
      <c r="AS29" s="459"/>
      <c r="AT29" s="459"/>
      <c r="AU29" s="459"/>
    </row>
    <row r="30" spans="1:47" ht="15" x14ac:dyDescent="0.2">
      <c r="A30" s="448"/>
      <c r="B30" s="449"/>
      <c r="C30" s="449"/>
      <c r="D30" s="449"/>
      <c r="E30" s="449"/>
      <c r="F30" s="492"/>
      <c r="G30" s="449"/>
      <c r="H30" s="463"/>
      <c r="I30" s="463"/>
      <c r="J30" s="463"/>
      <c r="K30" s="463"/>
      <c r="L30" s="463"/>
      <c r="M30" s="463"/>
      <c r="N30" s="459"/>
      <c r="O30" s="460"/>
      <c r="P30" s="461"/>
      <c r="Q30" s="490"/>
      <c r="R30" s="461">
        <f>IF(NOT(ISERROR(MATCH(Q30,_xlfn.ANCHORARRAY(F41),0))),P43&amp;"Por favor no seleccionar los criterios de impacto",Q30)</f>
        <v>0</v>
      </c>
      <c r="S30" s="460"/>
      <c r="T30" s="461"/>
      <c r="U30" s="489"/>
      <c r="V30" s="193">
        <v>5</v>
      </c>
      <c r="W30" s="193"/>
      <c r="X30" s="193"/>
      <c r="Y30" s="193"/>
      <c r="Z30" s="218" t="str">
        <f t="shared" si="1"/>
        <v xml:space="preserve">  </v>
      </c>
      <c r="AA30" s="170" t="str">
        <f t="shared" si="39"/>
        <v/>
      </c>
      <c r="AB30" s="171"/>
      <c r="AC30" s="171"/>
      <c r="AD30" s="172" t="str">
        <f t="shared" si="34"/>
        <v/>
      </c>
      <c r="AE30" s="171"/>
      <c r="AF30" s="171"/>
      <c r="AG30" s="171"/>
      <c r="AH30" s="173" t="str">
        <f t="shared" si="40"/>
        <v/>
      </c>
      <c r="AI30" s="174" t="str">
        <f t="shared" si="3"/>
        <v/>
      </c>
      <c r="AJ30" s="172" t="str">
        <f t="shared" si="35"/>
        <v/>
      </c>
      <c r="AK30" s="174" t="str">
        <f t="shared" si="5"/>
        <v/>
      </c>
      <c r="AL30" s="172" t="str">
        <f t="shared" si="30"/>
        <v/>
      </c>
      <c r="AM30" s="175" t="str">
        <f t="shared" ref="AM30:AM31" si="41">IFERROR(IF(OR(AND(AI30="Muy Baja",AK30="Leve"),AND(AI30="Muy Baja",AK30="Menor"),AND(AI30="Baja",AK30="Leve")),"Bajo",IF(OR(AND(AI30="Muy baja",AK30="Moderado"),AND(AI30="Baja",AK30="Menor"),AND(AI30="Baja",AK30="Moderado"),AND(AI30="Media",AK30="Leve"),AND(AI30="Media",AK30="Menor"),AND(AI30="Media",AK30="Moderado"),AND(AI30="Alta",AK30="Leve"),AND(AI30="Alta",AK30="Menor")),"Moderado",IF(OR(AND(AI30="Muy Baja",AK30="Mayor"),AND(AI30="Baja",AK30="Mayor"),AND(AI30="Media",AK30="Mayor"),AND(AI30="Alta",AK30="Moderado"),AND(AI30="Alta",AK30="Mayor"),AND(AI30="Muy Alta",AK30="Leve"),AND(AI30="Muy Alta",AK30="Menor"),AND(AI30="Muy Alta",AK30="Moderado"),AND(AI30="Muy Alta",AK30="Mayor")),"Alto",IF(OR(AND(AI30="Muy Baja",AK30="Catastrófico"),AND(AI30="Baja",AK30="Catastrófico"),AND(AI30="Media",AK30="Catastrófico"),AND(AI30="Alta",AK30="Catastrófico"),AND(AI30="Muy Alta",AK30="Catastrófico")),"Extremo","")))),"")</f>
        <v/>
      </c>
      <c r="AN30" s="176"/>
      <c r="AO30" s="169"/>
      <c r="AP30" s="177"/>
      <c r="AQ30" s="177"/>
      <c r="AR30" s="178"/>
      <c r="AS30" s="459"/>
      <c r="AT30" s="459"/>
      <c r="AU30" s="459"/>
    </row>
    <row r="31" spans="1:47" ht="15" x14ac:dyDescent="0.2">
      <c r="A31" s="448"/>
      <c r="B31" s="449"/>
      <c r="C31" s="449"/>
      <c r="D31" s="449"/>
      <c r="E31" s="449"/>
      <c r="F31" s="492"/>
      <c r="G31" s="449"/>
      <c r="H31" s="491"/>
      <c r="I31" s="491"/>
      <c r="J31" s="491"/>
      <c r="K31" s="491"/>
      <c r="L31" s="491"/>
      <c r="M31" s="491"/>
      <c r="N31" s="459"/>
      <c r="O31" s="460"/>
      <c r="P31" s="461"/>
      <c r="Q31" s="490"/>
      <c r="R31" s="461">
        <f>IF(NOT(ISERROR(MATCH(Q31,_xlfn.ANCHORARRAY(F42),0))),P44&amp;"Por favor no seleccionar los criterios de impacto",Q31)</f>
        <v>0</v>
      </c>
      <c r="S31" s="460"/>
      <c r="T31" s="461"/>
      <c r="U31" s="489"/>
      <c r="V31" s="193">
        <v>6</v>
      </c>
      <c r="W31" s="193"/>
      <c r="X31" s="193"/>
      <c r="Y31" s="193"/>
      <c r="Z31" s="218" t="str">
        <f t="shared" si="1"/>
        <v xml:space="preserve">  </v>
      </c>
      <c r="AA31" s="170" t="str">
        <f t="shared" si="39"/>
        <v/>
      </c>
      <c r="AB31" s="171"/>
      <c r="AC31" s="171"/>
      <c r="AD31" s="172" t="str">
        <f t="shared" si="34"/>
        <v/>
      </c>
      <c r="AE31" s="171"/>
      <c r="AF31" s="171"/>
      <c r="AG31" s="171"/>
      <c r="AH31" s="173" t="str">
        <f t="shared" si="40"/>
        <v/>
      </c>
      <c r="AI31" s="174" t="str">
        <f t="shared" si="3"/>
        <v/>
      </c>
      <c r="AJ31" s="172" t="str">
        <f t="shared" si="35"/>
        <v/>
      </c>
      <c r="AK31" s="174" t="str">
        <f t="shared" si="5"/>
        <v/>
      </c>
      <c r="AL31" s="172" t="str">
        <f t="shared" si="30"/>
        <v/>
      </c>
      <c r="AM31" s="175" t="str">
        <f t="shared" si="41"/>
        <v/>
      </c>
      <c r="AN31" s="176"/>
      <c r="AO31" s="169"/>
      <c r="AP31" s="177"/>
      <c r="AQ31" s="177"/>
      <c r="AR31" s="178"/>
      <c r="AS31" s="459"/>
      <c r="AT31" s="459"/>
      <c r="AU31" s="459"/>
    </row>
    <row r="32" spans="1:47" ht="15" x14ac:dyDescent="0.2">
      <c r="A32" s="448">
        <v>6</v>
      </c>
      <c r="B32" s="449"/>
      <c r="C32" s="449"/>
      <c r="D32" s="449"/>
      <c r="E32" s="449"/>
      <c r="F32" s="492" t="str">
        <f t="shared" ref="F32" si="42">+CONCATENATE(B32," ",C32," ",D32)</f>
        <v xml:space="preserve">  </v>
      </c>
      <c r="G32" s="449"/>
      <c r="H32" s="462"/>
      <c r="I32" s="462"/>
      <c r="J32" s="462"/>
      <c r="K32" s="462"/>
      <c r="L32" s="462"/>
      <c r="M32" s="462"/>
      <c r="N32" s="459"/>
      <c r="O32" s="460" t="str">
        <f>IF(N32&lt;=0,"",IF(N32&lt;=2,"Muy Baja",IF(N32&lt;=24,"Baja",IF(N32&lt;=500,"Media",IF(N32&lt;=5000,"Alta","Muy Alta")))))</f>
        <v/>
      </c>
      <c r="P32" s="461" t="str">
        <f>IF(O32="","",IF(O32="Muy Baja",0.2,IF(O32="Baja",0.4,IF(O32="Media",0.6,IF(O32="Alta",0.8,IF(O32="Muy Alta",1,))))))</f>
        <v/>
      </c>
      <c r="Q32" s="490"/>
      <c r="R32" s="461">
        <f>IF(NOT(ISERROR(MATCH(Q32,'Tabla Impacto'!$B$245:$B$247,0))),'Tabla Impacto'!$F$224&amp;"Por favor no seleccionar los criterios de impacto(Afectación Económica o presupuestal y Pérdida Reputacional)",Q32)</f>
        <v>0</v>
      </c>
      <c r="S32" s="460" t="str">
        <f>IF(OR(R32='Tabla Impacto'!$C$12,R32='Tabla Impacto'!$D$12),"Leve",IF(OR(R32='Tabla Impacto'!$C$13,R32='Tabla Impacto'!$D$13),"Menor",IF(OR(R32='Tabla Impacto'!$C$14,R32='Tabla Impacto'!$D$14),"Moderado",IF(OR(R32='Tabla Impacto'!$C$15,R32='Tabla Impacto'!$D$15),"Mayor",IF(OR(R32='Tabla Impacto'!$C$16,R32='Tabla Impacto'!$D$16),"Catastrófico","")))))</f>
        <v/>
      </c>
      <c r="T32" s="461" t="str">
        <f>IF(S32="","",IF(S32="Leve",0.2,IF(S32="Menor",0.4,IF(S32="Moderado",0.6,IF(S32="Mayor",0.8,IF(S32="Catastrófico",1,))))))</f>
        <v/>
      </c>
      <c r="U32" s="489" t="str">
        <f>IF(OR(AND(O32="Muy Baja",S32="Leve"),AND(O32="Muy Baja",S32="Menor"),AND(O32="Baja",S32="Leve")),"Bajo",IF(OR(AND(O32="Muy baja",S32="Moderado"),AND(O32="Baja",S32="Menor"),AND(O32="Baja",S32="Moderado"),AND(O32="Media",S32="Leve"),AND(O32="Media",S32="Menor"),AND(O32="Media",S32="Moderado"),AND(O32="Alta",S32="Leve"),AND(O32="Alta",S32="Menor")),"Moderado",IF(OR(AND(O32="Muy Baja",S32="Mayor"),AND(O32="Baja",S32="Mayor"),AND(O32="Media",S32="Mayor"),AND(O32="Alta",S32="Moderado"),AND(O32="Alta",S32="Mayor"),AND(O32="Muy Alta",S32="Leve"),AND(O32="Muy Alta",S32="Menor"),AND(O32="Muy Alta",S32="Moderado"),AND(O32="Muy Alta",S32="Mayor")),"Alto",IF(OR(AND(O32="Muy Baja",S32="Catastrófico"),AND(O32="Baja",S32="Catastrófico"),AND(O32="Media",S32="Catastrófico"),AND(O32="Alta",S32="Catastrófico"),AND(O32="Muy Alta",S32="Catastrófico")),"Extremo",""))))</f>
        <v/>
      </c>
      <c r="V32" s="193">
        <v>1</v>
      </c>
      <c r="W32" s="193"/>
      <c r="X32" s="193"/>
      <c r="Y32" s="193"/>
      <c r="Z32" s="218" t="str">
        <f t="shared" si="1"/>
        <v xml:space="preserve">  </v>
      </c>
      <c r="AA32" s="170" t="str">
        <f>IF(OR(AB32="Preventivo",AB32="Detectivo"),"Probabilidad",IF(AB32="Correctivo","Impacto",""))</f>
        <v/>
      </c>
      <c r="AB32" s="171"/>
      <c r="AC32" s="171"/>
      <c r="AD32" s="172" t="str">
        <f>IF(AND(AB32="Preventivo",AC32="Automático"),"50%",IF(AND(AB32="Preventivo",AC32="Manual"),"40%",IF(AND(AB32="Detectivo",AC32="Automático"),"40%",IF(AND(AB32="Detectivo",AC32="Manual"),"30%",IF(AND(AB32="Correctivo",AC32="Automático"),"35%",IF(AND(AB32="Correctivo",AC32="Manual"),"25%",""))))))</f>
        <v/>
      </c>
      <c r="AE32" s="171"/>
      <c r="AF32" s="171"/>
      <c r="AG32" s="171"/>
      <c r="AH32" s="173" t="str">
        <f>IFERROR(IF(AA32="Probabilidad",(P32-(+P32*AD32)),IF(AA32="Impacto",P32,"")),"")</f>
        <v/>
      </c>
      <c r="AI32" s="174" t="str">
        <f>IFERROR(IF(AH32="","",IF(AH32&lt;=0.2,"Muy Baja",IF(AH32&lt;=0.4,"Baja",IF(AH32&lt;=0.6,"Media",IF(AH32&lt;=0.8,"Alta","Muy Alta"))))),"")</f>
        <v/>
      </c>
      <c r="AJ32" s="172" t="str">
        <f>+AH32</f>
        <v/>
      </c>
      <c r="AK32" s="174" t="str">
        <f>IFERROR(IF(AL32="","",IF(AL32&lt;=0.2,"Leve",IF(AL32&lt;=0.4,"Menor",IF(AL32&lt;=0.6,"Moderado",IF(AL32&lt;=0.8,"Mayor","Catastrófico"))))),"")</f>
        <v/>
      </c>
      <c r="AL32" s="172" t="str">
        <f t="shared" ref="AL32" si="43">IFERROR(IF(AA32="Impacto",(T32-(+T32*AD32)),IF(AA32="Probabilidad",T32,"")),"")</f>
        <v/>
      </c>
      <c r="AM32" s="175" t="str">
        <f>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71"/>
      <c r="AO32" s="169"/>
      <c r="AP32" s="177"/>
      <c r="AQ32" s="177"/>
      <c r="AR32" s="178"/>
      <c r="AS32" s="459"/>
      <c r="AT32" s="459"/>
      <c r="AU32" s="459"/>
    </row>
    <row r="33" spans="1:47" ht="15" x14ac:dyDescent="0.2">
      <c r="A33" s="448"/>
      <c r="B33" s="449"/>
      <c r="C33" s="449"/>
      <c r="D33" s="449"/>
      <c r="E33" s="449"/>
      <c r="F33" s="492"/>
      <c r="G33" s="449"/>
      <c r="H33" s="463"/>
      <c r="I33" s="463"/>
      <c r="J33" s="463"/>
      <c r="K33" s="463"/>
      <c r="L33" s="463"/>
      <c r="M33" s="463"/>
      <c r="N33" s="459"/>
      <c r="O33" s="460"/>
      <c r="P33" s="461"/>
      <c r="Q33" s="490"/>
      <c r="R33" s="461">
        <f>IF(NOT(ISERROR(MATCH(Q33,_xlfn.ANCHORARRAY(F44),0))),P46&amp;"Por favor no seleccionar los criterios de impacto",Q33)</f>
        <v>0</v>
      </c>
      <c r="S33" s="460"/>
      <c r="T33" s="461"/>
      <c r="U33" s="489"/>
      <c r="V33" s="193">
        <v>2</v>
      </c>
      <c r="W33" s="193"/>
      <c r="X33" s="193"/>
      <c r="Y33" s="193"/>
      <c r="Z33" s="218" t="str">
        <f t="shared" si="1"/>
        <v xml:space="preserve">  </v>
      </c>
      <c r="AA33" s="170" t="str">
        <f>IF(OR(AB33="Preventivo",AB33="Detectivo"),"Probabilidad",IF(AB33="Correctivo","Impacto",""))</f>
        <v/>
      </c>
      <c r="AB33" s="171"/>
      <c r="AC33" s="171"/>
      <c r="AD33" s="172" t="str">
        <f t="shared" ref="AD33:AD37" si="44">IF(AND(AB33="Preventivo",AC33="Automático"),"50%",IF(AND(AB33="Preventivo",AC33="Manual"),"40%",IF(AND(AB33="Detectivo",AC33="Automático"),"40%",IF(AND(AB33="Detectivo",AC33="Manual"),"30%",IF(AND(AB33="Correctivo",AC33="Automático"),"35%",IF(AND(AB33="Correctivo",AC33="Manual"),"25%",""))))))</f>
        <v/>
      </c>
      <c r="AE33" s="171"/>
      <c r="AF33" s="171"/>
      <c r="AG33" s="171"/>
      <c r="AH33" s="173" t="str">
        <f>IFERROR(IF(AND(AA32="Probabilidad",AA33="Probabilidad"),(AJ32-(+AJ32*AD33)),IF(AA33="Probabilidad",(P32-(+P32*AD33)),IF(AA33="Impacto",AJ32,""))),"")</f>
        <v/>
      </c>
      <c r="AI33" s="174" t="str">
        <f t="shared" si="3"/>
        <v/>
      </c>
      <c r="AJ33" s="172" t="str">
        <f t="shared" ref="AJ33:AJ37" si="45">+AH33</f>
        <v/>
      </c>
      <c r="AK33" s="174" t="str">
        <f t="shared" si="5"/>
        <v/>
      </c>
      <c r="AL33" s="172" t="str">
        <f t="shared" ref="AL33" si="46">IFERROR(IF(AND(AA32="Impacto",AA33="Impacto"),(AL32-(+AL32*AD33)),IF(AA33="Impacto",($T$13-(+$T$13*AD33)),IF(AA33="Probabilidad",AL32,""))),"")</f>
        <v/>
      </c>
      <c r="AM33" s="175" t="str">
        <f t="shared" ref="AM33:AM34" si="47">IFERROR(IF(OR(AND(AI33="Muy Baja",AK33="Leve"),AND(AI33="Muy Baja",AK33="Menor"),AND(AI33="Baja",AK33="Leve")),"Bajo",IF(OR(AND(AI33="Muy baja",AK33="Moderado"),AND(AI33="Baja",AK33="Menor"),AND(AI33="Baja",AK33="Moderado"),AND(AI33="Media",AK33="Leve"),AND(AI33="Media",AK33="Menor"),AND(AI33="Media",AK33="Moderado"),AND(AI33="Alta",AK33="Leve"),AND(AI33="Alta",AK33="Menor")),"Moderado",IF(OR(AND(AI33="Muy Baja",AK33="Mayor"),AND(AI33="Baja",AK33="Mayor"),AND(AI33="Media",AK33="Mayor"),AND(AI33="Alta",AK33="Moderado"),AND(AI33="Alta",AK33="Mayor"),AND(AI33="Muy Alta",AK33="Leve"),AND(AI33="Muy Alta",AK33="Menor"),AND(AI33="Muy Alta",AK33="Moderado"),AND(AI33="Muy Alta",AK33="Mayor")),"Alto",IF(OR(AND(AI33="Muy Baja",AK33="Catastrófico"),AND(AI33="Baja",AK33="Catastrófico"),AND(AI33="Media",AK33="Catastrófico"),AND(AI33="Alta",AK33="Catastrófico"),AND(AI33="Muy Alta",AK33="Catastrófico")),"Extremo","")))),"")</f>
        <v/>
      </c>
      <c r="AN33" s="176"/>
      <c r="AO33" s="169"/>
      <c r="AP33" s="177"/>
      <c r="AQ33" s="177"/>
      <c r="AR33" s="178"/>
      <c r="AS33" s="459"/>
      <c r="AT33" s="459"/>
      <c r="AU33" s="459"/>
    </row>
    <row r="34" spans="1:47" ht="15" x14ac:dyDescent="0.2">
      <c r="A34" s="448"/>
      <c r="B34" s="449"/>
      <c r="C34" s="449"/>
      <c r="D34" s="449"/>
      <c r="E34" s="449"/>
      <c r="F34" s="492"/>
      <c r="G34" s="449"/>
      <c r="H34" s="463"/>
      <c r="I34" s="463"/>
      <c r="J34" s="463"/>
      <c r="K34" s="463"/>
      <c r="L34" s="463"/>
      <c r="M34" s="463"/>
      <c r="N34" s="459"/>
      <c r="O34" s="460"/>
      <c r="P34" s="461"/>
      <c r="Q34" s="490"/>
      <c r="R34" s="461">
        <f>IF(NOT(ISERROR(MATCH(Q34,_xlfn.ANCHORARRAY(F45),0))),P47&amp;"Por favor no seleccionar los criterios de impacto",Q34)</f>
        <v>0</v>
      </c>
      <c r="S34" s="460"/>
      <c r="T34" s="461"/>
      <c r="U34" s="489"/>
      <c r="V34" s="193">
        <v>3</v>
      </c>
      <c r="W34" s="193"/>
      <c r="X34" s="193"/>
      <c r="Y34" s="193"/>
      <c r="Z34" s="218" t="str">
        <f t="shared" si="1"/>
        <v xml:space="preserve">  </v>
      </c>
      <c r="AA34" s="170" t="str">
        <f>IF(OR(AB34="Preventivo",AB34="Detectivo"),"Probabilidad",IF(AB34="Correctivo","Impacto",""))</f>
        <v/>
      </c>
      <c r="AB34" s="171"/>
      <c r="AC34" s="171"/>
      <c r="AD34" s="172" t="str">
        <f t="shared" si="44"/>
        <v/>
      </c>
      <c r="AE34" s="171"/>
      <c r="AF34" s="171"/>
      <c r="AG34" s="171"/>
      <c r="AH34" s="173" t="str">
        <f>IFERROR(IF(AND(AA33="Probabilidad",AA34="Probabilidad"),(AJ33-(+AJ33*AD34)),IF(AND(AA33="Impacto",AA34="Probabilidad"),(AJ32-(+AJ32*AD34)),IF(AA34="Impacto",AJ33,""))),"")</f>
        <v/>
      </c>
      <c r="AI34" s="174" t="str">
        <f t="shared" si="3"/>
        <v/>
      </c>
      <c r="AJ34" s="172" t="str">
        <f t="shared" si="45"/>
        <v/>
      </c>
      <c r="AK34" s="174" t="str">
        <f t="shared" si="5"/>
        <v/>
      </c>
      <c r="AL34" s="172" t="str">
        <f t="shared" ref="AL34" si="48">IFERROR(IF(AND(AA33="Impacto",AA34="Impacto"),(AL33-(+AL33*AD34)),IF(AND(AA33="Probabilidad",AA34="Impacto"),(AL32-(+AL32*AD34)),IF(AA34="Probabilidad",AL33,""))),"")</f>
        <v/>
      </c>
      <c r="AM34" s="175" t="str">
        <f t="shared" si="47"/>
        <v/>
      </c>
      <c r="AN34" s="176"/>
      <c r="AO34" s="169"/>
      <c r="AP34" s="177"/>
      <c r="AQ34" s="177"/>
      <c r="AR34" s="178"/>
      <c r="AS34" s="459"/>
      <c r="AT34" s="459"/>
      <c r="AU34" s="459"/>
    </row>
    <row r="35" spans="1:47" ht="15" x14ac:dyDescent="0.2">
      <c r="A35" s="448"/>
      <c r="B35" s="449"/>
      <c r="C35" s="449"/>
      <c r="D35" s="449"/>
      <c r="E35" s="449"/>
      <c r="F35" s="492"/>
      <c r="G35" s="449"/>
      <c r="H35" s="463"/>
      <c r="I35" s="463"/>
      <c r="J35" s="463"/>
      <c r="K35" s="463"/>
      <c r="L35" s="463"/>
      <c r="M35" s="463"/>
      <c r="N35" s="459"/>
      <c r="O35" s="460"/>
      <c r="P35" s="461"/>
      <c r="Q35" s="490"/>
      <c r="R35" s="461">
        <f>IF(NOT(ISERROR(MATCH(Q35,_xlfn.ANCHORARRAY(F46),0))),P48&amp;"Por favor no seleccionar los criterios de impacto",Q35)</f>
        <v>0</v>
      </c>
      <c r="S35" s="460"/>
      <c r="T35" s="461"/>
      <c r="U35" s="489"/>
      <c r="V35" s="193">
        <v>4</v>
      </c>
      <c r="W35" s="193"/>
      <c r="X35" s="193"/>
      <c r="Y35" s="193"/>
      <c r="Z35" s="218" t="str">
        <f t="shared" si="1"/>
        <v xml:space="preserve">  </v>
      </c>
      <c r="AA35" s="170" t="str">
        <f t="shared" ref="AA35:AA37" si="49">IF(OR(AB35="Preventivo",AB35="Detectivo"),"Probabilidad",IF(AB35="Correctivo","Impacto",""))</f>
        <v/>
      </c>
      <c r="AB35" s="171"/>
      <c r="AC35" s="171"/>
      <c r="AD35" s="172" t="str">
        <f t="shared" si="44"/>
        <v/>
      </c>
      <c r="AE35" s="171"/>
      <c r="AF35" s="171"/>
      <c r="AG35" s="171"/>
      <c r="AH35" s="173" t="str">
        <f t="shared" ref="AH35:AH37" si="50">IFERROR(IF(AND(AA34="Probabilidad",AA35="Probabilidad"),(AJ34-(+AJ34*AD35)),IF(AND(AA34="Impacto",AA35="Probabilidad"),(AJ33-(+AJ33*AD35)),IF(AA35="Impacto",AJ34,""))),"")</f>
        <v/>
      </c>
      <c r="AI35" s="174" t="str">
        <f t="shared" si="3"/>
        <v/>
      </c>
      <c r="AJ35" s="172" t="str">
        <f t="shared" si="45"/>
        <v/>
      </c>
      <c r="AK35" s="174" t="str">
        <f t="shared" si="5"/>
        <v/>
      </c>
      <c r="AL35" s="172" t="str">
        <f t="shared" si="30"/>
        <v/>
      </c>
      <c r="AM35" s="175" t="str">
        <f>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76"/>
      <c r="AO35" s="169"/>
      <c r="AP35" s="177"/>
      <c r="AQ35" s="177"/>
      <c r="AR35" s="178"/>
      <c r="AS35" s="459"/>
      <c r="AT35" s="459"/>
      <c r="AU35" s="459"/>
    </row>
    <row r="36" spans="1:47" ht="15" x14ac:dyDescent="0.2">
      <c r="A36" s="448"/>
      <c r="B36" s="449"/>
      <c r="C36" s="449"/>
      <c r="D36" s="449"/>
      <c r="E36" s="449"/>
      <c r="F36" s="492"/>
      <c r="G36" s="449"/>
      <c r="H36" s="463"/>
      <c r="I36" s="463"/>
      <c r="J36" s="463"/>
      <c r="K36" s="463"/>
      <c r="L36" s="463"/>
      <c r="M36" s="463"/>
      <c r="N36" s="459"/>
      <c r="O36" s="460"/>
      <c r="P36" s="461"/>
      <c r="Q36" s="490"/>
      <c r="R36" s="461">
        <f>IF(NOT(ISERROR(MATCH(Q36,_xlfn.ANCHORARRAY(F47),0))),P49&amp;"Por favor no seleccionar los criterios de impacto",Q36)</f>
        <v>0</v>
      </c>
      <c r="S36" s="460"/>
      <c r="T36" s="461"/>
      <c r="U36" s="489"/>
      <c r="V36" s="193">
        <v>5</v>
      </c>
      <c r="W36" s="193"/>
      <c r="X36" s="193"/>
      <c r="Y36" s="193"/>
      <c r="Z36" s="218" t="str">
        <f t="shared" si="1"/>
        <v xml:space="preserve">  </v>
      </c>
      <c r="AA36" s="170" t="str">
        <f t="shared" si="49"/>
        <v/>
      </c>
      <c r="AB36" s="171"/>
      <c r="AC36" s="171"/>
      <c r="AD36" s="172" t="str">
        <f t="shared" si="44"/>
        <v/>
      </c>
      <c r="AE36" s="171"/>
      <c r="AF36" s="171"/>
      <c r="AG36" s="171"/>
      <c r="AH36" s="173" t="str">
        <f t="shared" si="50"/>
        <v/>
      </c>
      <c r="AI36" s="174" t="str">
        <f t="shared" si="3"/>
        <v/>
      </c>
      <c r="AJ36" s="172" t="str">
        <f t="shared" si="45"/>
        <v/>
      </c>
      <c r="AK36" s="174" t="str">
        <f t="shared" si="5"/>
        <v/>
      </c>
      <c r="AL36" s="172" t="str">
        <f t="shared" si="30"/>
        <v/>
      </c>
      <c r="AM36" s="175" t="str">
        <f t="shared" ref="AM36" si="51">IFERROR(IF(OR(AND(AI36="Muy Baja",AK36="Leve"),AND(AI36="Muy Baja",AK36="Menor"),AND(AI36="Baja",AK36="Leve")),"Bajo",IF(OR(AND(AI36="Muy baja",AK36="Moderado"),AND(AI36="Baja",AK36="Menor"),AND(AI36="Baja",AK36="Moderado"),AND(AI36="Media",AK36="Leve"),AND(AI36="Media",AK36="Menor"),AND(AI36="Media",AK36="Moderado"),AND(AI36="Alta",AK36="Leve"),AND(AI36="Alta",AK36="Menor")),"Moderado",IF(OR(AND(AI36="Muy Baja",AK36="Mayor"),AND(AI36="Baja",AK36="Mayor"),AND(AI36="Media",AK36="Mayor"),AND(AI36="Alta",AK36="Moderado"),AND(AI36="Alta",AK36="Mayor"),AND(AI36="Muy Alta",AK36="Leve"),AND(AI36="Muy Alta",AK36="Menor"),AND(AI36="Muy Alta",AK36="Moderado"),AND(AI36="Muy Alta",AK36="Mayor")),"Alto",IF(OR(AND(AI36="Muy Baja",AK36="Catastrófico"),AND(AI36="Baja",AK36="Catastrófico"),AND(AI36="Media",AK36="Catastrófico"),AND(AI36="Alta",AK36="Catastrófico"),AND(AI36="Muy Alta",AK36="Catastrófico")),"Extremo","")))),"")</f>
        <v/>
      </c>
      <c r="AN36" s="176"/>
      <c r="AO36" s="169"/>
      <c r="AP36" s="177"/>
      <c r="AQ36" s="177"/>
      <c r="AR36" s="178"/>
      <c r="AS36" s="459"/>
      <c r="AT36" s="459"/>
      <c r="AU36" s="459"/>
    </row>
    <row r="37" spans="1:47" ht="15" x14ac:dyDescent="0.2">
      <c r="A37" s="448"/>
      <c r="B37" s="449"/>
      <c r="C37" s="449"/>
      <c r="D37" s="449"/>
      <c r="E37" s="449"/>
      <c r="F37" s="492"/>
      <c r="G37" s="449"/>
      <c r="H37" s="491"/>
      <c r="I37" s="491"/>
      <c r="J37" s="491"/>
      <c r="K37" s="491"/>
      <c r="L37" s="491"/>
      <c r="M37" s="491"/>
      <c r="N37" s="459"/>
      <c r="O37" s="460"/>
      <c r="P37" s="461"/>
      <c r="Q37" s="490"/>
      <c r="R37" s="461">
        <f>IF(NOT(ISERROR(MATCH(Q37,_xlfn.ANCHORARRAY(F48),0))),P50&amp;"Por favor no seleccionar los criterios de impacto",Q37)</f>
        <v>0</v>
      </c>
      <c r="S37" s="460"/>
      <c r="T37" s="461"/>
      <c r="U37" s="489"/>
      <c r="V37" s="193">
        <v>6</v>
      </c>
      <c r="W37" s="193"/>
      <c r="X37" s="193"/>
      <c r="Y37" s="193"/>
      <c r="Z37" s="218" t="str">
        <f t="shared" si="1"/>
        <v xml:space="preserve">  </v>
      </c>
      <c r="AA37" s="170" t="str">
        <f t="shared" si="49"/>
        <v/>
      </c>
      <c r="AB37" s="171"/>
      <c r="AC37" s="171"/>
      <c r="AD37" s="172" t="str">
        <f t="shared" si="44"/>
        <v/>
      </c>
      <c r="AE37" s="171"/>
      <c r="AF37" s="171"/>
      <c r="AG37" s="171"/>
      <c r="AH37" s="173" t="str">
        <f t="shared" si="50"/>
        <v/>
      </c>
      <c r="AI37" s="174" t="str">
        <f t="shared" si="3"/>
        <v/>
      </c>
      <c r="AJ37" s="172" t="str">
        <f t="shared" si="45"/>
        <v/>
      </c>
      <c r="AK37" s="174" t="str">
        <f>IFERROR(IF(AL37="","",IF(AL37&lt;=0.2,"Leve",IF(AL37&lt;=0.4,"Menor",IF(AL37&lt;=0.6,"Moderado",IF(AL37&lt;=0.8,"Mayor","Catastrófico"))))),"")</f>
        <v/>
      </c>
      <c r="AL37" s="172" t="str">
        <f t="shared" si="30"/>
        <v/>
      </c>
      <c r="AM37" s="175"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76"/>
      <c r="AO37" s="169"/>
      <c r="AP37" s="177"/>
      <c r="AQ37" s="177"/>
      <c r="AR37" s="178"/>
      <c r="AS37" s="459"/>
      <c r="AT37" s="459"/>
      <c r="AU37" s="459"/>
    </row>
    <row r="38" spans="1:47" ht="15" x14ac:dyDescent="0.2">
      <c r="A38" s="448">
        <v>7</v>
      </c>
      <c r="B38" s="449"/>
      <c r="C38" s="449"/>
      <c r="D38" s="495"/>
      <c r="E38" s="495"/>
      <c r="F38" s="492" t="str">
        <f t="shared" ref="F38" si="52">+CONCATENATE(B38," ",C38," ",D38)</f>
        <v xml:space="preserve">  </v>
      </c>
      <c r="G38" s="449"/>
      <c r="H38" s="462"/>
      <c r="I38" s="462"/>
      <c r="J38" s="462"/>
      <c r="K38" s="462"/>
      <c r="L38" s="462"/>
      <c r="M38" s="462"/>
      <c r="N38" s="459"/>
      <c r="O38" s="460" t="str">
        <f>IF(N38&lt;=0,"",IF(N38&lt;=2,"Muy Baja",IF(N38&lt;=24,"Baja",IF(N38&lt;=500,"Media",IF(N38&lt;=5000,"Alta","Muy Alta")))))</f>
        <v/>
      </c>
      <c r="P38" s="461" t="str">
        <f>IF(O38="","",IF(O38="Muy Baja",0.2,IF(O38="Baja",0.4,IF(O38="Media",0.6,IF(O38="Alta",0.8,IF(O38="Muy Alta",1,))))))</f>
        <v/>
      </c>
      <c r="Q38" s="490"/>
      <c r="R38" s="461">
        <f>IF(NOT(ISERROR(MATCH(Q38,'Tabla Impacto'!$B$245:$B$247,0))),'Tabla Impacto'!$F$224&amp;"Por favor no seleccionar los criterios de impacto(Afectación Económica o presupuestal y Pérdida Reputacional)",Q38)</f>
        <v>0</v>
      </c>
      <c r="S38" s="460" t="str">
        <f>IF(OR(R38='Tabla Impacto'!$C$12,R38='Tabla Impacto'!$D$12),"Leve",IF(OR(R38='Tabla Impacto'!$C$13,R38='Tabla Impacto'!$D$13),"Menor",IF(OR(R38='Tabla Impacto'!$C$14,R38='Tabla Impacto'!$D$14),"Moderado",IF(OR(R38='Tabla Impacto'!$C$15,R38='Tabla Impacto'!$D$15),"Mayor",IF(OR(R38='Tabla Impacto'!$C$16,R38='Tabla Impacto'!$D$16),"Catastrófico","")))))</f>
        <v/>
      </c>
      <c r="T38" s="461" t="str">
        <f>IF(S38="","",IF(S38="Leve",0.2,IF(S38="Menor",0.4,IF(S38="Moderado",0.6,IF(S38="Mayor",0.8,IF(S38="Catastrófico",1,))))))</f>
        <v/>
      </c>
      <c r="U38" s="489" t="str">
        <f>IF(OR(AND(O38="Muy Baja",S38="Leve"),AND(O38="Muy Baja",S38="Menor"),AND(O38="Baja",S38="Leve")),"Bajo",IF(OR(AND(O38="Muy baja",S38="Moderado"),AND(O38="Baja",S38="Menor"),AND(O38="Baja",S38="Moderado"),AND(O38="Media",S38="Leve"),AND(O38="Media",S38="Menor"),AND(O38="Media",S38="Moderado"),AND(O38="Alta",S38="Leve"),AND(O38="Alta",S38="Menor")),"Moderado",IF(OR(AND(O38="Muy Baja",S38="Mayor"),AND(O38="Baja",S38="Mayor"),AND(O38="Media",S38="Mayor"),AND(O38="Alta",S38="Moderado"),AND(O38="Alta",S38="Mayor"),AND(O38="Muy Alta",S38="Leve"),AND(O38="Muy Alta",S38="Menor"),AND(O38="Muy Alta",S38="Moderado"),AND(O38="Muy Alta",S38="Mayor")),"Alto",IF(OR(AND(O38="Muy Baja",S38="Catastrófico"),AND(O38="Baja",S38="Catastrófico"),AND(O38="Media",S38="Catastrófico"),AND(O38="Alta",S38="Catastrófico"),AND(O38="Muy Alta",S38="Catastrófico")),"Extremo",""))))</f>
        <v/>
      </c>
      <c r="V38" s="193">
        <v>1</v>
      </c>
      <c r="W38" s="193"/>
      <c r="X38" s="193"/>
      <c r="Y38" s="193"/>
      <c r="Z38" s="218" t="str">
        <f t="shared" si="1"/>
        <v xml:space="preserve">  </v>
      </c>
      <c r="AA38" s="170" t="str">
        <f>IF(OR(AB38="Preventivo",AB38="Detectivo"),"Probabilidad",IF(AB38="Correctivo","Impacto",""))</f>
        <v/>
      </c>
      <c r="AB38" s="171"/>
      <c r="AC38" s="171"/>
      <c r="AD38" s="172" t="str">
        <f>IF(AND(AB38="Preventivo",AC38="Automático"),"50%",IF(AND(AB38="Preventivo",AC38="Manual"),"40%",IF(AND(AB38="Detectivo",AC38="Automático"),"40%",IF(AND(AB38="Detectivo",AC38="Manual"),"30%",IF(AND(AB38="Correctivo",AC38="Automático"),"35%",IF(AND(AB38="Correctivo",AC38="Manual"),"25%",""))))))</f>
        <v/>
      </c>
      <c r="AE38" s="171"/>
      <c r="AF38" s="171"/>
      <c r="AG38" s="171"/>
      <c r="AH38" s="173" t="str">
        <f>IFERROR(IF(AA38="Probabilidad",(P38-(+P38*AD38)),IF(AA38="Impacto",P38,"")),"")</f>
        <v/>
      </c>
      <c r="AI38" s="174" t="str">
        <f>IFERROR(IF(AH38="","",IF(AH38&lt;=0.2,"Muy Baja",IF(AH38&lt;=0.4,"Baja",IF(AH38&lt;=0.6,"Media",IF(AH38&lt;=0.8,"Alta","Muy Alta"))))),"")</f>
        <v/>
      </c>
      <c r="AJ38" s="172" t="str">
        <f>+AH38</f>
        <v/>
      </c>
      <c r="AK38" s="174" t="str">
        <f>IFERROR(IF(AL38="","",IF(AL38&lt;=0.2,"Leve",IF(AL38&lt;=0.4,"Menor",IF(AL38&lt;=0.6,"Moderado",IF(AL38&lt;=0.8,"Mayor","Catastrófico"))))),"")</f>
        <v/>
      </c>
      <c r="AL38" s="172" t="str">
        <f t="shared" ref="AL38" si="53">IFERROR(IF(AA38="Impacto",(T38-(+T38*AD38)),IF(AA38="Probabilidad",T38,"")),"")</f>
        <v/>
      </c>
      <c r="AM38" s="175" t="str">
        <f>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76"/>
      <c r="AO38" s="169"/>
      <c r="AP38" s="177"/>
      <c r="AQ38" s="177"/>
      <c r="AR38" s="178"/>
      <c r="AS38" s="459"/>
      <c r="AT38" s="459"/>
      <c r="AU38" s="459"/>
    </row>
    <row r="39" spans="1:47" ht="15" x14ac:dyDescent="0.2">
      <c r="A39" s="448"/>
      <c r="B39" s="449"/>
      <c r="C39" s="449"/>
      <c r="D39" s="495"/>
      <c r="E39" s="495"/>
      <c r="F39" s="492"/>
      <c r="G39" s="449"/>
      <c r="H39" s="463"/>
      <c r="I39" s="463"/>
      <c r="J39" s="463"/>
      <c r="K39" s="463"/>
      <c r="L39" s="463"/>
      <c r="M39" s="463"/>
      <c r="N39" s="459"/>
      <c r="O39" s="460"/>
      <c r="P39" s="461"/>
      <c r="Q39" s="490"/>
      <c r="R39" s="461">
        <f>IF(NOT(ISERROR(MATCH(Q39,_xlfn.ANCHORARRAY(F50),0))),P52&amp;"Por favor no seleccionar los criterios de impacto",Q39)</f>
        <v>0</v>
      </c>
      <c r="S39" s="460"/>
      <c r="T39" s="461"/>
      <c r="U39" s="489"/>
      <c r="V39" s="193">
        <v>2</v>
      </c>
      <c r="W39" s="193"/>
      <c r="X39" s="193"/>
      <c r="Y39" s="193"/>
      <c r="Z39" s="218" t="str">
        <f t="shared" si="1"/>
        <v xml:space="preserve">  </v>
      </c>
      <c r="AA39" s="170" t="str">
        <f>IF(OR(AB39="Preventivo",AB39="Detectivo"),"Probabilidad",IF(AB39="Correctivo","Impacto",""))</f>
        <v/>
      </c>
      <c r="AB39" s="171"/>
      <c r="AC39" s="171"/>
      <c r="AD39" s="172" t="str">
        <f t="shared" ref="AD39:AD43" si="54">IF(AND(AB39="Preventivo",AC39="Automático"),"50%",IF(AND(AB39="Preventivo",AC39="Manual"),"40%",IF(AND(AB39="Detectivo",AC39="Automático"),"40%",IF(AND(AB39="Detectivo",AC39="Manual"),"30%",IF(AND(AB39="Correctivo",AC39="Automático"),"35%",IF(AND(AB39="Correctivo",AC39="Manual"),"25%",""))))))</f>
        <v/>
      </c>
      <c r="AE39" s="171"/>
      <c r="AF39" s="171"/>
      <c r="AG39" s="171"/>
      <c r="AH39" s="173" t="str">
        <f>IFERROR(IF(AND(AA38="Probabilidad",AA39="Probabilidad"),(AJ38-(+AJ38*AD39)),IF(AA39="Probabilidad",(P38-(+P38*AD39)),IF(AA39="Impacto",AJ38,""))),"")</f>
        <v/>
      </c>
      <c r="AI39" s="174" t="str">
        <f t="shared" si="3"/>
        <v/>
      </c>
      <c r="AJ39" s="172" t="str">
        <f t="shared" ref="AJ39:AJ43" si="55">+AH39</f>
        <v/>
      </c>
      <c r="AK39" s="174" t="str">
        <f t="shared" si="5"/>
        <v/>
      </c>
      <c r="AL39" s="172" t="str">
        <f t="shared" ref="AL39" si="56">IFERROR(IF(AND(AA38="Impacto",AA39="Impacto"),(AL38-(+AL38*AD39)),IF(AA39="Impacto",($T$13-(+$T$13*AD39)),IF(AA39="Probabilidad",AL38,""))),"")</f>
        <v/>
      </c>
      <c r="AM39" s="175" t="str">
        <f t="shared" ref="AM39:AM40" si="57">IFERROR(IF(OR(AND(AI39="Muy Baja",AK39="Leve"),AND(AI39="Muy Baja",AK39="Menor"),AND(AI39="Baja",AK39="Leve")),"Bajo",IF(OR(AND(AI39="Muy baja",AK39="Moderado"),AND(AI39="Baja",AK39="Menor"),AND(AI39="Baja",AK39="Moderado"),AND(AI39="Media",AK39="Leve"),AND(AI39="Media",AK39="Menor"),AND(AI39="Media",AK39="Moderado"),AND(AI39="Alta",AK39="Leve"),AND(AI39="Alta",AK39="Menor")),"Moderado",IF(OR(AND(AI39="Muy Baja",AK39="Mayor"),AND(AI39="Baja",AK39="Mayor"),AND(AI39="Media",AK39="Mayor"),AND(AI39="Alta",AK39="Moderado"),AND(AI39="Alta",AK39="Mayor"),AND(AI39="Muy Alta",AK39="Leve"),AND(AI39="Muy Alta",AK39="Menor"),AND(AI39="Muy Alta",AK39="Moderado"),AND(AI39="Muy Alta",AK39="Mayor")),"Alto",IF(OR(AND(AI39="Muy Baja",AK39="Catastrófico"),AND(AI39="Baja",AK39="Catastrófico"),AND(AI39="Media",AK39="Catastrófico"),AND(AI39="Alta",AK39="Catastrófico"),AND(AI39="Muy Alta",AK39="Catastrófico")),"Extremo","")))),"")</f>
        <v/>
      </c>
      <c r="AN39" s="176"/>
      <c r="AO39" s="169"/>
      <c r="AP39" s="177"/>
      <c r="AQ39" s="177"/>
      <c r="AR39" s="178"/>
      <c r="AS39" s="459"/>
      <c r="AT39" s="459"/>
      <c r="AU39" s="459"/>
    </row>
    <row r="40" spans="1:47" ht="15" x14ac:dyDescent="0.2">
      <c r="A40" s="448"/>
      <c r="B40" s="449"/>
      <c r="C40" s="449"/>
      <c r="D40" s="495"/>
      <c r="E40" s="495"/>
      <c r="F40" s="492"/>
      <c r="G40" s="449"/>
      <c r="H40" s="463"/>
      <c r="I40" s="463"/>
      <c r="J40" s="463"/>
      <c r="K40" s="463"/>
      <c r="L40" s="463"/>
      <c r="M40" s="463"/>
      <c r="N40" s="459"/>
      <c r="O40" s="460"/>
      <c r="P40" s="461"/>
      <c r="Q40" s="490"/>
      <c r="R40" s="461">
        <f>IF(NOT(ISERROR(MATCH(Q40,_xlfn.ANCHORARRAY(F51),0))),P53&amp;"Por favor no seleccionar los criterios de impacto",Q40)</f>
        <v>0</v>
      </c>
      <c r="S40" s="460"/>
      <c r="T40" s="461"/>
      <c r="U40" s="489"/>
      <c r="V40" s="193">
        <v>3</v>
      </c>
      <c r="W40" s="193"/>
      <c r="X40" s="193"/>
      <c r="Y40" s="193"/>
      <c r="Z40" s="218" t="str">
        <f t="shared" si="1"/>
        <v xml:space="preserve">  </v>
      </c>
      <c r="AA40" s="170" t="str">
        <f>IF(OR(AB40="Preventivo",AB40="Detectivo"),"Probabilidad",IF(AB40="Correctivo","Impacto",""))</f>
        <v/>
      </c>
      <c r="AB40" s="171"/>
      <c r="AC40" s="171"/>
      <c r="AD40" s="172" t="str">
        <f t="shared" si="54"/>
        <v/>
      </c>
      <c r="AE40" s="171"/>
      <c r="AF40" s="171"/>
      <c r="AG40" s="171"/>
      <c r="AH40" s="173" t="str">
        <f>IFERROR(IF(AND(AA39="Probabilidad",AA40="Probabilidad"),(AJ39-(+AJ39*AD40)),IF(AND(AA39="Impacto",AA40="Probabilidad"),(AJ38-(+AJ38*AD40)),IF(AA40="Impacto",AJ39,""))),"")</f>
        <v/>
      </c>
      <c r="AI40" s="174" t="str">
        <f t="shared" si="3"/>
        <v/>
      </c>
      <c r="AJ40" s="172" t="str">
        <f t="shared" si="55"/>
        <v/>
      </c>
      <c r="AK40" s="174" t="str">
        <f t="shared" si="5"/>
        <v/>
      </c>
      <c r="AL40" s="172" t="str">
        <f t="shared" ref="AL40" si="58">IFERROR(IF(AND(AA39="Impacto",AA40="Impacto"),(AL39-(+AL39*AD40)),IF(AND(AA39="Probabilidad",AA40="Impacto"),(AL38-(+AL38*AD40)),IF(AA40="Probabilidad",AL39,""))),"")</f>
        <v/>
      </c>
      <c r="AM40" s="175" t="str">
        <f t="shared" si="57"/>
        <v/>
      </c>
      <c r="AN40" s="176"/>
      <c r="AO40" s="169"/>
      <c r="AP40" s="177"/>
      <c r="AQ40" s="177"/>
      <c r="AR40" s="178"/>
      <c r="AS40" s="459"/>
      <c r="AT40" s="459"/>
      <c r="AU40" s="459"/>
    </row>
    <row r="41" spans="1:47" ht="15" x14ac:dyDescent="0.2">
      <c r="A41" s="448"/>
      <c r="B41" s="449"/>
      <c r="C41" s="449"/>
      <c r="D41" s="495"/>
      <c r="E41" s="495"/>
      <c r="F41" s="492"/>
      <c r="G41" s="449"/>
      <c r="H41" s="463"/>
      <c r="I41" s="463"/>
      <c r="J41" s="463"/>
      <c r="K41" s="463"/>
      <c r="L41" s="463"/>
      <c r="M41" s="463"/>
      <c r="N41" s="459"/>
      <c r="O41" s="460"/>
      <c r="P41" s="461"/>
      <c r="Q41" s="490"/>
      <c r="R41" s="461">
        <f>IF(NOT(ISERROR(MATCH(Q41,_xlfn.ANCHORARRAY(F52),0))),P54&amp;"Por favor no seleccionar los criterios de impacto",Q41)</f>
        <v>0</v>
      </c>
      <c r="S41" s="460"/>
      <c r="T41" s="461"/>
      <c r="U41" s="489"/>
      <c r="V41" s="193">
        <v>4</v>
      </c>
      <c r="W41" s="193"/>
      <c r="X41" s="193"/>
      <c r="Y41" s="193"/>
      <c r="Z41" s="218" t="str">
        <f t="shared" si="1"/>
        <v xml:space="preserve">  </v>
      </c>
      <c r="AA41" s="170" t="str">
        <f t="shared" ref="AA41:AA43" si="59">IF(OR(AB41="Preventivo",AB41="Detectivo"),"Probabilidad",IF(AB41="Correctivo","Impacto",""))</f>
        <v/>
      </c>
      <c r="AB41" s="171"/>
      <c r="AC41" s="171"/>
      <c r="AD41" s="172" t="str">
        <f t="shared" si="54"/>
        <v/>
      </c>
      <c r="AE41" s="171"/>
      <c r="AF41" s="171"/>
      <c r="AG41" s="171"/>
      <c r="AH41" s="173" t="str">
        <f t="shared" ref="AH41:AH43" si="60">IFERROR(IF(AND(AA40="Probabilidad",AA41="Probabilidad"),(AJ40-(+AJ40*AD41)),IF(AND(AA40="Impacto",AA41="Probabilidad"),(AJ39-(+AJ39*AD41)),IF(AA41="Impacto",AJ40,""))),"")</f>
        <v/>
      </c>
      <c r="AI41" s="174" t="str">
        <f t="shared" si="3"/>
        <v/>
      </c>
      <c r="AJ41" s="172" t="str">
        <f t="shared" si="55"/>
        <v/>
      </c>
      <c r="AK41" s="174" t="str">
        <f t="shared" si="5"/>
        <v/>
      </c>
      <c r="AL41" s="172" t="str">
        <f t="shared" si="30"/>
        <v/>
      </c>
      <c r="AM41" s="175" t="str">
        <f>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76"/>
      <c r="AO41" s="169"/>
      <c r="AP41" s="177"/>
      <c r="AQ41" s="177"/>
      <c r="AR41" s="178"/>
      <c r="AS41" s="459"/>
      <c r="AT41" s="459"/>
      <c r="AU41" s="459"/>
    </row>
    <row r="42" spans="1:47" ht="15" x14ac:dyDescent="0.2">
      <c r="A42" s="448"/>
      <c r="B42" s="449"/>
      <c r="C42" s="449"/>
      <c r="D42" s="495"/>
      <c r="E42" s="495"/>
      <c r="F42" s="492"/>
      <c r="G42" s="449"/>
      <c r="H42" s="463"/>
      <c r="I42" s="463"/>
      <c r="J42" s="463"/>
      <c r="K42" s="463"/>
      <c r="L42" s="463"/>
      <c r="M42" s="463"/>
      <c r="N42" s="459"/>
      <c r="O42" s="460"/>
      <c r="P42" s="461"/>
      <c r="Q42" s="490"/>
      <c r="R42" s="461">
        <f>IF(NOT(ISERROR(MATCH(Q42,_xlfn.ANCHORARRAY(F53),0))),P55&amp;"Por favor no seleccionar los criterios de impacto",Q42)</f>
        <v>0</v>
      </c>
      <c r="S42" s="460"/>
      <c r="T42" s="461"/>
      <c r="U42" s="489"/>
      <c r="V42" s="193">
        <v>5</v>
      </c>
      <c r="W42" s="193"/>
      <c r="X42" s="193"/>
      <c r="Y42" s="193"/>
      <c r="Z42" s="218" t="str">
        <f t="shared" si="1"/>
        <v xml:space="preserve">  </v>
      </c>
      <c r="AA42" s="170" t="str">
        <f t="shared" si="59"/>
        <v/>
      </c>
      <c r="AB42" s="171"/>
      <c r="AC42" s="171"/>
      <c r="AD42" s="172" t="str">
        <f t="shared" si="54"/>
        <v/>
      </c>
      <c r="AE42" s="171"/>
      <c r="AF42" s="171"/>
      <c r="AG42" s="171"/>
      <c r="AH42" s="173" t="str">
        <f t="shared" si="60"/>
        <v/>
      </c>
      <c r="AI42" s="174" t="str">
        <f t="shared" si="3"/>
        <v/>
      </c>
      <c r="AJ42" s="172" t="str">
        <f t="shared" si="55"/>
        <v/>
      </c>
      <c r="AK42" s="174" t="str">
        <f t="shared" si="5"/>
        <v/>
      </c>
      <c r="AL42" s="172" t="str">
        <f t="shared" si="30"/>
        <v/>
      </c>
      <c r="AM42" s="175" t="str">
        <f t="shared" ref="AM42:AM43" si="61">IFERROR(IF(OR(AND(AI42="Muy Baja",AK42="Leve"),AND(AI42="Muy Baja",AK42="Menor"),AND(AI42="Baja",AK42="Leve")),"Bajo",IF(OR(AND(AI42="Muy baja",AK42="Moderado"),AND(AI42="Baja",AK42="Menor"),AND(AI42="Baja",AK42="Moderado"),AND(AI42="Media",AK42="Leve"),AND(AI42="Media",AK42="Menor"),AND(AI42="Media",AK42="Moderado"),AND(AI42="Alta",AK42="Leve"),AND(AI42="Alta",AK42="Menor")),"Moderado",IF(OR(AND(AI42="Muy Baja",AK42="Mayor"),AND(AI42="Baja",AK42="Mayor"),AND(AI42="Media",AK42="Mayor"),AND(AI42="Alta",AK42="Moderado"),AND(AI42="Alta",AK42="Mayor"),AND(AI42="Muy Alta",AK42="Leve"),AND(AI42="Muy Alta",AK42="Menor"),AND(AI42="Muy Alta",AK42="Moderado"),AND(AI42="Muy Alta",AK42="Mayor")),"Alto",IF(OR(AND(AI42="Muy Baja",AK42="Catastrófico"),AND(AI42="Baja",AK42="Catastrófico"),AND(AI42="Media",AK42="Catastrófico"),AND(AI42="Alta",AK42="Catastrófico"),AND(AI42="Muy Alta",AK42="Catastrófico")),"Extremo","")))),"")</f>
        <v/>
      </c>
      <c r="AN42" s="176"/>
      <c r="AO42" s="169"/>
      <c r="AP42" s="177"/>
      <c r="AQ42" s="177"/>
      <c r="AR42" s="178"/>
      <c r="AS42" s="459"/>
      <c r="AT42" s="459"/>
      <c r="AU42" s="459"/>
    </row>
    <row r="43" spans="1:47" ht="15" x14ac:dyDescent="0.2">
      <c r="A43" s="448"/>
      <c r="B43" s="449"/>
      <c r="C43" s="449"/>
      <c r="D43" s="495"/>
      <c r="E43" s="495"/>
      <c r="F43" s="492"/>
      <c r="G43" s="449"/>
      <c r="H43" s="491"/>
      <c r="I43" s="491"/>
      <c r="J43" s="491"/>
      <c r="K43" s="491"/>
      <c r="L43" s="491"/>
      <c r="M43" s="491"/>
      <c r="N43" s="459"/>
      <c r="O43" s="460"/>
      <c r="P43" s="461"/>
      <c r="Q43" s="490"/>
      <c r="R43" s="461">
        <f>IF(NOT(ISERROR(MATCH(Q43,_xlfn.ANCHORARRAY(F54),0))),P56&amp;"Por favor no seleccionar los criterios de impacto",Q43)</f>
        <v>0</v>
      </c>
      <c r="S43" s="460"/>
      <c r="T43" s="461"/>
      <c r="U43" s="489"/>
      <c r="V43" s="193">
        <v>6</v>
      </c>
      <c r="W43" s="193"/>
      <c r="X43" s="193"/>
      <c r="Y43" s="193"/>
      <c r="Z43" s="218" t="str">
        <f t="shared" si="1"/>
        <v xml:space="preserve">  </v>
      </c>
      <c r="AA43" s="170" t="str">
        <f t="shared" si="59"/>
        <v/>
      </c>
      <c r="AB43" s="171"/>
      <c r="AC43" s="171"/>
      <c r="AD43" s="172" t="str">
        <f t="shared" si="54"/>
        <v/>
      </c>
      <c r="AE43" s="171"/>
      <c r="AF43" s="171"/>
      <c r="AG43" s="171"/>
      <c r="AH43" s="173" t="str">
        <f t="shared" si="60"/>
        <v/>
      </c>
      <c r="AI43" s="174" t="str">
        <f t="shared" si="3"/>
        <v/>
      </c>
      <c r="AJ43" s="172" t="str">
        <f t="shared" si="55"/>
        <v/>
      </c>
      <c r="AK43" s="174" t="str">
        <f t="shared" si="5"/>
        <v/>
      </c>
      <c r="AL43" s="172" t="str">
        <f t="shared" si="30"/>
        <v/>
      </c>
      <c r="AM43" s="175" t="str">
        <f t="shared" si="61"/>
        <v/>
      </c>
      <c r="AN43" s="176"/>
      <c r="AO43" s="169"/>
      <c r="AP43" s="177"/>
      <c r="AQ43" s="177"/>
      <c r="AR43" s="178"/>
      <c r="AS43" s="459"/>
      <c r="AT43" s="459"/>
      <c r="AU43" s="459"/>
    </row>
    <row r="44" spans="1:47" ht="15" x14ac:dyDescent="0.2">
      <c r="A44" s="448">
        <v>8</v>
      </c>
      <c r="B44" s="449"/>
      <c r="C44" s="449"/>
      <c r="D44" s="449"/>
      <c r="E44" s="449"/>
      <c r="F44" s="492" t="str">
        <f t="shared" ref="F44" si="62">+CONCATENATE(B44," ",C44," ",D44)</f>
        <v xml:space="preserve">  </v>
      </c>
      <c r="G44" s="449"/>
      <c r="H44" s="462"/>
      <c r="I44" s="462"/>
      <c r="J44" s="462"/>
      <c r="K44" s="462"/>
      <c r="L44" s="462"/>
      <c r="M44" s="462"/>
      <c r="N44" s="459"/>
      <c r="O44" s="460" t="str">
        <f>IF(N44&lt;=0,"",IF(N44&lt;=2,"Muy Baja",IF(N44&lt;=24,"Baja",IF(N44&lt;=500,"Media",IF(N44&lt;=5000,"Alta","Muy Alta")))))</f>
        <v/>
      </c>
      <c r="P44" s="461" t="str">
        <f>IF(O44="","",IF(O44="Muy Baja",0.2,IF(O44="Baja",0.4,IF(O44="Media",0.6,IF(O44="Alta",0.8,IF(O44="Muy Alta",1,))))))</f>
        <v/>
      </c>
      <c r="Q44" s="490"/>
      <c r="R44" s="461">
        <f>IF(NOT(ISERROR(MATCH(Q44,'Tabla Impacto'!$B$245:$B$247,0))),'Tabla Impacto'!$F$224&amp;"Por favor no seleccionar los criterios de impacto(Afectación Económica o presupuestal y Pérdida Reputacional)",Q44)</f>
        <v>0</v>
      </c>
      <c r="S44" s="460" t="str">
        <f>IF(OR(R44='Tabla Impacto'!$C$12,R44='Tabla Impacto'!$D$12),"Leve",IF(OR(R44='Tabla Impacto'!$C$13,R44='Tabla Impacto'!$D$13),"Menor",IF(OR(R44='Tabla Impacto'!$C$14,R44='Tabla Impacto'!$D$14),"Moderado",IF(OR(R44='Tabla Impacto'!$C$15,R44='Tabla Impacto'!$D$15),"Mayor",IF(OR(R44='Tabla Impacto'!$C$16,R44='Tabla Impacto'!$D$16),"Catastrófico","")))))</f>
        <v/>
      </c>
      <c r="T44" s="461" t="str">
        <f>IF(S44="","",IF(S44="Leve",0.2,IF(S44="Menor",0.4,IF(S44="Moderado",0.6,IF(S44="Mayor",0.8,IF(S44="Catastrófico",1,))))))</f>
        <v/>
      </c>
      <c r="U44" s="489" t="str">
        <f>IF(OR(AND(O44="Muy Baja",S44="Leve"),AND(O44="Muy Baja",S44="Menor"),AND(O44="Baja",S44="Leve")),"Bajo",IF(OR(AND(O44="Muy baja",S44="Moderado"),AND(O44="Baja",S44="Menor"),AND(O44="Baja",S44="Moderado"),AND(O44="Media",S44="Leve"),AND(O44="Media",S44="Menor"),AND(O44="Media",S44="Moderado"),AND(O44="Alta",S44="Leve"),AND(O44="Alta",S44="Menor")),"Moderado",IF(OR(AND(O44="Muy Baja",S44="Mayor"),AND(O44="Baja",S44="Mayor"),AND(O44="Media",S44="Mayor"),AND(O44="Alta",S44="Moderado"),AND(O44="Alta",S44="Mayor"),AND(O44="Muy Alta",S44="Leve"),AND(O44="Muy Alta",S44="Menor"),AND(O44="Muy Alta",S44="Moderado"),AND(O44="Muy Alta",S44="Mayor")),"Alto",IF(OR(AND(O44="Muy Baja",S44="Catastrófico"),AND(O44="Baja",S44="Catastrófico"),AND(O44="Media",S44="Catastrófico"),AND(O44="Alta",S44="Catastrófico"),AND(O44="Muy Alta",S44="Catastrófico")),"Extremo",""))))</f>
        <v/>
      </c>
      <c r="V44" s="193">
        <v>1</v>
      </c>
      <c r="W44" s="193"/>
      <c r="X44" s="193"/>
      <c r="Y44" s="193"/>
      <c r="Z44" s="218" t="str">
        <f t="shared" si="1"/>
        <v xml:space="preserve">  </v>
      </c>
      <c r="AA44" s="170" t="str">
        <f>IF(OR(AB44="Preventivo",AB44="Detectivo"),"Probabilidad",IF(AB44="Correctivo","Impacto",""))</f>
        <v/>
      </c>
      <c r="AB44" s="171"/>
      <c r="AC44" s="171"/>
      <c r="AD44" s="172" t="str">
        <f>IF(AND(AB44="Preventivo",AC44="Automático"),"50%",IF(AND(AB44="Preventivo",AC44="Manual"),"40%",IF(AND(AB44="Detectivo",AC44="Automático"),"40%",IF(AND(AB44="Detectivo",AC44="Manual"),"30%",IF(AND(AB44="Correctivo",AC44="Automático"),"35%",IF(AND(AB44="Correctivo",AC44="Manual"),"25%",""))))))</f>
        <v/>
      </c>
      <c r="AE44" s="171"/>
      <c r="AF44" s="171"/>
      <c r="AG44" s="171"/>
      <c r="AH44" s="173" t="str">
        <f>IFERROR(IF(AA44="Probabilidad",(P44-(+P44*AD44)),IF(AA44="Impacto",P44,"")),"")</f>
        <v/>
      </c>
      <c r="AI44" s="174" t="str">
        <f>IFERROR(IF(AH44="","",IF(AH44&lt;=0.2,"Muy Baja",IF(AH44&lt;=0.4,"Baja",IF(AH44&lt;=0.6,"Media",IF(AH44&lt;=0.8,"Alta","Muy Alta"))))),"")</f>
        <v/>
      </c>
      <c r="AJ44" s="172" t="str">
        <f>+AH44</f>
        <v/>
      </c>
      <c r="AK44" s="174" t="str">
        <f>IFERROR(IF(AL44="","",IF(AL44&lt;=0.2,"Leve",IF(AL44&lt;=0.4,"Menor",IF(AL44&lt;=0.6,"Moderado",IF(AL44&lt;=0.8,"Mayor","Catastrófico"))))),"")</f>
        <v/>
      </c>
      <c r="AL44" s="172" t="str">
        <f t="shared" ref="AL44" si="63">IFERROR(IF(AA44="Impacto",(T44-(+T44*AD44)),IF(AA44="Probabilidad",T44,"")),"")</f>
        <v/>
      </c>
      <c r="AM44" s="175" t="str">
        <f>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76"/>
      <c r="AO44" s="169"/>
      <c r="AP44" s="177"/>
      <c r="AQ44" s="177"/>
      <c r="AR44" s="178"/>
      <c r="AS44" s="459"/>
      <c r="AT44" s="459"/>
      <c r="AU44" s="459"/>
    </row>
    <row r="45" spans="1:47" ht="15" x14ac:dyDescent="0.2">
      <c r="A45" s="448"/>
      <c r="B45" s="449"/>
      <c r="C45" s="449"/>
      <c r="D45" s="449"/>
      <c r="E45" s="449"/>
      <c r="F45" s="492"/>
      <c r="G45" s="449"/>
      <c r="H45" s="463"/>
      <c r="I45" s="463"/>
      <c r="J45" s="463"/>
      <c r="K45" s="463"/>
      <c r="L45" s="463"/>
      <c r="M45" s="463"/>
      <c r="N45" s="459"/>
      <c r="O45" s="460"/>
      <c r="P45" s="461"/>
      <c r="Q45" s="490"/>
      <c r="R45" s="461">
        <f>IF(NOT(ISERROR(MATCH(Q45,_xlfn.ANCHORARRAY(F56),0))),P58&amp;"Por favor no seleccionar los criterios de impacto",Q45)</f>
        <v>0</v>
      </c>
      <c r="S45" s="460"/>
      <c r="T45" s="461"/>
      <c r="U45" s="489"/>
      <c r="V45" s="193">
        <v>2</v>
      </c>
      <c r="W45" s="193"/>
      <c r="X45" s="193"/>
      <c r="Y45" s="193"/>
      <c r="Z45" s="218" t="str">
        <f t="shared" si="1"/>
        <v xml:space="preserve">  </v>
      </c>
      <c r="AA45" s="170" t="str">
        <f>IF(OR(AB45="Preventivo",AB45="Detectivo"),"Probabilidad",IF(AB45="Correctivo","Impacto",""))</f>
        <v/>
      </c>
      <c r="AB45" s="171"/>
      <c r="AC45" s="171"/>
      <c r="AD45" s="172" t="str">
        <f t="shared" ref="AD45:AD49" si="64">IF(AND(AB45="Preventivo",AC45="Automático"),"50%",IF(AND(AB45="Preventivo",AC45="Manual"),"40%",IF(AND(AB45="Detectivo",AC45="Automático"),"40%",IF(AND(AB45="Detectivo",AC45="Manual"),"30%",IF(AND(AB45="Correctivo",AC45="Automático"),"35%",IF(AND(AB45="Correctivo",AC45="Manual"),"25%",""))))))</f>
        <v/>
      </c>
      <c r="AE45" s="171"/>
      <c r="AF45" s="171"/>
      <c r="AG45" s="171"/>
      <c r="AH45" s="173" t="str">
        <f>IFERROR(IF(AND(AA44="Probabilidad",AA45="Probabilidad"),(AJ44-(+AJ44*AD45)),IF(AA45="Probabilidad",(P44-(+P44*AD45)),IF(AA45="Impacto",AJ44,""))),"")</f>
        <v/>
      </c>
      <c r="AI45" s="174" t="str">
        <f t="shared" si="3"/>
        <v/>
      </c>
      <c r="AJ45" s="172" t="str">
        <f t="shared" ref="AJ45:AJ49" si="65">+AH45</f>
        <v/>
      </c>
      <c r="AK45" s="174" t="str">
        <f t="shared" si="5"/>
        <v/>
      </c>
      <c r="AL45" s="172" t="str">
        <f t="shared" ref="AL45" si="66">IFERROR(IF(AND(AA44="Impacto",AA45="Impacto"),(AL44-(+AL44*AD45)),IF(AA45="Impacto",($T$13-(+$T$13*AD45)),IF(AA45="Probabilidad",AL44,""))),"")</f>
        <v/>
      </c>
      <c r="AM45" s="175" t="str">
        <f t="shared" ref="AM45:AM46" si="67">IFERROR(IF(OR(AND(AI45="Muy Baja",AK45="Leve"),AND(AI45="Muy Baja",AK45="Menor"),AND(AI45="Baja",AK45="Leve")),"Bajo",IF(OR(AND(AI45="Muy baja",AK45="Moderado"),AND(AI45="Baja",AK45="Menor"),AND(AI45="Baja",AK45="Moderado"),AND(AI45="Media",AK45="Leve"),AND(AI45="Media",AK45="Menor"),AND(AI45="Media",AK45="Moderado"),AND(AI45="Alta",AK45="Leve"),AND(AI45="Alta",AK45="Menor")),"Moderado",IF(OR(AND(AI45="Muy Baja",AK45="Mayor"),AND(AI45="Baja",AK45="Mayor"),AND(AI45="Media",AK45="Mayor"),AND(AI45="Alta",AK45="Moderado"),AND(AI45="Alta",AK45="Mayor"),AND(AI45="Muy Alta",AK45="Leve"),AND(AI45="Muy Alta",AK45="Menor"),AND(AI45="Muy Alta",AK45="Moderado"),AND(AI45="Muy Alta",AK45="Mayor")),"Alto",IF(OR(AND(AI45="Muy Baja",AK45="Catastrófico"),AND(AI45="Baja",AK45="Catastrófico"),AND(AI45="Media",AK45="Catastrófico"),AND(AI45="Alta",AK45="Catastrófico"),AND(AI45="Muy Alta",AK45="Catastrófico")),"Extremo","")))),"")</f>
        <v/>
      </c>
      <c r="AN45" s="176"/>
      <c r="AO45" s="169"/>
      <c r="AP45" s="177"/>
      <c r="AQ45" s="177"/>
      <c r="AR45" s="178"/>
      <c r="AS45" s="459"/>
      <c r="AT45" s="459"/>
      <c r="AU45" s="459"/>
    </row>
    <row r="46" spans="1:47" ht="15" x14ac:dyDescent="0.2">
      <c r="A46" s="448"/>
      <c r="B46" s="449"/>
      <c r="C46" s="449"/>
      <c r="D46" s="449"/>
      <c r="E46" s="449"/>
      <c r="F46" s="492"/>
      <c r="G46" s="449"/>
      <c r="H46" s="463"/>
      <c r="I46" s="463"/>
      <c r="J46" s="463"/>
      <c r="K46" s="463"/>
      <c r="L46" s="463"/>
      <c r="M46" s="463"/>
      <c r="N46" s="459"/>
      <c r="O46" s="460"/>
      <c r="P46" s="461"/>
      <c r="Q46" s="490"/>
      <c r="R46" s="461">
        <f>IF(NOT(ISERROR(MATCH(Q46,_xlfn.ANCHORARRAY(F57),0))),P59&amp;"Por favor no seleccionar los criterios de impacto",Q46)</f>
        <v>0</v>
      </c>
      <c r="S46" s="460"/>
      <c r="T46" s="461"/>
      <c r="U46" s="489"/>
      <c r="V46" s="193">
        <v>3</v>
      </c>
      <c r="W46" s="193"/>
      <c r="X46" s="193"/>
      <c r="Y46" s="193"/>
      <c r="Z46" s="218" t="str">
        <f t="shared" si="1"/>
        <v xml:space="preserve">  </v>
      </c>
      <c r="AA46" s="170" t="str">
        <f>IF(OR(AB46="Preventivo",AB46="Detectivo"),"Probabilidad",IF(AB46="Correctivo","Impacto",""))</f>
        <v/>
      </c>
      <c r="AB46" s="171"/>
      <c r="AC46" s="171"/>
      <c r="AD46" s="172" t="str">
        <f t="shared" si="64"/>
        <v/>
      </c>
      <c r="AE46" s="171"/>
      <c r="AF46" s="171"/>
      <c r="AG46" s="171"/>
      <c r="AH46" s="173" t="str">
        <f>IFERROR(IF(AND(AA45="Probabilidad",AA46="Probabilidad"),(AJ45-(+AJ45*AD46)),IF(AND(AA45="Impacto",AA46="Probabilidad"),(AJ44-(+AJ44*AD46)),IF(AA46="Impacto",AJ45,""))),"")</f>
        <v/>
      </c>
      <c r="AI46" s="174" t="str">
        <f t="shared" si="3"/>
        <v/>
      </c>
      <c r="AJ46" s="172" t="str">
        <f t="shared" si="65"/>
        <v/>
      </c>
      <c r="AK46" s="174" t="str">
        <f t="shared" si="5"/>
        <v/>
      </c>
      <c r="AL46" s="172" t="str">
        <f t="shared" ref="AL46" si="68">IFERROR(IF(AND(AA45="Impacto",AA46="Impacto"),(AL45-(+AL45*AD46)),IF(AND(AA45="Probabilidad",AA46="Impacto"),(AL44-(+AL44*AD46)),IF(AA46="Probabilidad",AL45,""))),"")</f>
        <v/>
      </c>
      <c r="AM46" s="175" t="str">
        <f t="shared" si="67"/>
        <v/>
      </c>
      <c r="AN46" s="176"/>
      <c r="AO46" s="169"/>
      <c r="AP46" s="177"/>
      <c r="AQ46" s="177"/>
      <c r="AR46" s="178"/>
      <c r="AS46" s="459"/>
      <c r="AT46" s="459"/>
      <c r="AU46" s="459"/>
    </row>
    <row r="47" spans="1:47" ht="15" x14ac:dyDescent="0.2">
      <c r="A47" s="448"/>
      <c r="B47" s="449"/>
      <c r="C47" s="449"/>
      <c r="D47" s="449"/>
      <c r="E47" s="449"/>
      <c r="F47" s="492"/>
      <c r="G47" s="449"/>
      <c r="H47" s="463"/>
      <c r="I47" s="463"/>
      <c r="J47" s="463"/>
      <c r="K47" s="463"/>
      <c r="L47" s="463"/>
      <c r="M47" s="463"/>
      <c r="N47" s="459"/>
      <c r="O47" s="460"/>
      <c r="P47" s="461"/>
      <c r="Q47" s="490"/>
      <c r="R47" s="461">
        <f>IF(NOT(ISERROR(MATCH(Q47,_xlfn.ANCHORARRAY(F58),0))),P60&amp;"Por favor no seleccionar los criterios de impacto",Q47)</f>
        <v>0</v>
      </c>
      <c r="S47" s="460"/>
      <c r="T47" s="461"/>
      <c r="U47" s="489"/>
      <c r="V47" s="193">
        <v>4</v>
      </c>
      <c r="W47" s="193"/>
      <c r="X47" s="193"/>
      <c r="Y47" s="193"/>
      <c r="Z47" s="218" t="str">
        <f t="shared" si="1"/>
        <v xml:space="preserve">  </v>
      </c>
      <c r="AA47" s="170" t="str">
        <f t="shared" ref="AA47:AA49" si="69">IF(OR(AB47="Preventivo",AB47="Detectivo"),"Probabilidad",IF(AB47="Correctivo","Impacto",""))</f>
        <v/>
      </c>
      <c r="AB47" s="171"/>
      <c r="AC47" s="171"/>
      <c r="AD47" s="172" t="str">
        <f t="shared" si="64"/>
        <v/>
      </c>
      <c r="AE47" s="171"/>
      <c r="AF47" s="171"/>
      <c r="AG47" s="171"/>
      <c r="AH47" s="173" t="str">
        <f t="shared" ref="AH47:AH49" si="70">IFERROR(IF(AND(AA46="Probabilidad",AA47="Probabilidad"),(AJ46-(+AJ46*AD47)),IF(AND(AA46="Impacto",AA47="Probabilidad"),(AJ45-(+AJ45*AD47)),IF(AA47="Impacto",AJ46,""))),"")</f>
        <v/>
      </c>
      <c r="AI47" s="174" t="str">
        <f t="shared" si="3"/>
        <v/>
      </c>
      <c r="AJ47" s="172" t="str">
        <f t="shared" si="65"/>
        <v/>
      </c>
      <c r="AK47" s="174" t="str">
        <f t="shared" si="5"/>
        <v/>
      </c>
      <c r="AL47" s="172" t="str">
        <f t="shared" si="30"/>
        <v/>
      </c>
      <c r="AM47" s="175" t="str">
        <f>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76"/>
      <c r="AO47" s="169"/>
      <c r="AP47" s="177"/>
      <c r="AQ47" s="177"/>
      <c r="AR47" s="178"/>
      <c r="AS47" s="459"/>
      <c r="AT47" s="459"/>
      <c r="AU47" s="459"/>
    </row>
    <row r="48" spans="1:47" ht="15" x14ac:dyDescent="0.2">
      <c r="A48" s="448"/>
      <c r="B48" s="449"/>
      <c r="C48" s="449"/>
      <c r="D48" s="449"/>
      <c r="E48" s="449"/>
      <c r="F48" s="492"/>
      <c r="G48" s="449"/>
      <c r="H48" s="463"/>
      <c r="I48" s="463"/>
      <c r="J48" s="463"/>
      <c r="K48" s="463"/>
      <c r="L48" s="463"/>
      <c r="M48" s="463"/>
      <c r="N48" s="459"/>
      <c r="O48" s="460"/>
      <c r="P48" s="461"/>
      <c r="Q48" s="490"/>
      <c r="R48" s="461">
        <f>IF(NOT(ISERROR(MATCH(Q48,_xlfn.ANCHORARRAY(F59),0))),P61&amp;"Por favor no seleccionar los criterios de impacto",Q48)</f>
        <v>0</v>
      </c>
      <c r="S48" s="460"/>
      <c r="T48" s="461"/>
      <c r="U48" s="489"/>
      <c r="V48" s="193">
        <v>5</v>
      </c>
      <c r="W48" s="193"/>
      <c r="X48" s="193"/>
      <c r="Y48" s="193"/>
      <c r="Z48" s="218" t="str">
        <f t="shared" si="1"/>
        <v xml:space="preserve">  </v>
      </c>
      <c r="AA48" s="170" t="str">
        <f t="shared" si="69"/>
        <v/>
      </c>
      <c r="AB48" s="171"/>
      <c r="AC48" s="171"/>
      <c r="AD48" s="172" t="str">
        <f t="shared" si="64"/>
        <v/>
      </c>
      <c r="AE48" s="171"/>
      <c r="AF48" s="171"/>
      <c r="AG48" s="171"/>
      <c r="AH48" s="173" t="str">
        <f t="shared" si="70"/>
        <v/>
      </c>
      <c r="AI48" s="174" t="str">
        <f t="shared" si="3"/>
        <v/>
      </c>
      <c r="AJ48" s="172" t="str">
        <f t="shared" si="65"/>
        <v/>
      </c>
      <c r="AK48" s="174" t="str">
        <f t="shared" si="5"/>
        <v/>
      </c>
      <c r="AL48" s="172" t="str">
        <f t="shared" si="30"/>
        <v/>
      </c>
      <c r="AM48" s="175" t="str">
        <f t="shared" ref="AM48:AM49" si="71">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76"/>
      <c r="AO48" s="169"/>
      <c r="AP48" s="177"/>
      <c r="AQ48" s="177"/>
      <c r="AR48" s="178"/>
      <c r="AS48" s="459"/>
      <c r="AT48" s="459"/>
      <c r="AU48" s="459"/>
    </row>
    <row r="49" spans="1:47" ht="15" x14ac:dyDescent="0.2">
      <c r="A49" s="448"/>
      <c r="B49" s="449"/>
      <c r="C49" s="449"/>
      <c r="D49" s="449"/>
      <c r="E49" s="449"/>
      <c r="F49" s="492"/>
      <c r="G49" s="449"/>
      <c r="H49" s="491"/>
      <c r="I49" s="491"/>
      <c r="J49" s="491"/>
      <c r="K49" s="491"/>
      <c r="L49" s="491"/>
      <c r="M49" s="491"/>
      <c r="N49" s="459"/>
      <c r="O49" s="460"/>
      <c r="P49" s="461"/>
      <c r="Q49" s="490"/>
      <c r="R49" s="461">
        <f>IF(NOT(ISERROR(MATCH(Q49,_xlfn.ANCHORARRAY(F60),0))),Q62&amp;"Por favor no seleccionar los criterios de impacto",Q49)</f>
        <v>0</v>
      </c>
      <c r="S49" s="460"/>
      <c r="T49" s="461"/>
      <c r="U49" s="489"/>
      <c r="V49" s="193">
        <v>6</v>
      </c>
      <c r="W49" s="193"/>
      <c r="X49" s="193"/>
      <c r="Y49" s="193"/>
      <c r="Z49" s="218" t="str">
        <f t="shared" si="1"/>
        <v xml:space="preserve">  </v>
      </c>
      <c r="AA49" s="170" t="str">
        <f t="shared" si="69"/>
        <v/>
      </c>
      <c r="AB49" s="171"/>
      <c r="AC49" s="171"/>
      <c r="AD49" s="172" t="str">
        <f t="shared" si="64"/>
        <v/>
      </c>
      <c r="AE49" s="171"/>
      <c r="AF49" s="171"/>
      <c r="AG49" s="171"/>
      <c r="AH49" s="173" t="str">
        <f t="shared" si="70"/>
        <v/>
      </c>
      <c r="AI49" s="174" t="str">
        <f t="shared" si="3"/>
        <v/>
      </c>
      <c r="AJ49" s="172" t="str">
        <f t="shared" si="65"/>
        <v/>
      </c>
      <c r="AK49" s="174" t="str">
        <f t="shared" si="5"/>
        <v/>
      </c>
      <c r="AL49" s="172" t="str">
        <f t="shared" si="30"/>
        <v/>
      </c>
      <c r="AM49" s="175" t="str">
        <f t="shared" si="71"/>
        <v/>
      </c>
      <c r="AN49" s="176"/>
      <c r="AO49" s="169"/>
      <c r="AP49" s="177"/>
      <c r="AQ49" s="177"/>
      <c r="AR49" s="178"/>
      <c r="AS49" s="459"/>
      <c r="AT49" s="459"/>
      <c r="AU49" s="459"/>
    </row>
    <row r="50" spans="1:47" ht="15" x14ac:dyDescent="0.2">
      <c r="A50" s="448">
        <v>9</v>
      </c>
      <c r="B50" s="449"/>
      <c r="C50" s="449"/>
      <c r="D50" s="449"/>
      <c r="E50" s="449"/>
      <c r="F50" s="492" t="str">
        <f t="shared" ref="F50" si="72">+CONCATENATE(B50," ",C50," ",D50)</f>
        <v xml:space="preserve">  </v>
      </c>
      <c r="G50" s="449"/>
      <c r="H50" s="462"/>
      <c r="I50" s="200"/>
      <c r="J50" s="200"/>
      <c r="K50" s="200"/>
      <c r="L50" s="462"/>
      <c r="M50" s="462"/>
      <c r="N50" s="459"/>
      <c r="O50" s="460" t="str">
        <f>IF(N50&lt;=0,"",IF(N50&lt;=2,"Muy Baja",IF(N50&lt;=24,"Baja",IF(N50&lt;=500,"Media",IF(N50&lt;=5000,"Alta","Muy Alta")))))</f>
        <v/>
      </c>
      <c r="P50" s="461" t="str">
        <f>IF(O50="","",IF(O50="Muy Baja",0.2,IF(O50="Baja",0.4,IF(O50="Media",0.6,IF(O50="Alta",0.8,IF(O50="Muy Alta",1,))))))</f>
        <v/>
      </c>
      <c r="Q50" s="490"/>
      <c r="R50" s="461">
        <f>IF(NOT(ISERROR(MATCH(Q50,'Tabla Impacto'!$B$245:$B$247,0))),'Tabla Impacto'!$F$224&amp;"Por favor no seleccionar los criterios de impacto(Afectación Económica o presupuestal y Pérdida Reputacional)",Q50)</f>
        <v>0</v>
      </c>
      <c r="S50" s="460" t="str">
        <f>IF(OR(R50='Tabla Impacto'!$C$12,R50='Tabla Impacto'!$D$12),"Leve",IF(OR(R50='Tabla Impacto'!$C$13,R50='Tabla Impacto'!$D$13),"Menor",IF(OR(R50='Tabla Impacto'!$C$14,R50='Tabla Impacto'!$D$14),"Moderado",IF(OR(R50='Tabla Impacto'!$C$15,R50='Tabla Impacto'!$D$15),"Mayor",IF(OR(R50='Tabla Impacto'!$C$16,R50='Tabla Impacto'!$D$16),"Catastrófico","")))))</f>
        <v/>
      </c>
      <c r="T50" s="461" t="str">
        <f>IF(S50="","",IF(S50="Leve",0.2,IF(S50="Menor",0.4,IF(S50="Moderado",0.6,IF(S50="Mayor",0.8,IF(S50="Catastrófico",1,))))))</f>
        <v/>
      </c>
      <c r="U50" s="489" t="str">
        <f>IF(OR(AND(O50="Muy Baja",S50="Leve"),AND(O50="Muy Baja",S50="Menor"),AND(O50="Baja",S50="Leve")),"Bajo",IF(OR(AND(O50="Muy baja",S50="Moderado"),AND(O50="Baja",S50="Menor"),AND(O50="Baja",S50="Moderado"),AND(O50="Media",S50="Leve"),AND(O50="Media",S50="Menor"),AND(O50="Media",S50="Moderado"),AND(O50="Alta",S50="Leve"),AND(O50="Alta",S50="Menor")),"Moderado",IF(OR(AND(O50="Muy Baja",S50="Mayor"),AND(O50="Baja",S50="Mayor"),AND(O50="Media",S50="Mayor"),AND(O50="Alta",S50="Moderado"),AND(O50="Alta",S50="Mayor"),AND(O50="Muy Alta",S50="Leve"),AND(O50="Muy Alta",S50="Menor"),AND(O50="Muy Alta",S50="Moderado"),AND(O50="Muy Alta",S50="Mayor")),"Alto",IF(OR(AND(O50="Muy Baja",S50="Catastrófico"),AND(O50="Baja",S50="Catastrófico"),AND(O50="Media",S50="Catastrófico"),AND(O50="Alta",S50="Catastrófico"),AND(O50="Muy Alta",S50="Catastrófico")),"Extremo",""))))</f>
        <v/>
      </c>
      <c r="V50" s="193">
        <v>1</v>
      </c>
      <c r="W50" s="193"/>
      <c r="X50" s="193"/>
      <c r="Y50" s="193"/>
      <c r="Z50" s="218" t="str">
        <f t="shared" si="1"/>
        <v xml:space="preserve">  </v>
      </c>
      <c r="AA50" s="170" t="str">
        <f>IF(OR(AB50="Preventivo",AB50="Detectivo"),"Probabilidad",IF(AB50="Correctivo","Impacto",""))</f>
        <v/>
      </c>
      <c r="AB50" s="171"/>
      <c r="AC50" s="171"/>
      <c r="AD50" s="172" t="str">
        <f>IF(AND(AB50="Preventivo",AC50="Automático"),"50%",IF(AND(AB50="Preventivo",AC50="Manual"),"40%",IF(AND(AB50="Detectivo",AC50="Automático"),"40%",IF(AND(AB50="Detectivo",AC50="Manual"),"30%",IF(AND(AB50="Correctivo",AC50="Automático"),"35%",IF(AND(AB50="Correctivo",AC50="Manual"),"25%",""))))))</f>
        <v/>
      </c>
      <c r="AE50" s="171"/>
      <c r="AF50" s="171"/>
      <c r="AG50" s="171"/>
      <c r="AH50" s="173" t="str">
        <f>IFERROR(IF(AA50="Probabilidad",(P50-(+P50*AD50)),IF(AA50="Impacto",P50,"")),"")</f>
        <v/>
      </c>
      <c r="AI50" s="174" t="str">
        <f>IFERROR(IF(AH50="","",IF(AH50&lt;=0.2,"Muy Baja",IF(AH50&lt;=0.4,"Baja",IF(AH50&lt;=0.6,"Media",IF(AH50&lt;=0.8,"Alta","Muy Alta"))))),"")</f>
        <v/>
      </c>
      <c r="AJ50" s="172" t="str">
        <f>+AH50</f>
        <v/>
      </c>
      <c r="AK50" s="174" t="str">
        <f>IFERROR(IF(AL50="","",IF(AL50&lt;=0.2,"Leve",IF(AL50&lt;=0.4,"Menor",IF(AL50&lt;=0.6,"Moderado",IF(AL50&lt;=0.8,"Mayor","Catastrófico"))))),"")</f>
        <v/>
      </c>
      <c r="AL50" s="172" t="str">
        <f t="shared" ref="AL50" si="73">IFERROR(IF(AA50="Impacto",(T50-(+T50*AD50)),IF(AA50="Probabilidad",T50,"")),"")</f>
        <v/>
      </c>
      <c r="AM50" s="175" t="str">
        <f>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76"/>
      <c r="AO50" s="169"/>
      <c r="AP50" s="177"/>
      <c r="AQ50" s="177"/>
      <c r="AR50" s="178"/>
      <c r="AS50" s="459"/>
      <c r="AT50" s="459"/>
      <c r="AU50" s="459"/>
    </row>
    <row r="51" spans="1:47" ht="15" x14ac:dyDescent="0.2">
      <c r="A51" s="448"/>
      <c r="B51" s="449"/>
      <c r="C51" s="449"/>
      <c r="D51" s="449"/>
      <c r="E51" s="449"/>
      <c r="F51" s="492"/>
      <c r="G51" s="449"/>
      <c r="H51" s="463"/>
      <c r="I51" s="201"/>
      <c r="J51" s="201"/>
      <c r="K51" s="201"/>
      <c r="L51" s="463"/>
      <c r="M51" s="463"/>
      <c r="N51" s="459"/>
      <c r="O51" s="460"/>
      <c r="P51" s="461"/>
      <c r="Q51" s="490"/>
      <c r="R51" s="461">
        <f>IF(NOT(ISERROR(MATCH(Q51,_xlfn.ANCHORARRAY(G62),0))),Q64&amp;"Por favor no seleccionar los criterios de impacto",Q51)</f>
        <v>0</v>
      </c>
      <c r="S51" s="460"/>
      <c r="T51" s="461"/>
      <c r="U51" s="489"/>
      <c r="V51" s="193">
        <v>2</v>
      </c>
      <c r="W51" s="193"/>
      <c r="X51" s="193"/>
      <c r="Y51" s="193"/>
      <c r="Z51" s="218" t="str">
        <f t="shared" si="1"/>
        <v xml:space="preserve">  </v>
      </c>
      <c r="AA51" s="170" t="str">
        <f>IF(OR(AB51="Preventivo",AB51="Detectivo"),"Probabilidad",IF(AB51="Correctivo","Impacto",""))</f>
        <v/>
      </c>
      <c r="AB51" s="171"/>
      <c r="AC51" s="171"/>
      <c r="AD51" s="172" t="str">
        <f t="shared" ref="AD51:AD55" si="74">IF(AND(AB51="Preventivo",AC51="Automático"),"50%",IF(AND(AB51="Preventivo",AC51="Manual"),"40%",IF(AND(AB51="Detectivo",AC51="Automático"),"40%",IF(AND(AB51="Detectivo",AC51="Manual"),"30%",IF(AND(AB51="Correctivo",AC51="Automático"),"35%",IF(AND(AB51="Correctivo",AC51="Manual"),"25%",""))))))</f>
        <v/>
      </c>
      <c r="AE51" s="171"/>
      <c r="AF51" s="171"/>
      <c r="AG51" s="171"/>
      <c r="AH51" s="173" t="str">
        <f>IFERROR(IF(AND(AA50="Probabilidad",AA51="Probabilidad"),(AJ50-(+AJ50*AD51)),IF(AA51="Probabilidad",(P50-(+P50*AD51)),IF(AA51="Impacto",AJ50,""))),"")</f>
        <v/>
      </c>
      <c r="AI51" s="174" t="str">
        <f t="shared" si="3"/>
        <v/>
      </c>
      <c r="AJ51" s="172" t="str">
        <f t="shared" ref="AJ51:AJ55" si="75">+AH51</f>
        <v/>
      </c>
      <c r="AK51" s="174" t="str">
        <f t="shared" si="5"/>
        <v/>
      </c>
      <c r="AL51" s="172" t="str">
        <f t="shared" ref="AL51" si="76">IFERROR(IF(AND(AA50="Impacto",AA51="Impacto"),(AL50-(+AL50*AD51)),IF(AA51="Impacto",($T$13-(+$T$13*AD51)),IF(AA51="Probabilidad",AL50,""))),"")</f>
        <v/>
      </c>
      <c r="AM51" s="175" t="str">
        <f t="shared" ref="AM51:AM52" si="77">IFERROR(IF(OR(AND(AI51="Muy Baja",AK51="Leve"),AND(AI51="Muy Baja",AK51="Menor"),AND(AI51="Baja",AK51="Leve")),"Bajo",IF(OR(AND(AI51="Muy baja",AK51="Moderado"),AND(AI51="Baja",AK51="Menor"),AND(AI51="Baja",AK51="Moderado"),AND(AI51="Media",AK51="Leve"),AND(AI51="Media",AK51="Menor"),AND(AI51="Media",AK51="Moderado"),AND(AI51="Alta",AK51="Leve"),AND(AI51="Alta",AK51="Menor")),"Moderado",IF(OR(AND(AI51="Muy Baja",AK51="Mayor"),AND(AI51="Baja",AK51="Mayor"),AND(AI51="Media",AK51="Mayor"),AND(AI51="Alta",AK51="Moderado"),AND(AI51="Alta",AK51="Mayor"),AND(AI51="Muy Alta",AK51="Leve"),AND(AI51="Muy Alta",AK51="Menor"),AND(AI51="Muy Alta",AK51="Moderado"),AND(AI51="Muy Alta",AK51="Mayor")),"Alto",IF(OR(AND(AI51="Muy Baja",AK51="Catastrófico"),AND(AI51="Baja",AK51="Catastrófico"),AND(AI51="Media",AK51="Catastrófico"),AND(AI51="Alta",AK51="Catastrófico"),AND(AI51="Muy Alta",AK51="Catastrófico")),"Extremo","")))),"")</f>
        <v/>
      </c>
      <c r="AN51" s="176"/>
      <c r="AO51" s="169"/>
      <c r="AP51" s="177"/>
      <c r="AQ51" s="177"/>
      <c r="AR51" s="178"/>
      <c r="AS51" s="459"/>
      <c r="AT51" s="459"/>
      <c r="AU51" s="459"/>
    </row>
    <row r="52" spans="1:47" ht="15" x14ac:dyDescent="0.2">
      <c r="A52" s="448"/>
      <c r="B52" s="449"/>
      <c r="C52" s="449"/>
      <c r="D52" s="449"/>
      <c r="E52" s="449"/>
      <c r="F52" s="492"/>
      <c r="G52" s="449"/>
      <c r="H52" s="463"/>
      <c r="I52" s="201"/>
      <c r="J52" s="201"/>
      <c r="K52" s="201"/>
      <c r="L52" s="463"/>
      <c r="M52" s="463"/>
      <c r="N52" s="459"/>
      <c r="O52" s="460"/>
      <c r="P52" s="461"/>
      <c r="Q52" s="490"/>
      <c r="R52" s="461">
        <f>IF(NOT(ISERROR(MATCH(Q52,_xlfn.ANCHORARRAY(G63),0))),Q65&amp;"Por favor no seleccionar los criterios de impacto",Q52)</f>
        <v>0</v>
      </c>
      <c r="S52" s="460"/>
      <c r="T52" s="461"/>
      <c r="U52" s="489"/>
      <c r="V52" s="193">
        <v>3</v>
      </c>
      <c r="W52" s="193"/>
      <c r="X52" s="193"/>
      <c r="Y52" s="193"/>
      <c r="Z52" s="218" t="str">
        <f t="shared" si="1"/>
        <v xml:space="preserve">  </v>
      </c>
      <c r="AA52" s="170" t="str">
        <f>IF(OR(AB52="Preventivo",AB52="Detectivo"),"Probabilidad",IF(AB52="Correctivo","Impacto",""))</f>
        <v/>
      </c>
      <c r="AB52" s="171"/>
      <c r="AC52" s="171"/>
      <c r="AD52" s="172" t="str">
        <f t="shared" si="74"/>
        <v/>
      </c>
      <c r="AE52" s="171"/>
      <c r="AF52" s="171"/>
      <c r="AG52" s="171"/>
      <c r="AH52" s="173" t="str">
        <f>IFERROR(IF(AND(AA51="Probabilidad",AA52="Probabilidad"),(AJ51-(+AJ51*AD52)),IF(AND(AA51="Impacto",AA52="Probabilidad"),(AJ50-(+AJ50*AD52)),IF(AA52="Impacto",AJ51,""))),"")</f>
        <v/>
      </c>
      <c r="AI52" s="174" t="str">
        <f t="shared" si="3"/>
        <v/>
      </c>
      <c r="AJ52" s="172" t="str">
        <f t="shared" si="75"/>
        <v/>
      </c>
      <c r="AK52" s="174" t="str">
        <f t="shared" si="5"/>
        <v/>
      </c>
      <c r="AL52" s="172" t="str">
        <f t="shared" ref="AL52" si="78">IFERROR(IF(AND(AA51="Impacto",AA52="Impacto"),(AL51-(+AL51*AD52)),IF(AND(AA51="Probabilidad",AA52="Impacto"),(AL50-(+AL50*AD52)),IF(AA52="Probabilidad",AL51,""))),"")</f>
        <v/>
      </c>
      <c r="AM52" s="175" t="str">
        <f t="shared" si="77"/>
        <v/>
      </c>
      <c r="AN52" s="176"/>
      <c r="AO52" s="169"/>
      <c r="AP52" s="177"/>
      <c r="AQ52" s="177"/>
      <c r="AR52" s="178"/>
      <c r="AS52" s="459"/>
      <c r="AT52" s="459"/>
      <c r="AU52" s="459"/>
    </row>
    <row r="53" spans="1:47" ht="15" x14ac:dyDescent="0.2">
      <c r="A53" s="448"/>
      <c r="B53" s="449"/>
      <c r="C53" s="449"/>
      <c r="D53" s="449"/>
      <c r="E53" s="449"/>
      <c r="F53" s="492"/>
      <c r="G53" s="449"/>
      <c r="H53" s="463"/>
      <c r="I53" s="201"/>
      <c r="J53" s="201"/>
      <c r="K53" s="201"/>
      <c r="L53" s="463"/>
      <c r="M53" s="463"/>
      <c r="N53" s="459"/>
      <c r="O53" s="460"/>
      <c r="P53" s="461"/>
      <c r="Q53" s="490"/>
      <c r="R53" s="461">
        <f>IF(NOT(ISERROR(MATCH(Q53,_xlfn.ANCHORARRAY(G64),0))),Q66&amp;"Por favor no seleccionar los criterios de impacto",Q53)</f>
        <v>0</v>
      </c>
      <c r="S53" s="460"/>
      <c r="T53" s="461"/>
      <c r="U53" s="489"/>
      <c r="V53" s="193">
        <v>4</v>
      </c>
      <c r="W53" s="193"/>
      <c r="X53" s="193"/>
      <c r="Y53" s="193"/>
      <c r="Z53" s="218" t="str">
        <f t="shared" si="1"/>
        <v xml:space="preserve">  </v>
      </c>
      <c r="AA53" s="170" t="str">
        <f t="shared" ref="AA53:AA55" si="79">IF(OR(AB53="Preventivo",AB53="Detectivo"),"Probabilidad",IF(AB53="Correctivo","Impacto",""))</f>
        <v/>
      </c>
      <c r="AB53" s="171"/>
      <c r="AC53" s="171"/>
      <c r="AD53" s="172" t="str">
        <f t="shared" si="74"/>
        <v/>
      </c>
      <c r="AE53" s="171"/>
      <c r="AF53" s="171"/>
      <c r="AG53" s="171"/>
      <c r="AH53" s="173" t="str">
        <f t="shared" ref="AH53:AH55" si="80">IFERROR(IF(AND(AA52="Probabilidad",AA53="Probabilidad"),(AJ52-(+AJ52*AD53)),IF(AND(AA52="Impacto",AA53="Probabilidad"),(AJ51-(+AJ51*AD53)),IF(AA53="Impacto",AJ52,""))),"")</f>
        <v/>
      </c>
      <c r="AI53" s="174" t="str">
        <f t="shared" si="3"/>
        <v/>
      </c>
      <c r="AJ53" s="172" t="str">
        <f t="shared" si="75"/>
        <v/>
      </c>
      <c r="AK53" s="174" t="str">
        <f t="shared" si="5"/>
        <v/>
      </c>
      <c r="AL53" s="172" t="str">
        <f t="shared" si="30"/>
        <v/>
      </c>
      <c r="AM53" s="175" t="str">
        <f>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76"/>
      <c r="AO53" s="169"/>
      <c r="AP53" s="177"/>
      <c r="AQ53" s="177"/>
      <c r="AR53" s="178"/>
      <c r="AS53" s="459"/>
      <c r="AT53" s="459"/>
      <c r="AU53" s="459"/>
    </row>
    <row r="54" spans="1:47" ht="15" x14ac:dyDescent="0.2">
      <c r="A54" s="448"/>
      <c r="B54" s="449"/>
      <c r="C54" s="449"/>
      <c r="D54" s="449"/>
      <c r="E54" s="449"/>
      <c r="F54" s="492"/>
      <c r="G54" s="449"/>
      <c r="H54" s="463"/>
      <c r="I54" s="201"/>
      <c r="J54" s="201"/>
      <c r="K54" s="201"/>
      <c r="L54" s="463"/>
      <c r="M54" s="463"/>
      <c r="N54" s="459"/>
      <c r="O54" s="460"/>
      <c r="P54" s="461"/>
      <c r="Q54" s="490"/>
      <c r="R54" s="461">
        <f>IF(NOT(ISERROR(MATCH(Q54,_xlfn.ANCHORARRAY(G65),0))),Q67&amp;"Por favor no seleccionar los criterios de impacto",Q54)</f>
        <v>0</v>
      </c>
      <c r="S54" s="460"/>
      <c r="T54" s="461"/>
      <c r="U54" s="489"/>
      <c r="V54" s="193">
        <v>5</v>
      </c>
      <c r="W54" s="193"/>
      <c r="X54" s="193"/>
      <c r="Y54" s="193"/>
      <c r="Z54" s="218" t="str">
        <f t="shared" si="1"/>
        <v xml:space="preserve">  </v>
      </c>
      <c r="AA54" s="170" t="str">
        <f t="shared" si="79"/>
        <v/>
      </c>
      <c r="AB54" s="171"/>
      <c r="AC54" s="171"/>
      <c r="AD54" s="172" t="str">
        <f t="shared" si="74"/>
        <v/>
      </c>
      <c r="AE54" s="171"/>
      <c r="AF54" s="171"/>
      <c r="AG54" s="171"/>
      <c r="AH54" s="173" t="str">
        <f t="shared" si="80"/>
        <v/>
      </c>
      <c r="AI54" s="174" t="str">
        <f t="shared" si="3"/>
        <v/>
      </c>
      <c r="AJ54" s="172" t="str">
        <f t="shared" si="75"/>
        <v/>
      </c>
      <c r="AK54" s="174" t="str">
        <f t="shared" si="5"/>
        <v/>
      </c>
      <c r="AL54" s="172" t="str">
        <f t="shared" si="30"/>
        <v/>
      </c>
      <c r="AM54" s="175" t="str">
        <f t="shared" ref="AM54:AM55" si="81">IFERROR(IF(OR(AND(AI54="Muy Baja",AK54="Leve"),AND(AI54="Muy Baja",AK54="Menor"),AND(AI54="Baja",AK54="Leve")),"Bajo",IF(OR(AND(AI54="Muy baja",AK54="Moderado"),AND(AI54="Baja",AK54="Menor"),AND(AI54="Baja",AK54="Moderado"),AND(AI54="Media",AK54="Leve"),AND(AI54="Media",AK54="Menor"),AND(AI54="Media",AK54="Moderado"),AND(AI54="Alta",AK54="Leve"),AND(AI54="Alta",AK54="Menor")),"Moderado",IF(OR(AND(AI54="Muy Baja",AK54="Mayor"),AND(AI54="Baja",AK54="Mayor"),AND(AI54="Media",AK54="Mayor"),AND(AI54="Alta",AK54="Moderado"),AND(AI54="Alta",AK54="Mayor"),AND(AI54="Muy Alta",AK54="Leve"),AND(AI54="Muy Alta",AK54="Menor"),AND(AI54="Muy Alta",AK54="Moderado"),AND(AI54="Muy Alta",AK54="Mayor")),"Alto",IF(OR(AND(AI54="Muy Baja",AK54="Catastrófico"),AND(AI54="Baja",AK54="Catastrófico"),AND(AI54="Media",AK54="Catastrófico"),AND(AI54="Alta",AK54="Catastrófico"),AND(AI54="Muy Alta",AK54="Catastrófico")),"Extremo","")))),"")</f>
        <v/>
      </c>
      <c r="AN54" s="176"/>
      <c r="AO54" s="169"/>
      <c r="AP54" s="177"/>
      <c r="AQ54" s="177"/>
      <c r="AR54" s="178"/>
      <c r="AS54" s="459"/>
      <c r="AT54" s="459"/>
      <c r="AU54" s="459"/>
    </row>
    <row r="55" spans="1:47" ht="15" x14ac:dyDescent="0.2">
      <c r="A55" s="448"/>
      <c r="B55" s="449"/>
      <c r="C55" s="449"/>
      <c r="D55" s="449"/>
      <c r="E55" s="449"/>
      <c r="F55" s="492"/>
      <c r="G55" s="449"/>
      <c r="H55" s="491"/>
      <c r="I55" s="202"/>
      <c r="J55" s="202"/>
      <c r="K55" s="202"/>
      <c r="L55" s="491"/>
      <c r="M55" s="491"/>
      <c r="N55" s="459"/>
      <c r="O55" s="460"/>
      <c r="P55" s="461"/>
      <c r="Q55" s="490"/>
      <c r="R55" s="461">
        <f>IF(NOT(ISERROR(MATCH(Q55,_xlfn.ANCHORARRAY(G66),0))),Q68&amp;"Por favor no seleccionar los criterios de impacto",Q55)</f>
        <v>0</v>
      </c>
      <c r="S55" s="460"/>
      <c r="T55" s="461"/>
      <c r="U55" s="489"/>
      <c r="V55" s="193">
        <v>6</v>
      </c>
      <c r="W55" s="193"/>
      <c r="X55" s="193"/>
      <c r="Y55" s="193"/>
      <c r="Z55" s="218" t="str">
        <f t="shared" si="1"/>
        <v xml:space="preserve">  </v>
      </c>
      <c r="AA55" s="170" t="str">
        <f t="shared" si="79"/>
        <v/>
      </c>
      <c r="AB55" s="171"/>
      <c r="AC55" s="171"/>
      <c r="AD55" s="172" t="str">
        <f t="shared" si="74"/>
        <v/>
      </c>
      <c r="AE55" s="171"/>
      <c r="AF55" s="171"/>
      <c r="AG55" s="171"/>
      <c r="AH55" s="173" t="str">
        <f t="shared" si="80"/>
        <v/>
      </c>
      <c r="AI55" s="174" t="str">
        <f t="shared" si="3"/>
        <v/>
      </c>
      <c r="AJ55" s="172" t="str">
        <f t="shared" si="75"/>
        <v/>
      </c>
      <c r="AK55" s="174" t="str">
        <f t="shared" si="5"/>
        <v/>
      </c>
      <c r="AL55" s="172" t="str">
        <f t="shared" si="30"/>
        <v/>
      </c>
      <c r="AM55" s="175" t="str">
        <f t="shared" si="81"/>
        <v/>
      </c>
      <c r="AN55" s="176"/>
      <c r="AO55" s="169"/>
      <c r="AP55" s="177"/>
      <c r="AQ55" s="177"/>
      <c r="AR55" s="178"/>
      <c r="AS55" s="459"/>
      <c r="AT55" s="459"/>
      <c r="AU55" s="459"/>
    </row>
    <row r="56" spans="1:47" ht="15" x14ac:dyDescent="0.2">
      <c r="A56" s="448">
        <v>10</v>
      </c>
      <c r="B56" s="449"/>
      <c r="C56" s="449"/>
      <c r="D56" s="449"/>
      <c r="E56" s="449"/>
      <c r="F56" s="492" t="str">
        <f t="shared" ref="F56" si="82">+CONCATENATE(B56," ",C56," ",D56)</f>
        <v xml:space="preserve">  </v>
      </c>
      <c r="G56" s="449"/>
      <c r="H56" s="462"/>
      <c r="I56" s="200"/>
      <c r="J56" s="200"/>
      <c r="K56" s="200"/>
      <c r="L56" s="462"/>
      <c r="M56" s="462"/>
      <c r="N56" s="459"/>
      <c r="O56" s="460" t="str">
        <f>IF(N56&lt;=0,"",IF(N56&lt;=2,"Muy Baja",IF(N56&lt;=24,"Baja",IF(N56&lt;=500,"Media",IF(N56&lt;=5000,"Alta","Muy Alta")))))</f>
        <v/>
      </c>
      <c r="P56" s="461" t="str">
        <f>IF(O56="","",IF(O56="Muy Baja",0.2,IF(O56="Baja",0.4,IF(O56="Media",0.6,IF(O56="Alta",0.8,IF(O56="Muy Alta",1,))))))</f>
        <v/>
      </c>
      <c r="Q56" s="490"/>
      <c r="R56" s="461">
        <f>IF(NOT(ISERROR(MATCH(Q56,'Tabla Impacto'!$B$245:$B$247,0))),'Tabla Impacto'!$F$224&amp;"Por favor no seleccionar los criterios de impacto(Afectación Económica o presupuestal y Pérdida Reputacional)",Q56)</f>
        <v>0</v>
      </c>
      <c r="S56" s="460" t="str">
        <f>IF(OR(R56='Tabla Impacto'!$C$12,R56='Tabla Impacto'!$D$12),"Leve",IF(OR(R56='Tabla Impacto'!$C$13,R56='Tabla Impacto'!$D$13),"Menor",IF(OR(R56='Tabla Impacto'!$C$14,R56='Tabla Impacto'!$D$14),"Moderado",IF(OR(R56='Tabla Impacto'!$C$15,R56='Tabla Impacto'!$D$15),"Mayor",IF(OR(R56='Tabla Impacto'!$C$16,R56='Tabla Impacto'!$D$16),"Catastrófico","")))))</f>
        <v/>
      </c>
      <c r="T56" s="461" t="str">
        <f>IF(S56="","",IF(S56="Leve",0.2,IF(S56="Menor",0.4,IF(S56="Moderado",0.6,IF(S56="Mayor",0.8,IF(S56="Catastrófico",1,))))))</f>
        <v/>
      </c>
      <c r="U56" s="489" t="str">
        <f>IF(OR(AND(O56="Muy Baja",S56="Leve"),AND(O56="Muy Baja",S56="Menor"),AND(O56="Baja",S56="Leve")),"Bajo",IF(OR(AND(O56="Muy baja",S56="Moderado"),AND(O56="Baja",S56="Menor"),AND(O56="Baja",S56="Moderado"),AND(O56="Media",S56="Leve"),AND(O56="Media",S56="Menor"),AND(O56="Media",S56="Moderado"),AND(O56="Alta",S56="Leve"),AND(O56="Alta",S56="Menor")),"Moderado",IF(OR(AND(O56="Muy Baja",S56="Mayor"),AND(O56="Baja",S56="Mayor"),AND(O56="Media",S56="Mayor"),AND(O56="Alta",S56="Moderado"),AND(O56="Alta",S56="Mayor"),AND(O56="Muy Alta",S56="Leve"),AND(O56="Muy Alta",S56="Menor"),AND(O56="Muy Alta",S56="Moderado"),AND(O56="Muy Alta",S56="Mayor")),"Alto",IF(OR(AND(O56="Muy Baja",S56="Catastrófico"),AND(O56="Baja",S56="Catastrófico"),AND(O56="Media",S56="Catastrófico"),AND(O56="Alta",S56="Catastrófico"),AND(O56="Muy Alta",S56="Catastrófico")),"Extremo",""))))</f>
        <v/>
      </c>
      <c r="V56" s="193">
        <v>1</v>
      </c>
      <c r="W56" s="193"/>
      <c r="X56" s="193"/>
      <c r="Y56" s="193"/>
      <c r="Z56" s="218" t="str">
        <f t="shared" si="1"/>
        <v xml:space="preserve">  </v>
      </c>
      <c r="AA56" s="170" t="str">
        <f>IF(OR(AB56="Preventivo",AB56="Detectivo"),"Probabilidad",IF(AB56="Correctivo","Impacto",""))</f>
        <v/>
      </c>
      <c r="AB56" s="171"/>
      <c r="AC56" s="171"/>
      <c r="AD56" s="172" t="str">
        <f>IF(AND(AB56="Preventivo",AC56="Automático"),"50%",IF(AND(AB56="Preventivo",AC56="Manual"),"40%",IF(AND(AB56="Detectivo",AC56="Automático"),"40%",IF(AND(AB56="Detectivo",AC56="Manual"),"30%",IF(AND(AB56="Correctivo",AC56="Automático"),"35%",IF(AND(AB56="Correctivo",AC56="Manual"),"25%",""))))))</f>
        <v/>
      </c>
      <c r="AE56" s="171"/>
      <c r="AF56" s="171"/>
      <c r="AG56" s="171"/>
      <c r="AH56" s="173" t="str">
        <f>IFERROR(IF(AA56="Probabilidad",(P56-(+P56*AD56)),IF(AA56="Impacto",P56,"")),"")</f>
        <v/>
      </c>
      <c r="AI56" s="174" t="str">
        <f>IFERROR(IF(AH56="","",IF(AH56&lt;=0.2,"Muy Baja",IF(AH56&lt;=0.4,"Baja",IF(AH56&lt;=0.6,"Media",IF(AH56&lt;=0.8,"Alta","Muy Alta"))))),"")</f>
        <v/>
      </c>
      <c r="AJ56" s="172" t="str">
        <f>+AH56</f>
        <v/>
      </c>
      <c r="AK56" s="174" t="str">
        <f>IFERROR(IF(AL56="","",IF(AL56&lt;=0.2,"Leve",IF(AL56&lt;=0.4,"Menor",IF(AL56&lt;=0.6,"Moderado",IF(AL56&lt;=0.8,"Mayor","Catastrófico"))))),"")</f>
        <v/>
      </c>
      <c r="AL56" s="172" t="str">
        <f t="shared" ref="AL56" si="83">IFERROR(IF(AA56="Impacto",(T56-(+T56*AD56)),IF(AA56="Probabilidad",T56,"")),"")</f>
        <v/>
      </c>
      <c r="AM56" s="175" t="str">
        <f>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76"/>
      <c r="AO56" s="169"/>
      <c r="AP56" s="177"/>
      <c r="AQ56" s="177"/>
      <c r="AR56" s="178"/>
      <c r="AS56" s="459"/>
      <c r="AT56" s="459"/>
      <c r="AU56" s="459"/>
    </row>
    <row r="57" spans="1:47" ht="15" x14ac:dyDescent="0.2">
      <c r="A57" s="448"/>
      <c r="B57" s="449"/>
      <c r="C57" s="449"/>
      <c r="D57" s="449"/>
      <c r="E57" s="449"/>
      <c r="F57" s="492"/>
      <c r="G57" s="449"/>
      <c r="H57" s="463"/>
      <c r="I57" s="201"/>
      <c r="J57" s="201"/>
      <c r="K57" s="201"/>
      <c r="L57" s="463"/>
      <c r="M57" s="463"/>
      <c r="N57" s="459"/>
      <c r="O57" s="460"/>
      <c r="P57" s="461"/>
      <c r="Q57" s="490"/>
      <c r="R57" s="461">
        <f>IF(NOT(ISERROR(MATCH(Q57,_xlfn.ANCHORARRAY(G68),0))),Q70&amp;"Por favor no seleccionar los criterios de impacto",Q57)</f>
        <v>0</v>
      </c>
      <c r="S57" s="460"/>
      <c r="T57" s="461"/>
      <c r="U57" s="489"/>
      <c r="V57" s="193">
        <v>2</v>
      </c>
      <c r="W57" s="193"/>
      <c r="X57" s="193"/>
      <c r="Y57" s="193"/>
      <c r="Z57" s="218" t="str">
        <f t="shared" si="1"/>
        <v xml:space="preserve">  </v>
      </c>
      <c r="AA57" s="170" t="str">
        <f>IF(OR(AB57="Preventivo",AB57="Detectivo"),"Probabilidad",IF(AB57="Correctivo","Impacto",""))</f>
        <v/>
      </c>
      <c r="AB57" s="171"/>
      <c r="AC57" s="171"/>
      <c r="AD57" s="172" t="str">
        <f t="shared" ref="AD57:AD61" si="84">IF(AND(AB57="Preventivo",AC57="Automático"),"50%",IF(AND(AB57="Preventivo",AC57="Manual"),"40%",IF(AND(AB57="Detectivo",AC57="Automático"),"40%",IF(AND(AB57="Detectivo",AC57="Manual"),"30%",IF(AND(AB57="Correctivo",AC57="Automático"),"35%",IF(AND(AB57="Correctivo",AC57="Manual"),"25%",""))))))</f>
        <v/>
      </c>
      <c r="AE57" s="171"/>
      <c r="AF57" s="171"/>
      <c r="AG57" s="171"/>
      <c r="AH57" s="173" t="str">
        <f>IFERROR(IF(AND(AA56="Probabilidad",AA57="Probabilidad"),(AJ56-(+AJ56*AD57)),IF(AA57="Probabilidad",(P56-(+P56*AD57)),IF(AA57="Impacto",AJ56,""))),"")</f>
        <v/>
      </c>
      <c r="AI57" s="174" t="str">
        <f t="shared" si="3"/>
        <v/>
      </c>
      <c r="AJ57" s="172" t="str">
        <f t="shared" ref="AJ57:AJ61" si="85">+AH57</f>
        <v/>
      </c>
      <c r="AK57" s="174" t="str">
        <f t="shared" si="5"/>
        <v/>
      </c>
      <c r="AL57" s="172" t="str">
        <f t="shared" ref="AL57" si="86">IFERROR(IF(AND(AA56="Impacto",AA57="Impacto"),(AL56-(+AL56*AD57)),IF(AA57="Impacto",($T$13-(+$T$13*AD57)),IF(AA57="Probabilidad",AL56,""))),"")</f>
        <v/>
      </c>
      <c r="AM57" s="175" t="str">
        <f t="shared" ref="AM57:AM58" si="87">IFERROR(IF(OR(AND(AI57="Muy Baja",AK57="Leve"),AND(AI57="Muy Baja",AK57="Menor"),AND(AI57="Baja",AK57="Leve")),"Bajo",IF(OR(AND(AI57="Muy baja",AK57="Moderado"),AND(AI57="Baja",AK57="Menor"),AND(AI57="Baja",AK57="Moderado"),AND(AI57="Media",AK57="Leve"),AND(AI57="Media",AK57="Menor"),AND(AI57="Media",AK57="Moderado"),AND(AI57="Alta",AK57="Leve"),AND(AI57="Alta",AK57="Menor")),"Moderado",IF(OR(AND(AI57="Muy Baja",AK57="Mayor"),AND(AI57="Baja",AK57="Mayor"),AND(AI57="Media",AK57="Mayor"),AND(AI57="Alta",AK57="Moderado"),AND(AI57="Alta",AK57="Mayor"),AND(AI57="Muy Alta",AK57="Leve"),AND(AI57="Muy Alta",AK57="Menor"),AND(AI57="Muy Alta",AK57="Moderado"),AND(AI57="Muy Alta",AK57="Mayor")),"Alto",IF(OR(AND(AI57="Muy Baja",AK57="Catastrófico"),AND(AI57="Baja",AK57="Catastrófico"),AND(AI57="Media",AK57="Catastrófico"),AND(AI57="Alta",AK57="Catastrófico"),AND(AI57="Muy Alta",AK57="Catastrófico")),"Extremo","")))),"")</f>
        <v/>
      </c>
      <c r="AN57" s="176"/>
      <c r="AO57" s="169"/>
      <c r="AP57" s="177"/>
      <c r="AQ57" s="177"/>
      <c r="AR57" s="178"/>
      <c r="AS57" s="459"/>
      <c r="AT57" s="459"/>
      <c r="AU57" s="459"/>
    </row>
    <row r="58" spans="1:47" ht="15" x14ac:dyDescent="0.2">
      <c r="A58" s="448"/>
      <c r="B58" s="449"/>
      <c r="C58" s="449"/>
      <c r="D58" s="449"/>
      <c r="E58" s="449"/>
      <c r="F58" s="492"/>
      <c r="G58" s="449"/>
      <c r="H58" s="463"/>
      <c r="I58" s="201"/>
      <c r="J58" s="201"/>
      <c r="K58" s="201"/>
      <c r="L58" s="463"/>
      <c r="M58" s="463"/>
      <c r="N58" s="459"/>
      <c r="O58" s="460"/>
      <c r="P58" s="461"/>
      <c r="Q58" s="490"/>
      <c r="R58" s="461">
        <f>IF(NOT(ISERROR(MATCH(Q58,_xlfn.ANCHORARRAY(G69),0))),Q71&amp;"Por favor no seleccionar los criterios de impacto",Q58)</f>
        <v>0</v>
      </c>
      <c r="S58" s="460"/>
      <c r="T58" s="461"/>
      <c r="U58" s="489"/>
      <c r="V58" s="193">
        <v>3</v>
      </c>
      <c r="W58" s="193"/>
      <c r="X58" s="193"/>
      <c r="Y58" s="193"/>
      <c r="Z58" s="218" t="str">
        <f t="shared" si="1"/>
        <v xml:space="preserve">  </v>
      </c>
      <c r="AA58" s="170" t="str">
        <f>IF(OR(AB58="Preventivo",AB58="Detectivo"),"Probabilidad",IF(AB58="Correctivo","Impacto",""))</f>
        <v/>
      </c>
      <c r="AB58" s="171"/>
      <c r="AC58" s="171"/>
      <c r="AD58" s="172" t="str">
        <f t="shared" si="84"/>
        <v/>
      </c>
      <c r="AE58" s="171"/>
      <c r="AF58" s="171"/>
      <c r="AG58" s="171"/>
      <c r="AH58" s="173" t="str">
        <f>IFERROR(IF(AND(AA57="Probabilidad",AA58="Probabilidad"),(AJ57-(+AJ57*AD58)),IF(AND(AA57="Impacto",AA58="Probabilidad"),(AJ56-(+AJ56*AD58)),IF(AA58="Impacto",AJ57,""))),"")</f>
        <v/>
      </c>
      <c r="AI58" s="174" t="str">
        <f t="shared" si="3"/>
        <v/>
      </c>
      <c r="AJ58" s="172" t="str">
        <f t="shared" si="85"/>
        <v/>
      </c>
      <c r="AK58" s="174" t="str">
        <f t="shared" si="5"/>
        <v/>
      </c>
      <c r="AL58" s="172" t="str">
        <f t="shared" ref="AL58" si="88">IFERROR(IF(AND(AA57="Impacto",AA58="Impacto"),(AL57-(+AL57*AD58)),IF(AND(AA57="Probabilidad",AA58="Impacto"),(AL56-(+AL56*AD58)),IF(AA58="Probabilidad",AL57,""))),"")</f>
        <v/>
      </c>
      <c r="AM58" s="175" t="str">
        <f t="shared" si="87"/>
        <v/>
      </c>
      <c r="AN58" s="176"/>
      <c r="AO58" s="169"/>
      <c r="AP58" s="177"/>
      <c r="AQ58" s="177"/>
      <c r="AR58" s="178"/>
      <c r="AS58" s="459"/>
      <c r="AT58" s="459"/>
      <c r="AU58" s="459"/>
    </row>
    <row r="59" spans="1:47" ht="15" x14ac:dyDescent="0.2">
      <c r="A59" s="448"/>
      <c r="B59" s="449"/>
      <c r="C59" s="449"/>
      <c r="D59" s="449"/>
      <c r="E59" s="449"/>
      <c r="F59" s="492"/>
      <c r="G59" s="449"/>
      <c r="H59" s="463"/>
      <c r="I59" s="201"/>
      <c r="J59" s="201"/>
      <c r="K59" s="201"/>
      <c r="L59" s="463"/>
      <c r="M59" s="463"/>
      <c r="N59" s="459"/>
      <c r="O59" s="460"/>
      <c r="P59" s="461"/>
      <c r="Q59" s="490"/>
      <c r="R59" s="461">
        <f>IF(NOT(ISERROR(MATCH(Q59,_xlfn.ANCHORARRAY(G70),0))),Q72&amp;"Por favor no seleccionar los criterios de impacto",Q59)</f>
        <v>0</v>
      </c>
      <c r="S59" s="460"/>
      <c r="T59" s="461"/>
      <c r="U59" s="489"/>
      <c r="V59" s="193">
        <v>4</v>
      </c>
      <c r="W59" s="193"/>
      <c r="X59" s="193"/>
      <c r="Y59" s="193"/>
      <c r="Z59" s="218" t="str">
        <f t="shared" si="1"/>
        <v xml:space="preserve">  </v>
      </c>
      <c r="AA59" s="170" t="str">
        <f t="shared" ref="AA59:AA61" si="89">IF(OR(AB59="Preventivo",AB59="Detectivo"),"Probabilidad",IF(AB59="Correctivo","Impacto",""))</f>
        <v/>
      </c>
      <c r="AB59" s="171"/>
      <c r="AC59" s="171"/>
      <c r="AD59" s="172" t="str">
        <f t="shared" si="84"/>
        <v/>
      </c>
      <c r="AE59" s="171"/>
      <c r="AF59" s="171"/>
      <c r="AG59" s="171"/>
      <c r="AH59" s="173" t="str">
        <f t="shared" ref="AH59:AH61" si="90">IFERROR(IF(AND(AA58="Probabilidad",AA59="Probabilidad"),(AJ58-(+AJ58*AD59)),IF(AND(AA58="Impacto",AA59="Probabilidad"),(AJ57-(+AJ57*AD59)),IF(AA59="Impacto",AJ58,""))),"")</f>
        <v/>
      </c>
      <c r="AI59" s="174" t="str">
        <f t="shared" si="3"/>
        <v/>
      </c>
      <c r="AJ59" s="172" t="str">
        <f t="shared" si="85"/>
        <v/>
      </c>
      <c r="AK59" s="174" t="str">
        <f t="shared" si="5"/>
        <v/>
      </c>
      <c r="AL59" s="172" t="str">
        <f t="shared" si="30"/>
        <v/>
      </c>
      <c r="AM59" s="175" t="str">
        <f>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76"/>
      <c r="AO59" s="169"/>
      <c r="AP59" s="177"/>
      <c r="AQ59" s="177"/>
      <c r="AR59" s="178"/>
      <c r="AS59" s="459"/>
      <c r="AT59" s="459"/>
      <c r="AU59" s="459"/>
    </row>
    <row r="60" spans="1:47" ht="15" x14ac:dyDescent="0.2">
      <c r="A60" s="448"/>
      <c r="B60" s="449"/>
      <c r="C60" s="449"/>
      <c r="D60" s="449"/>
      <c r="E60" s="449"/>
      <c r="F60" s="492"/>
      <c r="G60" s="449"/>
      <c r="H60" s="463"/>
      <c r="I60" s="201"/>
      <c r="J60" s="201"/>
      <c r="K60" s="201"/>
      <c r="L60" s="463"/>
      <c r="M60" s="463"/>
      <c r="N60" s="459"/>
      <c r="O60" s="460"/>
      <c r="P60" s="461"/>
      <c r="Q60" s="490"/>
      <c r="R60" s="461">
        <f>IF(NOT(ISERROR(MATCH(Q60,_xlfn.ANCHORARRAY(G71),0))),Q73&amp;"Por favor no seleccionar los criterios de impacto",Q60)</f>
        <v>0</v>
      </c>
      <c r="S60" s="460"/>
      <c r="T60" s="461"/>
      <c r="U60" s="489"/>
      <c r="V60" s="193">
        <v>5</v>
      </c>
      <c r="W60" s="193"/>
      <c r="X60" s="193"/>
      <c r="Y60" s="193"/>
      <c r="Z60" s="218" t="str">
        <f t="shared" si="1"/>
        <v xml:space="preserve">  </v>
      </c>
      <c r="AA60" s="170" t="str">
        <f t="shared" si="89"/>
        <v/>
      </c>
      <c r="AB60" s="171"/>
      <c r="AC60" s="171"/>
      <c r="AD60" s="172" t="str">
        <f t="shared" si="84"/>
        <v/>
      </c>
      <c r="AE60" s="171"/>
      <c r="AF60" s="171"/>
      <c r="AG60" s="171"/>
      <c r="AH60" s="173" t="str">
        <f t="shared" si="90"/>
        <v/>
      </c>
      <c r="AI60" s="174" t="str">
        <f t="shared" si="3"/>
        <v/>
      </c>
      <c r="AJ60" s="172" t="str">
        <f t="shared" si="85"/>
        <v/>
      </c>
      <c r="AK60" s="174" t="str">
        <f t="shared" si="5"/>
        <v/>
      </c>
      <c r="AL60" s="172" t="str">
        <f t="shared" si="30"/>
        <v/>
      </c>
      <c r="AM60" s="175" t="str">
        <f t="shared" ref="AM60:AM61" si="91">IFERROR(IF(OR(AND(AI60="Muy Baja",AK60="Leve"),AND(AI60="Muy Baja",AK60="Menor"),AND(AI60="Baja",AK60="Leve")),"Bajo",IF(OR(AND(AI60="Muy baja",AK60="Moderado"),AND(AI60="Baja",AK60="Menor"),AND(AI60="Baja",AK60="Moderado"),AND(AI60="Media",AK60="Leve"),AND(AI60="Media",AK60="Menor"),AND(AI60="Media",AK60="Moderado"),AND(AI60="Alta",AK60="Leve"),AND(AI60="Alta",AK60="Menor")),"Moderado",IF(OR(AND(AI60="Muy Baja",AK60="Mayor"),AND(AI60="Baja",AK60="Mayor"),AND(AI60="Media",AK60="Mayor"),AND(AI60="Alta",AK60="Moderado"),AND(AI60="Alta",AK60="Mayor"),AND(AI60="Muy Alta",AK60="Leve"),AND(AI60="Muy Alta",AK60="Menor"),AND(AI60="Muy Alta",AK60="Moderado"),AND(AI60="Muy Alta",AK60="Mayor")),"Alto",IF(OR(AND(AI60="Muy Baja",AK60="Catastrófico"),AND(AI60="Baja",AK60="Catastrófico"),AND(AI60="Media",AK60="Catastrófico"),AND(AI60="Alta",AK60="Catastrófico"),AND(AI60="Muy Alta",AK60="Catastrófico")),"Extremo","")))),"")</f>
        <v/>
      </c>
      <c r="AN60" s="176"/>
      <c r="AO60" s="169"/>
      <c r="AP60" s="177"/>
      <c r="AQ60" s="177"/>
      <c r="AR60" s="178"/>
      <c r="AS60" s="459"/>
      <c r="AT60" s="459"/>
      <c r="AU60" s="459"/>
    </row>
    <row r="61" spans="1:47" ht="15" x14ac:dyDescent="0.2">
      <c r="A61" s="448"/>
      <c r="B61" s="449"/>
      <c r="C61" s="449"/>
      <c r="D61" s="449"/>
      <c r="E61" s="449"/>
      <c r="F61" s="492"/>
      <c r="G61" s="449"/>
      <c r="H61" s="491"/>
      <c r="I61" s="202"/>
      <c r="J61" s="202"/>
      <c r="K61" s="202"/>
      <c r="L61" s="491"/>
      <c r="M61" s="491"/>
      <c r="N61" s="459"/>
      <c r="O61" s="460"/>
      <c r="P61" s="461"/>
      <c r="Q61" s="490"/>
      <c r="R61" s="461">
        <f>IF(NOT(ISERROR(MATCH(Q61,_xlfn.ANCHORARRAY(G72),0))),Q74&amp;"Por favor no seleccionar los criterios de impacto",Q61)</f>
        <v>0</v>
      </c>
      <c r="S61" s="460"/>
      <c r="T61" s="461"/>
      <c r="U61" s="489"/>
      <c r="V61" s="193">
        <v>6</v>
      </c>
      <c r="W61" s="193"/>
      <c r="X61" s="193"/>
      <c r="Y61" s="193"/>
      <c r="Z61" s="218" t="str">
        <f t="shared" si="1"/>
        <v xml:space="preserve">  </v>
      </c>
      <c r="AA61" s="170" t="str">
        <f t="shared" si="89"/>
        <v/>
      </c>
      <c r="AB61" s="171"/>
      <c r="AC61" s="171"/>
      <c r="AD61" s="172" t="str">
        <f t="shared" si="84"/>
        <v/>
      </c>
      <c r="AE61" s="171"/>
      <c r="AF61" s="171"/>
      <c r="AG61" s="171"/>
      <c r="AH61" s="173" t="str">
        <f t="shared" si="90"/>
        <v/>
      </c>
      <c r="AI61" s="174" t="str">
        <f t="shared" si="3"/>
        <v/>
      </c>
      <c r="AJ61" s="172" t="str">
        <f t="shared" si="85"/>
        <v/>
      </c>
      <c r="AK61" s="174" t="str">
        <f t="shared" si="5"/>
        <v/>
      </c>
      <c r="AL61" s="172" t="str">
        <f t="shared" si="30"/>
        <v/>
      </c>
      <c r="AM61" s="175" t="str">
        <f t="shared" si="91"/>
        <v/>
      </c>
      <c r="AN61" s="176"/>
      <c r="AO61" s="169"/>
      <c r="AP61" s="177"/>
      <c r="AQ61" s="177"/>
      <c r="AR61" s="178"/>
      <c r="AS61" s="459"/>
      <c r="AT61" s="459"/>
      <c r="AU61" s="459"/>
    </row>
    <row r="62" spans="1:47" x14ac:dyDescent="0.2">
      <c r="A62" s="369"/>
      <c r="B62" s="493"/>
      <c r="C62" s="494"/>
      <c r="D62" s="494"/>
      <c r="E62" s="494"/>
      <c r="F62" s="494"/>
      <c r="G62" s="494"/>
      <c r="H62" s="494"/>
      <c r="I62" s="494"/>
      <c r="J62" s="494"/>
      <c r="K62" s="494"/>
      <c r="L62" s="494"/>
      <c r="M62" s="494"/>
      <c r="N62" s="494"/>
      <c r="O62" s="494"/>
      <c r="P62" s="494"/>
      <c r="Q62" s="494"/>
      <c r="R62" s="494"/>
      <c r="S62" s="494"/>
      <c r="T62" s="494"/>
      <c r="U62" s="494"/>
      <c r="V62" s="494"/>
      <c r="W62" s="494"/>
      <c r="X62" s="494"/>
      <c r="Y62" s="494"/>
      <c r="Z62" s="494"/>
      <c r="AA62" s="494"/>
      <c r="AB62" s="494"/>
      <c r="AC62" s="494"/>
      <c r="AD62" s="494"/>
      <c r="AE62" s="494"/>
      <c r="AF62" s="494"/>
      <c r="AG62" s="494"/>
      <c r="AH62" s="494"/>
      <c r="AI62" s="494"/>
      <c r="AJ62" s="494"/>
      <c r="AK62" s="494"/>
      <c r="AL62" s="494"/>
      <c r="AM62" s="494"/>
      <c r="AN62" s="494"/>
      <c r="AO62" s="494"/>
      <c r="AP62" s="494"/>
      <c r="AQ62" s="494"/>
      <c r="AR62" s="494"/>
      <c r="AS62" s="494"/>
    </row>
    <row r="64" spans="1:47" x14ac:dyDescent="0.25">
      <c r="A64" s="371"/>
      <c r="B64" s="186"/>
      <c r="C64" s="179"/>
      <c r="D64" s="179"/>
      <c r="E64" s="179"/>
      <c r="F64" s="179"/>
      <c r="N64" s="179"/>
    </row>
  </sheetData>
  <dataConsolidate/>
  <mergeCells count="295">
    <mergeCell ref="E50:E55"/>
    <mergeCell ref="E56:E61"/>
    <mergeCell ref="V10:AH10"/>
    <mergeCell ref="N10:U10"/>
    <mergeCell ref="E11:E12"/>
    <mergeCell ref="E13:E14"/>
    <mergeCell ref="E15:E16"/>
    <mergeCell ref="E17:E19"/>
    <mergeCell ref="E20:E25"/>
    <mergeCell ref="E26:E31"/>
    <mergeCell ref="E32:E37"/>
    <mergeCell ref="E38:E43"/>
    <mergeCell ref="H10:K10"/>
    <mergeCell ref="K13:K14"/>
    <mergeCell ref="I15:I16"/>
    <mergeCell ref="J15:J16"/>
    <mergeCell ref="K15:K16"/>
    <mergeCell ref="I17:I19"/>
    <mergeCell ref="G15:G16"/>
    <mergeCell ref="J17:J19"/>
    <mergeCell ref="K17:K19"/>
    <mergeCell ref="P20:P25"/>
    <mergeCell ref="G20:G25"/>
    <mergeCell ref="H20:H25"/>
    <mergeCell ref="Q20:Q25"/>
    <mergeCell ref="L10:M11"/>
    <mergeCell ref="L13:L14"/>
    <mergeCell ref="M13:M14"/>
    <mergeCell ref="U20:U25"/>
    <mergeCell ref="R15:R16"/>
    <mergeCell ref="S15:S16"/>
    <mergeCell ref="T15:T16"/>
    <mergeCell ref="U15:U16"/>
    <mergeCell ref="L17:L19"/>
    <mergeCell ref="M17:M19"/>
    <mergeCell ref="Q15:Q16"/>
    <mergeCell ref="Q17:Q19"/>
    <mergeCell ref="R17:R19"/>
    <mergeCell ref="S17:S19"/>
    <mergeCell ref="R20:R25"/>
    <mergeCell ref="N13:N14"/>
    <mergeCell ref="O13:O14"/>
    <mergeCell ref="N20:N25"/>
    <mergeCell ref="O20:O25"/>
    <mergeCell ref="C13:C14"/>
    <mergeCell ref="D13:D14"/>
    <mergeCell ref="F13:F14"/>
    <mergeCell ref="L56:L61"/>
    <mergeCell ref="M56:M61"/>
    <mergeCell ref="AS10:AU10"/>
    <mergeCell ref="AI10:AM10"/>
    <mergeCell ref="AN10:AR10"/>
    <mergeCell ref="M26:M31"/>
    <mergeCell ref="L32:L37"/>
    <mergeCell ref="M32:M37"/>
    <mergeCell ref="L38:L43"/>
    <mergeCell ref="M38:M43"/>
    <mergeCell ref="L44:L49"/>
    <mergeCell ref="M44:M49"/>
    <mergeCell ref="L50:L55"/>
    <mergeCell ref="M50:M55"/>
    <mergeCell ref="AS50:AS55"/>
    <mergeCell ref="AT50:AT55"/>
    <mergeCell ref="P11:P12"/>
    <mergeCell ref="S11:S12"/>
    <mergeCell ref="AO11:AO12"/>
    <mergeCell ref="AR11:AR12"/>
    <mergeCell ref="J13:J14"/>
    <mergeCell ref="AU50:AU55"/>
    <mergeCell ref="T17:T19"/>
    <mergeCell ref="U17:U19"/>
    <mergeCell ref="AS56:AS61"/>
    <mergeCell ref="AT56:AT61"/>
    <mergeCell ref="AU56:AU61"/>
    <mergeCell ref="AS32:AS37"/>
    <mergeCell ref="AT32:AT37"/>
    <mergeCell ref="AS15:AS16"/>
    <mergeCell ref="AT15:AT16"/>
    <mergeCell ref="AU15:AU16"/>
    <mergeCell ref="AU32:AU37"/>
    <mergeCell ref="AS38:AS43"/>
    <mergeCell ref="AT38:AT43"/>
    <mergeCell ref="AU38:AU43"/>
    <mergeCell ref="AS44:AS49"/>
    <mergeCell ref="AT44:AT49"/>
    <mergeCell ref="AU44:AU49"/>
    <mergeCell ref="AS20:AS25"/>
    <mergeCell ref="AT20:AT25"/>
    <mergeCell ref="AU20:AU25"/>
    <mergeCell ref="AT26:AT31"/>
    <mergeCell ref="AU26:AU31"/>
    <mergeCell ref="O11:O12"/>
    <mergeCell ref="U11:U12"/>
    <mergeCell ref="Q11:Q12"/>
    <mergeCell ref="R11:R12"/>
    <mergeCell ref="AS11:AS12"/>
    <mergeCell ref="AT11:AT12"/>
    <mergeCell ref="AU11:AU12"/>
    <mergeCell ref="AS13:AS14"/>
    <mergeCell ref="AT13:AT14"/>
    <mergeCell ref="AU13:AU14"/>
    <mergeCell ref="AN11:AN12"/>
    <mergeCell ref="AQ11:AQ12"/>
    <mergeCell ref="V11:V12"/>
    <mergeCell ref="AM11:AM12"/>
    <mergeCell ref="AL11:AL12"/>
    <mergeCell ref="AH11:AH12"/>
    <mergeCell ref="Z11:Z12"/>
    <mergeCell ref="AK11:AK12"/>
    <mergeCell ref="AI11:AI12"/>
    <mergeCell ref="T11:T12"/>
    <mergeCell ref="AP11:AP12"/>
    <mergeCell ref="AJ11:AJ12"/>
    <mergeCell ref="AA11:AA12"/>
    <mergeCell ref="AB11:AG11"/>
    <mergeCell ref="S20:S25"/>
    <mergeCell ref="A13:A14"/>
    <mergeCell ref="B13:B14"/>
    <mergeCell ref="A11:A12"/>
    <mergeCell ref="F11:F12"/>
    <mergeCell ref="D11:D12"/>
    <mergeCell ref="C11:C12"/>
    <mergeCell ref="AS26:AS31"/>
    <mergeCell ref="T20:T25"/>
    <mergeCell ref="R26:R31"/>
    <mergeCell ref="S26:S31"/>
    <mergeCell ref="T26:T31"/>
    <mergeCell ref="F15:F16"/>
    <mergeCell ref="F17:F19"/>
    <mergeCell ref="B11:B12"/>
    <mergeCell ref="G13:G14"/>
    <mergeCell ref="H11:H12"/>
    <mergeCell ref="I11:I12"/>
    <mergeCell ref="J11:J12"/>
    <mergeCell ref="K11:K12"/>
    <mergeCell ref="A20:A25"/>
    <mergeCell ref="B20:B25"/>
    <mergeCell ref="C20:C25"/>
    <mergeCell ref="D20:D25"/>
    <mergeCell ref="F20:F25"/>
    <mergeCell ref="I20:I25"/>
    <mergeCell ref="J20:J25"/>
    <mergeCell ref="K20:K25"/>
    <mergeCell ref="L20:L25"/>
    <mergeCell ref="M20:M25"/>
    <mergeCell ref="A26:A31"/>
    <mergeCell ref="B26:B31"/>
    <mergeCell ref="C26:C31"/>
    <mergeCell ref="K26:K31"/>
    <mergeCell ref="A32:A37"/>
    <mergeCell ref="B32:B37"/>
    <mergeCell ref="C32:C37"/>
    <mergeCell ref="D32:D37"/>
    <mergeCell ref="F32:F37"/>
    <mergeCell ref="D26:D31"/>
    <mergeCell ref="F26:F31"/>
    <mergeCell ref="B44:B49"/>
    <mergeCell ref="C44:C49"/>
    <mergeCell ref="D44:D49"/>
    <mergeCell ref="F44:F49"/>
    <mergeCell ref="A38:A43"/>
    <mergeCell ref="B38:B43"/>
    <mergeCell ref="C38:C43"/>
    <mergeCell ref="D38:D43"/>
    <mergeCell ref="F38:F43"/>
    <mergeCell ref="A44:A49"/>
    <mergeCell ref="E44:E49"/>
    <mergeCell ref="G56:G61"/>
    <mergeCell ref="T38:T43"/>
    <mergeCell ref="U38:U43"/>
    <mergeCell ref="N44:N49"/>
    <mergeCell ref="O44:O49"/>
    <mergeCell ref="P44:P49"/>
    <mergeCell ref="Q44:Q49"/>
    <mergeCell ref="N38:N43"/>
    <mergeCell ref="O38:O43"/>
    <mergeCell ref="P38:P43"/>
    <mergeCell ref="R44:R49"/>
    <mergeCell ref="S44:S49"/>
    <mergeCell ref="T44:T49"/>
    <mergeCell ref="U44:U49"/>
    <mergeCell ref="H50:H55"/>
    <mergeCell ref="H56:H61"/>
    <mergeCell ref="B62:AS62"/>
    <mergeCell ref="T50:T55"/>
    <mergeCell ref="U50:U55"/>
    <mergeCell ref="A56:A61"/>
    <mergeCell ref="B56:B61"/>
    <mergeCell ref="C56:C61"/>
    <mergeCell ref="D56:D61"/>
    <mergeCell ref="F56:F61"/>
    <mergeCell ref="N56:N61"/>
    <mergeCell ref="O56:O61"/>
    <mergeCell ref="P56:P61"/>
    <mergeCell ref="Q56:Q61"/>
    <mergeCell ref="R56:R61"/>
    <mergeCell ref="S56:S61"/>
    <mergeCell ref="T56:T61"/>
    <mergeCell ref="U56:U61"/>
    <mergeCell ref="Q50:Q55"/>
    <mergeCell ref="R50:R55"/>
    <mergeCell ref="S50:S55"/>
    <mergeCell ref="A50:A55"/>
    <mergeCell ref="B50:B55"/>
    <mergeCell ref="C50:C55"/>
    <mergeCell ref="D50:D55"/>
    <mergeCell ref="G50:G55"/>
    <mergeCell ref="F50:F55"/>
    <mergeCell ref="N50:N55"/>
    <mergeCell ref="O50:O55"/>
    <mergeCell ref="P50:P55"/>
    <mergeCell ref="P26:P31"/>
    <mergeCell ref="Q26:Q31"/>
    <mergeCell ref="N32:N37"/>
    <mergeCell ref="O32:O37"/>
    <mergeCell ref="P32:P37"/>
    <mergeCell ref="G38:G43"/>
    <mergeCell ref="G44:G49"/>
    <mergeCell ref="H44:H49"/>
    <mergeCell ref="I44:I49"/>
    <mergeCell ref="J44:J49"/>
    <mergeCell ref="K44:K49"/>
    <mergeCell ref="J32:J37"/>
    <mergeCell ref="K32:K37"/>
    <mergeCell ref="U26:U31"/>
    <mergeCell ref="T32:T37"/>
    <mergeCell ref="U32:U37"/>
    <mergeCell ref="Q38:Q43"/>
    <mergeCell ref="R38:R43"/>
    <mergeCell ref="S38:S43"/>
    <mergeCell ref="G26:G31"/>
    <mergeCell ref="G32:G37"/>
    <mergeCell ref="H26:H31"/>
    <mergeCell ref="Q32:Q37"/>
    <mergeCell ref="R32:R37"/>
    <mergeCell ref="S32:S37"/>
    <mergeCell ref="N26:N31"/>
    <mergeCell ref="O26:O31"/>
    <mergeCell ref="H38:H43"/>
    <mergeCell ref="I38:I43"/>
    <mergeCell ref="J38:J43"/>
    <mergeCell ref="K38:K43"/>
    <mergeCell ref="L26:L31"/>
    <mergeCell ref="H32:H37"/>
    <mergeCell ref="I26:I31"/>
    <mergeCell ref="J26:J31"/>
    <mergeCell ref="I32:I37"/>
    <mergeCell ref="D15:D16"/>
    <mergeCell ref="AC6:AU6"/>
    <mergeCell ref="AC7:AU7"/>
    <mergeCell ref="AC8:AU8"/>
    <mergeCell ref="AA1:AU2"/>
    <mergeCell ref="AA3:AO3"/>
    <mergeCell ref="AA4:AU4"/>
    <mergeCell ref="AP3:AU3"/>
    <mergeCell ref="A6:B6"/>
    <mergeCell ref="A7:B7"/>
    <mergeCell ref="A8:B8"/>
    <mergeCell ref="Z6:AB6"/>
    <mergeCell ref="C6:T6"/>
    <mergeCell ref="C7:T7"/>
    <mergeCell ref="U13:U14"/>
    <mergeCell ref="P13:P14"/>
    <mergeCell ref="Q13:Q14"/>
    <mergeCell ref="S13:S14"/>
    <mergeCell ref="H13:H14"/>
    <mergeCell ref="A10:G10"/>
    <mergeCell ref="I13:I14"/>
    <mergeCell ref="G11:G12"/>
    <mergeCell ref="T13:T14"/>
    <mergeCell ref="N11:N12"/>
    <mergeCell ref="C8:T8"/>
    <mergeCell ref="D1:T2"/>
    <mergeCell ref="D4:T4"/>
    <mergeCell ref="J3:T3"/>
    <mergeCell ref="D3:I3"/>
    <mergeCell ref="A17:A19"/>
    <mergeCell ref="B17:B19"/>
    <mergeCell ref="C17:C19"/>
    <mergeCell ref="D17:D19"/>
    <mergeCell ref="A1:C4"/>
    <mergeCell ref="N17:N19"/>
    <mergeCell ref="O17:O19"/>
    <mergeCell ref="P17:P19"/>
    <mergeCell ref="G17:G19"/>
    <mergeCell ref="N15:N16"/>
    <mergeCell ref="O15:O16"/>
    <mergeCell ref="P15:P16"/>
    <mergeCell ref="H15:H16"/>
    <mergeCell ref="H17:H19"/>
    <mergeCell ref="L15:L16"/>
    <mergeCell ref="M15:M16"/>
    <mergeCell ref="A15:A16"/>
    <mergeCell ref="B15:B16"/>
    <mergeCell ref="C15:C16"/>
  </mergeCells>
  <conditionalFormatting sqref="O13 O15">
    <cfRule type="cellIs" dxfId="449" priority="341" operator="equal">
      <formula>"Baja"</formula>
    </cfRule>
    <cfRule type="cellIs" dxfId="448" priority="339" operator="equal">
      <formula>"Alta"</formula>
    </cfRule>
    <cfRule type="cellIs" dxfId="447" priority="338" operator="equal">
      <formula>"Muy Alta"</formula>
    </cfRule>
    <cfRule type="cellIs" dxfId="446" priority="342" operator="equal">
      <formula>"Muy Baja"</formula>
    </cfRule>
    <cfRule type="cellIs" dxfId="445" priority="340" operator="equal">
      <formula>"Media"</formula>
    </cfRule>
  </conditionalFormatting>
  <conditionalFormatting sqref="O17">
    <cfRule type="cellIs" dxfId="444" priority="241" operator="equal">
      <formula>"Alta"</formula>
    </cfRule>
    <cfRule type="cellIs" dxfId="443" priority="240" operator="equal">
      <formula>"Muy Alta"</formula>
    </cfRule>
    <cfRule type="cellIs" dxfId="442" priority="244" operator="equal">
      <formula>"Muy Baja"</formula>
    </cfRule>
    <cfRule type="cellIs" dxfId="441" priority="242" operator="equal">
      <formula>"Media"</formula>
    </cfRule>
    <cfRule type="cellIs" dxfId="440" priority="243" operator="equal">
      <formula>"Baja"</formula>
    </cfRule>
  </conditionalFormatting>
  <conditionalFormatting sqref="O20">
    <cfRule type="cellIs" dxfId="439" priority="216" operator="equal">
      <formula>"Muy Baja"</formula>
    </cfRule>
    <cfRule type="cellIs" dxfId="438" priority="215" operator="equal">
      <formula>"Baja"</formula>
    </cfRule>
    <cfRule type="cellIs" dxfId="437" priority="214" operator="equal">
      <formula>"Media"</formula>
    </cfRule>
    <cfRule type="cellIs" dxfId="436" priority="213" operator="equal">
      <formula>"Alta"</formula>
    </cfRule>
    <cfRule type="cellIs" dxfId="435" priority="212" operator="equal">
      <formula>"Muy Alta"</formula>
    </cfRule>
  </conditionalFormatting>
  <conditionalFormatting sqref="O26">
    <cfRule type="cellIs" dxfId="434" priority="188" operator="equal">
      <formula>"Muy Baja"</formula>
    </cfRule>
    <cfRule type="cellIs" dxfId="433" priority="187" operator="equal">
      <formula>"Baja"</formula>
    </cfRule>
    <cfRule type="cellIs" dxfId="432" priority="186" operator="equal">
      <formula>"Media"</formula>
    </cfRule>
    <cfRule type="cellIs" dxfId="431" priority="184" operator="equal">
      <formula>"Muy Alta"</formula>
    </cfRule>
    <cfRule type="cellIs" dxfId="430" priority="185" operator="equal">
      <formula>"Alta"</formula>
    </cfRule>
  </conditionalFormatting>
  <conditionalFormatting sqref="O32">
    <cfRule type="cellIs" dxfId="429" priority="156" operator="equal">
      <formula>"Muy Alta"</formula>
    </cfRule>
    <cfRule type="cellIs" dxfId="428" priority="157" operator="equal">
      <formula>"Alta"</formula>
    </cfRule>
    <cfRule type="cellIs" dxfId="427" priority="158" operator="equal">
      <formula>"Media"</formula>
    </cfRule>
    <cfRule type="cellIs" dxfId="426" priority="159" operator="equal">
      <formula>"Baja"</formula>
    </cfRule>
    <cfRule type="cellIs" dxfId="425" priority="160" operator="equal">
      <formula>"Muy Baja"</formula>
    </cfRule>
  </conditionalFormatting>
  <conditionalFormatting sqref="O38">
    <cfRule type="cellIs" dxfId="424" priority="131" operator="equal">
      <formula>"Baja"</formula>
    </cfRule>
    <cfRule type="cellIs" dxfId="423" priority="130" operator="equal">
      <formula>"Media"</formula>
    </cfRule>
    <cfRule type="cellIs" dxfId="422" priority="129" operator="equal">
      <formula>"Alta"</formula>
    </cfRule>
    <cfRule type="cellIs" dxfId="421" priority="128" operator="equal">
      <formula>"Muy Alta"</formula>
    </cfRule>
    <cfRule type="cellIs" dxfId="420" priority="132" operator="equal">
      <formula>"Muy Baja"</formula>
    </cfRule>
  </conditionalFormatting>
  <conditionalFormatting sqref="O44">
    <cfRule type="cellIs" dxfId="419" priority="17" operator="equal">
      <formula>"Media"</formula>
    </cfRule>
    <cfRule type="cellIs" dxfId="418" priority="15" operator="equal">
      <formula>"Muy Alta"</formula>
    </cfRule>
    <cfRule type="cellIs" dxfId="417" priority="16" operator="equal">
      <formula>"Alta"</formula>
    </cfRule>
    <cfRule type="cellIs" dxfId="416" priority="19" operator="equal">
      <formula>"Muy Baja"</formula>
    </cfRule>
    <cfRule type="cellIs" dxfId="415" priority="18" operator="equal">
      <formula>"Baja"</formula>
    </cfRule>
  </conditionalFormatting>
  <conditionalFormatting sqref="O50">
    <cfRule type="cellIs" dxfId="414" priority="74" operator="equal">
      <formula>"Media"</formula>
    </cfRule>
    <cfRule type="cellIs" dxfId="413" priority="75" operator="equal">
      <formula>"Baja"</formula>
    </cfRule>
    <cfRule type="cellIs" dxfId="412" priority="76" operator="equal">
      <formula>"Muy Baja"</formula>
    </cfRule>
    <cfRule type="cellIs" dxfId="411" priority="72" operator="equal">
      <formula>"Muy Alta"</formula>
    </cfRule>
    <cfRule type="cellIs" dxfId="410" priority="73" operator="equal">
      <formula>"Alta"</formula>
    </cfRule>
  </conditionalFormatting>
  <conditionalFormatting sqref="O56">
    <cfRule type="cellIs" dxfId="409" priority="48" operator="equal">
      <formula>"Muy Baja"</formula>
    </cfRule>
    <cfRule type="cellIs" dxfId="408" priority="47" operator="equal">
      <formula>"Baja"</formula>
    </cfRule>
    <cfRule type="cellIs" dxfId="407" priority="45" operator="equal">
      <formula>"Alta"</formula>
    </cfRule>
    <cfRule type="cellIs" dxfId="406" priority="44" operator="equal">
      <formula>"Muy Alta"</formula>
    </cfRule>
    <cfRule type="cellIs" dxfId="405" priority="46" operator="equal">
      <formula>"Media"</formula>
    </cfRule>
  </conditionalFormatting>
  <conditionalFormatting sqref="R13:R61">
    <cfRule type="containsText" dxfId="404" priority="20" operator="containsText" text="❌">
      <formula>NOT(ISERROR(SEARCH("❌",R13)))</formula>
    </cfRule>
  </conditionalFormatting>
  <conditionalFormatting sqref="S13 S15 S17 S20 S26 S32 S38 S44 S50 S56">
    <cfRule type="cellIs" dxfId="403" priority="334" operator="equal">
      <formula>"Mayor"</formula>
    </cfRule>
    <cfRule type="cellIs" dxfId="402" priority="333" operator="equal">
      <formula>"Catastrófico"</formula>
    </cfRule>
    <cfRule type="cellIs" dxfId="401" priority="335" operator="equal">
      <formula>"Moderado"</formula>
    </cfRule>
    <cfRule type="cellIs" dxfId="400" priority="336" operator="equal">
      <formula>"Menor"</formula>
    </cfRule>
    <cfRule type="cellIs" dxfId="399" priority="337" operator="equal">
      <formula>"Leve"</formula>
    </cfRule>
  </conditionalFormatting>
  <conditionalFormatting sqref="U13">
    <cfRule type="cellIs" dxfId="398" priority="329" operator="equal">
      <formula>"Extremo"</formula>
    </cfRule>
    <cfRule type="cellIs" dxfId="397" priority="330" operator="equal">
      <formula>"Alto"</formula>
    </cfRule>
    <cfRule type="cellIs" dxfId="396" priority="331" operator="equal">
      <formula>"Moderado"</formula>
    </cfRule>
    <cfRule type="cellIs" dxfId="395" priority="332" operator="equal">
      <formula>"Bajo"</formula>
    </cfRule>
  </conditionalFormatting>
  <conditionalFormatting sqref="U15">
    <cfRule type="cellIs" dxfId="394" priority="260" operator="equal">
      <formula>"Alto"</formula>
    </cfRule>
    <cfRule type="cellIs" dxfId="393" priority="261" operator="equal">
      <formula>"Moderado"</formula>
    </cfRule>
    <cfRule type="cellIs" dxfId="392" priority="262" operator="equal">
      <formula>"Bajo"</formula>
    </cfRule>
    <cfRule type="cellIs" dxfId="391" priority="259" operator="equal">
      <formula>"Extremo"</formula>
    </cfRule>
  </conditionalFormatting>
  <conditionalFormatting sqref="U17">
    <cfRule type="cellIs" dxfId="390" priority="232" operator="equal">
      <formula>"Alto"</formula>
    </cfRule>
    <cfRule type="cellIs" dxfId="389" priority="233" operator="equal">
      <formula>"Moderado"</formula>
    </cfRule>
    <cfRule type="cellIs" dxfId="388" priority="234" operator="equal">
      <formula>"Bajo"</formula>
    </cfRule>
    <cfRule type="cellIs" dxfId="387" priority="231" operator="equal">
      <formula>"Extremo"</formula>
    </cfRule>
  </conditionalFormatting>
  <conditionalFormatting sqref="U20">
    <cfRule type="cellIs" dxfId="386" priority="203" operator="equal">
      <formula>"Extremo"</formula>
    </cfRule>
    <cfRule type="cellIs" dxfId="385" priority="204" operator="equal">
      <formula>"Alto"</formula>
    </cfRule>
    <cfRule type="cellIs" dxfId="384" priority="205" operator="equal">
      <formula>"Moderado"</formula>
    </cfRule>
    <cfRule type="cellIs" dxfId="383" priority="206" operator="equal">
      <formula>"Bajo"</formula>
    </cfRule>
  </conditionalFormatting>
  <conditionalFormatting sqref="U26">
    <cfRule type="cellIs" dxfId="382" priority="175" operator="equal">
      <formula>"Extremo"</formula>
    </cfRule>
    <cfRule type="cellIs" dxfId="381" priority="178" operator="equal">
      <formula>"Bajo"</formula>
    </cfRule>
    <cfRule type="cellIs" dxfId="380" priority="176" operator="equal">
      <formula>"Alto"</formula>
    </cfRule>
    <cfRule type="cellIs" dxfId="379" priority="177" operator="equal">
      <formula>"Moderado"</formula>
    </cfRule>
  </conditionalFormatting>
  <conditionalFormatting sqref="U32">
    <cfRule type="cellIs" dxfId="378" priority="147" operator="equal">
      <formula>"Extremo"</formula>
    </cfRule>
    <cfRule type="cellIs" dxfId="377" priority="148" operator="equal">
      <formula>"Alto"</formula>
    </cfRule>
    <cfRule type="cellIs" dxfId="376" priority="149" operator="equal">
      <formula>"Moderado"</formula>
    </cfRule>
    <cfRule type="cellIs" dxfId="375" priority="150" operator="equal">
      <formula>"Bajo"</formula>
    </cfRule>
  </conditionalFormatting>
  <conditionalFormatting sqref="U38">
    <cfRule type="cellIs" dxfId="374" priority="122" operator="equal">
      <formula>"Bajo"</formula>
    </cfRule>
    <cfRule type="cellIs" dxfId="373" priority="121" operator="equal">
      <formula>"Moderado"</formula>
    </cfRule>
    <cfRule type="cellIs" dxfId="372" priority="120" operator="equal">
      <formula>"Alto"</formula>
    </cfRule>
    <cfRule type="cellIs" dxfId="371" priority="119" operator="equal">
      <formula>"Extremo"</formula>
    </cfRule>
  </conditionalFormatting>
  <conditionalFormatting sqref="U44">
    <cfRule type="cellIs" dxfId="370" priority="94" operator="equal">
      <formula>"Bajo"</formula>
    </cfRule>
    <cfRule type="cellIs" dxfId="369" priority="93" operator="equal">
      <formula>"Moderado"</formula>
    </cfRule>
    <cfRule type="cellIs" dxfId="368" priority="91" operator="equal">
      <formula>"Extremo"</formula>
    </cfRule>
    <cfRule type="cellIs" dxfId="367" priority="92" operator="equal">
      <formula>"Alto"</formula>
    </cfRule>
  </conditionalFormatting>
  <conditionalFormatting sqref="U50">
    <cfRule type="cellIs" dxfId="366" priority="66" operator="equal">
      <formula>"Bajo"</formula>
    </cfRule>
    <cfRule type="cellIs" dxfId="365" priority="65" operator="equal">
      <formula>"Moderado"</formula>
    </cfRule>
    <cfRule type="cellIs" dxfId="364" priority="64" operator="equal">
      <formula>"Alto"</formula>
    </cfRule>
    <cfRule type="cellIs" dxfId="363" priority="63" operator="equal">
      <formula>"Extremo"</formula>
    </cfRule>
  </conditionalFormatting>
  <conditionalFormatting sqref="U56">
    <cfRule type="cellIs" dxfId="362" priority="38" operator="equal">
      <formula>"Bajo"</formula>
    </cfRule>
    <cfRule type="cellIs" dxfId="361" priority="37" operator="equal">
      <formula>"Moderado"</formula>
    </cfRule>
    <cfRule type="cellIs" dxfId="360" priority="36" operator="equal">
      <formula>"Alto"</formula>
    </cfRule>
    <cfRule type="cellIs" dxfId="359" priority="35" operator="equal">
      <formula>"Extremo"</formula>
    </cfRule>
  </conditionalFormatting>
  <conditionalFormatting sqref="AI13:AI61">
    <cfRule type="cellIs" dxfId="358" priority="10" operator="equal">
      <formula>"Muy Alta"</formula>
    </cfRule>
    <cfRule type="cellIs" dxfId="357" priority="14" operator="equal">
      <formula>"Muy Baja"</formula>
    </cfRule>
    <cfRule type="cellIs" dxfId="356" priority="13" operator="equal">
      <formula>"Baja"</formula>
    </cfRule>
    <cfRule type="cellIs" dxfId="355" priority="12" operator="equal">
      <formula>"Media"</formula>
    </cfRule>
    <cfRule type="cellIs" dxfId="354" priority="11" operator="equal">
      <formula>"Alta"</formula>
    </cfRule>
  </conditionalFormatting>
  <conditionalFormatting sqref="AK13:AK61">
    <cfRule type="cellIs" dxfId="353" priority="9" operator="equal">
      <formula>"Leve"</formula>
    </cfRule>
    <cfRule type="cellIs" dxfId="352" priority="8" operator="equal">
      <formula>"Menor"</formula>
    </cfRule>
    <cfRule type="cellIs" dxfId="351" priority="7" operator="equal">
      <formula>"Moderado"</formula>
    </cfRule>
    <cfRule type="cellIs" dxfId="350" priority="6" operator="equal">
      <formula>"Mayor"</formula>
    </cfRule>
    <cfRule type="cellIs" dxfId="349" priority="5" operator="equal">
      <formula>"Catastrófico"</formula>
    </cfRule>
  </conditionalFormatting>
  <conditionalFormatting sqref="AM13:AM61">
    <cfRule type="cellIs" dxfId="348" priority="4" operator="equal">
      <formula>"Bajo"</formula>
    </cfRule>
    <cfRule type="cellIs" dxfId="347" priority="3" operator="equal">
      <formula>"Moderado"</formula>
    </cfRule>
    <cfRule type="cellIs" dxfId="346" priority="2" operator="equal">
      <formula>"Alto"</formula>
    </cfRule>
    <cfRule type="cellIs" dxfId="345" priority="1" operator="equal">
      <formula>"Extremo"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8">
        <x14:dataValidation type="custom" allowBlank="1" showInputMessage="1" showErrorMessage="1" error="Recuerde que las acciones se generan bajo la medida de mitigar el riesgo" xr:uid="{00000000-0002-0000-0300-000000000000}">
          <x14:formula1>
            <xm:f>IF(OR(#REF!=Listas!$B$4,#REF!=Listas!$B$5,#REF!=Listas!$B$6),ISBLANK(#REF!),ISTEXT(#REF!))</xm:f>
          </x14:formula1>
          <xm:sqref>AU15 AS56:AU56 AS50:AU50 AS44:AU44 AS38:AU38 AS32:AU32 AS26:AU26 AS20:AU20</xm:sqref>
        </x14:dataValidation>
        <x14:dataValidation type="list" allowBlank="1" showInputMessage="1" showErrorMessage="1" xr:uid="{00000000-0002-0000-0300-000001000000}">
          <x14:formula1>
            <xm:f>Listas!$H$4:$H$8</xm:f>
          </x14:formula1>
          <xm:sqref>X13:X16 X19:X61</xm:sqref>
        </x14:dataValidation>
        <x14:dataValidation type="list" allowBlank="1" showInputMessage="1" showErrorMessage="1" xr:uid="{00000000-0002-0000-0300-000002000000}">
          <x14:formula1>
            <xm:f>'Intructivo control cambio'!$C$294:$C$308</xm:f>
          </x14:formula1>
          <xm:sqref>U6:Y6</xm:sqref>
        </x14:dataValidation>
        <x14:dataValidation type="list" allowBlank="1" showInputMessage="1" showErrorMessage="1" xr:uid="{00000000-0002-0000-0300-000003000000}">
          <x14:formula1>
            <xm:f>'Intructivo control cambio'!$C$294:$C$318</xm:f>
          </x14:formula1>
          <xm:sqref>C6:T6</xm:sqref>
        </x14:dataValidation>
        <x14:dataValidation type="list" allowBlank="1" showInputMessage="1" showErrorMessage="1" xr:uid="{00000000-0002-0000-0300-000004000000}">
          <x14:formula1>
            <xm:f>Listas!$L$4:$L$9</xm:f>
          </x14:formula1>
          <xm:sqref>M13:M14</xm:sqref>
        </x14:dataValidation>
        <x14:dataValidation type="list" allowBlank="1" showInputMessage="1" showErrorMessage="1" xr:uid="{00000000-0002-0000-0300-000005000000}">
          <x14:formula1>
            <xm:f>'https://uaermv-my.sharepoint.com/umv/OneDrive - uaermv/UMV/Documentos/ENLACE 2023/MAPA RIESGOS 2023/2024/[MAPA RIESGOS - GABRIEL.xlsx]Listas'!#REF!</xm:f>
          </x14:formula1>
          <xm:sqref>X17:X18</xm:sqref>
        </x14:dataValidation>
        <x14:dataValidation type="list" allowBlank="1" showInputMessage="1" showErrorMessage="1" xr:uid="{00000000-0002-0000-0300-000006000000}">
          <x14:formula1>
            <xm:f>Listas!$L$5:$L$9</xm:f>
          </x14:formula1>
          <xm:sqref>M15:M61</xm:sqref>
        </x14:dataValidation>
        <x14:dataValidation type="list" allowBlank="1" showInputMessage="1" showErrorMessage="1" xr:uid="{00000000-0002-0000-0300-000007000000}">
          <x14:formula1>
            <xm:f>'Tabla Valoración controles'!$D$4:$D$6</xm:f>
          </x14:formula1>
          <xm:sqref>AB13:AB61</xm:sqref>
        </x14:dataValidation>
        <x14:dataValidation type="list" allowBlank="1" showInputMessage="1" showErrorMessage="1" xr:uid="{00000000-0002-0000-0300-000008000000}">
          <x14:formula1>
            <xm:f>'Tabla Valoración controles'!$D$7:$D$8</xm:f>
          </x14:formula1>
          <xm:sqref>AC13:AC61</xm:sqref>
        </x14:dataValidation>
        <x14:dataValidation type="list" allowBlank="1" showInputMessage="1" showErrorMessage="1" xr:uid="{00000000-0002-0000-0300-000009000000}">
          <x14:formula1>
            <xm:f>'Tabla Valoración controles'!$D$9:$D$10</xm:f>
          </x14:formula1>
          <xm:sqref>AE13:AE61</xm:sqref>
        </x14:dataValidation>
        <x14:dataValidation type="list" allowBlank="1" showInputMessage="1" showErrorMessage="1" xr:uid="{00000000-0002-0000-0300-00000A000000}">
          <x14:formula1>
            <xm:f>'Tabla Valoración controles'!$D$11:$D$12</xm:f>
          </x14:formula1>
          <xm:sqref>AF13:AF61</xm:sqref>
        </x14:dataValidation>
        <x14:dataValidation type="list" allowBlank="1" showInputMessage="1" showErrorMessage="1" xr:uid="{00000000-0002-0000-0300-00000B000000}">
          <x14:formula1>
            <xm:f>'Tabla Valoración controles'!$D$13:$D$14</xm:f>
          </x14:formula1>
          <xm:sqref>AG13:AG61</xm:sqref>
        </x14:dataValidation>
        <x14:dataValidation type="list" allowBlank="1" showInputMessage="1" showErrorMessage="1" xr:uid="{00000000-0002-0000-0300-00000C000000}">
          <x14:formula1>
            <xm:f>Listas!$E$4:$E$6</xm:f>
          </x14:formula1>
          <xm:sqref>B13:B61</xm:sqref>
        </x14:dataValidation>
        <x14:dataValidation type="list" allowBlank="1" showInputMessage="1" showErrorMessage="1" xr:uid="{00000000-0002-0000-0300-00000D000000}">
          <x14:formula1>
            <xm:f>'Tabla Impacto'!$F$211:$F$222</xm:f>
          </x14:formula1>
          <xm:sqref>Q13:Q61</xm:sqref>
        </x14:dataValidation>
        <x14:dataValidation type="list" allowBlank="1" showInputMessage="1" showErrorMessage="1" xr:uid="{00000000-0002-0000-0300-00000E000000}">
          <x14:formula1>
            <xm:f>Listas!$B$15:$B$19</xm:f>
          </x14:formula1>
          <xm:sqref>G13:G61</xm:sqref>
        </x14:dataValidation>
        <x14:dataValidation type="list" allowBlank="1" showInputMessage="1" showErrorMessage="1" xr:uid="{00000000-0002-0000-0300-00000F000000}">
          <x14:formula1>
            <xm:f>Listas!$F$11:$F$12</xm:f>
          </x14:formula1>
          <xm:sqref>H13:H61</xm:sqref>
        </x14:dataValidation>
        <x14:dataValidation type="list" allowBlank="1" showInputMessage="1" showErrorMessage="1" xr:uid="{00000000-0002-0000-0300-000010000000}">
          <x14:formula1>
            <xm:f>Listas!$H$11:$H$21</xm:f>
          </x14:formula1>
          <xm:sqref>L13:L61</xm:sqref>
        </x14:dataValidation>
        <x14:dataValidation type="list" allowBlank="1" showInputMessage="1" showErrorMessage="1" xr:uid="{00000000-0002-0000-0300-000011000000}">
          <x14:formula1>
            <xm:f>Listas!$B$4:$B$7</xm:f>
          </x14:formula1>
          <xm:sqref>AN13:AN61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U140"/>
  <sheetViews>
    <sheetView topLeftCell="A2" zoomScale="40" zoomScaleNormal="40" workbookViewId="0">
      <selection activeCell="Z14" sqref="Z14:AA15"/>
    </sheetView>
  </sheetViews>
  <sheetFormatPr baseColWidth="10" defaultColWidth="11.42578125" defaultRowHeight="15" x14ac:dyDescent="0.25"/>
  <cols>
    <col min="2" max="39" width="5.7109375" customWidth="1"/>
    <col min="41" max="46" width="5.7109375" customWidth="1"/>
  </cols>
  <sheetData>
    <row r="1" spans="1:99"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c r="CN1" s="66"/>
      <c r="CO1" s="66"/>
      <c r="CP1" s="66"/>
      <c r="CQ1" s="66"/>
      <c r="CR1" s="66"/>
      <c r="CS1" s="66"/>
      <c r="CT1" s="66"/>
      <c r="CU1" s="66"/>
    </row>
    <row r="2" spans="1:99" ht="18" customHeight="1" x14ac:dyDescent="0.25">
      <c r="A2" s="66"/>
      <c r="B2" s="611" t="s">
        <v>483</v>
      </c>
      <c r="C2" s="611"/>
      <c r="D2" s="611"/>
      <c r="E2" s="611"/>
      <c r="F2" s="611"/>
      <c r="G2" s="611"/>
      <c r="H2" s="611"/>
      <c r="I2" s="611"/>
      <c r="J2" s="579" t="s">
        <v>15</v>
      </c>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row>
    <row r="3" spans="1:99" ht="18.75" customHeight="1" x14ac:dyDescent="0.25">
      <c r="A3" s="66"/>
      <c r="B3" s="611"/>
      <c r="C3" s="611"/>
      <c r="D3" s="611"/>
      <c r="E3" s="611"/>
      <c r="F3" s="611"/>
      <c r="G3" s="611"/>
      <c r="H3" s="611"/>
      <c r="I3" s="611"/>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row>
    <row r="4" spans="1:99" ht="15" customHeight="1" x14ac:dyDescent="0.25">
      <c r="A4" s="66"/>
      <c r="B4" s="611"/>
      <c r="C4" s="611"/>
      <c r="D4" s="611"/>
      <c r="E4" s="611"/>
      <c r="F4" s="611"/>
      <c r="G4" s="611"/>
      <c r="H4" s="611"/>
      <c r="I4" s="611"/>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row>
    <row r="5" spans="1:99"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c r="BV5" s="66"/>
      <c r="BW5" s="66"/>
      <c r="BX5" s="66"/>
      <c r="BY5" s="66"/>
      <c r="BZ5" s="66"/>
      <c r="CA5" s="66"/>
      <c r="CB5" s="66"/>
      <c r="CC5" s="66"/>
      <c r="CD5" s="66"/>
      <c r="CE5" s="66"/>
      <c r="CF5" s="66"/>
      <c r="CG5" s="66"/>
      <c r="CH5" s="66"/>
      <c r="CI5" s="66"/>
      <c r="CJ5" s="66"/>
      <c r="CK5" s="66"/>
      <c r="CL5" s="66"/>
      <c r="CM5" s="66"/>
      <c r="CN5" s="66"/>
      <c r="CO5" s="66"/>
      <c r="CP5" s="66"/>
      <c r="CQ5" s="66"/>
      <c r="CR5" s="66"/>
      <c r="CS5" s="66"/>
      <c r="CT5" s="66"/>
      <c r="CU5" s="66"/>
    </row>
    <row r="6" spans="1:99" ht="15" customHeight="1" x14ac:dyDescent="0.25">
      <c r="A6" s="66"/>
      <c r="B6" s="526" t="s">
        <v>484</v>
      </c>
      <c r="C6" s="526"/>
      <c r="D6" s="527"/>
      <c r="E6" s="564" t="s">
        <v>485</v>
      </c>
      <c r="F6" s="565"/>
      <c r="G6" s="565"/>
      <c r="H6" s="565"/>
      <c r="I6" s="566"/>
      <c r="J6" s="575" t="str">
        <f>IF(AND('Riesgos de Gestión'!$O$13="Muy Alta",'Riesgos de Gestión'!$S$13="Leve"),CONCATENATE("R",'Riesgos de Gestión'!$A$13),"")</f>
        <v/>
      </c>
      <c r="K6" s="576"/>
      <c r="L6" s="576" t="str">
        <f>IF(AND('Riesgos de Gestión'!$O$15="Muy Alta",'Riesgos de Gestión'!$S$15="Leve"),CONCATENATE("R",'Riesgos de Gestión'!$A$15),"")</f>
        <v/>
      </c>
      <c r="M6" s="576"/>
      <c r="N6" s="576" t="str">
        <f>IF(AND('Riesgos de Gestión'!$O$17="Muy Alta",'Riesgos de Gestión'!$S$17="Leve"),CONCATENATE("R",'Riesgos de Gestión'!$A$17),"")</f>
        <v/>
      </c>
      <c r="O6" s="578"/>
      <c r="P6" s="575" t="str">
        <f>IF(AND('Riesgos de Gestión'!$O$13="Muy Alta",'Riesgos de Gestión'!$S$13="Menor"),CONCATENATE("R",'Riesgos de Gestión'!$A$13),"")</f>
        <v/>
      </c>
      <c r="Q6" s="576"/>
      <c r="R6" s="576" t="str">
        <f>IF(AND('Riesgos de Gestión'!$O$15="Muy Alta",'Riesgos de Gestión'!$S$15="Menor"),CONCATENATE("R",'Riesgos de Gestión'!$A$15),"")</f>
        <v/>
      </c>
      <c r="S6" s="576"/>
      <c r="T6" s="576" t="str">
        <f>IF(AND('Riesgos de Gestión'!$O$17="Muy Alta",'Riesgos de Gestión'!$S$17="Menor"),CONCATENATE("R",'Riesgos de Gestión'!$A$17),"")</f>
        <v/>
      </c>
      <c r="U6" s="578"/>
      <c r="V6" s="575" t="str">
        <f>IF(AND('Riesgos de Gestión'!$O$13="Muy Alta",'Riesgos de Gestión'!$S$13="Moderado"),CONCATENATE("R",'Riesgos de Gestión'!$A$13),"")</f>
        <v/>
      </c>
      <c r="W6" s="576"/>
      <c r="X6" s="576" t="str">
        <f>IF(AND('Riesgos de Gestión'!$O$15="Muy Alta",'Riesgos de Gestión'!$S$15="Moderado"),CONCATENATE("R",'Riesgos de Gestión'!$A$15),"")</f>
        <v/>
      </c>
      <c r="Y6" s="576"/>
      <c r="Z6" s="576" t="str">
        <f>IF(AND('Riesgos de Gestión'!$O$17="Muy Alta",'Riesgos de Gestión'!$S$17="Moderado"),CONCATENATE("R",'Riesgos de Gestión'!$A$17),"")</f>
        <v/>
      </c>
      <c r="AA6" s="578"/>
      <c r="AB6" s="575" t="str">
        <f>IF(AND('Riesgos de Gestión'!$O$13="Muy Alta",'Riesgos de Gestión'!$S$13="Mayor"),CONCATENATE("R",'Riesgos de Gestión'!$A$13),"")</f>
        <v/>
      </c>
      <c r="AC6" s="576"/>
      <c r="AD6" s="576" t="str">
        <f>IF(AND('Riesgos de Gestión'!$O$15="Muy Alta",'Riesgos de Gestión'!$S$15="Mayor"),CONCATENATE("R",'Riesgos de Gestión'!$A$15),"")</f>
        <v/>
      </c>
      <c r="AE6" s="576"/>
      <c r="AF6" s="576" t="str">
        <f>IF(AND('Riesgos de Gestión'!$O$17="Muy Alta",'Riesgos de Gestión'!$S$17="Mayor"),CONCATENATE("R",'Riesgos de Gestión'!$A$17),"")</f>
        <v/>
      </c>
      <c r="AG6" s="578"/>
      <c r="AH6" s="590" t="str">
        <f>IF(AND('Riesgos de Gestión'!$O$13="Muy Alta",'Riesgos de Gestión'!$S$13="Catastrófico"),CONCATENATE("R",'Riesgos de Gestión'!$A$13),"")</f>
        <v/>
      </c>
      <c r="AI6" s="591"/>
      <c r="AJ6" s="591" t="str">
        <f>IF(AND('Riesgos de Gestión'!$O$15="Muy Alta",'Riesgos de Gestión'!$S$15="Catastrófico"),CONCATENATE("R",'Riesgos de Gestión'!$A$15),"")</f>
        <v/>
      </c>
      <c r="AK6" s="591"/>
      <c r="AL6" s="591" t="str">
        <f>IF(AND('Riesgos de Gestión'!$O$17="Muy Alta",'Riesgos de Gestión'!$S$17="Catastrófico"),CONCATENATE("R",'Riesgos de Gestión'!$A$17),"")</f>
        <v/>
      </c>
      <c r="AM6" s="592"/>
      <c r="AO6" s="528" t="s">
        <v>486</v>
      </c>
      <c r="AP6" s="529"/>
      <c r="AQ6" s="529"/>
      <c r="AR6" s="529"/>
      <c r="AS6" s="529"/>
      <c r="AT6" s="53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c r="BY6" s="66"/>
      <c r="BZ6" s="66"/>
      <c r="CA6" s="66"/>
      <c r="CB6" s="66"/>
    </row>
    <row r="7" spans="1:99" ht="15" customHeight="1" x14ac:dyDescent="0.25">
      <c r="A7" s="66"/>
      <c r="B7" s="526"/>
      <c r="C7" s="526"/>
      <c r="D7" s="527"/>
      <c r="E7" s="567"/>
      <c r="F7" s="568"/>
      <c r="G7" s="568"/>
      <c r="H7" s="568"/>
      <c r="I7" s="569"/>
      <c r="J7" s="577"/>
      <c r="K7" s="573"/>
      <c r="L7" s="573"/>
      <c r="M7" s="573"/>
      <c r="N7" s="573"/>
      <c r="O7" s="574"/>
      <c r="P7" s="577"/>
      <c r="Q7" s="573"/>
      <c r="R7" s="573"/>
      <c r="S7" s="573"/>
      <c r="T7" s="573"/>
      <c r="U7" s="574"/>
      <c r="V7" s="577"/>
      <c r="W7" s="573"/>
      <c r="X7" s="573"/>
      <c r="Y7" s="573"/>
      <c r="Z7" s="573"/>
      <c r="AA7" s="574"/>
      <c r="AB7" s="577"/>
      <c r="AC7" s="573"/>
      <c r="AD7" s="573"/>
      <c r="AE7" s="573"/>
      <c r="AF7" s="573"/>
      <c r="AG7" s="574"/>
      <c r="AH7" s="584"/>
      <c r="AI7" s="585"/>
      <c r="AJ7" s="585"/>
      <c r="AK7" s="585"/>
      <c r="AL7" s="585"/>
      <c r="AM7" s="586"/>
      <c r="AN7" s="66"/>
      <c r="AO7" s="531"/>
      <c r="AP7" s="532"/>
      <c r="AQ7" s="532"/>
      <c r="AR7" s="532"/>
      <c r="AS7" s="532"/>
      <c r="AT7" s="53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c r="BY7" s="66"/>
      <c r="BZ7" s="66"/>
      <c r="CA7" s="66"/>
      <c r="CB7" s="66"/>
    </row>
    <row r="8" spans="1:99" ht="15" customHeight="1" x14ac:dyDescent="0.25">
      <c r="A8" s="66"/>
      <c r="B8" s="526"/>
      <c r="C8" s="526"/>
      <c r="D8" s="527"/>
      <c r="E8" s="567"/>
      <c r="F8" s="568"/>
      <c r="G8" s="568"/>
      <c r="H8" s="568"/>
      <c r="I8" s="569"/>
      <c r="J8" s="577" t="str">
        <f>IF(AND('Riesgos de Gestión'!$O$20="Muy Alta",'Riesgos de Gestión'!$S$20="Leve"),CONCATENATE("R",'Riesgos de Gestión'!$A$20),"")</f>
        <v/>
      </c>
      <c r="K8" s="573"/>
      <c r="L8" s="573" t="str">
        <f>IF(AND('Riesgos de Gestión'!$O$26="Muy Alta",'Riesgos de Gestión'!$S$26="Leve"),CONCATENATE("R",'Riesgos de Gestión'!$A$26),"")</f>
        <v/>
      </c>
      <c r="M8" s="573"/>
      <c r="N8" s="573" t="str">
        <f>IF(AND('Riesgos de Gestión'!$O$32="Muy Alta",'Riesgos de Gestión'!$S$32="Leve"),CONCATENATE("R",'Riesgos de Gestión'!$A$32),"")</f>
        <v/>
      </c>
      <c r="O8" s="574"/>
      <c r="P8" s="577" t="str">
        <f>IF(AND('Riesgos de Gestión'!$O$20="Muy Alta",'Riesgos de Gestión'!$S$20="Menor"),CONCATENATE("R",'Riesgos de Gestión'!$A$20),"")</f>
        <v/>
      </c>
      <c r="Q8" s="573"/>
      <c r="R8" s="573" t="str">
        <f>IF(AND('Riesgos de Gestión'!$O$26="Muy Alta",'Riesgos de Gestión'!$S$26="Menor"),CONCATENATE("R",'Riesgos de Gestión'!$A$26),"")</f>
        <v/>
      </c>
      <c r="S8" s="573"/>
      <c r="T8" s="573" t="str">
        <f>IF(AND('Riesgos de Gestión'!$O$32="Muy Alta",'Riesgos de Gestión'!$S$32="Menor"),CONCATENATE("R",'Riesgos de Gestión'!$A$32),"")</f>
        <v/>
      </c>
      <c r="U8" s="574"/>
      <c r="V8" s="577" t="str">
        <f>IF(AND('Riesgos de Gestión'!$O$20="Muy Alta",'Riesgos de Gestión'!$S$20="Moderado"),CONCATENATE("R",'Riesgos de Gestión'!$A$20),"")</f>
        <v/>
      </c>
      <c r="W8" s="573"/>
      <c r="X8" s="573" t="str">
        <f>IF(AND('Riesgos de Gestión'!$O$26="Muy Alta",'Riesgos de Gestión'!$S$26="Moderado"),CONCATENATE("R",'Riesgos de Gestión'!$A$26),"")</f>
        <v/>
      </c>
      <c r="Y8" s="573"/>
      <c r="Z8" s="573" t="str">
        <f>IF(AND('Riesgos de Gestión'!$O$32="Muy Alta",'Riesgos de Gestión'!$S$32="Moderado"),CONCATENATE("R",'Riesgos de Gestión'!$A$32),"")</f>
        <v/>
      </c>
      <c r="AA8" s="574"/>
      <c r="AB8" s="577" t="str">
        <f>IF(AND('Riesgos de Gestión'!$O$20="Muy Alta",'Riesgos de Gestión'!$S$20="Mayor"),CONCATENATE("R",'Riesgos de Gestión'!$A$20),"")</f>
        <v/>
      </c>
      <c r="AC8" s="573"/>
      <c r="AD8" s="573" t="str">
        <f>IF(AND('Riesgos de Gestión'!$O$26="Muy Alta",'Riesgos de Gestión'!$S$26="Mayor"),CONCATENATE("R",'Riesgos de Gestión'!$A$26),"")</f>
        <v/>
      </c>
      <c r="AE8" s="573"/>
      <c r="AF8" s="573" t="str">
        <f>IF(AND('Riesgos de Gestión'!$O$32="Muy Alta",'Riesgos de Gestión'!$S$32="Mayor"),CONCATENATE("R",'Riesgos de Gestión'!$A$32),"")</f>
        <v/>
      </c>
      <c r="AG8" s="574"/>
      <c r="AH8" s="584" t="str">
        <f>IF(AND('Riesgos de Gestión'!$O$20="Muy Alta",'Riesgos de Gestión'!$S$20="Catastrófico"),CONCATENATE("R",'Riesgos de Gestión'!$A$20),"")</f>
        <v/>
      </c>
      <c r="AI8" s="585"/>
      <c r="AJ8" s="585" t="str">
        <f>IF(AND('Riesgos de Gestión'!$O$26="Muy Alta",'Riesgos de Gestión'!$S$26="Catastrófico"),CONCATENATE("R",'Riesgos de Gestión'!$A$26),"")</f>
        <v/>
      </c>
      <c r="AK8" s="585"/>
      <c r="AL8" s="585" t="str">
        <f>IF(AND('Riesgos de Gestión'!$O$32="Muy Alta",'Riesgos de Gestión'!$S$32="Catastrófico"),CONCATENATE("R",'Riesgos de Gestión'!$A$32),"")</f>
        <v/>
      </c>
      <c r="AM8" s="586"/>
      <c r="AN8" s="66"/>
      <c r="AO8" s="531"/>
      <c r="AP8" s="532"/>
      <c r="AQ8" s="532"/>
      <c r="AR8" s="532"/>
      <c r="AS8" s="532"/>
      <c r="AT8" s="53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c r="BY8" s="66"/>
      <c r="BZ8" s="66"/>
      <c r="CA8" s="66"/>
      <c r="CB8" s="66"/>
    </row>
    <row r="9" spans="1:99" ht="15" customHeight="1" x14ac:dyDescent="0.25">
      <c r="A9" s="66"/>
      <c r="B9" s="526"/>
      <c r="C9" s="526"/>
      <c r="D9" s="527"/>
      <c r="E9" s="567"/>
      <c r="F9" s="568"/>
      <c r="G9" s="568"/>
      <c r="H9" s="568"/>
      <c r="I9" s="569"/>
      <c r="J9" s="577"/>
      <c r="K9" s="573"/>
      <c r="L9" s="573"/>
      <c r="M9" s="573"/>
      <c r="N9" s="573"/>
      <c r="O9" s="574"/>
      <c r="P9" s="577"/>
      <c r="Q9" s="573"/>
      <c r="R9" s="573"/>
      <c r="S9" s="573"/>
      <c r="T9" s="573"/>
      <c r="U9" s="574"/>
      <c r="V9" s="577"/>
      <c r="W9" s="573"/>
      <c r="X9" s="573"/>
      <c r="Y9" s="573"/>
      <c r="Z9" s="573"/>
      <c r="AA9" s="574"/>
      <c r="AB9" s="577"/>
      <c r="AC9" s="573"/>
      <c r="AD9" s="573"/>
      <c r="AE9" s="573"/>
      <c r="AF9" s="573"/>
      <c r="AG9" s="574"/>
      <c r="AH9" s="584"/>
      <c r="AI9" s="585"/>
      <c r="AJ9" s="585"/>
      <c r="AK9" s="585"/>
      <c r="AL9" s="585"/>
      <c r="AM9" s="586"/>
      <c r="AN9" s="66"/>
      <c r="AO9" s="531"/>
      <c r="AP9" s="532"/>
      <c r="AQ9" s="532"/>
      <c r="AR9" s="532"/>
      <c r="AS9" s="532"/>
      <c r="AT9" s="53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c r="BY9" s="66"/>
      <c r="BZ9" s="66"/>
      <c r="CA9" s="66"/>
      <c r="CB9" s="66"/>
    </row>
    <row r="10" spans="1:99" ht="15" customHeight="1" x14ac:dyDescent="0.25">
      <c r="A10" s="66"/>
      <c r="B10" s="526"/>
      <c r="C10" s="526"/>
      <c r="D10" s="527"/>
      <c r="E10" s="567"/>
      <c r="F10" s="568"/>
      <c r="G10" s="568"/>
      <c r="H10" s="568"/>
      <c r="I10" s="569"/>
      <c r="J10" s="577" t="str">
        <f>IF(AND('Riesgos de Gestión'!$O$38="Muy Alta",'Riesgos de Gestión'!$S$38="Leve"),CONCATENATE("R",'Riesgos de Gestión'!$A$38),"")</f>
        <v/>
      </c>
      <c r="K10" s="573"/>
      <c r="L10" s="573" t="str">
        <f>IF(AND('Riesgos de Gestión'!$O$44="Muy Alta",'Riesgos de Gestión'!$S$44="Leve"),CONCATENATE("R",'Riesgos de Gestión'!$A$44),"")</f>
        <v/>
      </c>
      <c r="M10" s="573"/>
      <c r="N10" s="573" t="str">
        <f>IF(AND('Riesgos de Gestión'!$O$50="Muy Alta",'Riesgos de Gestión'!$S$50="Leve"),CONCATENATE("R",'Riesgos de Gestión'!$A$50),"")</f>
        <v/>
      </c>
      <c r="O10" s="574"/>
      <c r="P10" s="577" t="str">
        <f>IF(AND('Riesgos de Gestión'!$O$38="Muy Alta",'Riesgos de Gestión'!$S$38="Menor"),CONCATENATE("R",'Riesgos de Gestión'!$A$38),"")</f>
        <v/>
      </c>
      <c r="Q10" s="573"/>
      <c r="R10" s="573" t="str">
        <f>IF(AND('Riesgos de Gestión'!$O$44="Muy Alta",'Riesgos de Gestión'!$S$44="Menor"),CONCATENATE("R",'Riesgos de Gestión'!$A$44),"")</f>
        <v/>
      </c>
      <c r="S10" s="573"/>
      <c r="T10" s="573" t="str">
        <f>IF(AND('Riesgos de Gestión'!$O$50="Muy Alta",'Riesgos de Gestión'!$S$50="Menor"),CONCATENATE("R",'Riesgos de Gestión'!$A$50),"")</f>
        <v/>
      </c>
      <c r="U10" s="574"/>
      <c r="V10" s="577" t="str">
        <f>IF(AND('Riesgos de Gestión'!$O$38="Muy Alta",'Riesgos de Gestión'!$S$38="Moderado"),CONCATENATE("R",'Riesgos de Gestión'!$A$38),"")</f>
        <v/>
      </c>
      <c r="W10" s="573"/>
      <c r="X10" s="573" t="str">
        <f>IF(AND('Riesgos de Gestión'!$O$44="Muy Alta",'Riesgos de Gestión'!$S$44="Moderado"),CONCATENATE("R",'Riesgos de Gestión'!$A$44),"")</f>
        <v/>
      </c>
      <c r="Y10" s="573"/>
      <c r="Z10" s="573" t="str">
        <f>IF(AND('Riesgos de Gestión'!$O$50="Muy Alta",'Riesgos de Gestión'!$S$50="Moderado"),CONCATENATE("R",'Riesgos de Gestión'!$A$50),"")</f>
        <v/>
      </c>
      <c r="AA10" s="574"/>
      <c r="AB10" s="577" t="str">
        <f>IF(AND('Riesgos de Gestión'!$O$38="Muy Alta",'Riesgos de Gestión'!$S$38="Mayor"),CONCATENATE("R",'Riesgos de Gestión'!$A$38),"")</f>
        <v/>
      </c>
      <c r="AC10" s="573"/>
      <c r="AD10" s="573" t="str">
        <f>IF(AND('Riesgos de Gestión'!$O$44="Muy Alta",'Riesgos de Gestión'!$S$44="Mayor"),CONCATENATE("R",'Riesgos de Gestión'!$A$44),"")</f>
        <v/>
      </c>
      <c r="AE10" s="573"/>
      <c r="AF10" s="573" t="str">
        <f>IF(AND('Riesgos de Gestión'!$O$50="Muy Alta",'Riesgos de Gestión'!$S$50="Mayor"),CONCATENATE("R",'Riesgos de Gestión'!$A$50),"")</f>
        <v/>
      </c>
      <c r="AG10" s="574"/>
      <c r="AH10" s="584" t="str">
        <f>IF(AND('Riesgos de Gestión'!$O$38="Muy Alta",'Riesgos de Gestión'!$S$38="Catastrófico"),CONCATENATE("R",'Riesgos de Gestión'!$A$38),"")</f>
        <v/>
      </c>
      <c r="AI10" s="585"/>
      <c r="AJ10" s="585" t="str">
        <f>IF(AND('Riesgos de Gestión'!$O$44="Muy Alta",'Riesgos de Gestión'!$S$44="Catastrófico"),CONCATENATE("R",'Riesgos de Gestión'!$A$44),"")</f>
        <v/>
      </c>
      <c r="AK10" s="585"/>
      <c r="AL10" s="585" t="str">
        <f>IF(AND('Riesgos de Gestión'!$O$50="Muy Alta",'Riesgos de Gestión'!$S$50="Catastrófico"),CONCATENATE("R",'Riesgos de Gestión'!$A$50),"")</f>
        <v/>
      </c>
      <c r="AM10" s="586"/>
      <c r="AN10" s="66"/>
      <c r="AO10" s="531"/>
      <c r="AP10" s="532"/>
      <c r="AQ10" s="532"/>
      <c r="AR10" s="532"/>
      <c r="AS10" s="532"/>
      <c r="AT10" s="53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c r="BY10" s="66"/>
      <c r="BZ10" s="66"/>
      <c r="CA10" s="66"/>
      <c r="CB10" s="66"/>
    </row>
    <row r="11" spans="1:99" ht="15" customHeight="1" x14ac:dyDescent="0.25">
      <c r="A11" s="66"/>
      <c r="B11" s="526"/>
      <c r="C11" s="526"/>
      <c r="D11" s="527"/>
      <c r="E11" s="567"/>
      <c r="F11" s="568"/>
      <c r="G11" s="568"/>
      <c r="H11" s="568"/>
      <c r="I11" s="569"/>
      <c r="J11" s="577"/>
      <c r="K11" s="573"/>
      <c r="L11" s="573"/>
      <c r="M11" s="573"/>
      <c r="N11" s="573"/>
      <c r="O11" s="574"/>
      <c r="P11" s="577"/>
      <c r="Q11" s="573"/>
      <c r="R11" s="573"/>
      <c r="S11" s="573"/>
      <c r="T11" s="573"/>
      <c r="U11" s="574"/>
      <c r="V11" s="577"/>
      <c r="W11" s="573"/>
      <c r="X11" s="573"/>
      <c r="Y11" s="573"/>
      <c r="Z11" s="573"/>
      <c r="AA11" s="574"/>
      <c r="AB11" s="577"/>
      <c r="AC11" s="573"/>
      <c r="AD11" s="573"/>
      <c r="AE11" s="573"/>
      <c r="AF11" s="573"/>
      <c r="AG11" s="574"/>
      <c r="AH11" s="584"/>
      <c r="AI11" s="585"/>
      <c r="AJ11" s="585"/>
      <c r="AK11" s="585"/>
      <c r="AL11" s="585"/>
      <c r="AM11" s="586"/>
      <c r="AN11" s="66"/>
      <c r="AO11" s="531"/>
      <c r="AP11" s="532"/>
      <c r="AQ11" s="532"/>
      <c r="AR11" s="532"/>
      <c r="AS11" s="532"/>
      <c r="AT11" s="53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row>
    <row r="12" spans="1:99" ht="15" customHeight="1" x14ac:dyDescent="0.25">
      <c r="A12" s="66"/>
      <c r="B12" s="526"/>
      <c r="C12" s="526"/>
      <c r="D12" s="527"/>
      <c r="E12" s="567"/>
      <c r="F12" s="568"/>
      <c r="G12" s="568"/>
      <c r="H12" s="568"/>
      <c r="I12" s="569"/>
      <c r="J12" s="577" t="str">
        <f>IF(AND('Riesgos de Gestión'!$O$56="Muy Alta",'Riesgos de Gestión'!$S$56="Leve"),CONCATENATE("R",'Riesgos de Gestión'!$A$56),"")</f>
        <v/>
      </c>
      <c r="K12" s="573"/>
      <c r="L12" s="573" t="str">
        <f>IF(AND('Riesgos de Gestión'!$P$62="Muy Alta",'Riesgos de Gestión'!$T$62="Leve"),CONCATENATE("R",'Riesgos de Gestión'!$A$62),"")</f>
        <v/>
      </c>
      <c r="M12" s="573"/>
      <c r="N12" s="573" t="str">
        <f>IF(AND('Riesgos de Gestión'!$P$68="Muy Alta",'Riesgos de Gestión'!$T$68="Leve"),CONCATENATE("R",'Riesgos de Gestión'!$A$68),"")</f>
        <v/>
      </c>
      <c r="O12" s="574"/>
      <c r="P12" s="577" t="str">
        <f>IF(AND('Riesgos de Gestión'!$O$56="Muy Alta",'Riesgos de Gestión'!$S$56="Menor"),CONCATENATE("R",'Riesgos de Gestión'!$A$56),"")</f>
        <v/>
      </c>
      <c r="Q12" s="573"/>
      <c r="R12" s="573" t="str">
        <f>IF(AND('Riesgos de Gestión'!$P$62="Muy Alta",'Riesgos de Gestión'!$T$62="Menor"),CONCATENATE("R",'Riesgos de Gestión'!$A$62),"")</f>
        <v/>
      </c>
      <c r="S12" s="573"/>
      <c r="T12" s="573" t="str">
        <f>IF(AND('Riesgos de Gestión'!$P$68="Muy Alta",'Riesgos de Gestión'!$T$68="Menor"),CONCATENATE("R",'Riesgos de Gestión'!$A$68),"")</f>
        <v/>
      </c>
      <c r="U12" s="574"/>
      <c r="V12" s="577" t="str">
        <f>IF(AND('Riesgos de Gestión'!$O$56="Muy Alta",'Riesgos de Gestión'!$S$56="Moderado"),CONCATENATE("R",'Riesgos de Gestión'!$A$56),"")</f>
        <v/>
      </c>
      <c r="W12" s="573"/>
      <c r="X12" s="573" t="str">
        <f>IF(AND('Riesgos de Gestión'!$P$62="Muy Alta",'Riesgos de Gestión'!$T$62="Moderado"),CONCATENATE("R",'Riesgos de Gestión'!$A$62),"")</f>
        <v/>
      </c>
      <c r="Y12" s="573"/>
      <c r="Z12" s="573" t="str">
        <f>IF(AND('Riesgos de Gestión'!$P$68="Muy Alta",'Riesgos de Gestión'!$T$68="Moderado"),CONCATENATE("R",'Riesgos de Gestión'!$A$68),"")</f>
        <v/>
      </c>
      <c r="AA12" s="574"/>
      <c r="AB12" s="577" t="str">
        <f>IF(AND('Riesgos de Gestión'!$O$56="Muy Alta",'Riesgos de Gestión'!$S$56="Mayor"),CONCATENATE("R",'Riesgos de Gestión'!$A$56),"")</f>
        <v/>
      </c>
      <c r="AC12" s="573"/>
      <c r="AD12" s="573" t="str">
        <f>IF(AND('Riesgos de Gestión'!$P$62="Muy Alta",'Riesgos de Gestión'!$T$62="Mayor"),CONCATENATE("R",'Riesgos de Gestión'!$A$62),"")</f>
        <v/>
      </c>
      <c r="AE12" s="573"/>
      <c r="AF12" s="573" t="str">
        <f>IF(AND('Riesgos de Gestión'!$P$68="Muy Alta",'Riesgos de Gestión'!$T$68="Mayor"),CONCATENATE("R",'Riesgos de Gestión'!$A$68),"")</f>
        <v/>
      </c>
      <c r="AG12" s="574"/>
      <c r="AH12" s="584" t="str">
        <f>IF(AND('Riesgos de Gestión'!$O$56="Muy Alta",'Riesgos de Gestión'!$S$56="Catastrófico"),CONCATENATE("R",'Riesgos de Gestión'!$A$56),"")</f>
        <v/>
      </c>
      <c r="AI12" s="585"/>
      <c r="AJ12" s="585" t="str">
        <f>IF(AND('Riesgos de Gestión'!$P$62="Muy Alta",'Riesgos de Gestión'!$T$62="Catastrófico"),CONCATENATE("R",'Riesgos de Gestión'!$A$62),"")</f>
        <v/>
      </c>
      <c r="AK12" s="585"/>
      <c r="AL12" s="585" t="str">
        <f>IF(AND('Riesgos de Gestión'!$P$68="Muy Alta",'Riesgos de Gestión'!$T$68="Catastrófico"),CONCATENATE("R",'Riesgos de Gestión'!$A$68),"")</f>
        <v/>
      </c>
      <c r="AM12" s="586"/>
      <c r="AN12" s="66"/>
      <c r="AO12" s="531"/>
      <c r="AP12" s="532"/>
      <c r="AQ12" s="532"/>
      <c r="AR12" s="532"/>
      <c r="AS12" s="532"/>
      <c r="AT12" s="53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row>
    <row r="13" spans="1:99" ht="15.75" customHeight="1" thickBot="1" x14ac:dyDescent="0.3">
      <c r="A13" s="66"/>
      <c r="B13" s="526"/>
      <c r="C13" s="526"/>
      <c r="D13" s="527"/>
      <c r="E13" s="570"/>
      <c r="F13" s="571"/>
      <c r="G13" s="571"/>
      <c r="H13" s="571"/>
      <c r="I13" s="572"/>
      <c r="J13" s="577"/>
      <c r="K13" s="573"/>
      <c r="L13" s="573"/>
      <c r="M13" s="573"/>
      <c r="N13" s="573"/>
      <c r="O13" s="574"/>
      <c r="P13" s="577"/>
      <c r="Q13" s="573"/>
      <c r="R13" s="573"/>
      <c r="S13" s="573"/>
      <c r="T13" s="573"/>
      <c r="U13" s="574"/>
      <c r="V13" s="577"/>
      <c r="W13" s="573"/>
      <c r="X13" s="573"/>
      <c r="Y13" s="573"/>
      <c r="Z13" s="573"/>
      <c r="AA13" s="574"/>
      <c r="AB13" s="577"/>
      <c r="AC13" s="573"/>
      <c r="AD13" s="573"/>
      <c r="AE13" s="573"/>
      <c r="AF13" s="573"/>
      <c r="AG13" s="574"/>
      <c r="AH13" s="587"/>
      <c r="AI13" s="588"/>
      <c r="AJ13" s="588"/>
      <c r="AK13" s="588"/>
      <c r="AL13" s="588"/>
      <c r="AM13" s="589"/>
      <c r="AN13" s="66"/>
      <c r="AO13" s="534"/>
      <c r="AP13" s="535"/>
      <c r="AQ13" s="535"/>
      <c r="AR13" s="535"/>
      <c r="AS13" s="535"/>
      <c r="AT13" s="536"/>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c r="BY13" s="66"/>
      <c r="BZ13" s="66"/>
      <c r="CA13" s="66"/>
      <c r="CB13" s="66"/>
    </row>
    <row r="14" spans="1:99" ht="15" customHeight="1" x14ac:dyDescent="0.25">
      <c r="A14" s="66"/>
      <c r="B14" s="526"/>
      <c r="C14" s="526"/>
      <c r="D14" s="527"/>
      <c r="E14" s="564" t="s">
        <v>487</v>
      </c>
      <c r="F14" s="565"/>
      <c r="G14" s="565"/>
      <c r="H14" s="565"/>
      <c r="I14" s="565"/>
      <c r="J14" s="599" t="str">
        <f>IF(AND('Riesgos de Gestión'!$O$13="Alta",'Riesgos de Gestión'!$S$13="Leve"),CONCATENATE("R",'Riesgos de Gestión'!$A$13),"")</f>
        <v/>
      </c>
      <c r="K14" s="600"/>
      <c r="L14" s="600" t="str">
        <f>IF(AND('Riesgos de Gestión'!$O$15="Alta",'Riesgos de Gestión'!$S$15="Leve"),CONCATENATE("R",'Riesgos de Gestión'!$A$15),"")</f>
        <v/>
      </c>
      <c r="M14" s="600"/>
      <c r="N14" s="600" t="str">
        <f>IF(AND('Riesgos de Gestión'!$O$17="Alta",'Riesgos de Gestión'!$S$17="Leve"),CONCATENATE("R",'Riesgos de Gestión'!$A$17),"")</f>
        <v/>
      </c>
      <c r="O14" s="601"/>
      <c r="P14" s="599" t="str">
        <f>IF(AND('Riesgos de Gestión'!$O$13="Alta",'Riesgos de Gestión'!$S$13="Menor"),CONCATENATE("R",'Riesgos de Gestión'!$A$13),"")</f>
        <v/>
      </c>
      <c r="Q14" s="600"/>
      <c r="R14" s="600" t="str">
        <f>IF(AND('Riesgos de Gestión'!$O$15="Alta",'Riesgos de Gestión'!$S$15="Menor"),CONCATENATE("R",'Riesgos de Gestión'!$A$15),"")</f>
        <v/>
      </c>
      <c r="S14" s="600"/>
      <c r="T14" s="600" t="str">
        <f>IF(AND('Riesgos de Gestión'!$O$17="Alta",'Riesgos de Gestión'!$S$17="Menor"),CONCATENATE("R",'Riesgos de Gestión'!$A$17),"")</f>
        <v/>
      </c>
      <c r="U14" s="601"/>
      <c r="V14" s="575" t="str">
        <f>IF(AND('Riesgos de Gestión'!$O$13="Alta",'Riesgos de Gestión'!$S$13="Moderado"),CONCATENATE("R",'Riesgos de Gestión'!$A$13),"")</f>
        <v/>
      </c>
      <c r="W14" s="576"/>
      <c r="X14" s="576" t="str">
        <f>IF(AND('Riesgos de Gestión'!$O$15="Alta",'Riesgos de Gestión'!$S$15="Moderado"),CONCATENATE("R",'Riesgos de Gestión'!$A$15),"")</f>
        <v/>
      </c>
      <c r="Y14" s="576"/>
      <c r="Z14" s="576" t="str">
        <f>IF(AND('Riesgos de Gestión'!$O$17="Alta",'Riesgos de Gestión'!$S$17="Moderado"),CONCATENATE("R",'Riesgos de Gestión'!$A$17),"")</f>
        <v/>
      </c>
      <c r="AA14" s="578"/>
      <c r="AB14" s="575" t="str">
        <f>IF(AND('Riesgos de Gestión'!$O$13="Alta",'Riesgos de Gestión'!$S$13="Mayor"),CONCATENATE("R",'Riesgos de Gestión'!$A$13),"")</f>
        <v/>
      </c>
      <c r="AC14" s="576"/>
      <c r="AD14" s="576" t="str">
        <f>IF(AND('Riesgos de Gestión'!$O$15="Alta",'Riesgos de Gestión'!$S$15="Mayor"),CONCATENATE("R",'Riesgos de Gestión'!$A$15),"")</f>
        <v/>
      </c>
      <c r="AE14" s="576"/>
      <c r="AF14" s="576" t="str">
        <f>IF(AND('Riesgos de Gestión'!$O$17="Alta",'Riesgos de Gestión'!$S$17="Mayor"),CONCATENATE("R",'Riesgos de Gestión'!$A$17),"")</f>
        <v/>
      </c>
      <c r="AG14" s="578"/>
      <c r="AH14" s="590" t="str">
        <f>IF(AND('Riesgos de Gestión'!$O$13="Alta",'Riesgos de Gestión'!$S$13="Catastrófico"),CONCATENATE("R",'Riesgos de Gestión'!$A$13),"")</f>
        <v/>
      </c>
      <c r="AI14" s="591"/>
      <c r="AJ14" s="591" t="str">
        <f>IF(AND('Riesgos de Gestión'!$O$15="Alta",'Riesgos de Gestión'!$S$15="Catastrófico"),CONCATENATE("R",'Riesgos de Gestión'!$A$15),"")</f>
        <v/>
      </c>
      <c r="AK14" s="591"/>
      <c r="AL14" s="591" t="str">
        <f>IF(AND('Riesgos de Gestión'!$O$17="Alta",'Riesgos de Gestión'!$S$17="Catastrófico"),CONCATENATE("R",'Riesgos de Gestión'!$A$17),"")</f>
        <v/>
      </c>
      <c r="AM14" s="592"/>
      <c r="AN14" s="66"/>
      <c r="AO14" s="537" t="s">
        <v>488</v>
      </c>
      <c r="AP14" s="538"/>
      <c r="AQ14" s="538"/>
      <c r="AR14" s="538"/>
      <c r="AS14" s="538"/>
      <c r="AT14" s="539"/>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c r="BY14" s="66"/>
      <c r="BZ14" s="66"/>
      <c r="CA14" s="66"/>
      <c r="CB14" s="66"/>
    </row>
    <row r="15" spans="1:99" ht="15" customHeight="1" x14ac:dyDescent="0.25">
      <c r="A15" s="66"/>
      <c r="B15" s="526"/>
      <c r="C15" s="526"/>
      <c r="D15" s="527"/>
      <c r="E15" s="567"/>
      <c r="F15" s="568"/>
      <c r="G15" s="568"/>
      <c r="H15" s="568"/>
      <c r="I15" s="568"/>
      <c r="J15" s="593"/>
      <c r="K15" s="594"/>
      <c r="L15" s="594"/>
      <c r="M15" s="594"/>
      <c r="N15" s="594"/>
      <c r="O15" s="595"/>
      <c r="P15" s="593"/>
      <c r="Q15" s="594"/>
      <c r="R15" s="594"/>
      <c r="S15" s="594"/>
      <c r="T15" s="594"/>
      <c r="U15" s="595"/>
      <c r="V15" s="577"/>
      <c r="W15" s="573"/>
      <c r="X15" s="573"/>
      <c r="Y15" s="573"/>
      <c r="Z15" s="573"/>
      <c r="AA15" s="574"/>
      <c r="AB15" s="577"/>
      <c r="AC15" s="573"/>
      <c r="AD15" s="573"/>
      <c r="AE15" s="573"/>
      <c r="AF15" s="573"/>
      <c r="AG15" s="574"/>
      <c r="AH15" s="584"/>
      <c r="AI15" s="585"/>
      <c r="AJ15" s="585"/>
      <c r="AK15" s="585"/>
      <c r="AL15" s="585"/>
      <c r="AM15" s="586"/>
      <c r="AN15" s="66"/>
      <c r="AO15" s="540"/>
      <c r="AP15" s="541"/>
      <c r="AQ15" s="541"/>
      <c r="AR15" s="541"/>
      <c r="AS15" s="541"/>
      <c r="AT15" s="542"/>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c r="BY15" s="66"/>
      <c r="BZ15" s="66"/>
      <c r="CA15" s="66"/>
      <c r="CB15" s="66"/>
    </row>
    <row r="16" spans="1:99" ht="15" customHeight="1" x14ac:dyDescent="0.25">
      <c r="A16" s="66"/>
      <c r="B16" s="526"/>
      <c r="C16" s="526"/>
      <c r="D16" s="527"/>
      <c r="E16" s="567"/>
      <c r="F16" s="568"/>
      <c r="G16" s="568"/>
      <c r="H16" s="568"/>
      <c r="I16" s="568"/>
      <c r="J16" s="593" t="str">
        <f>IF(AND('Riesgos de Gestión'!$O$20="Alta",'Riesgos de Gestión'!$S$20="Leve"),CONCATENATE("R",'Riesgos de Gestión'!$A$20),"")</f>
        <v/>
      </c>
      <c r="K16" s="594"/>
      <c r="L16" s="594" t="str">
        <f>IF(AND('Riesgos de Gestión'!$O$26="Alta",'Riesgos de Gestión'!$S$26="Leve"),CONCATENATE("R",'Riesgos de Gestión'!$A$26),"")</f>
        <v/>
      </c>
      <c r="M16" s="594"/>
      <c r="N16" s="594" t="str">
        <f>IF(AND('Riesgos de Gestión'!$O$32="Alta",'Riesgos de Gestión'!$S$32="Leve"),CONCATENATE("R",'Riesgos de Gestión'!$A$32),"")</f>
        <v/>
      </c>
      <c r="O16" s="595"/>
      <c r="P16" s="593" t="str">
        <f>IF(AND('Riesgos de Gestión'!$O$20="Alta",'Riesgos de Gestión'!$S$20="Menor"),CONCATENATE("R",'Riesgos de Gestión'!$A$20),"")</f>
        <v/>
      </c>
      <c r="Q16" s="594"/>
      <c r="R16" s="594" t="str">
        <f>IF(AND('Riesgos de Gestión'!$O$26="Alta",'Riesgos de Gestión'!$S$26="Menor"),CONCATENATE("R",'Riesgos de Gestión'!$A$26),"")</f>
        <v/>
      </c>
      <c r="S16" s="594"/>
      <c r="T16" s="594" t="str">
        <f>IF(AND('Riesgos de Gestión'!$O$32="Alta",'Riesgos de Gestión'!$S$32="Menor"),CONCATENATE("R",'Riesgos de Gestión'!$A$32),"")</f>
        <v/>
      </c>
      <c r="U16" s="595"/>
      <c r="V16" s="577" t="str">
        <f>IF(AND('Riesgos de Gestión'!$O$20="Alta",'Riesgos de Gestión'!$S$20="Moderado"),CONCATENATE("R",'Riesgos de Gestión'!$A$20),"")</f>
        <v/>
      </c>
      <c r="W16" s="573"/>
      <c r="X16" s="573" t="str">
        <f>IF(AND('Riesgos de Gestión'!$O$26="Alta",'Riesgos de Gestión'!$S$26="Moderado"),CONCATENATE("R",'Riesgos de Gestión'!$A$26),"")</f>
        <v/>
      </c>
      <c r="Y16" s="573"/>
      <c r="Z16" s="573" t="str">
        <f>IF(AND('Riesgos de Gestión'!$O$32="Alta",'Riesgos de Gestión'!$S$32="Moderado"),CONCATENATE("R",'Riesgos de Gestión'!$A$32),"")</f>
        <v/>
      </c>
      <c r="AA16" s="574"/>
      <c r="AB16" s="577" t="str">
        <f>IF(AND('Riesgos de Gestión'!$O$20="Alta",'Riesgos de Gestión'!$S$20="Mayor"),CONCATENATE("R",'Riesgos de Gestión'!$A$20),"")</f>
        <v/>
      </c>
      <c r="AC16" s="573"/>
      <c r="AD16" s="573" t="str">
        <f>IF(AND('Riesgos de Gestión'!$O$26="Alta",'Riesgos de Gestión'!$S$26="Mayor"),CONCATENATE("R",'Riesgos de Gestión'!$A$26),"")</f>
        <v/>
      </c>
      <c r="AE16" s="573"/>
      <c r="AF16" s="573" t="str">
        <f>IF(AND('Riesgos de Gestión'!$O$32="Alta",'Riesgos de Gestión'!$S$32="Mayor"),CONCATENATE("R",'Riesgos de Gestión'!$A$32),"")</f>
        <v/>
      </c>
      <c r="AG16" s="574"/>
      <c r="AH16" s="584" t="str">
        <f>IF(AND('Riesgos de Gestión'!$O$20="Alta",'Riesgos de Gestión'!$S$20="Catastrófico"),CONCATENATE("R",'Riesgos de Gestión'!$A$20),"")</f>
        <v/>
      </c>
      <c r="AI16" s="585"/>
      <c r="AJ16" s="585" t="str">
        <f>IF(AND('Riesgos de Gestión'!$O$26="Alta",'Riesgos de Gestión'!$S$26="Catastrófico"),CONCATENATE("R",'Riesgos de Gestión'!$A$26),"")</f>
        <v/>
      </c>
      <c r="AK16" s="585"/>
      <c r="AL16" s="585" t="str">
        <f>IF(AND('Riesgos de Gestión'!$O$32="Alta",'Riesgos de Gestión'!$S$32="Catastrófico"),CONCATENATE("R",'Riesgos de Gestión'!$A$32),"")</f>
        <v/>
      </c>
      <c r="AM16" s="586"/>
      <c r="AN16" s="66"/>
      <c r="AO16" s="540"/>
      <c r="AP16" s="541"/>
      <c r="AQ16" s="541"/>
      <c r="AR16" s="541"/>
      <c r="AS16" s="541"/>
      <c r="AT16" s="542"/>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c r="BY16" s="66"/>
      <c r="BZ16" s="66"/>
      <c r="CA16" s="66"/>
      <c r="CB16" s="66"/>
    </row>
    <row r="17" spans="1:80" ht="15" customHeight="1" x14ac:dyDescent="0.25">
      <c r="A17" s="66"/>
      <c r="B17" s="526"/>
      <c r="C17" s="526"/>
      <c r="D17" s="527"/>
      <c r="E17" s="567"/>
      <c r="F17" s="568"/>
      <c r="G17" s="568"/>
      <c r="H17" s="568"/>
      <c r="I17" s="568"/>
      <c r="J17" s="593"/>
      <c r="K17" s="594"/>
      <c r="L17" s="594"/>
      <c r="M17" s="594"/>
      <c r="N17" s="594"/>
      <c r="O17" s="595"/>
      <c r="P17" s="593"/>
      <c r="Q17" s="594"/>
      <c r="R17" s="594"/>
      <c r="S17" s="594"/>
      <c r="T17" s="594"/>
      <c r="U17" s="595"/>
      <c r="V17" s="577"/>
      <c r="W17" s="573"/>
      <c r="X17" s="573"/>
      <c r="Y17" s="573"/>
      <c r="Z17" s="573"/>
      <c r="AA17" s="574"/>
      <c r="AB17" s="577"/>
      <c r="AC17" s="573"/>
      <c r="AD17" s="573"/>
      <c r="AE17" s="573"/>
      <c r="AF17" s="573"/>
      <c r="AG17" s="574"/>
      <c r="AH17" s="584"/>
      <c r="AI17" s="585"/>
      <c r="AJ17" s="585"/>
      <c r="AK17" s="585"/>
      <c r="AL17" s="585"/>
      <c r="AM17" s="586"/>
      <c r="AN17" s="66"/>
      <c r="AO17" s="540"/>
      <c r="AP17" s="541"/>
      <c r="AQ17" s="541"/>
      <c r="AR17" s="541"/>
      <c r="AS17" s="541"/>
      <c r="AT17" s="542"/>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c r="BY17" s="66"/>
      <c r="BZ17" s="66"/>
      <c r="CA17" s="66"/>
      <c r="CB17" s="66"/>
    </row>
    <row r="18" spans="1:80" ht="15" customHeight="1" x14ac:dyDescent="0.25">
      <c r="A18" s="66"/>
      <c r="B18" s="526"/>
      <c r="C18" s="526"/>
      <c r="D18" s="527"/>
      <c r="E18" s="567"/>
      <c r="F18" s="568"/>
      <c r="G18" s="568"/>
      <c r="H18" s="568"/>
      <c r="I18" s="568"/>
      <c r="J18" s="593" t="str">
        <f>IF(AND('Riesgos de Gestión'!$O$38="Alta",'Riesgos de Gestión'!$S$38="Leve"),CONCATENATE("R",'Riesgos de Gestión'!$A$38),"")</f>
        <v/>
      </c>
      <c r="K18" s="594"/>
      <c r="L18" s="594" t="str">
        <f>IF(AND('Riesgos de Gestión'!$O$44="Alta",'Riesgos de Gestión'!$S$44="Leve"),CONCATENATE("R",'Riesgos de Gestión'!$A$44),"")</f>
        <v/>
      </c>
      <c r="M18" s="594"/>
      <c r="N18" s="594" t="str">
        <f>IF(AND('Riesgos de Gestión'!$O$50="Alta",'Riesgos de Gestión'!$S$50="Leve"),CONCATENATE("R",'Riesgos de Gestión'!$A$50),"")</f>
        <v/>
      </c>
      <c r="O18" s="595"/>
      <c r="P18" s="593" t="str">
        <f>IF(AND('Riesgos de Gestión'!$O$38="Alta",'Riesgos de Gestión'!$S$38="Menor"),CONCATENATE("R",'Riesgos de Gestión'!$A$38),"")</f>
        <v/>
      </c>
      <c r="Q18" s="594"/>
      <c r="R18" s="594" t="str">
        <f>IF(AND('Riesgos de Gestión'!$O$44="Alta",'Riesgos de Gestión'!$S$44="Menor"),CONCATENATE("R",'Riesgos de Gestión'!$A$44),"")</f>
        <v/>
      </c>
      <c r="S18" s="594"/>
      <c r="T18" s="594" t="str">
        <f>IF(AND('Riesgos de Gestión'!$O$50="Alta",'Riesgos de Gestión'!$S$50="Menor"),CONCATENATE("R",'Riesgos de Gestión'!$A$50),"")</f>
        <v/>
      </c>
      <c r="U18" s="595"/>
      <c r="V18" s="577" t="str">
        <f>IF(AND('Riesgos de Gestión'!$O$38="Alta",'Riesgos de Gestión'!$S$38="Moderado"),CONCATENATE("R",'Riesgos de Gestión'!$A$38),"")</f>
        <v/>
      </c>
      <c r="W18" s="573"/>
      <c r="X18" s="573" t="str">
        <f>IF(AND('Riesgos de Gestión'!$O$44="Alta",'Riesgos de Gestión'!$S$44="Moderado"),CONCATENATE("R",'Riesgos de Gestión'!$A$44),"")</f>
        <v/>
      </c>
      <c r="Y18" s="573"/>
      <c r="Z18" s="573" t="str">
        <f>IF(AND('Riesgos de Gestión'!$O$50="Alta",'Riesgos de Gestión'!$S$50="Moderado"),CONCATENATE("R",'Riesgos de Gestión'!$A$50),"")</f>
        <v/>
      </c>
      <c r="AA18" s="574"/>
      <c r="AB18" s="577" t="str">
        <f>IF(AND('Riesgos de Gestión'!$O$38="Alta",'Riesgos de Gestión'!$S$38="Mayor"),CONCATENATE("R",'Riesgos de Gestión'!$A$38),"")</f>
        <v/>
      </c>
      <c r="AC18" s="573"/>
      <c r="AD18" s="573" t="str">
        <f>IF(AND('Riesgos de Gestión'!$O$44="Alta",'Riesgos de Gestión'!$S$44="Mayor"),CONCATENATE("R",'Riesgos de Gestión'!$A$44),"")</f>
        <v/>
      </c>
      <c r="AE18" s="573"/>
      <c r="AF18" s="573" t="str">
        <f>IF(AND('Riesgos de Gestión'!$O$50="Alta",'Riesgos de Gestión'!$S$50="Mayor"),CONCATENATE("R",'Riesgos de Gestión'!$A$50),"")</f>
        <v/>
      </c>
      <c r="AG18" s="574"/>
      <c r="AH18" s="584" t="str">
        <f>IF(AND('Riesgos de Gestión'!$O$38="Alta",'Riesgos de Gestión'!$S$38="Catastrófico"),CONCATENATE("R",'Riesgos de Gestión'!$A$38),"")</f>
        <v/>
      </c>
      <c r="AI18" s="585"/>
      <c r="AJ18" s="585" t="str">
        <f>IF(AND('Riesgos de Gestión'!$O$44="Alta",'Riesgos de Gestión'!$S$44="Catastrófico"),CONCATENATE("R",'Riesgos de Gestión'!$A$44),"")</f>
        <v/>
      </c>
      <c r="AK18" s="585"/>
      <c r="AL18" s="585" t="str">
        <f>IF(AND('Riesgos de Gestión'!$O$50="Alta",'Riesgos de Gestión'!$S$50="Catastrófico"),CONCATENATE("R",'Riesgos de Gestión'!$A$50),"")</f>
        <v/>
      </c>
      <c r="AM18" s="586"/>
      <c r="AN18" s="66"/>
      <c r="AO18" s="540"/>
      <c r="AP18" s="541"/>
      <c r="AQ18" s="541"/>
      <c r="AR18" s="541"/>
      <c r="AS18" s="541"/>
      <c r="AT18" s="542"/>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c r="BY18" s="66"/>
      <c r="BZ18" s="66"/>
      <c r="CA18" s="66"/>
      <c r="CB18" s="66"/>
    </row>
    <row r="19" spans="1:80" ht="15" customHeight="1" x14ac:dyDescent="0.25">
      <c r="A19" s="66"/>
      <c r="B19" s="526"/>
      <c r="C19" s="526"/>
      <c r="D19" s="527"/>
      <c r="E19" s="567"/>
      <c r="F19" s="568"/>
      <c r="G19" s="568"/>
      <c r="H19" s="568"/>
      <c r="I19" s="568"/>
      <c r="J19" s="593"/>
      <c r="K19" s="594"/>
      <c r="L19" s="594"/>
      <c r="M19" s="594"/>
      <c r="N19" s="594"/>
      <c r="O19" s="595"/>
      <c r="P19" s="593"/>
      <c r="Q19" s="594"/>
      <c r="R19" s="594"/>
      <c r="S19" s="594"/>
      <c r="T19" s="594"/>
      <c r="U19" s="595"/>
      <c r="V19" s="577"/>
      <c r="W19" s="573"/>
      <c r="X19" s="573"/>
      <c r="Y19" s="573"/>
      <c r="Z19" s="573"/>
      <c r="AA19" s="574"/>
      <c r="AB19" s="577"/>
      <c r="AC19" s="573"/>
      <c r="AD19" s="573"/>
      <c r="AE19" s="573"/>
      <c r="AF19" s="573"/>
      <c r="AG19" s="574"/>
      <c r="AH19" s="584"/>
      <c r="AI19" s="585"/>
      <c r="AJ19" s="585"/>
      <c r="AK19" s="585"/>
      <c r="AL19" s="585"/>
      <c r="AM19" s="586"/>
      <c r="AN19" s="66"/>
      <c r="AO19" s="540"/>
      <c r="AP19" s="541"/>
      <c r="AQ19" s="541"/>
      <c r="AR19" s="541"/>
      <c r="AS19" s="541"/>
      <c r="AT19" s="542"/>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c r="BY19" s="66"/>
      <c r="BZ19" s="66"/>
      <c r="CA19" s="66"/>
      <c r="CB19" s="66"/>
    </row>
    <row r="20" spans="1:80" ht="15" customHeight="1" x14ac:dyDescent="0.25">
      <c r="A20" s="66"/>
      <c r="B20" s="526"/>
      <c r="C20" s="526"/>
      <c r="D20" s="527"/>
      <c r="E20" s="567"/>
      <c r="F20" s="568"/>
      <c r="G20" s="568"/>
      <c r="H20" s="568"/>
      <c r="I20" s="568"/>
      <c r="J20" s="593" t="str">
        <f>IF(AND('Riesgos de Gestión'!$O$56="Alta",'Riesgos de Gestión'!$S$56="Leve"),CONCATENATE("R",'Riesgos de Gestión'!$A$56),"")</f>
        <v/>
      </c>
      <c r="K20" s="594"/>
      <c r="L20" s="594" t="str">
        <f>IF(AND('Riesgos de Gestión'!$P$62="Alta",'Riesgos de Gestión'!$T$62="Leve"),CONCATENATE("R",'Riesgos de Gestión'!$A$62),"")</f>
        <v/>
      </c>
      <c r="M20" s="594"/>
      <c r="N20" s="594" t="str">
        <f>IF(AND('Riesgos de Gestión'!$P$68="Alta",'Riesgos de Gestión'!$T$68="Leve"),CONCATENATE("R",'Riesgos de Gestión'!$A$68),"")</f>
        <v/>
      </c>
      <c r="O20" s="595"/>
      <c r="P20" s="593" t="str">
        <f>IF(AND('Riesgos de Gestión'!$O$56="Alta",'Riesgos de Gestión'!$S$56="Menor"),CONCATENATE("R",'Riesgos de Gestión'!$A$56),"")</f>
        <v/>
      </c>
      <c r="Q20" s="594"/>
      <c r="R20" s="594" t="str">
        <f>IF(AND('Riesgos de Gestión'!$P$62="Alta",'Riesgos de Gestión'!$T$62="Menor"),CONCATENATE("R",'Riesgos de Gestión'!$A$62),"")</f>
        <v/>
      </c>
      <c r="S20" s="594"/>
      <c r="T20" s="594" t="str">
        <f>IF(AND('Riesgos de Gestión'!$P$68="Alta",'Riesgos de Gestión'!$T$68="Menor"),CONCATENATE("R",'Riesgos de Gestión'!$A$68),"")</f>
        <v/>
      </c>
      <c r="U20" s="595"/>
      <c r="V20" s="577" t="str">
        <f>IF(AND('Riesgos de Gestión'!$O$56="Alta",'Riesgos de Gestión'!$S$56="Moderado"),CONCATENATE("R",'Riesgos de Gestión'!$A$56),"")</f>
        <v/>
      </c>
      <c r="W20" s="573"/>
      <c r="X20" s="573" t="str">
        <f>IF(AND('Riesgos de Gestión'!$P$62="Alta",'Riesgos de Gestión'!$T$62="Moderado"),CONCATENATE("R",'Riesgos de Gestión'!$A$62),"")</f>
        <v/>
      </c>
      <c r="Y20" s="573"/>
      <c r="Z20" s="573" t="str">
        <f>IF(AND('Riesgos de Gestión'!$P$68="Alta",'Riesgos de Gestión'!$T$68="Moderado"),CONCATENATE("R",'Riesgos de Gestión'!$A$68),"")</f>
        <v/>
      </c>
      <c r="AA20" s="574"/>
      <c r="AB20" s="577" t="str">
        <f>IF(AND('Riesgos de Gestión'!$O$56="Alta",'Riesgos de Gestión'!$S$56="Mayor"),CONCATENATE("R",'Riesgos de Gestión'!$A$56),"")</f>
        <v/>
      </c>
      <c r="AC20" s="573"/>
      <c r="AD20" s="573" t="str">
        <f>IF(AND('Riesgos de Gestión'!$P$62="Alta",'Riesgos de Gestión'!$T$62="Mayor"),CONCATENATE("R",'Riesgos de Gestión'!$A$62),"")</f>
        <v/>
      </c>
      <c r="AE20" s="573"/>
      <c r="AF20" s="573" t="str">
        <f>IF(AND('Riesgos de Gestión'!$P$68="Alta",'Riesgos de Gestión'!$T$68="Mayor"),CONCATENATE("R",'Riesgos de Gestión'!$A$68),"")</f>
        <v/>
      </c>
      <c r="AG20" s="574"/>
      <c r="AH20" s="584" t="str">
        <f>IF(AND('Riesgos de Gestión'!$O$56="Alta",'Riesgos de Gestión'!$S$56="Catastrófico"),CONCATENATE("R",'Riesgos de Gestión'!$A$56),"")</f>
        <v/>
      </c>
      <c r="AI20" s="585"/>
      <c r="AJ20" s="585" t="str">
        <f>IF(AND('Riesgos de Gestión'!$P$62="Alta",'Riesgos de Gestión'!$T$62="Catastrófico"),CONCATENATE("R",'Riesgos de Gestión'!$A$62),"")</f>
        <v/>
      </c>
      <c r="AK20" s="585"/>
      <c r="AL20" s="585" t="str">
        <f>IF(AND('Riesgos de Gestión'!$P$68="Alta",'Riesgos de Gestión'!$T$68="Catastrófico"),CONCATENATE("R",'Riesgos de Gestión'!$A$68),"")</f>
        <v/>
      </c>
      <c r="AM20" s="586"/>
      <c r="AN20" s="66"/>
      <c r="AO20" s="540"/>
      <c r="AP20" s="541"/>
      <c r="AQ20" s="541"/>
      <c r="AR20" s="541"/>
      <c r="AS20" s="541"/>
      <c r="AT20" s="542"/>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c r="BY20" s="66"/>
      <c r="BZ20" s="66"/>
      <c r="CA20" s="66"/>
      <c r="CB20" s="66"/>
    </row>
    <row r="21" spans="1:80" ht="15.75" customHeight="1" thickBot="1" x14ac:dyDescent="0.3">
      <c r="A21" s="66"/>
      <c r="B21" s="526"/>
      <c r="C21" s="526"/>
      <c r="D21" s="527"/>
      <c r="E21" s="570"/>
      <c r="F21" s="571"/>
      <c r="G21" s="571"/>
      <c r="H21" s="571"/>
      <c r="I21" s="571"/>
      <c r="J21" s="596"/>
      <c r="K21" s="597"/>
      <c r="L21" s="597"/>
      <c r="M21" s="597"/>
      <c r="N21" s="597"/>
      <c r="O21" s="598"/>
      <c r="P21" s="596"/>
      <c r="Q21" s="597"/>
      <c r="R21" s="597"/>
      <c r="S21" s="597"/>
      <c r="T21" s="597"/>
      <c r="U21" s="598"/>
      <c r="V21" s="581"/>
      <c r="W21" s="582"/>
      <c r="X21" s="582"/>
      <c r="Y21" s="582"/>
      <c r="Z21" s="582"/>
      <c r="AA21" s="583"/>
      <c r="AB21" s="581"/>
      <c r="AC21" s="582"/>
      <c r="AD21" s="582"/>
      <c r="AE21" s="582"/>
      <c r="AF21" s="582"/>
      <c r="AG21" s="583"/>
      <c r="AH21" s="587"/>
      <c r="AI21" s="588"/>
      <c r="AJ21" s="588"/>
      <c r="AK21" s="588"/>
      <c r="AL21" s="588"/>
      <c r="AM21" s="589"/>
      <c r="AN21" s="66"/>
      <c r="AO21" s="543"/>
      <c r="AP21" s="544"/>
      <c r="AQ21" s="544"/>
      <c r="AR21" s="544"/>
      <c r="AS21" s="544"/>
      <c r="AT21" s="545"/>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c r="BY21" s="66"/>
      <c r="BZ21" s="66"/>
      <c r="CA21" s="66"/>
      <c r="CB21" s="66"/>
    </row>
    <row r="22" spans="1:80" x14ac:dyDescent="0.25">
      <c r="A22" s="66"/>
      <c r="B22" s="526"/>
      <c r="C22" s="526"/>
      <c r="D22" s="527"/>
      <c r="E22" s="564" t="s">
        <v>489</v>
      </c>
      <c r="F22" s="565"/>
      <c r="G22" s="565"/>
      <c r="H22" s="565"/>
      <c r="I22" s="566"/>
      <c r="J22" s="599" t="str">
        <f>IF(AND('Riesgos de Gestión'!$O$13="Media",'Riesgos de Gestión'!$S$13="Leve"),CONCATENATE("R",'Riesgos de Gestión'!$A$13),"")</f>
        <v/>
      </c>
      <c r="K22" s="600"/>
      <c r="L22" s="600" t="str">
        <f>IF(AND('Riesgos de Gestión'!$O$15="Media",'Riesgos de Gestión'!$S$15="Leve"),CONCATENATE("R",'Riesgos de Gestión'!$A$15),"")</f>
        <v>R2</v>
      </c>
      <c r="M22" s="600"/>
      <c r="N22" s="600" t="str">
        <f>IF(AND('Riesgos de Gestión'!$O$17="Media",'Riesgos de Gestión'!$S$17="Leve"),CONCATENATE("R",'Riesgos de Gestión'!$A$17),"")</f>
        <v>R3</v>
      </c>
      <c r="O22" s="601"/>
      <c r="P22" s="599" t="str">
        <f>IF(AND('Riesgos de Gestión'!$O$13="Media",'Riesgos de Gestión'!$S$13="Menor"),CONCATENATE("R",'Riesgos de Gestión'!$A$13),"")</f>
        <v>R1</v>
      </c>
      <c r="Q22" s="600"/>
      <c r="R22" s="600" t="str">
        <f>IF(AND('Riesgos de Gestión'!$O$15="Media",'Riesgos de Gestión'!$S$15="Menor"),CONCATENATE("R",'Riesgos de Gestión'!$A$15),"")</f>
        <v/>
      </c>
      <c r="S22" s="600"/>
      <c r="T22" s="600" t="str">
        <f>IF(AND('Riesgos de Gestión'!$O$17="Media",'Riesgos de Gestión'!$S$17="Menor"),CONCATENATE("R",'Riesgos de Gestión'!$A$17),"")</f>
        <v/>
      </c>
      <c r="U22" s="601"/>
      <c r="V22" s="599" t="str">
        <f>IF(AND('Riesgos de Gestión'!$O$13="Media",'Riesgos de Gestión'!$S$13="Moderado"),CONCATENATE("R",'Riesgos de Gestión'!$A$13),"")</f>
        <v/>
      </c>
      <c r="W22" s="600"/>
      <c r="X22" s="600" t="str">
        <f>IF(AND('Riesgos de Gestión'!$O$15="Media",'Riesgos de Gestión'!$S$15="Moderado"),CONCATENATE("R",'Riesgos de Gestión'!$A$15),"")</f>
        <v/>
      </c>
      <c r="Y22" s="600"/>
      <c r="Z22" s="600" t="str">
        <f>IF(AND('Riesgos de Gestión'!$O$17="Media",'Riesgos de Gestión'!$S$17="Moderado"),CONCATENATE("R",'Riesgos de Gestión'!$A$17),"")</f>
        <v/>
      </c>
      <c r="AA22" s="601"/>
      <c r="AB22" s="575" t="str">
        <f>IF(AND('Riesgos de Gestión'!$O$13="Media",'Riesgos de Gestión'!$S$13="Mayor"),CONCATENATE("R",'Riesgos de Gestión'!$A$13),"")</f>
        <v/>
      </c>
      <c r="AC22" s="576"/>
      <c r="AD22" s="576" t="str">
        <f>IF(AND('Riesgos de Gestión'!$O$15="Media",'Riesgos de Gestión'!$S$15="Mayor"),CONCATENATE("R",'Riesgos de Gestión'!$A$15),"")</f>
        <v/>
      </c>
      <c r="AE22" s="576"/>
      <c r="AF22" s="576" t="str">
        <f>IF(AND('Riesgos de Gestión'!$O$17="Media",'Riesgos de Gestión'!$S$17="Mayor"),CONCATENATE("R",'Riesgos de Gestión'!$A$17),"")</f>
        <v/>
      </c>
      <c r="AG22" s="578"/>
      <c r="AH22" s="590" t="str">
        <f>IF(AND('Riesgos de Gestión'!$O$13="Media",'Riesgos de Gestión'!$S$13="Catastrófico"),CONCATENATE("R",'Riesgos de Gestión'!$A$13),"")</f>
        <v/>
      </c>
      <c r="AI22" s="591"/>
      <c r="AJ22" s="591" t="str">
        <f>IF(AND('Riesgos de Gestión'!$O$15="Media",'Riesgos de Gestión'!$S$15="Catastrófico"),CONCATENATE("R",'Riesgos de Gestión'!$A$15),"")</f>
        <v/>
      </c>
      <c r="AK22" s="591"/>
      <c r="AL22" s="591" t="str">
        <f>IF(AND('Riesgos de Gestión'!$O$17="Media",'Riesgos de Gestión'!$S$17="Catastrófico"),CONCATENATE("R",'Riesgos de Gestión'!$A$17),"")</f>
        <v/>
      </c>
      <c r="AM22" s="592"/>
      <c r="AN22" s="66"/>
      <c r="AO22" s="546" t="s">
        <v>490</v>
      </c>
      <c r="AP22" s="547"/>
      <c r="AQ22" s="547"/>
      <c r="AR22" s="547"/>
      <c r="AS22" s="547"/>
      <c r="AT22" s="548"/>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c r="BY22" s="66"/>
      <c r="BZ22" s="66"/>
      <c r="CA22" s="66"/>
      <c r="CB22" s="66"/>
    </row>
    <row r="23" spans="1:80" x14ac:dyDescent="0.25">
      <c r="A23" s="66"/>
      <c r="B23" s="526"/>
      <c r="C23" s="526"/>
      <c r="D23" s="527"/>
      <c r="E23" s="567"/>
      <c r="F23" s="568"/>
      <c r="G23" s="568"/>
      <c r="H23" s="568"/>
      <c r="I23" s="569"/>
      <c r="J23" s="593"/>
      <c r="K23" s="594"/>
      <c r="L23" s="594"/>
      <c r="M23" s="594"/>
      <c r="N23" s="594"/>
      <c r="O23" s="595"/>
      <c r="P23" s="593"/>
      <c r="Q23" s="594"/>
      <c r="R23" s="594"/>
      <c r="S23" s="594"/>
      <c r="T23" s="594"/>
      <c r="U23" s="595"/>
      <c r="V23" s="593"/>
      <c r="W23" s="594"/>
      <c r="X23" s="594"/>
      <c r="Y23" s="594"/>
      <c r="Z23" s="594"/>
      <c r="AA23" s="595"/>
      <c r="AB23" s="577"/>
      <c r="AC23" s="573"/>
      <c r="AD23" s="573"/>
      <c r="AE23" s="573"/>
      <c r="AF23" s="573"/>
      <c r="AG23" s="574"/>
      <c r="AH23" s="584"/>
      <c r="AI23" s="585"/>
      <c r="AJ23" s="585"/>
      <c r="AK23" s="585"/>
      <c r="AL23" s="585"/>
      <c r="AM23" s="586"/>
      <c r="AN23" s="66"/>
      <c r="AO23" s="549"/>
      <c r="AP23" s="550"/>
      <c r="AQ23" s="550"/>
      <c r="AR23" s="550"/>
      <c r="AS23" s="550"/>
      <c r="AT23" s="551"/>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c r="BY23" s="66"/>
      <c r="BZ23" s="66"/>
      <c r="CA23" s="66"/>
      <c r="CB23" s="66"/>
    </row>
    <row r="24" spans="1:80" x14ac:dyDescent="0.25">
      <c r="A24" s="66"/>
      <c r="B24" s="526"/>
      <c r="C24" s="526"/>
      <c r="D24" s="527"/>
      <c r="E24" s="567"/>
      <c r="F24" s="568"/>
      <c r="G24" s="568"/>
      <c r="H24" s="568"/>
      <c r="I24" s="569"/>
      <c r="J24" s="593" t="str">
        <f>IF(AND('Riesgos de Gestión'!$O$20="Media",'Riesgos de Gestión'!$S$20="Leve"),CONCATENATE("R",'Riesgos de Gestión'!$A$20),"")</f>
        <v/>
      </c>
      <c r="K24" s="594"/>
      <c r="L24" s="594" t="str">
        <f>IF(AND('Riesgos de Gestión'!$O$26="Media",'Riesgos de Gestión'!$S$26="Leve"),CONCATENATE("R",'Riesgos de Gestión'!$A$26),"")</f>
        <v/>
      </c>
      <c r="M24" s="594"/>
      <c r="N24" s="594" t="str">
        <f>IF(AND('Riesgos de Gestión'!$O$32="Media",'Riesgos de Gestión'!$S$32="Leve"),CONCATENATE("R",'Riesgos de Gestión'!$A$32),"")</f>
        <v/>
      </c>
      <c r="O24" s="595"/>
      <c r="P24" s="593" t="str">
        <f>IF(AND('Riesgos de Gestión'!$O$20="Media",'Riesgos de Gestión'!$S$20="Menor"),CONCATENATE("R",'Riesgos de Gestión'!$A$20),"")</f>
        <v/>
      </c>
      <c r="Q24" s="594"/>
      <c r="R24" s="594" t="str">
        <f>IF(AND('Riesgos de Gestión'!$O$26="Media",'Riesgos de Gestión'!$S$26="Menor"),CONCATENATE("R",'Riesgos de Gestión'!$A$26),"")</f>
        <v/>
      </c>
      <c r="S24" s="594"/>
      <c r="T24" s="594" t="str">
        <f>IF(AND('Riesgos de Gestión'!$O$32="Media",'Riesgos de Gestión'!$S$32="Menor"),CONCATENATE("R",'Riesgos de Gestión'!$A$32),"")</f>
        <v/>
      </c>
      <c r="U24" s="595"/>
      <c r="V24" s="593" t="str">
        <f>IF(AND('Riesgos de Gestión'!$O$20="Media",'Riesgos de Gestión'!$S$20="Moderado"),CONCATENATE("R",'Riesgos de Gestión'!$A$20),"")</f>
        <v/>
      </c>
      <c r="W24" s="594"/>
      <c r="X24" s="594" t="str">
        <f>IF(AND('Riesgos de Gestión'!$O$26="Media",'Riesgos de Gestión'!$S$26="Moderado"),CONCATENATE("R",'Riesgos de Gestión'!$A$26),"")</f>
        <v/>
      </c>
      <c r="Y24" s="594"/>
      <c r="Z24" s="594" t="str">
        <f>IF(AND('Riesgos de Gestión'!$O$32="Media",'Riesgos de Gestión'!$S$32="Moderado"),CONCATENATE("R",'Riesgos de Gestión'!$A$32),"")</f>
        <v/>
      </c>
      <c r="AA24" s="595"/>
      <c r="AB24" s="577" t="str">
        <f>IF(AND('Riesgos de Gestión'!$O$20="Media",'Riesgos de Gestión'!$S$20="Mayor"),CONCATENATE("R",'Riesgos de Gestión'!$A$20),"")</f>
        <v/>
      </c>
      <c r="AC24" s="573"/>
      <c r="AD24" s="573" t="str">
        <f>IF(AND('Riesgos de Gestión'!$O$26="Media",'Riesgos de Gestión'!$S$26="Mayor"),CONCATENATE("R",'Riesgos de Gestión'!$A$26),"")</f>
        <v/>
      </c>
      <c r="AE24" s="573"/>
      <c r="AF24" s="573" t="str">
        <f>IF(AND('Riesgos de Gestión'!$O$32="Media",'Riesgos de Gestión'!$S$32="Mayor"),CONCATENATE("R",'Riesgos de Gestión'!$A$32),"")</f>
        <v/>
      </c>
      <c r="AG24" s="574"/>
      <c r="AH24" s="584" t="str">
        <f>IF(AND('Riesgos de Gestión'!$O$20="Media",'Riesgos de Gestión'!$S$20="Catastrófico"),CONCATENATE("R",'Riesgos de Gestión'!$A$20),"")</f>
        <v/>
      </c>
      <c r="AI24" s="585"/>
      <c r="AJ24" s="585" t="str">
        <f>IF(AND('Riesgos de Gestión'!$O$26="Media",'Riesgos de Gestión'!$S$26="Catastrófico"),CONCATENATE("R",'Riesgos de Gestión'!$A$26),"")</f>
        <v/>
      </c>
      <c r="AK24" s="585"/>
      <c r="AL24" s="585" t="str">
        <f>IF(AND('Riesgos de Gestión'!$O$32="Media",'Riesgos de Gestión'!$S$32="Catastrófico"),CONCATENATE("R",'Riesgos de Gestión'!$A$32),"")</f>
        <v/>
      </c>
      <c r="AM24" s="586"/>
      <c r="AN24" s="66"/>
      <c r="AO24" s="549"/>
      <c r="AP24" s="550"/>
      <c r="AQ24" s="550"/>
      <c r="AR24" s="550"/>
      <c r="AS24" s="550"/>
      <c r="AT24" s="551"/>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c r="BY24" s="66"/>
      <c r="BZ24" s="66"/>
      <c r="CA24" s="66"/>
      <c r="CB24" s="66"/>
    </row>
    <row r="25" spans="1:80" x14ac:dyDescent="0.25">
      <c r="A25" s="66"/>
      <c r="B25" s="526"/>
      <c r="C25" s="526"/>
      <c r="D25" s="527"/>
      <c r="E25" s="567"/>
      <c r="F25" s="568"/>
      <c r="G25" s="568"/>
      <c r="H25" s="568"/>
      <c r="I25" s="569"/>
      <c r="J25" s="593"/>
      <c r="K25" s="594"/>
      <c r="L25" s="594"/>
      <c r="M25" s="594"/>
      <c r="N25" s="594"/>
      <c r="O25" s="595"/>
      <c r="P25" s="593"/>
      <c r="Q25" s="594"/>
      <c r="R25" s="594"/>
      <c r="S25" s="594"/>
      <c r="T25" s="594"/>
      <c r="U25" s="595"/>
      <c r="V25" s="593"/>
      <c r="W25" s="594"/>
      <c r="X25" s="594"/>
      <c r="Y25" s="594"/>
      <c r="Z25" s="594"/>
      <c r="AA25" s="595"/>
      <c r="AB25" s="577"/>
      <c r="AC25" s="573"/>
      <c r="AD25" s="573"/>
      <c r="AE25" s="573"/>
      <c r="AF25" s="573"/>
      <c r="AG25" s="574"/>
      <c r="AH25" s="584"/>
      <c r="AI25" s="585"/>
      <c r="AJ25" s="585"/>
      <c r="AK25" s="585"/>
      <c r="AL25" s="585"/>
      <c r="AM25" s="586"/>
      <c r="AN25" s="66"/>
      <c r="AO25" s="549"/>
      <c r="AP25" s="550"/>
      <c r="AQ25" s="550"/>
      <c r="AR25" s="550"/>
      <c r="AS25" s="550"/>
      <c r="AT25" s="551"/>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c r="BY25" s="66"/>
      <c r="BZ25" s="66"/>
      <c r="CA25" s="66"/>
      <c r="CB25" s="66"/>
    </row>
    <row r="26" spans="1:80" x14ac:dyDescent="0.25">
      <c r="A26" s="66"/>
      <c r="B26" s="526"/>
      <c r="C26" s="526"/>
      <c r="D26" s="527"/>
      <c r="E26" s="567"/>
      <c r="F26" s="568"/>
      <c r="G26" s="568"/>
      <c r="H26" s="568"/>
      <c r="I26" s="569"/>
      <c r="J26" s="593" t="str">
        <f>IF(AND('Riesgos de Gestión'!$O$38="Media",'Riesgos de Gestión'!$S$38="Leve"),CONCATENATE("R",'Riesgos de Gestión'!$A$38),"")</f>
        <v/>
      </c>
      <c r="K26" s="594"/>
      <c r="L26" s="594" t="str">
        <f>IF(AND('Riesgos de Gestión'!$O$44="Media",'Riesgos de Gestión'!$S$44="Leve"),CONCATENATE("R",'Riesgos de Gestión'!$A$44),"")</f>
        <v/>
      </c>
      <c r="M26" s="594"/>
      <c r="N26" s="594" t="str">
        <f>IF(AND('Riesgos de Gestión'!$O$50="Media",'Riesgos de Gestión'!$S$50="Leve"),CONCATENATE("R",'Riesgos de Gestión'!$A$50),"")</f>
        <v/>
      </c>
      <c r="O26" s="595"/>
      <c r="P26" s="593" t="str">
        <f>IF(AND('Riesgos de Gestión'!$O$38="Media",'Riesgos de Gestión'!$S$38="Menor"),CONCATENATE("R",'Riesgos de Gestión'!$A$38),"")</f>
        <v/>
      </c>
      <c r="Q26" s="594"/>
      <c r="R26" s="594" t="str">
        <f>IF(AND('Riesgos de Gestión'!$O$44="Media",'Riesgos de Gestión'!$S$44="Menor"),CONCATENATE("R",'Riesgos de Gestión'!$A$44),"")</f>
        <v/>
      </c>
      <c r="S26" s="594"/>
      <c r="T26" s="594" t="str">
        <f>IF(AND('Riesgos de Gestión'!$O$50="Media",'Riesgos de Gestión'!$S$50="Menor"),CONCATENATE("R",'Riesgos de Gestión'!$A$50),"")</f>
        <v/>
      </c>
      <c r="U26" s="595"/>
      <c r="V26" s="593" t="str">
        <f>IF(AND('Riesgos de Gestión'!$O$38="Media",'Riesgos de Gestión'!$S$38="Moderado"),CONCATENATE("R",'Riesgos de Gestión'!$A$38),"")</f>
        <v/>
      </c>
      <c r="W26" s="594"/>
      <c r="X26" s="594" t="str">
        <f>IF(AND('Riesgos de Gestión'!$O$44="Media",'Riesgos de Gestión'!$S$44="Moderado"),CONCATENATE("R",'Riesgos de Gestión'!$A$44),"")</f>
        <v/>
      </c>
      <c r="Y26" s="594"/>
      <c r="Z26" s="594" t="str">
        <f>IF(AND('Riesgos de Gestión'!$O$50="Media",'Riesgos de Gestión'!$S$50="Moderado"),CONCATENATE("R",'Riesgos de Gestión'!$A$50),"")</f>
        <v/>
      </c>
      <c r="AA26" s="595"/>
      <c r="AB26" s="577" t="str">
        <f>IF(AND('Riesgos de Gestión'!$O$38="Media",'Riesgos de Gestión'!$S$38="Mayor"),CONCATENATE("R",'Riesgos de Gestión'!$A$38),"")</f>
        <v/>
      </c>
      <c r="AC26" s="573"/>
      <c r="AD26" s="573" t="str">
        <f>IF(AND('Riesgos de Gestión'!$O$44="Media",'Riesgos de Gestión'!$S$44="Mayor"),CONCATENATE("R",'Riesgos de Gestión'!$A$44),"")</f>
        <v/>
      </c>
      <c r="AE26" s="573"/>
      <c r="AF26" s="573" t="str">
        <f>IF(AND('Riesgos de Gestión'!$O$50="Media",'Riesgos de Gestión'!$S$50="Mayor"),CONCATENATE("R",'Riesgos de Gestión'!$A$50),"")</f>
        <v/>
      </c>
      <c r="AG26" s="574"/>
      <c r="AH26" s="584" t="str">
        <f>IF(AND('Riesgos de Gestión'!$O$38="Media",'Riesgos de Gestión'!$S$38="Catastrófico"),CONCATENATE("R",'Riesgos de Gestión'!$A$38),"")</f>
        <v/>
      </c>
      <c r="AI26" s="585"/>
      <c r="AJ26" s="585" t="str">
        <f>IF(AND('Riesgos de Gestión'!$O$44="Media",'Riesgos de Gestión'!$S$44="Catastrófico"),CONCATENATE("R",'Riesgos de Gestión'!$A$44),"")</f>
        <v/>
      </c>
      <c r="AK26" s="585"/>
      <c r="AL26" s="585" t="str">
        <f>IF(AND('Riesgos de Gestión'!$O$50="Media",'Riesgos de Gestión'!$S$50="Catastrófico"),CONCATENATE("R",'Riesgos de Gestión'!$A$50),"")</f>
        <v/>
      </c>
      <c r="AM26" s="586"/>
      <c r="AN26" s="66"/>
      <c r="AO26" s="549"/>
      <c r="AP26" s="550"/>
      <c r="AQ26" s="550"/>
      <c r="AR26" s="550"/>
      <c r="AS26" s="550"/>
      <c r="AT26" s="551"/>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c r="BY26" s="66"/>
      <c r="BZ26" s="66"/>
      <c r="CA26" s="66"/>
      <c r="CB26" s="66"/>
    </row>
    <row r="27" spans="1:80" x14ac:dyDescent="0.25">
      <c r="A27" s="66"/>
      <c r="B27" s="526"/>
      <c r="C27" s="526"/>
      <c r="D27" s="527"/>
      <c r="E27" s="567"/>
      <c r="F27" s="568"/>
      <c r="G27" s="568"/>
      <c r="H27" s="568"/>
      <c r="I27" s="569"/>
      <c r="J27" s="593"/>
      <c r="K27" s="594"/>
      <c r="L27" s="594"/>
      <c r="M27" s="594"/>
      <c r="N27" s="594"/>
      <c r="O27" s="595"/>
      <c r="P27" s="593"/>
      <c r="Q27" s="594"/>
      <c r="R27" s="594"/>
      <c r="S27" s="594"/>
      <c r="T27" s="594"/>
      <c r="U27" s="595"/>
      <c r="V27" s="593"/>
      <c r="W27" s="594"/>
      <c r="X27" s="594"/>
      <c r="Y27" s="594"/>
      <c r="Z27" s="594"/>
      <c r="AA27" s="595"/>
      <c r="AB27" s="577"/>
      <c r="AC27" s="573"/>
      <c r="AD27" s="573"/>
      <c r="AE27" s="573"/>
      <c r="AF27" s="573"/>
      <c r="AG27" s="574"/>
      <c r="AH27" s="584"/>
      <c r="AI27" s="585"/>
      <c r="AJ27" s="585"/>
      <c r="AK27" s="585"/>
      <c r="AL27" s="585"/>
      <c r="AM27" s="586"/>
      <c r="AN27" s="66"/>
      <c r="AO27" s="549"/>
      <c r="AP27" s="550"/>
      <c r="AQ27" s="550"/>
      <c r="AR27" s="550"/>
      <c r="AS27" s="550"/>
      <c r="AT27" s="551"/>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c r="BY27" s="66"/>
      <c r="BZ27" s="66"/>
      <c r="CA27" s="66"/>
      <c r="CB27" s="66"/>
    </row>
    <row r="28" spans="1:80" x14ac:dyDescent="0.25">
      <c r="A28" s="66"/>
      <c r="B28" s="526"/>
      <c r="C28" s="526"/>
      <c r="D28" s="527"/>
      <c r="E28" s="567"/>
      <c r="F28" s="568"/>
      <c r="G28" s="568"/>
      <c r="H28" s="568"/>
      <c r="I28" s="569"/>
      <c r="J28" s="593" t="str">
        <f>IF(AND('Riesgos de Gestión'!$O$56="Media",'Riesgos de Gestión'!$S$56="Leve"),CONCATENATE("R",'Riesgos de Gestión'!$A$56),"")</f>
        <v/>
      </c>
      <c r="K28" s="594"/>
      <c r="L28" s="594" t="str">
        <f>IF(AND('Riesgos de Gestión'!$P$62="Media",'Riesgos de Gestión'!$T$62="Leve"),CONCATENATE("R",'Riesgos de Gestión'!$A$62),"")</f>
        <v/>
      </c>
      <c r="M28" s="594"/>
      <c r="N28" s="594" t="str">
        <f>IF(AND('Riesgos de Gestión'!$P$68="Media",'Riesgos de Gestión'!$T$68="Leve"),CONCATENATE("R",'Riesgos de Gestión'!$A$68),"")</f>
        <v/>
      </c>
      <c r="O28" s="595"/>
      <c r="P28" s="593" t="str">
        <f>IF(AND('Riesgos de Gestión'!$O$56="Media",'Riesgos de Gestión'!$S$56="Menor"),CONCATENATE("R",'Riesgos de Gestión'!$A$56),"")</f>
        <v/>
      </c>
      <c r="Q28" s="594"/>
      <c r="R28" s="594" t="str">
        <f>IF(AND('Riesgos de Gestión'!$P$62="Media",'Riesgos de Gestión'!$T$62="Menor"),CONCATENATE("R",'Riesgos de Gestión'!$A$62),"")</f>
        <v/>
      </c>
      <c r="S28" s="594"/>
      <c r="T28" s="594" t="str">
        <f>IF(AND('Riesgos de Gestión'!$P$68="Media",'Riesgos de Gestión'!$T$68="Menor"),CONCATENATE("R",'Riesgos de Gestión'!$A$68),"")</f>
        <v/>
      </c>
      <c r="U28" s="595"/>
      <c r="V28" s="593" t="str">
        <f>IF(AND('Riesgos de Gestión'!$O$56="Media",'Riesgos de Gestión'!$S$56="Moderado"),CONCATENATE("R",'Riesgos de Gestión'!$A$56),"")</f>
        <v/>
      </c>
      <c r="W28" s="594"/>
      <c r="X28" s="594" t="str">
        <f>IF(AND('Riesgos de Gestión'!$P$62="Media",'Riesgos de Gestión'!$T$62="Moderado"),CONCATENATE("R",'Riesgos de Gestión'!$A$62),"")</f>
        <v/>
      </c>
      <c r="Y28" s="594"/>
      <c r="Z28" s="594" t="str">
        <f>IF(AND('Riesgos de Gestión'!$P$68="Media",'Riesgos de Gestión'!$T$68="Moderado"),CONCATENATE("R",'Riesgos de Gestión'!$A$68),"")</f>
        <v/>
      </c>
      <c r="AA28" s="595"/>
      <c r="AB28" s="577" t="str">
        <f>IF(AND('Riesgos de Gestión'!$O$56="Media",'Riesgos de Gestión'!$S$56="Mayor"),CONCATENATE("R",'Riesgos de Gestión'!$A$56),"")</f>
        <v/>
      </c>
      <c r="AC28" s="573"/>
      <c r="AD28" s="573" t="str">
        <f>IF(AND('Riesgos de Gestión'!$P$62="Media",'Riesgos de Gestión'!$T$62="Mayor"),CONCATENATE("R",'Riesgos de Gestión'!$A$62),"")</f>
        <v/>
      </c>
      <c r="AE28" s="573"/>
      <c r="AF28" s="573" t="str">
        <f>IF(AND('Riesgos de Gestión'!$P$68="Media",'Riesgos de Gestión'!$T$68="Mayor"),CONCATENATE("R",'Riesgos de Gestión'!$A$68),"")</f>
        <v/>
      </c>
      <c r="AG28" s="574"/>
      <c r="AH28" s="584" t="str">
        <f>IF(AND('Riesgos de Gestión'!$O$56="Media",'Riesgos de Gestión'!$S$56="Catastrófico"),CONCATENATE("R",'Riesgos de Gestión'!$A$56),"")</f>
        <v/>
      </c>
      <c r="AI28" s="585"/>
      <c r="AJ28" s="585" t="str">
        <f>IF(AND('Riesgos de Gestión'!$P$62="Media",'Riesgos de Gestión'!$T$62="Catastrófico"),CONCATENATE("R",'Riesgos de Gestión'!$A$62),"")</f>
        <v/>
      </c>
      <c r="AK28" s="585"/>
      <c r="AL28" s="585" t="str">
        <f>IF(AND('Riesgos de Gestión'!$P$68="Media",'Riesgos de Gestión'!$T$68="Catastrófico"),CONCATENATE("R",'Riesgos de Gestión'!$A$68),"")</f>
        <v/>
      </c>
      <c r="AM28" s="586"/>
      <c r="AN28" s="66"/>
      <c r="AO28" s="549"/>
      <c r="AP28" s="550"/>
      <c r="AQ28" s="550"/>
      <c r="AR28" s="550"/>
      <c r="AS28" s="550"/>
      <c r="AT28" s="551"/>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c r="BY28" s="66"/>
      <c r="BZ28" s="66"/>
      <c r="CA28" s="66"/>
      <c r="CB28" s="66"/>
    </row>
    <row r="29" spans="1:80" ht="15.75" thickBot="1" x14ac:dyDescent="0.3">
      <c r="A29" s="66"/>
      <c r="B29" s="526"/>
      <c r="C29" s="526"/>
      <c r="D29" s="527"/>
      <c r="E29" s="570"/>
      <c r="F29" s="571"/>
      <c r="G29" s="571"/>
      <c r="H29" s="571"/>
      <c r="I29" s="572"/>
      <c r="J29" s="593"/>
      <c r="K29" s="594"/>
      <c r="L29" s="594"/>
      <c r="M29" s="594"/>
      <c r="N29" s="594"/>
      <c r="O29" s="595"/>
      <c r="P29" s="596"/>
      <c r="Q29" s="597"/>
      <c r="R29" s="597"/>
      <c r="S29" s="597"/>
      <c r="T29" s="597"/>
      <c r="U29" s="598"/>
      <c r="V29" s="596"/>
      <c r="W29" s="597"/>
      <c r="X29" s="597"/>
      <c r="Y29" s="597"/>
      <c r="Z29" s="597"/>
      <c r="AA29" s="598"/>
      <c r="AB29" s="581"/>
      <c r="AC29" s="582"/>
      <c r="AD29" s="582"/>
      <c r="AE29" s="582"/>
      <c r="AF29" s="582"/>
      <c r="AG29" s="583"/>
      <c r="AH29" s="587"/>
      <c r="AI29" s="588"/>
      <c r="AJ29" s="588"/>
      <c r="AK29" s="588"/>
      <c r="AL29" s="588"/>
      <c r="AM29" s="589"/>
      <c r="AN29" s="66"/>
      <c r="AO29" s="552"/>
      <c r="AP29" s="553"/>
      <c r="AQ29" s="553"/>
      <c r="AR29" s="553"/>
      <c r="AS29" s="553"/>
      <c r="AT29" s="554"/>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c r="BY29" s="66"/>
      <c r="BZ29" s="66"/>
      <c r="CA29" s="66"/>
      <c r="CB29" s="66"/>
    </row>
    <row r="30" spans="1:80" x14ac:dyDescent="0.25">
      <c r="A30" s="66"/>
      <c r="B30" s="526"/>
      <c r="C30" s="526"/>
      <c r="D30" s="527"/>
      <c r="E30" s="564" t="s">
        <v>491</v>
      </c>
      <c r="F30" s="565"/>
      <c r="G30" s="565"/>
      <c r="H30" s="565"/>
      <c r="I30" s="565"/>
      <c r="J30" s="608" t="str">
        <f>IF(AND('Riesgos de Gestión'!$O$13="Baja",'Riesgos de Gestión'!$S$13="Leve"),CONCATENATE("R",'Riesgos de Gestión'!$A$13),"")</f>
        <v/>
      </c>
      <c r="K30" s="609"/>
      <c r="L30" s="609" t="str">
        <f>IF(AND('Riesgos de Gestión'!$O$15="Baja",'Riesgos de Gestión'!$S$15="Leve"),CONCATENATE("R",'Riesgos de Gestión'!$A$15),"")</f>
        <v/>
      </c>
      <c r="M30" s="609"/>
      <c r="N30" s="609" t="str">
        <f>IF(AND('Riesgos de Gestión'!$O$17="Baja",'Riesgos de Gestión'!$S$17="Leve"),CONCATENATE("R",'Riesgos de Gestión'!$A$17),"")</f>
        <v/>
      </c>
      <c r="O30" s="610"/>
      <c r="P30" s="600" t="str">
        <f>IF(AND('Riesgos de Gestión'!$O$13="Baja",'Riesgos de Gestión'!$S$13="Menor"),CONCATENATE("R",'Riesgos de Gestión'!$A$13),"")</f>
        <v/>
      </c>
      <c r="Q30" s="600"/>
      <c r="R30" s="600" t="str">
        <f>IF(AND('Riesgos de Gestión'!$O$15="Baja",'Riesgos de Gestión'!$S$15="Menor"),CONCATENATE("R",'Riesgos de Gestión'!$A$15),"")</f>
        <v/>
      </c>
      <c r="S30" s="600"/>
      <c r="T30" s="600" t="str">
        <f>IF(AND('Riesgos de Gestión'!$O$17="Baja",'Riesgos de Gestión'!$S$17="Menor"),CONCATENATE("R",'Riesgos de Gestión'!$A$17),"")</f>
        <v/>
      </c>
      <c r="U30" s="601"/>
      <c r="V30" s="599" t="str">
        <f>IF(AND('Riesgos de Gestión'!$O$13="Baja",'Riesgos de Gestión'!$S$13="Moderado"),CONCATENATE("R",'Riesgos de Gestión'!$A$13),"")</f>
        <v/>
      </c>
      <c r="W30" s="600"/>
      <c r="X30" s="600" t="str">
        <f>IF(AND('Riesgos de Gestión'!$O$15="Baja",'Riesgos de Gestión'!$S$15="Moderado"),CONCATENATE("R",'Riesgos de Gestión'!$A$15),"")</f>
        <v/>
      </c>
      <c r="Y30" s="600"/>
      <c r="Z30" s="600" t="str">
        <f>IF(AND('Riesgos de Gestión'!$O$17="Baja",'Riesgos de Gestión'!$S$17="Moderado"),CONCATENATE("R",'Riesgos de Gestión'!$A$17),"")</f>
        <v/>
      </c>
      <c r="AA30" s="601"/>
      <c r="AB30" s="575" t="str">
        <f>IF(AND('Riesgos de Gestión'!$O$13="Baja",'Riesgos de Gestión'!$S$13="Mayor"),CONCATENATE("R",'Riesgos de Gestión'!$A$13),"")</f>
        <v/>
      </c>
      <c r="AC30" s="576"/>
      <c r="AD30" s="576" t="str">
        <f>IF(AND('Riesgos de Gestión'!$O$15="Baja",'Riesgos de Gestión'!$S$15="Mayor"),CONCATENATE("R",'Riesgos de Gestión'!$A$15),"")</f>
        <v/>
      </c>
      <c r="AE30" s="576"/>
      <c r="AF30" s="576" t="str">
        <f>IF(AND('Riesgos de Gestión'!$O$17="Baja",'Riesgos de Gestión'!$S$17="Mayor"),CONCATENATE("R",'Riesgos de Gestión'!$A$17),"")</f>
        <v/>
      </c>
      <c r="AG30" s="578"/>
      <c r="AH30" s="590" t="str">
        <f>IF(AND('Riesgos de Gestión'!$O$13="Baja",'Riesgos de Gestión'!$S$13="Catastrófico"),CONCATENATE("R",'Riesgos de Gestión'!$A$13),"")</f>
        <v/>
      </c>
      <c r="AI30" s="591"/>
      <c r="AJ30" s="591" t="str">
        <f>IF(AND('Riesgos de Gestión'!$O$15="Baja",'Riesgos de Gestión'!$S$15="Catastrófico"),CONCATENATE("R",'Riesgos de Gestión'!$A$15),"")</f>
        <v/>
      </c>
      <c r="AK30" s="591"/>
      <c r="AL30" s="591" t="str">
        <f>IF(AND('Riesgos de Gestión'!$O$17="Baja",'Riesgos de Gestión'!$S$17="Catastrófico"),CONCATENATE("R",'Riesgos de Gestión'!$A$17),"")</f>
        <v/>
      </c>
      <c r="AM30" s="592"/>
      <c r="AN30" s="66"/>
      <c r="AO30" s="555" t="s">
        <v>492</v>
      </c>
      <c r="AP30" s="556"/>
      <c r="AQ30" s="556"/>
      <c r="AR30" s="556"/>
      <c r="AS30" s="556"/>
      <c r="AT30" s="557"/>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c r="BY30" s="66"/>
      <c r="BZ30" s="66"/>
      <c r="CA30" s="66"/>
      <c r="CB30" s="66"/>
    </row>
    <row r="31" spans="1:80" x14ac:dyDescent="0.25">
      <c r="A31" s="66"/>
      <c r="B31" s="526"/>
      <c r="C31" s="526"/>
      <c r="D31" s="527"/>
      <c r="E31" s="567"/>
      <c r="F31" s="568"/>
      <c r="G31" s="568"/>
      <c r="H31" s="568"/>
      <c r="I31" s="568"/>
      <c r="J31" s="604"/>
      <c r="K31" s="602"/>
      <c r="L31" s="602"/>
      <c r="M31" s="602"/>
      <c r="N31" s="602"/>
      <c r="O31" s="603"/>
      <c r="P31" s="594"/>
      <c r="Q31" s="594"/>
      <c r="R31" s="594"/>
      <c r="S31" s="594"/>
      <c r="T31" s="594"/>
      <c r="U31" s="595"/>
      <c r="V31" s="593"/>
      <c r="W31" s="594"/>
      <c r="X31" s="594"/>
      <c r="Y31" s="594"/>
      <c r="Z31" s="594"/>
      <c r="AA31" s="595"/>
      <c r="AB31" s="577"/>
      <c r="AC31" s="573"/>
      <c r="AD31" s="573"/>
      <c r="AE31" s="573"/>
      <c r="AF31" s="573"/>
      <c r="AG31" s="574"/>
      <c r="AH31" s="584"/>
      <c r="AI31" s="585"/>
      <c r="AJ31" s="585"/>
      <c r="AK31" s="585"/>
      <c r="AL31" s="585"/>
      <c r="AM31" s="586"/>
      <c r="AN31" s="66"/>
      <c r="AO31" s="558"/>
      <c r="AP31" s="559"/>
      <c r="AQ31" s="559"/>
      <c r="AR31" s="559"/>
      <c r="AS31" s="559"/>
      <c r="AT31" s="560"/>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c r="BY31" s="66"/>
      <c r="BZ31" s="66"/>
      <c r="CA31" s="66"/>
      <c r="CB31" s="66"/>
    </row>
    <row r="32" spans="1:80" x14ac:dyDescent="0.25">
      <c r="A32" s="66"/>
      <c r="B32" s="526"/>
      <c r="C32" s="526"/>
      <c r="D32" s="527"/>
      <c r="E32" s="567"/>
      <c r="F32" s="568"/>
      <c r="G32" s="568"/>
      <c r="H32" s="568"/>
      <c r="I32" s="568"/>
      <c r="J32" s="604" t="str">
        <f>IF(AND('Riesgos de Gestión'!$O$20="Baja",'Riesgos de Gestión'!$S$20="Leve"),CONCATENATE("R",'Riesgos de Gestión'!$A$20),"")</f>
        <v/>
      </c>
      <c r="K32" s="602"/>
      <c r="L32" s="602" t="str">
        <f>IF(AND('Riesgos de Gestión'!$O$26="Baja",'Riesgos de Gestión'!$S$26="Leve"),CONCATENATE("R",'Riesgos de Gestión'!$A$26),"")</f>
        <v/>
      </c>
      <c r="M32" s="602"/>
      <c r="N32" s="602" t="str">
        <f>IF(AND('Riesgos de Gestión'!$O$32="Baja",'Riesgos de Gestión'!$S$32="Leve"),CONCATENATE("R",'Riesgos de Gestión'!$A$32),"")</f>
        <v/>
      </c>
      <c r="O32" s="603"/>
      <c r="P32" s="594" t="str">
        <f>IF(AND('Riesgos de Gestión'!$O$20="Baja",'Riesgos de Gestión'!$S$20="Menor"),CONCATENATE("R",'Riesgos de Gestión'!$A$20),"")</f>
        <v/>
      </c>
      <c r="Q32" s="594"/>
      <c r="R32" s="594" t="str">
        <f>IF(AND('Riesgos de Gestión'!$O$26="Baja",'Riesgos de Gestión'!$S$26="Menor"),CONCATENATE("R",'Riesgos de Gestión'!$A$26),"")</f>
        <v/>
      </c>
      <c r="S32" s="594"/>
      <c r="T32" s="594" t="str">
        <f>IF(AND('Riesgos de Gestión'!$O$32="Baja",'Riesgos de Gestión'!$S$32="Menor"),CONCATENATE("R",'Riesgos de Gestión'!$A$32),"")</f>
        <v/>
      </c>
      <c r="U32" s="595"/>
      <c r="V32" s="593" t="str">
        <f>IF(AND('Riesgos de Gestión'!$O$20="Baja",'Riesgos de Gestión'!$S$20="Moderado"),CONCATENATE("R",'Riesgos de Gestión'!$A$20),"")</f>
        <v/>
      </c>
      <c r="W32" s="594"/>
      <c r="X32" s="594" t="str">
        <f>IF(AND('Riesgos de Gestión'!$O$26="Baja",'Riesgos de Gestión'!$S$26="Moderado"),CONCATENATE("R",'Riesgos de Gestión'!$A$26),"")</f>
        <v/>
      </c>
      <c r="Y32" s="594"/>
      <c r="Z32" s="594" t="str">
        <f>IF(AND('Riesgos de Gestión'!$O$32="Baja",'Riesgos de Gestión'!$S$32="Moderado"),CONCATENATE("R",'Riesgos de Gestión'!$A$32),"")</f>
        <v/>
      </c>
      <c r="AA32" s="595"/>
      <c r="AB32" s="577" t="str">
        <f>IF(AND('Riesgos de Gestión'!$O$20="Baja",'Riesgos de Gestión'!$S$20="Mayor"),CONCATENATE("R",'Riesgos de Gestión'!$A$20),"")</f>
        <v/>
      </c>
      <c r="AC32" s="573"/>
      <c r="AD32" s="573" t="str">
        <f>IF(AND('Riesgos de Gestión'!$O$26="Baja",'Riesgos de Gestión'!$S$26="Mayor"),CONCATENATE("R",'Riesgos de Gestión'!$A$26),"")</f>
        <v/>
      </c>
      <c r="AE32" s="573"/>
      <c r="AF32" s="573" t="str">
        <f>IF(AND('Riesgos de Gestión'!$O$32="Baja",'Riesgos de Gestión'!$S$32="Mayor"),CONCATENATE("R",'Riesgos de Gestión'!$A$32),"")</f>
        <v/>
      </c>
      <c r="AG32" s="574"/>
      <c r="AH32" s="584" t="str">
        <f>IF(AND('Riesgos de Gestión'!$O$20="Baja",'Riesgos de Gestión'!$S$20="Catastrófico"),CONCATENATE("R",'Riesgos de Gestión'!$A$20),"")</f>
        <v/>
      </c>
      <c r="AI32" s="585"/>
      <c r="AJ32" s="585" t="str">
        <f>IF(AND('Riesgos de Gestión'!$O$26="Baja",'Riesgos de Gestión'!$S$26="Catastrófico"),CONCATENATE("R",'Riesgos de Gestión'!$A$26),"")</f>
        <v/>
      </c>
      <c r="AK32" s="585"/>
      <c r="AL32" s="585" t="str">
        <f>IF(AND('Riesgos de Gestión'!$O$32="Baja",'Riesgos de Gestión'!$S$32="Catastrófico"),CONCATENATE("R",'Riesgos de Gestión'!$A$32),"")</f>
        <v/>
      </c>
      <c r="AM32" s="586"/>
      <c r="AN32" s="66"/>
      <c r="AO32" s="558"/>
      <c r="AP32" s="559"/>
      <c r="AQ32" s="559"/>
      <c r="AR32" s="559"/>
      <c r="AS32" s="559"/>
      <c r="AT32" s="560"/>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c r="BY32" s="66"/>
      <c r="BZ32" s="66"/>
      <c r="CA32" s="66"/>
      <c r="CB32" s="66"/>
    </row>
    <row r="33" spans="1:80" x14ac:dyDescent="0.25">
      <c r="A33" s="66"/>
      <c r="B33" s="526"/>
      <c r="C33" s="526"/>
      <c r="D33" s="527"/>
      <c r="E33" s="567"/>
      <c r="F33" s="568"/>
      <c r="G33" s="568"/>
      <c r="H33" s="568"/>
      <c r="I33" s="568"/>
      <c r="J33" s="604"/>
      <c r="K33" s="602"/>
      <c r="L33" s="602"/>
      <c r="M33" s="602"/>
      <c r="N33" s="602"/>
      <c r="O33" s="603"/>
      <c r="P33" s="594"/>
      <c r="Q33" s="594"/>
      <c r="R33" s="594"/>
      <c r="S33" s="594"/>
      <c r="T33" s="594"/>
      <c r="U33" s="595"/>
      <c r="V33" s="593"/>
      <c r="W33" s="594"/>
      <c r="X33" s="594"/>
      <c r="Y33" s="594"/>
      <c r="Z33" s="594"/>
      <c r="AA33" s="595"/>
      <c r="AB33" s="577"/>
      <c r="AC33" s="573"/>
      <c r="AD33" s="573"/>
      <c r="AE33" s="573"/>
      <c r="AF33" s="573"/>
      <c r="AG33" s="574"/>
      <c r="AH33" s="584"/>
      <c r="AI33" s="585"/>
      <c r="AJ33" s="585"/>
      <c r="AK33" s="585"/>
      <c r="AL33" s="585"/>
      <c r="AM33" s="586"/>
      <c r="AN33" s="66"/>
      <c r="AO33" s="558"/>
      <c r="AP33" s="559"/>
      <c r="AQ33" s="559"/>
      <c r="AR33" s="559"/>
      <c r="AS33" s="559"/>
      <c r="AT33" s="560"/>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c r="BY33" s="66"/>
      <c r="BZ33" s="66"/>
      <c r="CA33" s="66"/>
      <c r="CB33" s="66"/>
    </row>
    <row r="34" spans="1:80" x14ac:dyDescent="0.25">
      <c r="A34" s="66"/>
      <c r="B34" s="526"/>
      <c r="C34" s="526"/>
      <c r="D34" s="527"/>
      <c r="E34" s="567"/>
      <c r="F34" s="568"/>
      <c r="G34" s="568"/>
      <c r="H34" s="568"/>
      <c r="I34" s="568"/>
      <c r="J34" s="604" t="str">
        <f>IF(AND('Riesgos de Gestión'!$O$38="Baja",'Riesgos de Gestión'!$S$38="Leve"),CONCATENATE("R",'Riesgos de Gestión'!$A$38),"")</f>
        <v/>
      </c>
      <c r="K34" s="602"/>
      <c r="L34" s="602" t="str">
        <f>IF(AND('Riesgos de Gestión'!$O$44="Baja",'Riesgos de Gestión'!$S$44="Leve"),CONCATENATE("R",'Riesgos de Gestión'!$A$44),"")</f>
        <v/>
      </c>
      <c r="M34" s="602"/>
      <c r="N34" s="602" t="str">
        <f>IF(AND('Riesgos de Gestión'!$O$50="Baja",'Riesgos de Gestión'!$S$50="Leve"),CONCATENATE("R",'Riesgos de Gestión'!$A$50),"")</f>
        <v/>
      </c>
      <c r="O34" s="603"/>
      <c r="P34" s="594" t="str">
        <f>IF(AND('Riesgos de Gestión'!$O$38="Baja",'Riesgos de Gestión'!$S$38="Menor"),CONCATENATE("R",'Riesgos de Gestión'!$A$38),"")</f>
        <v/>
      </c>
      <c r="Q34" s="594"/>
      <c r="R34" s="594" t="str">
        <f>IF(AND('Riesgos de Gestión'!$O$44="Baja",'Riesgos de Gestión'!$S$44="Menor"),CONCATENATE("R",'Riesgos de Gestión'!$A$44),"")</f>
        <v/>
      </c>
      <c r="S34" s="594"/>
      <c r="T34" s="594" t="str">
        <f>IF(AND('Riesgos de Gestión'!$O$50="Baja",'Riesgos de Gestión'!$S$50="Menor"),CONCATENATE("R",'Riesgos de Gestión'!$A$50),"")</f>
        <v/>
      </c>
      <c r="U34" s="595"/>
      <c r="V34" s="593" t="str">
        <f>IF(AND('Riesgos de Gestión'!$O$38="Baja",'Riesgos de Gestión'!$S$38="Moderado"),CONCATENATE("R",'Riesgos de Gestión'!$A$38),"")</f>
        <v/>
      </c>
      <c r="W34" s="594"/>
      <c r="X34" s="594" t="str">
        <f>IF(AND('Riesgos de Gestión'!$O$44="Baja",'Riesgos de Gestión'!$S$44="Moderado"),CONCATENATE("R",'Riesgos de Gestión'!$A$44),"")</f>
        <v/>
      </c>
      <c r="Y34" s="594"/>
      <c r="Z34" s="594" t="str">
        <f>IF(AND('Riesgos de Gestión'!$O$50="Baja",'Riesgos de Gestión'!$S$50="Moderado"),CONCATENATE("R",'Riesgos de Gestión'!$A$50),"")</f>
        <v/>
      </c>
      <c r="AA34" s="595"/>
      <c r="AB34" s="577" t="str">
        <f>IF(AND('Riesgos de Gestión'!$O$38="Baja",'Riesgos de Gestión'!$S$38="Mayor"),CONCATENATE("R",'Riesgos de Gestión'!$A$38),"")</f>
        <v/>
      </c>
      <c r="AC34" s="573"/>
      <c r="AD34" s="573" t="str">
        <f>IF(AND('Riesgos de Gestión'!$O$44="Baja",'Riesgos de Gestión'!$S$44="Mayor"),CONCATENATE("R",'Riesgos de Gestión'!$A$44),"")</f>
        <v/>
      </c>
      <c r="AE34" s="573"/>
      <c r="AF34" s="573" t="str">
        <f>IF(AND('Riesgos de Gestión'!$O$50="Baja",'Riesgos de Gestión'!$S$50="Mayor"),CONCATENATE("R",'Riesgos de Gestión'!$A$50),"")</f>
        <v/>
      </c>
      <c r="AG34" s="574"/>
      <c r="AH34" s="584" t="str">
        <f>IF(AND('Riesgos de Gestión'!$O$38="Baja",'Riesgos de Gestión'!$S$38="Catastrófico"),CONCATENATE("R",'Riesgos de Gestión'!$A$38),"")</f>
        <v/>
      </c>
      <c r="AI34" s="585"/>
      <c r="AJ34" s="585" t="str">
        <f>IF(AND('Riesgos de Gestión'!$O$44="Baja",'Riesgos de Gestión'!$S$44="Catastrófico"),CONCATENATE("R",'Riesgos de Gestión'!$A$44),"")</f>
        <v/>
      </c>
      <c r="AK34" s="585"/>
      <c r="AL34" s="585" t="str">
        <f>IF(AND('Riesgos de Gestión'!$O$50="Baja",'Riesgos de Gestión'!$S$50="Catastrófico"),CONCATENATE("R",'Riesgos de Gestión'!$A$50),"")</f>
        <v/>
      </c>
      <c r="AM34" s="586"/>
      <c r="AN34" s="66"/>
      <c r="AO34" s="558"/>
      <c r="AP34" s="559"/>
      <c r="AQ34" s="559"/>
      <c r="AR34" s="559"/>
      <c r="AS34" s="559"/>
      <c r="AT34" s="560"/>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c r="BY34" s="66"/>
      <c r="BZ34" s="66"/>
      <c r="CA34" s="66"/>
      <c r="CB34" s="66"/>
    </row>
    <row r="35" spans="1:80" x14ac:dyDescent="0.25">
      <c r="A35" s="66"/>
      <c r="B35" s="526"/>
      <c r="C35" s="526"/>
      <c r="D35" s="527"/>
      <c r="E35" s="567"/>
      <c r="F35" s="568"/>
      <c r="G35" s="568"/>
      <c r="H35" s="568"/>
      <c r="I35" s="568"/>
      <c r="J35" s="604"/>
      <c r="K35" s="602"/>
      <c r="L35" s="602"/>
      <c r="M35" s="602"/>
      <c r="N35" s="602"/>
      <c r="O35" s="603"/>
      <c r="P35" s="594"/>
      <c r="Q35" s="594"/>
      <c r="R35" s="594"/>
      <c r="S35" s="594"/>
      <c r="T35" s="594"/>
      <c r="U35" s="595"/>
      <c r="V35" s="593"/>
      <c r="W35" s="594"/>
      <c r="X35" s="594"/>
      <c r="Y35" s="594"/>
      <c r="Z35" s="594"/>
      <c r="AA35" s="595"/>
      <c r="AB35" s="577"/>
      <c r="AC35" s="573"/>
      <c r="AD35" s="573"/>
      <c r="AE35" s="573"/>
      <c r="AF35" s="573"/>
      <c r="AG35" s="574"/>
      <c r="AH35" s="584"/>
      <c r="AI35" s="585"/>
      <c r="AJ35" s="585"/>
      <c r="AK35" s="585"/>
      <c r="AL35" s="585"/>
      <c r="AM35" s="586"/>
      <c r="AN35" s="66"/>
      <c r="AO35" s="558"/>
      <c r="AP35" s="559"/>
      <c r="AQ35" s="559"/>
      <c r="AR35" s="559"/>
      <c r="AS35" s="559"/>
      <c r="AT35" s="560"/>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c r="BY35" s="66"/>
      <c r="BZ35" s="66"/>
      <c r="CA35" s="66"/>
      <c r="CB35" s="66"/>
    </row>
    <row r="36" spans="1:80" x14ac:dyDescent="0.25">
      <c r="A36" s="66"/>
      <c r="B36" s="526"/>
      <c r="C36" s="526"/>
      <c r="D36" s="527"/>
      <c r="E36" s="567"/>
      <c r="F36" s="568"/>
      <c r="G36" s="568"/>
      <c r="H36" s="568"/>
      <c r="I36" s="568"/>
      <c r="J36" s="604" t="str">
        <f>IF(AND('Riesgos de Gestión'!$O$56="Baja",'Riesgos de Gestión'!$S$56="Leve"),CONCATENATE("R",'Riesgos de Gestión'!$A$56),"")</f>
        <v/>
      </c>
      <c r="K36" s="602"/>
      <c r="L36" s="602" t="str">
        <f>IF(AND('Riesgos de Gestión'!$P$62="Baja",'Riesgos de Gestión'!$T$62="Leve"),CONCATENATE("R",'Riesgos de Gestión'!$A$62),"")</f>
        <v/>
      </c>
      <c r="M36" s="602"/>
      <c r="N36" s="602" t="str">
        <f>IF(AND('Riesgos de Gestión'!$P$68="Baja",'Riesgos de Gestión'!$T$68="Leve"),CONCATENATE("R",'Riesgos de Gestión'!$A$68),"")</f>
        <v/>
      </c>
      <c r="O36" s="603"/>
      <c r="P36" s="594" t="str">
        <f>IF(AND('Riesgos de Gestión'!$O$56="Baja",'Riesgos de Gestión'!$S$56="Menor"),CONCATENATE("R",'Riesgos de Gestión'!$A$56),"")</f>
        <v/>
      </c>
      <c r="Q36" s="594"/>
      <c r="R36" s="594" t="str">
        <f>IF(AND('Riesgos de Gestión'!$P$62="Baja",'Riesgos de Gestión'!$T$62="Menor"),CONCATENATE("R",'Riesgos de Gestión'!$A$62),"")</f>
        <v/>
      </c>
      <c r="S36" s="594"/>
      <c r="T36" s="594" t="str">
        <f>IF(AND('Riesgos de Gestión'!$P$68="Baja",'Riesgos de Gestión'!$T$68="Menor"),CONCATENATE("R",'Riesgos de Gestión'!$A$68),"")</f>
        <v/>
      </c>
      <c r="U36" s="595"/>
      <c r="V36" s="593" t="str">
        <f>IF(AND('Riesgos de Gestión'!$O$56="Baja",'Riesgos de Gestión'!$S$56="Moderado"),CONCATENATE("R",'Riesgos de Gestión'!$A$56),"")</f>
        <v/>
      </c>
      <c r="W36" s="594"/>
      <c r="X36" s="594" t="str">
        <f>IF(AND('Riesgos de Gestión'!$P$62="Baja",'Riesgos de Gestión'!$T$62="Moderado"),CONCATENATE("R",'Riesgos de Gestión'!$A$62),"")</f>
        <v/>
      </c>
      <c r="Y36" s="594"/>
      <c r="Z36" s="594" t="str">
        <f>IF(AND('Riesgos de Gestión'!$P$68="Baja",'Riesgos de Gestión'!$T$68="Moderado"),CONCATENATE("R",'Riesgos de Gestión'!$A$68),"")</f>
        <v/>
      </c>
      <c r="AA36" s="595"/>
      <c r="AB36" s="577" t="str">
        <f>IF(AND('Riesgos de Gestión'!$O$56="Baja",'Riesgos de Gestión'!$S$56="Mayor"),CONCATENATE("R",'Riesgos de Gestión'!$A$56),"")</f>
        <v/>
      </c>
      <c r="AC36" s="573"/>
      <c r="AD36" s="573" t="str">
        <f>IF(AND('Riesgos de Gestión'!$P$62="Baja",'Riesgos de Gestión'!$T$62="Mayor"),CONCATENATE("R",'Riesgos de Gestión'!$A$62),"")</f>
        <v/>
      </c>
      <c r="AE36" s="573"/>
      <c r="AF36" s="573" t="str">
        <f>IF(AND('Riesgos de Gestión'!$P$68="Baja",'Riesgos de Gestión'!$T$68="Mayor"),CONCATENATE("R",'Riesgos de Gestión'!$A$68),"")</f>
        <v/>
      </c>
      <c r="AG36" s="574"/>
      <c r="AH36" s="584" t="str">
        <f>IF(AND('Riesgos de Gestión'!$O$56="Baja",'Riesgos de Gestión'!$S$56="Catastrófico"),CONCATENATE("R",'Riesgos de Gestión'!$A$56),"")</f>
        <v/>
      </c>
      <c r="AI36" s="585"/>
      <c r="AJ36" s="585" t="str">
        <f>IF(AND('Riesgos de Gestión'!$P$62="Baja",'Riesgos de Gestión'!$T$62="Catastrófico"),CONCATENATE("R",'Riesgos de Gestión'!$A$62),"")</f>
        <v/>
      </c>
      <c r="AK36" s="585"/>
      <c r="AL36" s="585" t="str">
        <f>IF(AND('Riesgos de Gestión'!$P$68="Baja",'Riesgos de Gestión'!$T$68="Catastrófico"),CONCATENATE("R",'Riesgos de Gestión'!$A$68),"")</f>
        <v/>
      </c>
      <c r="AM36" s="586"/>
      <c r="AN36" s="66"/>
      <c r="AO36" s="558"/>
      <c r="AP36" s="559"/>
      <c r="AQ36" s="559"/>
      <c r="AR36" s="559"/>
      <c r="AS36" s="559"/>
      <c r="AT36" s="560"/>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c r="BY36" s="66"/>
      <c r="BZ36" s="66"/>
      <c r="CA36" s="66"/>
      <c r="CB36" s="66"/>
    </row>
    <row r="37" spans="1:80" ht="15.75" thickBot="1" x14ac:dyDescent="0.3">
      <c r="A37" s="66"/>
      <c r="B37" s="526"/>
      <c r="C37" s="526"/>
      <c r="D37" s="527"/>
      <c r="E37" s="570"/>
      <c r="F37" s="571"/>
      <c r="G37" s="571"/>
      <c r="H37" s="571"/>
      <c r="I37" s="571"/>
      <c r="J37" s="605"/>
      <c r="K37" s="606"/>
      <c r="L37" s="606"/>
      <c r="M37" s="606"/>
      <c r="N37" s="606"/>
      <c r="O37" s="607"/>
      <c r="P37" s="597"/>
      <c r="Q37" s="597"/>
      <c r="R37" s="597"/>
      <c r="S37" s="597"/>
      <c r="T37" s="597"/>
      <c r="U37" s="598"/>
      <c r="V37" s="596"/>
      <c r="W37" s="597"/>
      <c r="X37" s="597"/>
      <c r="Y37" s="597"/>
      <c r="Z37" s="597"/>
      <c r="AA37" s="598"/>
      <c r="AB37" s="581"/>
      <c r="AC37" s="582"/>
      <c r="AD37" s="582"/>
      <c r="AE37" s="582"/>
      <c r="AF37" s="582"/>
      <c r="AG37" s="583"/>
      <c r="AH37" s="587"/>
      <c r="AI37" s="588"/>
      <c r="AJ37" s="588"/>
      <c r="AK37" s="588"/>
      <c r="AL37" s="588"/>
      <c r="AM37" s="589"/>
      <c r="AN37" s="66"/>
      <c r="AO37" s="561"/>
      <c r="AP37" s="562"/>
      <c r="AQ37" s="562"/>
      <c r="AR37" s="562"/>
      <c r="AS37" s="562"/>
      <c r="AT37" s="563"/>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c r="BY37" s="66"/>
      <c r="BZ37" s="66"/>
      <c r="CA37" s="66"/>
      <c r="CB37" s="66"/>
    </row>
    <row r="38" spans="1:80" x14ac:dyDescent="0.25">
      <c r="A38" s="66"/>
      <c r="B38" s="526"/>
      <c r="C38" s="526"/>
      <c r="D38" s="527"/>
      <c r="E38" s="564" t="s">
        <v>493</v>
      </c>
      <c r="F38" s="565"/>
      <c r="G38" s="565"/>
      <c r="H38" s="565"/>
      <c r="I38" s="566"/>
      <c r="J38" s="608" t="str">
        <f>IF(AND('Riesgos de Gestión'!$O$13="Muy Baja",'Riesgos de Gestión'!$S$13="Leve"),CONCATENATE("R",'Riesgos de Gestión'!$A$13),"")</f>
        <v/>
      </c>
      <c r="K38" s="609"/>
      <c r="L38" s="609" t="str">
        <f>IF(AND('Riesgos de Gestión'!$O$15="Muy Baja",'Riesgos de Gestión'!$S$15="Leve"),CONCATENATE("R",'Riesgos de Gestión'!$A$15),"")</f>
        <v/>
      </c>
      <c r="M38" s="609"/>
      <c r="N38" s="609" t="str">
        <f>IF(AND('Riesgos de Gestión'!$O$17="Muy Baja",'Riesgos de Gestión'!$S$17="Leve"),CONCATENATE("R",'Riesgos de Gestión'!$A$17),"")</f>
        <v/>
      </c>
      <c r="O38" s="610"/>
      <c r="P38" s="608" t="str">
        <f>IF(AND('Riesgos de Gestión'!$O$13="Muy Baja",'Riesgos de Gestión'!$S$13="Menor"),CONCATENATE("R",'Riesgos de Gestión'!$A$13),"")</f>
        <v/>
      </c>
      <c r="Q38" s="609"/>
      <c r="R38" s="609" t="str">
        <f>IF(AND('Riesgos de Gestión'!$O$15="Muy Baja",'Riesgos de Gestión'!$S$15="Menor"),CONCATENATE("R",'Riesgos de Gestión'!$A$15),"")</f>
        <v/>
      </c>
      <c r="S38" s="609"/>
      <c r="T38" s="609" t="str">
        <f>IF(AND('Riesgos de Gestión'!$O$17="Muy Baja",'Riesgos de Gestión'!$S$17="Menor"),CONCATENATE("R",'Riesgos de Gestión'!$A$17),"")</f>
        <v/>
      </c>
      <c r="U38" s="610"/>
      <c r="V38" s="599" t="str">
        <f>IF(AND('Riesgos de Gestión'!$O$13="Muy Baja",'Riesgos de Gestión'!$S$13="Moderado"),CONCATENATE("R",'Riesgos de Gestión'!$A$13),"")</f>
        <v/>
      </c>
      <c r="W38" s="600"/>
      <c r="X38" s="600" t="str">
        <f>IF(AND('Riesgos de Gestión'!$O$15="Muy Baja",'Riesgos de Gestión'!$S$15="Moderado"),CONCATENATE("R",'Riesgos de Gestión'!$A$15),"")</f>
        <v/>
      </c>
      <c r="Y38" s="600"/>
      <c r="Z38" s="600" t="str">
        <f>IF(AND('Riesgos de Gestión'!$O$17="Muy Baja",'Riesgos de Gestión'!$S$17="Moderado"),CONCATENATE("R",'Riesgos de Gestión'!$A$17),"")</f>
        <v/>
      </c>
      <c r="AA38" s="601"/>
      <c r="AB38" s="575" t="str">
        <f>IF(AND('Riesgos de Gestión'!$O$13="Muy Baja",'Riesgos de Gestión'!$S$13="Mayor"),CONCATENATE("R",'Riesgos de Gestión'!$A$13),"")</f>
        <v/>
      </c>
      <c r="AC38" s="576"/>
      <c r="AD38" s="576" t="str">
        <f>IF(AND('Riesgos de Gestión'!$O$15="Muy Baja",'Riesgos de Gestión'!$S$15="Mayor"),CONCATENATE("R",'Riesgos de Gestión'!$A$15),"")</f>
        <v/>
      </c>
      <c r="AE38" s="576"/>
      <c r="AF38" s="576" t="str">
        <f>IF(AND('Riesgos de Gestión'!$O$17="Muy Baja",'Riesgos de Gestión'!$S$17="Mayor"),CONCATENATE("R",'Riesgos de Gestión'!$A$17),"")</f>
        <v/>
      </c>
      <c r="AG38" s="578"/>
      <c r="AH38" s="590" t="str">
        <f>IF(AND('Riesgos de Gestión'!$O$13="Muy Baja",'Riesgos de Gestión'!$S$13="Catastrófico"),CONCATENATE("R",'Riesgos de Gestión'!$A$13),"")</f>
        <v/>
      </c>
      <c r="AI38" s="591"/>
      <c r="AJ38" s="591" t="str">
        <f>IF(AND('Riesgos de Gestión'!$O$15="Muy Baja",'Riesgos de Gestión'!$S$15="Catastrófico"),CONCATENATE("R",'Riesgos de Gestión'!$A$15),"")</f>
        <v/>
      </c>
      <c r="AK38" s="591"/>
      <c r="AL38" s="591" t="str">
        <f>IF(AND('Riesgos de Gestión'!$O$17="Muy Baja",'Riesgos de Gestión'!$S$17="Catastrófico"),CONCATENATE("R",'Riesgos de Gestión'!$A$17),"")</f>
        <v/>
      </c>
      <c r="AM38" s="592"/>
      <c r="AN38" s="66"/>
      <c r="AO38" s="66"/>
      <c r="AP38" s="66"/>
      <c r="AQ38" s="66"/>
      <c r="AR38" s="66"/>
      <c r="AS38" s="66"/>
      <c r="AT38" s="66"/>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c r="BY38" s="66"/>
      <c r="BZ38" s="66"/>
      <c r="CA38" s="66"/>
      <c r="CB38" s="66"/>
    </row>
    <row r="39" spans="1:80" x14ac:dyDescent="0.25">
      <c r="A39" s="66"/>
      <c r="B39" s="526"/>
      <c r="C39" s="526"/>
      <c r="D39" s="527"/>
      <c r="E39" s="567"/>
      <c r="F39" s="568"/>
      <c r="G39" s="568"/>
      <c r="H39" s="568"/>
      <c r="I39" s="569"/>
      <c r="J39" s="604"/>
      <c r="K39" s="602"/>
      <c r="L39" s="602"/>
      <c r="M39" s="602"/>
      <c r="N39" s="602"/>
      <c r="O39" s="603"/>
      <c r="P39" s="604"/>
      <c r="Q39" s="602"/>
      <c r="R39" s="602"/>
      <c r="S39" s="602"/>
      <c r="T39" s="602"/>
      <c r="U39" s="603"/>
      <c r="V39" s="593"/>
      <c r="W39" s="594"/>
      <c r="X39" s="594"/>
      <c r="Y39" s="594"/>
      <c r="Z39" s="594"/>
      <c r="AA39" s="595"/>
      <c r="AB39" s="577"/>
      <c r="AC39" s="573"/>
      <c r="AD39" s="573"/>
      <c r="AE39" s="573"/>
      <c r="AF39" s="573"/>
      <c r="AG39" s="574"/>
      <c r="AH39" s="584"/>
      <c r="AI39" s="585"/>
      <c r="AJ39" s="585"/>
      <c r="AK39" s="585"/>
      <c r="AL39" s="585"/>
      <c r="AM39" s="586"/>
      <c r="AN39" s="66"/>
      <c r="AO39" s="66"/>
      <c r="AP39" s="66"/>
      <c r="AQ39" s="66"/>
      <c r="AR39" s="66"/>
      <c r="AS39" s="66"/>
      <c r="AT39" s="66"/>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c r="BY39" s="66"/>
      <c r="BZ39" s="66"/>
      <c r="CA39" s="66"/>
      <c r="CB39" s="66"/>
    </row>
    <row r="40" spans="1:80" x14ac:dyDescent="0.25">
      <c r="A40" s="66"/>
      <c r="B40" s="526"/>
      <c r="C40" s="526"/>
      <c r="D40" s="527"/>
      <c r="E40" s="567"/>
      <c r="F40" s="568"/>
      <c r="G40" s="568"/>
      <c r="H40" s="568"/>
      <c r="I40" s="569"/>
      <c r="J40" s="604" t="str">
        <f>IF(AND('Riesgos de Gestión'!$O$20="Muy Baja",'Riesgos de Gestión'!$S$20="Leve"),CONCATENATE("R",'Riesgos de Gestión'!$A$20),"")</f>
        <v/>
      </c>
      <c r="K40" s="602"/>
      <c r="L40" s="602" t="str">
        <f>IF(AND('Riesgos de Gestión'!$O$26="Muy Baja",'Riesgos de Gestión'!$S$26="Leve"),CONCATENATE("R",'Riesgos de Gestión'!$A$26),"")</f>
        <v/>
      </c>
      <c r="M40" s="602"/>
      <c r="N40" s="602" t="str">
        <f>IF(AND('Riesgos de Gestión'!$O$32="Muy Baja",'Riesgos de Gestión'!$S$32="Leve"),CONCATENATE("R",'Riesgos de Gestión'!$A$32),"")</f>
        <v/>
      </c>
      <c r="O40" s="603"/>
      <c r="P40" s="604" t="str">
        <f>IF(AND('Riesgos de Gestión'!$O$20="Muy Baja",'Riesgos de Gestión'!$S$20="Menor"),CONCATENATE("R",'Riesgos de Gestión'!$A$20),"")</f>
        <v/>
      </c>
      <c r="Q40" s="602"/>
      <c r="R40" s="602" t="str">
        <f>IF(AND('Riesgos de Gestión'!$O$26="Muy Baja",'Riesgos de Gestión'!$S$26="Menor"),CONCATENATE("R",'Riesgos de Gestión'!$A$26),"")</f>
        <v/>
      </c>
      <c r="S40" s="602"/>
      <c r="T40" s="602" t="str">
        <f>IF(AND('Riesgos de Gestión'!$O$32="Muy Baja",'Riesgos de Gestión'!$S$32="Menor"),CONCATENATE("R",'Riesgos de Gestión'!$A$32),"")</f>
        <v/>
      </c>
      <c r="U40" s="603"/>
      <c r="V40" s="593" t="str">
        <f>IF(AND('Riesgos de Gestión'!$O$20="Muy Baja",'Riesgos de Gestión'!$S$20="Moderado"),CONCATENATE("R",'Riesgos de Gestión'!$A$20),"")</f>
        <v/>
      </c>
      <c r="W40" s="594"/>
      <c r="X40" s="594" t="str">
        <f>IF(AND('Riesgos de Gestión'!$O$26="Muy Baja",'Riesgos de Gestión'!$S$26="Moderado"),CONCATENATE("R",'Riesgos de Gestión'!$A$26),"")</f>
        <v/>
      </c>
      <c r="Y40" s="594"/>
      <c r="Z40" s="594" t="str">
        <f>IF(AND('Riesgos de Gestión'!$O$32="Muy Baja",'Riesgos de Gestión'!$S$32="Moderado"),CONCATENATE("R",'Riesgos de Gestión'!$A$32),"")</f>
        <v/>
      </c>
      <c r="AA40" s="595"/>
      <c r="AB40" s="577" t="str">
        <f>IF(AND('Riesgos de Gestión'!$O$20="Muy Baja",'Riesgos de Gestión'!$S$20="Mayor"),CONCATENATE("R",'Riesgos de Gestión'!$A$20),"")</f>
        <v/>
      </c>
      <c r="AC40" s="573"/>
      <c r="AD40" s="573" t="str">
        <f>IF(AND('Riesgos de Gestión'!$O$26="Muy Baja",'Riesgos de Gestión'!$S$26="Mayor"),CONCATENATE("R",'Riesgos de Gestión'!$A$26),"")</f>
        <v/>
      </c>
      <c r="AE40" s="573"/>
      <c r="AF40" s="573" t="str">
        <f>IF(AND('Riesgos de Gestión'!$O$32="Muy Baja",'Riesgos de Gestión'!$S$32="Mayor"),CONCATENATE("R",'Riesgos de Gestión'!$A$32),"")</f>
        <v/>
      </c>
      <c r="AG40" s="574"/>
      <c r="AH40" s="584" t="str">
        <f>IF(AND('Riesgos de Gestión'!$O$20="Muy Baja",'Riesgos de Gestión'!$S$20="Catastrófico"),CONCATENATE("R",'Riesgos de Gestión'!$A$20),"")</f>
        <v/>
      </c>
      <c r="AI40" s="585"/>
      <c r="AJ40" s="585" t="str">
        <f>IF(AND('Riesgos de Gestión'!$O$26="Muy Baja",'Riesgos de Gestión'!$S$26="Catastrófico"),CONCATENATE("R",'Riesgos de Gestión'!$A$26),"")</f>
        <v/>
      </c>
      <c r="AK40" s="585"/>
      <c r="AL40" s="585" t="str">
        <f>IF(AND('Riesgos de Gestión'!$O$32="Muy Baja",'Riesgos de Gestión'!$S$32="Catastrófico"),CONCATENATE("R",'Riesgos de Gestión'!$A$32),"")</f>
        <v/>
      </c>
      <c r="AM40" s="586"/>
      <c r="AN40" s="66"/>
      <c r="AO40" s="66"/>
      <c r="AP40" s="66"/>
      <c r="AQ40" s="66"/>
      <c r="AR40" s="66"/>
      <c r="AS40" s="66"/>
      <c r="AT40" s="66"/>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c r="BY40" s="66"/>
      <c r="BZ40" s="66"/>
      <c r="CA40" s="66"/>
      <c r="CB40" s="66"/>
    </row>
    <row r="41" spans="1:80" x14ac:dyDescent="0.25">
      <c r="A41" s="66"/>
      <c r="B41" s="526"/>
      <c r="C41" s="526"/>
      <c r="D41" s="527"/>
      <c r="E41" s="567"/>
      <c r="F41" s="568"/>
      <c r="G41" s="568"/>
      <c r="H41" s="568"/>
      <c r="I41" s="569"/>
      <c r="J41" s="604"/>
      <c r="K41" s="602"/>
      <c r="L41" s="602"/>
      <c r="M41" s="602"/>
      <c r="N41" s="602"/>
      <c r="O41" s="603"/>
      <c r="P41" s="604"/>
      <c r="Q41" s="602"/>
      <c r="R41" s="602"/>
      <c r="S41" s="602"/>
      <c r="T41" s="602"/>
      <c r="U41" s="603"/>
      <c r="V41" s="593"/>
      <c r="W41" s="594"/>
      <c r="X41" s="594"/>
      <c r="Y41" s="594"/>
      <c r="Z41" s="594"/>
      <c r="AA41" s="595"/>
      <c r="AB41" s="577"/>
      <c r="AC41" s="573"/>
      <c r="AD41" s="573"/>
      <c r="AE41" s="573"/>
      <c r="AF41" s="573"/>
      <c r="AG41" s="574"/>
      <c r="AH41" s="584"/>
      <c r="AI41" s="585"/>
      <c r="AJ41" s="585"/>
      <c r="AK41" s="585"/>
      <c r="AL41" s="585"/>
      <c r="AM41" s="586"/>
      <c r="AN41" s="66"/>
      <c r="AO41" s="66"/>
      <c r="AP41" s="66"/>
      <c r="AQ41" s="66"/>
      <c r="AR41" s="66"/>
      <c r="AS41" s="66"/>
      <c r="AT41" s="66"/>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c r="BY41" s="66"/>
      <c r="BZ41" s="66"/>
      <c r="CA41" s="66"/>
      <c r="CB41" s="66"/>
    </row>
    <row r="42" spans="1:80" x14ac:dyDescent="0.25">
      <c r="A42" s="66"/>
      <c r="B42" s="526"/>
      <c r="C42" s="526"/>
      <c r="D42" s="527"/>
      <c r="E42" s="567"/>
      <c r="F42" s="568"/>
      <c r="G42" s="568"/>
      <c r="H42" s="568"/>
      <c r="I42" s="569"/>
      <c r="J42" s="604" t="str">
        <f>IF(AND('Riesgos de Gestión'!$O$38="Muy Baja",'Riesgos de Gestión'!$S$38="Leve"),CONCATENATE("R",'Riesgos de Gestión'!$A$38),"")</f>
        <v/>
      </c>
      <c r="K42" s="602"/>
      <c r="L42" s="602" t="str">
        <f>IF(AND('Riesgos de Gestión'!$O$44="Muy Baja",'Riesgos de Gestión'!$S$44="Leve"),CONCATENATE("R",'Riesgos de Gestión'!$A$44),"")</f>
        <v/>
      </c>
      <c r="M42" s="602"/>
      <c r="N42" s="602" t="str">
        <f>IF(AND('Riesgos de Gestión'!$O$50="Muy Baja",'Riesgos de Gestión'!$S$50="Leve"),CONCATENATE("R",'Riesgos de Gestión'!$A$50),"")</f>
        <v/>
      </c>
      <c r="O42" s="603"/>
      <c r="P42" s="604" t="str">
        <f>IF(AND('Riesgos de Gestión'!$O$38="Muy Baja",'Riesgos de Gestión'!$S$38="Menor"),CONCATENATE("R",'Riesgos de Gestión'!$A$38),"")</f>
        <v/>
      </c>
      <c r="Q42" s="602"/>
      <c r="R42" s="602" t="str">
        <f>IF(AND('Riesgos de Gestión'!$O$44="Muy Baja",'Riesgos de Gestión'!$S$44="Menor"),CONCATENATE("R",'Riesgos de Gestión'!$A$44),"")</f>
        <v/>
      </c>
      <c r="S42" s="602"/>
      <c r="T42" s="602" t="str">
        <f>IF(AND('Riesgos de Gestión'!$O$50="Muy Baja",'Riesgos de Gestión'!$S$50="Menor"),CONCATENATE("R",'Riesgos de Gestión'!$A$50),"")</f>
        <v/>
      </c>
      <c r="U42" s="603"/>
      <c r="V42" s="593" t="str">
        <f>IF(AND('Riesgos de Gestión'!$O$38="Muy Baja",'Riesgos de Gestión'!$S$38="Moderado"),CONCATENATE("R",'Riesgos de Gestión'!$A$38),"")</f>
        <v/>
      </c>
      <c r="W42" s="594"/>
      <c r="X42" s="594" t="str">
        <f>IF(AND('Riesgos de Gestión'!$O$44="Muy Baja",'Riesgos de Gestión'!$S$44="Moderado"),CONCATENATE("R",'Riesgos de Gestión'!$A$44),"")</f>
        <v/>
      </c>
      <c r="Y42" s="594"/>
      <c r="Z42" s="594" t="str">
        <f>IF(AND('Riesgos de Gestión'!$O$50="Muy Baja",'Riesgos de Gestión'!$S$50="Moderado"),CONCATENATE("R",'Riesgos de Gestión'!$A$50),"")</f>
        <v/>
      </c>
      <c r="AA42" s="595"/>
      <c r="AB42" s="577" t="str">
        <f>IF(AND('Riesgos de Gestión'!$O$38="Muy Baja",'Riesgos de Gestión'!$S$38="Mayor"),CONCATENATE("R",'Riesgos de Gestión'!$A$38),"")</f>
        <v/>
      </c>
      <c r="AC42" s="573"/>
      <c r="AD42" s="573" t="str">
        <f>IF(AND('Riesgos de Gestión'!$O$44="Muy Baja",'Riesgos de Gestión'!$S$44="Mayor"),CONCATENATE("R",'Riesgos de Gestión'!$A$44),"")</f>
        <v/>
      </c>
      <c r="AE42" s="573"/>
      <c r="AF42" s="573" t="str">
        <f>IF(AND('Riesgos de Gestión'!$O$50="Muy Baja",'Riesgos de Gestión'!$S$50="Mayor"),CONCATENATE("R",'Riesgos de Gestión'!$A$50),"")</f>
        <v/>
      </c>
      <c r="AG42" s="574"/>
      <c r="AH42" s="584" t="str">
        <f>IF(AND('Riesgos de Gestión'!$O$38="Muy Baja",'Riesgos de Gestión'!$S$38="Catastrófico"),CONCATENATE("R",'Riesgos de Gestión'!$A$38),"")</f>
        <v/>
      </c>
      <c r="AI42" s="585"/>
      <c r="AJ42" s="585" t="str">
        <f>IF(AND('Riesgos de Gestión'!$O$44="Muy Baja",'Riesgos de Gestión'!$S$44="Catastrófico"),CONCATENATE("R",'Riesgos de Gestión'!$A$44),"")</f>
        <v/>
      </c>
      <c r="AK42" s="585"/>
      <c r="AL42" s="585" t="str">
        <f>IF(AND('Riesgos de Gestión'!$O$50="Muy Baja",'Riesgos de Gestión'!$S$50="Catastrófico"),CONCATENATE("R",'Riesgos de Gestión'!$A$50),"")</f>
        <v/>
      </c>
      <c r="AM42" s="586"/>
      <c r="AN42" s="66"/>
      <c r="AO42" s="66"/>
      <c r="AP42" s="66"/>
      <c r="AQ42" s="66"/>
      <c r="AR42" s="66"/>
      <c r="AS42" s="66"/>
      <c r="AT42" s="66"/>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c r="BY42" s="66"/>
      <c r="BZ42" s="66"/>
      <c r="CA42" s="66"/>
      <c r="CB42" s="66"/>
    </row>
    <row r="43" spans="1:80" x14ac:dyDescent="0.25">
      <c r="A43" s="66"/>
      <c r="B43" s="526"/>
      <c r="C43" s="526"/>
      <c r="D43" s="527"/>
      <c r="E43" s="567"/>
      <c r="F43" s="568"/>
      <c r="G43" s="568"/>
      <c r="H43" s="568"/>
      <c r="I43" s="569"/>
      <c r="J43" s="604"/>
      <c r="K43" s="602"/>
      <c r="L43" s="602"/>
      <c r="M43" s="602"/>
      <c r="N43" s="602"/>
      <c r="O43" s="603"/>
      <c r="P43" s="604"/>
      <c r="Q43" s="602"/>
      <c r="R43" s="602"/>
      <c r="S43" s="602"/>
      <c r="T43" s="602"/>
      <c r="U43" s="603"/>
      <c r="V43" s="593"/>
      <c r="W43" s="594"/>
      <c r="X43" s="594"/>
      <c r="Y43" s="594"/>
      <c r="Z43" s="594"/>
      <c r="AA43" s="595"/>
      <c r="AB43" s="577"/>
      <c r="AC43" s="573"/>
      <c r="AD43" s="573"/>
      <c r="AE43" s="573"/>
      <c r="AF43" s="573"/>
      <c r="AG43" s="574"/>
      <c r="AH43" s="584"/>
      <c r="AI43" s="585"/>
      <c r="AJ43" s="585"/>
      <c r="AK43" s="585"/>
      <c r="AL43" s="585"/>
      <c r="AM43" s="586"/>
      <c r="AN43" s="66"/>
      <c r="AO43" s="66"/>
      <c r="AP43" s="66"/>
      <c r="AQ43" s="66"/>
      <c r="AR43" s="66"/>
      <c r="AS43" s="66"/>
      <c r="AT43" s="66"/>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c r="BY43" s="66"/>
      <c r="BZ43" s="66"/>
      <c r="CA43" s="66"/>
      <c r="CB43" s="66"/>
    </row>
    <row r="44" spans="1:80" x14ac:dyDescent="0.25">
      <c r="A44" s="66"/>
      <c r="B44" s="526"/>
      <c r="C44" s="526"/>
      <c r="D44" s="527"/>
      <c r="E44" s="567"/>
      <c r="F44" s="568"/>
      <c r="G44" s="568"/>
      <c r="H44" s="568"/>
      <c r="I44" s="569"/>
      <c r="J44" s="604" t="str">
        <f>IF(AND('Riesgos de Gestión'!$O$56="Muy Baja",'Riesgos de Gestión'!$S$56="Leve"),CONCATENATE("R",'Riesgos de Gestión'!$A$56),"")</f>
        <v/>
      </c>
      <c r="K44" s="602"/>
      <c r="L44" s="602" t="str">
        <f>IF(AND('Riesgos de Gestión'!$P$62="Muy Baja",'Riesgos de Gestión'!$T$62="Leve"),CONCATENATE("R",'Riesgos de Gestión'!$A$62),"")</f>
        <v/>
      </c>
      <c r="M44" s="602"/>
      <c r="N44" s="602" t="str">
        <f>IF(AND('Riesgos de Gestión'!$P$68="Muy Baja",'Riesgos de Gestión'!$T$68="Leve"),CONCATENATE("R",'Riesgos de Gestión'!$A$68),"")</f>
        <v/>
      </c>
      <c r="O44" s="603"/>
      <c r="P44" s="604" t="str">
        <f>IF(AND('Riesgos de Gestión'!$O$56="Muy Baja",'Riesgos de Gestión'!$S$56="Menor"),CONCATENATE("R",'Riesgos de Gestión'!$A$56),"")</f>
        <v/>
      </c>
      <c r="Q44" s="602"/>
      <c r="R44" s="602" t="str">
        <f>IF(AND('Riesgos de Gestión'!$P$62="Muy Baja",'Riesgos de Gestión'!$T$62="Menor"),CONCATENATE("R",'Riesgos de Gestión'!$A$62),"")</f>
        <v/>
      </c>
      <c r="S44" s="602"/>
      <c r="T44" s="602" t="str">
        <f>IF(AND('Riesgos de Gestión'!$P$68="Muy Baja",'Riesgos de Gestión'!$T$68="Menor"),CONCATENATE("R",'Riesgos de Gestión'!$A$68),"")</f>
        <v/>
      </c>
      <c r="U44" s="603"/>
      <c r="V44" s="593" t="str">
        <f>IF(AND('Riesgos de Gestión'!$O$56="Muy Baja",'Riesgos de Gestión'!$S$56="Moderado"),CONCATENATE("R",'Riesgos de Gestión'!$A$56),"")</f>
        <v/>
      </c>
      <c r="W44" s="594"/>
      <c r="X44" s="594" t="str">
        <f>IF(AND('Riesgos de Gestión'!$P$62="Muy Baja",'Riesgos de Gestión'!$T$62="Moderado"),CONCATENATE("R",'Riesgos de Gestión'!$A$62),"")</f>
        <v/>
      </c>
      <c r="Y44" s="594"/>
      <c r="Z44" s="594" t="str">
        <f>IF(AND('Riesgos de Gestión'!$P$68="Muy Baja",'Riesgos de Gestión'!$T$68="Moderado"),CONCATENATE("R",'Riesgos de Gestión'!$A$68),"")</f>
        <v/>
      </c>
      <c r="AA44" s="595"/>
      <c r="AB44" s="577" t="str">
        <f>IF(AND('Riesgos de Gestión'!$O$56="Muy Baja",'Riesgos de Gestión'!$S$56="Mayor"),CONCATENATE("R",'Riesgos de Gestión'!$A$56),"")</f>
        <v/>
      </c>
      <c r="AC44" s="573"/>
      <c r="AD44" s="573" t="str">
        <f>IF(AND('Riesgos de Gestión'!$P$62="Muy Baja",'Riesgos de Gestión'!$T$62="Mayor"),CONCATENATE("R",'Riesgos de Gestión'!$A$62),"")</f>
        <v/>
      </c>
      <c r="AE44" s="573"/>
      <c r="AF44" s="573" t="str">
        <f>IF(AND('Riesgos de Gestión'!$P$68="Muy Baja",'Riesgos de Gestión'!$T$68="Mayor"),CONCATENATE("R",'Riesgos de Gestión'!$A$68),"")</f>
        <v/>
      </c>
      <c r="AG44" s="574"/>
      <c r="AH44" s="584" t="str">
        <f>IF(AND('Riesgos de Gestión'!$O$56="Muy Baja",'Riesgos de Gestión'!$S$56="Catastrófico"),CONCATENATE("R",'Riesgos de Gestión'!$A$56),"")</f>
        <v/>
      </c>
      <c r="AI44" s="585"/>
      <c r="AJ44" s="585" t="str">
        <f>IF(AND('Riesgos de Gestión'!$P$62="Muy Baja",'Riesgos de Gestión'!$T$62="Catastrófico"),CONCATENATE("R",'Riesgos de Gestión'!$A$62),"")</f>
        <v/>
      </c>
      <c r="AK44" s="585"/>
      <c r="AL44" s="585" t="str">
        <f>IF(AND('Riesgos de Gestión'!$P$68="Muy Baja",'Riesgos de Gestión'!$T$68="Catastrófico"),CONCATENATE("R",'Riesgos de Gestión'!$A$68),"")</f>
        <v/>
      </c>
      <c r="AM44" s="586"/>
      <c r="AN44" s="66"/>
      <c r="AO44" s="66"/>
      <c r="AP44" s="66"/>
      <c r="AQ44" s="66"/>
      <c r="AR44" s="66"/>
      <c r="AS44" s="66"/>
      <c r="AT44" s="66"/>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c r="BY44" s="66"/>
      <c r="BZ44" s="66"/>
      <c r="CA44" s="66"/>
      <c r="CB44" s="66"/>
    </row>
    <row r="45" spans="1:80" ht="15.75" thickBot="1" x14ac:dyDescent="0.3">
      <c r="A45" s="66"/>
      <c r="B45" s="526"/>
      <c r="C45" s="526"/>
      <c r="D45" s="527"/>
      <c r="E45" s="570"/>
      <c r="F45" s="571"/>
      <c r="G45" s="571"/>
      <c r="H45" s="571"/>
      <c r="I45" s="572"/>
      <c r="J45" s="605"/>
      <c r="K45" s="606"/>
      <c r="L45" s="606"/>
      <c r="M45" s="606"/>
      <c r="N45" s="606"/>
      <c r="O45" s="607"/>
      <c r="P45" s="605"/>
      <c r="Q45" s="606"/>
      <c r="R45" s="606"/>
      <c r="S45" s="606"/>
      <c r="T45" s="606"/>
      <c r="U45" s="607"/>
      <c r="V45" s="596"/>
      <c r="W45" s="597"/>
      <c r="X45" s="597"/>
      <c r="Y45" s="597"/>
      <c r="Z45" s="597"/>
      <c r="AA45" s="598"/>
      <c r="AB45" s="581"/>
      <c r="AC45" s="582"/>
      <c r="AD45" s="582"/>
      <c r="AE45" s="582"/>
      <c r="AF45" s="582"/>
      <c r="AG45" s="583"/>
      <c r="AH45" s="587"/>
      <c r="AI45" s="588"/>
      <c r="AJ45" s="588"/>
      <c r="AK45" s="588"/>
      <c r="AL45" s="588"/>
      <c r="AM45" s="589"/>
      <c r="AN45" s="66"/>
      <c r="AO45" s="66"/>
      <c r="AP45" s="66"/>
      <c r="AQ45" s="66"/>
      <c r="AR45" s="66"/>
      <c r="AS45" s="66"/>
      <c r="AT45" s="66"/>
      <c r="AU45" s="66"/>
      <c r="AV45" s="66"/>
      <c r="AW45" s="66"/>
      <c r="AX45" s="66"/>
      <c r="AY45" s="66"/>
      <c r="AZ45" s="66"/>
      <c r="BA45" s="66"/>
      <c r="BB45" s="66"/>
      <c r="BC45" s="66"/>
      <c r="BD45" s="66"/>
      <c r="BE45" s="66"/>
      <c r="BF45" s="66"/>
      <c r="BG45" s="66"/>
      <c r="BH45" s="66"/>
      <c r="BI45" s="66"/>
      <c r="BJ45" s="66"/>
      <c r="BK45" s="66"/>
      <c r="BL45" s="66"/>
      <c r="BM45" s="66"/>
      <c r="BN45" s="66"/>
      <c r="BO45" s="66"/>
      <c r="BP45" s="66"/>
      <c r="BQ45" s="66"/>
      <c r="BR45" s="66"/>
      <c r="BS45" s="66"/>
      <c r="BT45" s="66"/>
      <c r="BU45" s="66"/>
      <c r="BV45" s="66"/>
      <c r="BW45" s="66"/>
      <c r="BX45" s="66"/>
      <c r="BY45" s="66"/>
      <c r="BZ45" s="66"/>
      <c r="CA45" s="66"/>
      <c r="CB45" s="66"/>
    </row>
    <row r="46" spans="1:80" x14ac:dyDescent="0.25">
      <c r="A46" s="66"/>
      <c r="B46" s="66"/>
      <c r="C46" s="66"/>
      <c r="D46" s="66"/>
      <c r="E46" s="66"/>
      <c r="F46" s="66"/>
      <c r="G46" s="66"/>
      <c r="H46" s="66"/>
      <c r="I46" s="66"/>
      <c r="J46" s="564" t="s">
        <v>494</v>
      </c>
      <c r="K46" s="565"/>
      <c r="L46" s="565"/>
      <c r="M46" s="565"/>
      <c r="N46" s="565"/>
      <c r="O46" s="566"/>
      <c r="P46" s="564" t="s">
        <v>495</v>
      </c>
      <c r="Q46" s="565"/>
      <c r="R46" s="565"/>
      <c r="S46" s="565"/>
      <c r="T46" s="565"/>
      <c r="U46" s="566"/>
      <c r="V46" s="564" t="s">
        <v>496</v>
      </c>
      <c r="W46" s="565"/>
      <c r="X46" s="565"/>
      <c r="Y46" s="565"/>
      <c r="Z46" s="565"/>
      <c r="AA46" s="566"/>
      <c r="AB46" s="564" t="s">
        <v>497</v>
      </c>
      <c r="AC46" s="580"/>
      <c r="AD46" s="565"/>
      <c r="AE46" s="565"/>
      <c r="AF46" s="565"/>
      <c r="AG46" s="566"/>
      <c r="AH46" s="564" t="s">
        <v>498</v>
      </c>
      <c r="AI46" s="565"/>
      <c r="AJ46" s="565"/>
      <c r="AK46" s="565"/>
      <c r="AL46" s="565"/>
      <c r="AM46" s="566"/>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x14ac:dyDescent="0.25">
      <c r="A47" s="66"/>
      <c r="B47" s="66"/>
      <c r="C47" s="66"/>
      <c r="D47" s="66"/>
      <c r="E47" s="66"/>
      <c r="F47" s="66"/>
      <c r="G47" s="66"/>
      <c r="H47" s="66"/>
      <c r="I47" s="66"/>
      <c r="J47" s="567"/>
      <c r="K47" s="568"/>
      <c r="L47" s="568"/>
      <c r="M47" s="568"/>
      <c r="N47" s="568"/>
      <c r="O47" s="569"/>
      <c r="P47" s="567"/>
      <c r="Q47" s="568"/>
      <c r="R47" s="568"/>
      <c r="S47" s="568"/>
      <c r="T47" s="568"/>
      <c r="U47" s="569"/>
      <c r="V47" s="567"/>
      <c r="W47" s="568"/>
      <c r="X47" s="568"/>
      <c r="Y47" s="568"/>
      <c r="Z47" s="568"/>
      <c r="AA47" s="569"/>
      <c r="AB47" s="567"/>
      <c r="AC47" s="568"/>
      <c r="AD47" s="568"/>
      <c r="AE47" s="568"/>
      <c r="AF47" s="568"/>
      <c r="AG47" s="569"/>
      <c r="AH47" s="567"/>
      <c r="AI47" s="568"/>
      <c r="AJ47" s="568"/>
      <c r="AK47" s="568"/>
      <c r="AL47" s="568"/>
      <c r="AM47" s="569"/>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x14ac:dyDescent="0.25">
      <c r="A48" s="66"/>
      <c r="B48" s="66"/>
      <c r="C48" s="66"/>
      <c r="D48" s="66"/>
      <c r="E48" s="66"/>
      <c r="F48" s="66"/>
      <c r="G48" s="66"/>
      <c r="H48" s="66"/>
      <c r="I48" s="66"/>
      <c r="J48" s="567"/>
      <c r="K48" s="568"/>
      <c r="L48" s="568"/>
      <c r="M48" s="568"/>
      <c r="N48" s="568"/>
      <c r="O48" s="569"/>
      <c r="P48" s="567"/>
      <c r="Q48" s="568"/>
      <c r="R48" s="568"/>
      <c r="S48" s="568"/>
      <c r="T48" s="568"/>
      <c r="U48" s="569"/>
      <c r="V48" s="567"/>
      <c r="W48" s="568"/>
      <c r="X48" s="568"/>
      <c r="Y48" s="568"/>
      <c r="Z48" s="568"/>
      <c r="AA48" s="569"/>
      <c r="AB48" s="567"/>
      <c r="AC48" s="568"/>
      <c r="AD48" s="568"/>
      <c r="AE48" s="568"/>
      <c r="AF48" s="568"/>
      <c r="AG48" s="569"/>
      <c r="AH48" s="567"/>
      <c r="AI48" s="568"/>
      <c r="AJ48" s="568"/>
      <c r="AK48" s="568"/>
      <c r="AL48" s="568"/>
      <c r="AM48" s="569"/>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x14ac:dyDescent="0.25">
      <c r="A49" s="66"/>
      <c r="B49" s="66"/>
      <c r="C49" s="66"/>
      <c r="D49" s="66"/>
      <c r="E49" s="66"/>
      <c r="F49" s="66"/>
      <c r="G49" s="66"/>
      <c r="H49" s="66"/>
      <c r="I49" s="66"/>
      <c r="J49" s="567"/>
      <c r="K49" s="568"/>
      <c r="L49" s="568"/>
      <c r="M49" s="568"/>
      <c r="N49" s="568"/>
      <c r="O49" s="569"/>
      <c r="P49" s="567"/>
      <c r="Q49" s="568"/>
      <c r="R49" s="568"/>
      <c r="S49" s="568"/>
      <c r="T49" s="568"/>
      <c r="U49" s="569"/>
      <c r="V49" s="567"/>
      <c r="W49" s="568"/>
      <c r="X49" s="568"/>
      <c r="Y49" s="568"/>
      <c r="Z49" s="568"/>
      <c r="AA49" s="569"/>
      <c r="AB49" s="567"/>
      <c r="AC49" s="568"/>
      <c r="AD49" s="568"/>
      <c r="AE49" s="568"/>
      <c r="AF49" s="568"/>
      <c r="AG49" s="569"/>
      <c r="AH49" s="567"/>
      <c r="AI49" s="568"/>
      <c r="AJ49" s="568"/>
      <c r="AK49" s="568"/>
      <c r="AL49" s="568"/>
      <c r="AM49" s="569"/>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x14ac:dyDescent="0.25">
      <c r="A50" s="66"/>
      <c r="B50" s="66"/>
      <c r="C50" s="66"/>
      <c r="D50" s="66"/>
      <c r="E50" s="66"/>
      <c r="F50" s="66"/>
      <c r="G50" s="66"/>
      <c r="H50" s="66"/>
      <c r="I50" s="66"/>
      <c r="J50" s="567"/>
      <c r="K50" s="568"/>
      <c r="L50" s="568"/>
      <c r="M50" s="568"/>
      <c r="N50" s="568"/>
      <c r="O50" s="569"/>
      <c r="P50" s="567"/>
      <c r="Q50" s="568"/>
      <c r="R50" s="568"/>
      <c r="S50" s="568"/>
      <c r="T50" s="568"/>
      <c r="U50" s="569"/>
      <c r="V50" s="567"/>
      <c r="W50" s="568"/>
      <c r="X50" s="568"/>
      <c r="Y50" s="568"/>
      <c r="Z50" s="568"/>
      <c r="AA50" s="569"/>
      <c r="AB50" s="567"/>
      <c r="AC50" s="568"/>
      <c r="AD50" s="568"/>
      <c r="AE50" s="568"/>
      <c r="AF50" s="568"/>
      <c r="AG50" s="569"/>
      <c r="AH50" s="567"/>
      <c r="AI50" s="568"/>
      <c r="AJ50" s="568"/>
      <c r="AK50" s="568"/>
      <c r="AL50" s="568"/>
      <c r="AM50" s="569"/>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75" thickBot="1" x14ac:dyDescent="0.3">
      <c r="A51" s="66"/>
      <c r="B51" s="66"/>
      <c r="C51" s="66"/>
      <c r="D51" s="66"/>
      <c r="E51" s="66"/>
      <c r="F51" s="66"/>
      <c r="G51" s="66"/>
      <c r="H51" s="66"/>
      <c r="I51" s="66"/>
      <c r="J51" s="570"/>
      <c r="K51" s="571"/>
      <c r="L51" s="571"/>
      <c r="M51" s="571"/>
      <c r="N51" s="571"/>
      <c r="O51" s="572"/>
      <c r="P51" s="570"/>
      <c r="Q51" s="571"/>
      <c r="R51" s="571"/>
      <c r="S51" s="571"/>
      <c r="T51" s="571"/>
      <c r="U51" s="572"/>
      <c r="V51" s="570"/>
      <c r="W51" s="571"/>
      <c r="X51" s="571"/>
      <c r="Y51" s="571"/>
      <c r="Z51" s="571"/>
      <c r="AA51" s="572"/>
      <c r="AB51" s="570"/>
      <c r="AC51" s="571"/>
      <c r="AD51" s="571"/>
      <c r="AE51" s="571"/>
      <c r="AF51" s="571"/>
      <c r="AG51" s="572"/>
      <c r="AH51" s="570"/>
      <c r="AI51" s="571"/>
      <c r="AJ51" s="571"/>
      <c r="AK51" s="571"/>
      <c r="AL51" s="571"/>
      <c r="AM51" s="572"/>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x14ac:dyDescent="0.25">
      <c r="A52" s="66"/>
      <c r="B52" s="66"/>
      <c r="C52" s="66"/>
      <c r="D52" s="66"/>
      <c r="E52" s="66"/>
      <c r="F52" s="66"/>
      <c r="G52" s="66"/>
      <c r="H52" s="66"/>
      <c r="I52" s="66"/>
      <c r="J52" s="66"/>
      <c r="K52" s="66"/>
      <c r="L52" s="66"/>
      <c r="M52" s="66"/>
      <c r="N52" s="66"/>
      <c r="O52" s="66"/>
      <c r="P52" s="66"/>
      <c r="Q52" s="66"/>
      <c r="R52" s="66"/>
      <c r="S52" s="66"/>
      <c r="T52" s="66"/>
      <c r="U52" s="66"/>
      <c r="V52" s="66"/>
      <c r="W52" s="66"/>
      <c r="X52" s="66"/>
      <c r="Y52" s="66"/>
      <c r="Z52" s="66"/>
      <c r="AA52" s="66"/>
      <c r="AB52" s="66"/>
      <c r="AC52" s="66"/>
      <c r="AD52" s="66"/>
      <c r="AE52" s="66"/>
      <c r="AF52" s="66"/>
      <c r="AG52" s="66"/>
      <c r="AH52" s="66"/>
      <c r="AI52" s="66"/>
      <c r="AJ52" s="66"/>
      <c r="AK52" s="66"/>
      <c r="AL52" s="66"/>
      <c r="AM52" s="66"/>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70"/>
      <c r="C53" s="70"/>
      <c r="D53" s="70"/>
      <c r="E53" s="70"/>
      <c r="F53" s="70"/>
      <c r="G53" s="70"/>
      <c r="H53" s="70"/>
      <c r="I53" s="70"/>
      <c r="J53" s="70"/>
      <c r="K53" s="70"/>
      <c r="L53" s="70"/>
      <c r="M53" s="70"/>
      <c r="N53" s="70"/>
      <c r="O53" s="70"/>
      <c r="P53" s="70"/>
      <c r="Q53" s="70"/>
      <c r="R53" s="70"/>
      <c r="S53" s="70"/>
      <c r="T53" s="70"/>
      <c r="U53" s="70"/>
      <c r="V53" s="70"/>
      <c r="W53" s="70"/>
      <c r="X53" s="70"/>
      <c r="Y53" s="70"/>
      <c r="Z53" s="70"/>
      <c r="AA53" s="70"/>
      <c r="AB53" s="70"/>
      <c r="AC53" s="70"/>
      <c r="AD53" s="70"/>
      <c r="AE53" s="70"/>
      <c r="AF53" s="70"/>
      <c r="AG53" s="70"/>
      <c r="AH53" s="70"/>
      <c r="AI53" s="70"/>
      <c r="AJ53" s="70"/>
      <c r="AK53" s="70"/>
      <c r="AL53" s="70"/>
      <c r="AM53" s="70"/>
      <c r="AN53" s="70"/>
      <c r="AO53" s="70"/>
      <c r="AP53" s="70"/>
      <c r="AQ53" s="70"/>
      <c r="AR53" s="70"/>
      <c r="AS53" s="70"/>
      <c r="AT53" s="70"/>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70"/>
      <c r="C54" s="70"/>
      <c r="D54" s="70"/>
      <c r="E54" s="70"/>
      <c r="F54" s="70"/>
      <c r="G54" s="70"/>
      <c r="H54" s="70"/>
      <c r="I54" s="70"/>
      <c r="J54" s="70"/>
      <c r="K54" s="70"/>
      <c r="L54" s="70"/>
      <c r="M54" s="70"/>
      <c r="N54" s="70"/>
      <c r="O54" s="70"/>
      <c r="P54" s="70"/>
      <c r="Q54" s="70"/>
      <c r="R54" s="70"/>
      <c r="S54" s="70"/>
      <c r="T54" s="70"/>
      <c r="U54" s="70"/>
      <c r="V54" s="70"/>
      <c r="W54" s="70"/>
      <c r="X54" s="70"/>
      <c r="Y54" s="70"/>
      <c r="Z54" s="70"/>
      <c r="AA54" s="70"/>
      <c r="AB54" s="70"/>
      <c r="AC54" s="70"/>
      <c r="AD54" s="70"/>
      <c r="AE54" s="70"/>
      <c r="AF54" s="70"/>
      <c r="AG54" s="70"/>
      <c r="AH54" s="70"/>
      <c r="AI54" s="70"/>
      <c r="AJ54" s="70"/>
      <c r="AK54" s="70"/>
      <c r="AL54" s="70"/>
      <c r="AM54" s="70"/>
      <c r="AN54" s="70"/>
      <c r="AO54" s="70"/>
      <c r="AP54" s="70"/>
      <c r="AQ54" s="70"/>
      <c r="AR54" s="70"/>
      <c r="AS54" s="70"/>
      <c r="AT54" s="70"/>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x14ac:dyDescent="0.25">
      <c r="A55" s="66"/>
      <c r="B55" s="66"/>
      <c r="C55" s="66"/>
      <c r="D55" s="66"/>
      <c r="E55" s="66"/>
      <c r="F55" s="66"/>
      <c r="G55" s="66"/>
      <c r="H55" s="66"/>
      <c r="I55" s="66"/>
      <c r="J55" s="66"/>
      <c r="K55" s="66"/>
      <c r="L55" s="66"/>
      <c r="M55" s="66"/>
      <c r="N55" s="66"/>
      <c r="O55" s="66"/>
      <c r="P55" s="66"/>
      <c r="Q55" s="66"/>
      <c r="R55" s="66"/>
      <c r="S55" s="66"/>
      <c r="T55" s="66"/>
      <c r="U55" s="66"/>
      <c r="V55" s="66"/>
      <c r="W55" s="66"/>
      <c r="X55" s="66"/>
      <c r="Y55" s="66"/>
      <c r="Z55" s="66"/>
      <c r="AA55" s="66"/>
      <c r="AB55" s="66"/>
      <c r="AC55" s="66"/>
      <c r="AD55" s="66"/>
      <c r="AE55" s="66"/>
      <c r="AF55" s="66"/>
      <c r="AG55" s="66"/>
      <c r="AH55" s="66"/>
      <c r="AI55" s="66"/>
      <c r="AJ55" s="66"/>
      <c r="AK55" s="66"/>
      <c r="AL55" s="66"/>
      <c r="AM55" s="66"/>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K56" s="66"/>
      <c r="AL56" s="66"/>
      <c r="AM56" s="66"/>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K57" s="66"/>
      <c r="AL57" s="66"/>
      <c r="AM57" s="66"/>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K58" s="66"/>
      <c r="AL58" s="66"/>
      <c r="AM58" s="66"/>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K59" s="66"/>
      <c r="AL59" s="66"/>
      <c r="AM59" s="66"/>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K60" s="66"/>
      <c r="AL60" s="66"/>
      <c r="AM60" s="66"/>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x14ac:dyDescent="0.25">
      <c r="A61" s="66"/>
      <c r="B61" s="66"/>
      <c r="C61" s="66"/>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c r="BI62" s="66"/>
      <c r="BJ62" s="66"/>
      <c r="BK62" s="66"/>
      <c r="BL62" s="66"/>
      <c r="BM62" s="66"/>
      <c r="BN62" s="66"/>
      <c r="BO62" s="66"/>
      <c r="BP62" s="66"/>
      <c r="BQ62" s="66"/>
      <c r="BR62" s="66"/>
      <c r="BS62" s="66"/>
      <c r="BT62" s="66"/>
      <c r="BU62" s="66"/>
      <c r="BV62" s="66"/>
      <c r="BW62" s="66"/>
      <c r="BX62" s="66"/>
      <c r="BY62" s="66"/>
      <c r="BZ62" s="66"/>
      <c r="CA62" s="66"/>
      <c r="CB62" s="66"/>
    </row>
    <row r="63" spans="1:80" x14ac:dyDescent="0.25">
      <c r="A63" s="66"/>
      <c r="B63" s="66"/>
      <c r="C63" s="66"/>
      <c r="D63" s="66"/>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c r="AY63" s="66"/>
      <c r="AZ63" s="66"/>
      <c r="BA63" s="66"/>
      <c r="BB63" s="66"/>
      <c r="BC63" s="66"/>
      <c r="BD63" s="66"/>
      <c r="BE63" s="66"/>
      <c r="BF63" s="66"/>
      <c r="BG63" s="66"/>
      <c r="BH63" s="66"/>
      <c r="BI63" s="66"/>
      <c r="BJ63" s="66"/>
      <c r="BK63" s="66"/>
      <c r="BL63" s="66"/>
      <c r="BM63" s="66"/>
      <c r="BN63" s="66"/>
      <c r="BO63" s="66"/>
      <c r="BP63" s="66"/>
      <c r="BQ63" s="66"/>
      <c r="BR63" s="66"/>
      <c r="BS63" s="66"/>
      <c r="BT63" s="66"/>
      <c r="BU63" s="66"/>
      <c r="BV63" s="66"/>
      <c r="BW63" s="66"/>
      <c r="BX63" s="66"/>
      <c r="BY63" s="66"/>
      <c r="BZ63" s="66"/>
      <c r="CA63" s="66"/>
      <c r="CB63" s="66"/>
    </row>
    <row r="64" spans="1:80" x14ac:dyDescent="0.25">
      <c r="A64" s="66"/>
      <c r="B64" s="66"/>
      <c r="C64" s="66"/>
      <c r="D64" s="66"/>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c r="BC64" s="66"/>
      <c r="BD64" s="66"/>
      <c r="BE64" s="66"/>
      <c r="BF64" s="66"/>
      <c r="BG64" s="66"/>
      <c r="BH64" s="66"/>
      <c r="BI64" s="66"/>
      <c r="BJ64" s="66"/>
      <c r="BK64" s="66"/>
      <c r="BL64" s="66"/>
      <c r="BM64" s="66"/>
      <c r="BN64" s="66"/>
      <c r="BO64" s="66"/>
      <c r="BP64" s="66"/>
      <c r="BQ64" s="66"/>
      <c r="BR64" s="66"/>
      <c r="BS64" s="66"/>
      <c r="BT64" s="66"/>
      <c r="BU64" s="66"/>
      <c r="BV64" s="66"/>
      <c r="BW64" s="66"/>
      <c r="BX64" s="66"/>
      <c r="BY64" s="66"/>
      <c r="BZ64" s="66"/>
      <c r="CA64" s="66"/>
      <c r="CB64" s="66"/>
    </row>
    <row r="65" spans="1:8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c r="BI65" s="66"/>
      <c r="BJ65" s="66"/>
      <c r="BK65" s="66"/>
      <c r="BL65" s="66"/>
      <c r="BM65" s="66"/>
      <c r="BN65" s="66"/>
      <c r="BO65" s="66"/>
      <c r="BP65" s="66"/>
      <c r="BQ65" s="66"/>
      <c r="BR65" s="66"/>
      <c r="BS65" s="66"/>
      <c r="BT65" s="66"/>
      <c r="BU65" s="66"/>
      <c r="BV65" s="66"/>
      <c r="BW65" s="66"/>
      <c r="BX65" s="66"/>
      <c r="BY65" s="66"/>
      <c r="BZ65" s="66"/>
      <c r="CA65" s="66"/>
      <c r="CB65" s="66"/>
    </row>
    <row r="66" spans="1:8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c r="BI66" s="66"/>
      <c r="BJ66" s="66"/>
      <c r="BK66" s="66"/>
      <c r="BL66" s="66"/>
      <c r="BM66" s="66"/>
      <c r="BN66" s="66"/>
      <c r="BO66" s="66"/>
      <c r="BP66" s="66"/>
      <c r="BQ66" s="66"/>
      <c r="BR66" s="66"/>
      <c r="BS66" s="66"/>
      <c r="BT66" s="66"/>
      <c r="BU66" s="66"/>
      <c r="BV66" s="66"/>
      <c r="BW66" s="66"/>
      <c r="BX66" s="66"/>
      <c r="BY66" s="66"/>
      <c r="BZ66" s="66"/>
      <c r="CA66" s="66"/>
      <c r="CB66" s="66"/>
    </row>
    <row r="67" spans="1:8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c r="BI67" s="66"/>
      <c r="BJ67" s="66"/>
      <c r="BK67" s="66"/>
      <c r="BL67" s="66"/>
      <c r="BM67" s="66"/>
      <c r="BN67" s="66"/>
      <c r="BO67" s="66"/>
      <c r="BP67" s="66"/>
      <c r="BQ67" s="66"/>
      <c r="BR67" s="66"/>
      <c r="BS67" s="66"/>
      <c r="BT67" s="66"/>
      <c r="BU67" s="66"/>
      <c r="BV67" s="66"/>
      <c r="BW67" s="66"/>
      <c r="BX67" s="66"/>
      <c r="BY67" s="66"/>
      <c r="BZ67" s="66"/>
      <c r="CA67" s="66"/>
      <c r="CB67" s="66"/>
    </row>
    <row r="68" spans="1:8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c r="BI68" s="66"/>
      <c r="BJ68" s="66"/>
      <c r="BK68" s="66"/>
      <c r="BL68" s="66"/>
      <c r="BM68" s="66"/>
      <c r="BN68" s="66"/>
      <c r="BO68" s="66"/>
      <c r="BP68" s="66"/>
      <c r="BQ68" s="66"/>
      <c r="BR68" s="66"/>
      <c r="BS68" s="66"/>
      <c r="BT68" s="66"/>
      <c r="BU68" s="66"/>
      <c r="BV68" s="66"/>
      <c r="BW68" s="66"/>
      <c r="BX68" s="66"/>
      <c r="BY68" s="66"/>
      <c r="BZ68" s="66"/>
      <c r="CA68" s="66"/>
      <c r="CB68" s="66"/>
    </row>
    <row r="69" spans="1:8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c r="BI69" s="66"/>
      <c r="BJ69" s="66"/>
      <c r="BK69" s="66"/>
      <c r="BL69" s="66"/>
      <c r="BM69" s="66"/>
      <c r="BN69" s="66"/>
      <c r="BO69" s="66"/>
      <c r="BP69" s="66"/>
      <c r="BQ69" s="66"/>
      <c r="BR69" s="66"/>
      <c r="BS69" s="66"/>
      <c r="BT69" s="66"/>
      <c r="BU69" s="66"/>
      <c r="BV69" s="66"/>
      <c r="BW69" s="66"/>
      <c r="BX69" s="66"/>
      <c r="BY69" s="66"/>
      <c r="BZ69" s="66"/>
      <c r="CA69" s="66"/>
      <c r="CB69" s="66"/>
    </row>
    <row r="70" spans="1:8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c r="BI70" s="66"/>
      <c r="BJ70" s="66"/>
      <c r="BK70" s="66"/>
      <c r="BL70" s="66"/>
      <c r="BM70" s="66"/>
      <c r="BN70" s="66"/>
      <c r="BO70" s="66"/>
      <c r="BP70" s="66"/>
      <c r="BQ70" s="66"/>
      <c r="BR70" s="66"/>
      <c r="BS70" s="66"/>
      <c r="BT70" s="66"/>
      <c r="BU70" s="66"/>
      <c r="BV70" s="66"/>
      <c r="BW70" s="66"/>
      <c r="BX70" s="66"/>
      <c r="BY70" s="66"/>
      <c r="BZ70" s="66"/>
      <c r="CA70" s="66"/>
      <c r="CB70" s="66"/>
    </row>
    <row r="71" spans="1:8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c r="BI71" s="66"/>
      <c r="BJ71" s="66"/>
      <c r="BK71" s="66"/>
      <c r="BL71" s="66"/>
      <c r="BM71" s="66"/>
      <c r="BN71" s="66"/>
      <c r="BO71" s="66"/>
      <c r="BP71" s="66"/>
      <c r="BQ71" s="66"/>
      <c r="BR71" s="66"/>
      <c r="BS71" s="66"/>
      <c r="BT71" s="66"/>
      <c r="BU71" s="66"/>
      <c r="BV71" s="66"/>
      <c r="BW71" s="66"/>
      <c r="BX71" s="66"/>
      <c r="BY71" s="66"/>
      <c r="BZ71" s="66"/>
      <c r="CA71" s="66"/>
      <c r="CB71" s="66"/>
    </row>
    <row r="72" spans="1:8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c r="BI72" s="66"/>
      <c r="BJ72" s="66"/>
      <c r="BK72" s="66"/>
      <c r="BL72" s="66"/>
      <c r="BM72" s="66"/>
      <c r="BN72" s="66"/>
      <c r="BO72" s="66"/>
      <c r="BP72" s="66"/>
      <c r="BQ72" s="66"/>
      <c r="BR72" s="66"/>
      <c r="BS72" s="66"/>
      <c r="BT72" s="66"/>
      <c r="BU72" s="66"/>
      <c r="BV72" s="66"/>
      <c r="BW72" s="66"/>
      <c r="BX72" s="66"/>
      <c r="BY72" s="66"/>
      <c r="BZ72" s="66"/>
      <c r="CA72" s="66"/>
      <c r="CB72" s="66"/>
    </row>
    <row r="73" spans="1:8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c r="BI73" s="66"/>
      <c r="BJ73" s="66"/>
      <c r="BK73" s="66"/>
      <c r="BL73" s="66"/>
      <c r="BM73" s="66"/>
      <c r="BN73" s="66"/>
      <c r="BO73" s="66"/>
      <c r="BP73" s="66"/>
      <c r="BQ73" s="66"/>
      <c r="BR73" s="66"/>
      <c r="BS73" s="66"/>
      <c r="BT73" s="66"/>
      <c r="BU73" s="66"/>
      <c r="BV73" s="66"/>
      <c r="BW73" s="66"/>
      <c r="BX73" s="66"/>
      <c r="BY73" s="66"/>
      <c r="BZ73" s="66"/>
      <c r="CA73" s="66"/>
      <c r="CB73" s="66"/>
    </row>
    <row r="74" spans="1:8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c r="BI74" s="66"/>
      <c r="BJ74" s="66"/>
      <c r="BK74" s="66"/>
      <c r="BL74" s="66"/>
      <c r="BM74" s="66"/>
      <c r="BN74" s="66"/>
      <c r="BO74" s="66"/>
      <c r="BP74" s="66"/>
      <c r="BQ74" s="66"/>
      <c r="BR74" s="66"/>
      <c r="BS74" s="66"/>
      <c r="BT74" s="66"/>
      <c r="BU74" s="66"/>
      <c r="BV74" s="66"/>
      <c r="BW74" s="66"/>
      <c r="BX74" s="66"/>
      <c r="BY74" s="66"/>
      <c r="BZ74" s="66"/>
      <c r="CA74" s="66"/>
      <c r="CB74" s="66"/>
    </row>
    <row r="75" spans="1:8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c r="BI75" s="66"/>
      <c r="BJ75" s="66"/>
      <c r="BK75" s="66"/>
      <c r="BL75" s="66"/>
      <c r="BM75" s="66"/>
      <c r="BN75" s="66"/>
      <c r="BO75" s="66"/>
      <c r="BP75" s="66"/>
      <c r="BQ75" s="66"/>
      <c r="BR75" s="66"/>
      <c r="BS75" s="66"/>
      <c r="BT75" s="66"/>
      <c r="BU75" s="66"/>
      <c r="BV75" s="66"/>
      <c r="BW75" s="66"/>
      <c r="BX75" s="66"/>
      <c r="BY75" s="66"/>
      <c r="BZ75" s="66"/>
      <c r="CA75" s="66"/>
      <c r="CB75" s="66"/>
    </row>
    <row r="76" spans="1:8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c r="BI76" s="66"/>
      <c r="BJ76" s="66"/>
      <c r="BK76" s="66"/>
      <c r="BL76" s="66"/>
      <c r="BM76" s="66"/>
      <c r="BN76" s="66"/>
      <c r="BO76" s="66"/>
      <c r="BP76" s="66"/>
      <c r="BQ76" s="66"/>
      <c r="BR76" s="66"/>
      <c r="BS76" s="66"/>
      <c r="BT76" s="66"/>
      <c r="BU76" s="66"/>
      <c r="BV76" s="66"/>
      <c r="BW76" s="66"/>
      <c r="BX76" s="66"/>
      <c r="BY76" s="66"/>
      <c r="BZ76" s="66"/>
      <c r="CA76" s="66"/>
      <c r="CB76" s="66"/>
    </row>
    <row r="77" spans="1:8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c r="BI77" s="66"/>
      <c r="BJ77" s="66"/>
      <c r="BK77" s="66"/>
      <c r="BL77" s="66"/>
      <c r="BM77" s="66"/>
      <c r="BN77" s="66"/>
      <c r="BO77" s="66"/>
      <c r="BP77" s="66"/>
      <c r="BQ77" s="66"/>
      <c r="BR77" s="66"/>
      <c r="BS77" s="66"/>
      <c r="BT77" s="66"/>
      <c r="BU77" s="66"/>
      <c r="BV77" s="66"/>
      <c r="BW77" s="66"/>
      <c r="BX77" s="66"/>
      <c r="BY77" s="66"/>
      <c r="BZ77" s="66"/>
      <c r="CA77" s="66"/>
      <c r="CB77" s="66"/>
    </row>
    <row r="78" spans="1:8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c r="BI78" s="66"/>
      <c r="BJ78" s="66"/>
      <c r="BK78" s="66"/>
      <c r="BL78" s="66"/>
      <c r="BM78" s="66"/>
      <c r="BN78" s="66"/>
      <c r="BO78" s="66"/>
      <c r="BP78" s="66"/>
      <c r="BQ78" s="66"/>
      <c r="BR78" s="66"/>
      <c r="BS78" s="66"/>
      <c r="BT78" s="66"/>
      <c r="BU78" s="66"/>
      <c r="BV78" s="66"/>
      <c r="BW78" s="66"/>
      <c r="BX78" s="66"/>
      <c r="BY78" s="66"/>
      <c r="BZ78" s="66"/>
      <c r="CA78" s="66"/>
      <c r="CB78" s="66"/>
    </row>
    <row r="79" spans="1:8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c r="BI79" s="66"/>
      <c r="BJ79" s="66"/>
      <c r="BK79" s="66"/>
    </row>
    <row r="80" spans="1:8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c r="BI80" s="66"/>
      <c r="BJ80" s="66"/>
      <c r="BK80" s="66"/>
    </row>
    <row r="81" spans="1:63"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c r="BI81" s="66"/>
      <c r="BJ81" s="66"/>
      <c r="BK81" s="66"/>
    </row>
    <row r="82" spans="1:63"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c r="BI82" s="66"/>
      <c r="BJ82" s="66"/>
      <c r="BK82" s="66"/>
    </row>
    <row r="83" spans="1:63"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c r="BI83" s="66"/>
      <c r="BJ83" s="66"/>
      <c r="BK83" s="66"/>
    </row>
    <row r="84" spans="1:63"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c r="BI84" s="66"/>
      <c r="BJ84" s="66"/>
      <c r="BK84" s="66"/>
    </row>
    <row r="85" spans="1:63"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c r="BI85" s="66"/>
      <c r="BJ85" s="66"/>
      <c r="BK85" s="66"/>
    </row>
    <row r="86" spans="1:63"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c r="BI86" s="66"/>
      <c r="BJ86" s="66"/>
      <c r="BK86" s="66"/>
    </row>
    <row r="87" spans="1:63"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c r="BI87" s="66"/>
      <c r="BJ87" s="66"/>
      <c r="BK87" s="66"/>
    </row>
    <row r="88" spans="1:63"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c r="BI88" s="66"/>
      <c r="BJ88" s="66"/>
      <c r="BK88" s="66"/>
    </row>
    <row r="89" spans="1:63"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c r="BI89" s="66"/>
      <c r="BJ89" s="66"/>
      <c r="BK89" s="66"/>
    </row>
    <row r="90" spans="1:63"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c r="BI90" s="66"/>
      <c r="BJ90" s="66"/>
      <c r="BK90" s="66"/>
    </row>
    <row r="91" spans="1:63"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c r="BI91" s="66"/>
      <c r="BJ91" s="66"/>
      <c r="BK91" s="66"/>
    </row>
    <row r="92" spans="1:63"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c r="BI92" s="66"/>
      <c r="BJ92" s="66"/>
      <c r="BK92" s="66"/>
    </row>
    <row r="93" spans="1:63"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c r="BI93" s="66"/>
      <c r="BJ93" s="66"/>
      <c r="BK93" s="66"/>
    </row>
    <row r="94" spans="1:63"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c r="BI94" s="66"/>
      <c r="BJ94" s="66"/>
      <c r="BK94" s="66"/>
    </row>
    <row r="95" spans="1:63"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c r="BI95" s="66"/>
      <c r="BJ95" s="66"/>
      <c r="BK95" s="66"/>
    </row>
    <row r="96" spans="1:63"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c r="BI96" s="66"/>
      <c r="BJ96" s="66"/>
      <c r="BK96" s="66"/>
    </row>
    <row r="97" spans="1:63"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c r="BI97" s="66"/>
      <c r="BJ97" s="66"/>
      <c r="BK97" s="66"/>
    </row>
    <row r="98" spans="1:63"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c r="BI98" s="66"/>
      <c r="BJ98" s="66"/>
      <c r="BK98" s="66"/>
    </row>
    <row r="99" spans="1:63"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c r="BI99" s="66"/>
      <c r="BJ99" s="66"/>
      <c r="BK99" s="66"/>
    </row>
    <row r="100" spans="1:63"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c r="BI100" s="66"/>
      <c r="BJ100" s="66"/>
      <c r="BK100" s="66"/>
    </row>
    <row r="101" spans="1:63"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c r="BI101" s="66"/>
      <c r="BJ101" s="66"/>
      <c r="BK101" s="66"/>
    </row>
    <row r="102" spans="1:63"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c r="BI102" s="66"/>
      <c r="BJ102" s="66"/>
      <c r="BK102" s="66"/>
    </row>
    <row r="103" spans="1:63"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c r="BI103" s="66"/>
      <c r="BJ103" s="66"/>
      <c r="BK103" s="66"/>
    </row>
    <row r="104" spans="1:63"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c r="BI104" s="66"/>
      <c r="BJ104" s="66"/>
      <c r="BK104" s="66"/>
    </row>
    <row r="105" spans="1:63"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c r="BI105" s="66"/>
      <c r="BJ105" s="66"/>
      <c r="BK105" s="66"/>
    </row>
    <row r="106" spans="1:63"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c r="BI106" s="66"/>
      <c r="BJ106" s="66"/>
      <c r="BK106" s="66"/>
    </row>
    <row r="107" spans="1:63"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c r="BI107" s="66"/>
      <c r="BJ107" s="66"/>
      <c r="BK107" s="66"/>
    </row>
    <row r="108" spans="1:63"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c r="BI108" s="66"/>
      <c r="BJ108" s="66"/>
      <c r="BK108" s="66"/>
    </row>
    <row r="109" spans="1:63"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c r="BI109" s="66"/>
      <c r="BJ109" s="66"/>
      <c r="BK109" s="66"/>
    </row>
    <row r="110" spans="1:63"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c r="BI110" s="66"/>
      <c r="BJ110" s="66"/>
      <c r="BK110" s="66"/>
    </row>
    <row r="111" spans="1:63"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c r="BI111" s="66"/>
      <c r="BJ111" s="66"/>
      <c r="BK111" s="66"/>
    </row>
    <row r="112" spans="1:63"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c r="BI112" s="66"/>
      <c r="BJ112" s="66"/>
      <c r="BK112" s="66"/>
    </row>
    <row r="113" spans="1:63"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c r="BI113" s="66"/>
      <c r="BJ113" s="66"/>
      <c r="BK113" s="66"/>
    </row>
    <row r="114" spans="1:63"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c r="BI114" s="66"/>
      <c r="BJ114" s="66"/>
      <c r="BK114" s="66"/>
    </row>
    <row r="115" spans="1:63"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c r="BI115" s="66"/>
      <c r="BJ115" s="66"/>
      <c r="BK115" s="66"/>
    </row>
    <row r="116" spans="1:63"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c r="BI116" s="66"/>
      <c r="BJ116" s="66"/>
      <c r="BK116" s="66"/>
    </row>
    <row r="117" spans="1:63"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c r="BI117" s="66"/>
      <c r="BJ117" s="66"/>
      <c r="BK117" s="66"/>
    </row>
    <row r="118" spans="1:63"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c r="BI118" s="66"/>
      <c r="BJ118" s="66"/>
      <c r="BK118" s="66"/>
    </row>
    <row r="119" spans="1:63"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c r="BI119" s="66"/>
      <c r="BJ119" s="66"/>
      <c r="BK119" s="66"/>
    </row>
    <row r="120" spans="1:63"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c r="BI120" s="66"/>
      <c r="BJ120" s="66"/>
      <c r="BK120" s="66"/>
    </row>
    <row r="121" spans="1:63"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c r="BI121" s="66"/>
      <c r="BJ121" s="66"/>
      <c r="BK121" s="66"/>
    </row>
    <row r="122" spans="1:63" x14ac:dyDescent="0.25">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c r="BI122" s="66"/>
      <c r="BJ122" s="66"/>
      <c r="BK122" s="66"/>
    </row>
    <row r="123" spans="1:63" x14ac:dyDescent="0.25">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c r="BI123" s="66"/>
      <c r="BJ123" s="66"/>
      <c r="BK123" s="66"/>
    </row>
    <row r="124" spans="1:63" x14ac:dyDescent="0.25">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c r="BI124" s="66"/>
      <c r="BJ124" s="66"/>
      <c r="BK124" s="66"/>
    </row>
    <row r="125" spans="1:63" x14ac:dyDescent="0.25">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c r="BI125" s="66"/>
      <c r="BJ125" s="66"/>
      <c r="BK125" s="66"/>
    </row>
    <row r="126" spans="1:63" x14ac:dyDescent="0.25">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c r="BI126" s="66"/>
      <c r="BJ126" s="66"/>
      <c r="BK126" s="66"/>
    </row>
    <row r="127" spans="1:63" x14ac:dyDescent="0.25">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c r="BI127" s="66"/>
      <c r="BJ127" s="66"/>
      <c r="BK127" s="66"/>
    </row>
    <row r="128" spans="1:63" x14ac:dyDescent="0.25">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c r="BI128" s="66"/>
      <c r="BJ128" s="66"/>
      <c r="BK128" s="66"/>
    </row>
    <row r="129" spans="2:63" x14ac:dyDescent="0.25">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c r="BI129" s="66"/>
      <c r="BJ129" s="66"/>
      <c r="BK129" s="66"/>
    </row>
    <row r="130" spans="2:63" x14ac:dyDescent="0.25">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c r="BI130" s="66"/>
      <c r="BJ130" s="66"/>
      <c r="BK130" s="66"/>
    </row>
    <row r="131" spans="2:63" x14ac:dyDescent="0.25">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c r="BI131" s="66"/>
      <c r="BJ131" s="66"/>
      <c r="BK131" s="66"/>
    </row>
    <row r="132" spans="2:63" x14ac:dyDescent="0.25">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c r="BI132" s="66"/>
      <c r="BJ132" s="66"/>
      <c r="BK132" s="66"/>
    </row>
    <row r="133" spans="2:63" x14ac:dyDescent="0.25">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c r="BI133" s="66"/>
      <c r="BJ133" s="66"/>
      <c r="BK133" s="66"/>
    </row>
    <row r="134" spans="2:63" x14ac:dyDescent="0.25">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c r="BI134" s="66"/>
      <c r="BJ134" s="66"/>
      <c r="BK134" s="66"/>
    </row>
    <row r="135" spans="2:63" x14ac:dyDescent="0.25">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c r="BI135" s="66"/>
      <c r="BJ135" s="66"/>
      <c r="BK135" s="66"/>
    </row>
    <row r="136" spans="2:63" x14ac:dyDescent="0.25">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c r="BI136" s="66"/>
      <c r="BJ136" s="66"/>
      <c r="BK136" s="66"/>
    </row>
    <row r="137" spans="2:63" x14ac:dyDescent="0.25">
      <c r="B137" s="66"/>
      <c r="C137" s="66"/>
      <c r="D137" s="66"/>
      <c r="E137" s="66"/>
      <c r="F137" s="66"/>
      <c r="G137" s="66"/>
      <c r="H137" s="66"/>
      <c r="I137" s="66"/>
    </row>
    <row r="138" spans="2:63" x14ac:dyDescent="0.25">
      <c r="B138" s="66"/>
      <c r="C138" s="66"/>
      <c r="D138" s="66"/>
      <c r="E138" s="66"/>
      <c r="F138" s="66"/>
      <c r="G138" s="66"/>
      <c r="H138" s="66"/>
      <c r="I138" s="66"/>
    </row>
    <row r="139" spans="2:63" x14ac:dyDescent="0.25">
      <c r="B139" s="66"/>
      <c r="C139" s="66"/>
      <c r="D139" s="66"/>
      <c r="E139" s="66"/>
      <c r="F139" s="66"/>
      <c r="G139" s="66"/>
      <c r="H139" s="66"/>
      <c r="I139" s="66"/>
    </row>
    <row r="140" spans="2:63" x14ac:dyDescent="0.25">
      <c r="B140" s="66"/>
      <c r="C140" s="66"/>
      <c r="D140" s="66"/>
      <c r="E140" s="66"/>
      <c r="F140" s="66"/>
      <c r="G140" s="66"/>
      <c r="H140" s="66"/>
      <c r="I140" s="66"/>
    </row>
  </sheetData>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M248"/>
  <sheetViews>
    <sheetView topLeftCell="A3" zoomScale="40" zoomScaleNormal="40" workbookViewId="0">
      <selection activeCell="BB31" sqref="BB31"/>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66"/>
      <c r="B1" s="66"/>
      <c r="C1" s="66"/>
      <c r="D1" s="66"/>
      <c r="E1" s="66"/>
      <c r="F1" s="66"/>
      <c r="G1" s="66"/>
      <c r="H1" s="66"/>
      <c r="I1" s="66"/>
      <c r="J1" s="66"/>
      <c r="K1" s="66"/>
      <c r="L1" s="66"/>
      <c r="M1" s="66"/>
      <c r="N1" s="66"/>
      <c r="O1" s="66"/>
      <c r="P1" s="66"/>
      <c r="Q1" s="66"/>
      <c r="R1" s="66"/>
      <c r="S1" s="66"/>
      <c r="T1" s="66"/>
      <c r="U1" s="66"/>
      <c r="V1" s="66"/>
      <c r="W1" s="66"/>
      <c r="X1" s="66"/>
      <c r="Y1" s="66"/>
      <c r="Z1" s="66"/>
      <c r="AA1" s="66"/>
      <c r="AB1" s="66"/>
      <c r="AC1" s="66"/>
      <c r="AD1" s="66"/>
      <c r="AE1" s="66"/>
      <c r="AF1" s="66"/>
      <c r="AG1" s="66"/>
      <c r="AH1" s="66"/>
      <c r="AI1" s="66"/>
      <c r="AJ1" s="66"/>
      <c r="AK1" s="66"/>
      <c r="AL1" s="66"/>
      <c r="AM1" s="66"/>
      <c r="AN1" s="66"/>
      <c r="AO1" s="66"/>
      <c r="AP1" s="66"/>
      <c r="AQ1" s="66"/>
      <c r="AR1" s="66"/>
      <c r="AS1" s="66"/>
      <c r="AT1" s="66"/>
      <c r="AU1" s="66"/>
      <c r="AV1" s="66"/>
      <c r="AW1" s="66"/>
      <c r="AX1" s="66"/>
      <c r="AY1" s="66"/>
      <c r="AZ1" s="66"/>
      <c r="BA1" s="66"/>
      <c r="BB1" s="66"/>
      <c r="BC1" s="66"/>
      <c r="BD1" s="66"/>
      <c r="BE1" s="66"/>
      <c r="BF1" s="66"/>
      <c r="BG1" s="66"/>
      <c r="BH1" s="66"/>
      <c r="BI1" s="66"/>
      <c r="BJ1" s="66"/>
      <c r="BK1" s="66"/>
      <c r="BL1" s="66"/>
      <c r="BM1" s="66"/>
      <c r="BN1" s="66"/>
      <c r="BO1" s="66"/>
      <c r="BP1" s="66"/>
      <c r="BQ1" s="66"/>
      <c r="BR1" s="66"/>
      <c r="BS1" s="66"/>
      <c r="BT1" s="66"/>
      <c r="BU1" s="66"/>
      <c r="BV1" s="66"/>
      <c r="BW1" s="66"/>
      <c r="BX1" s="66"/>
      <c r="BY1" s="66"/>
      <c r="BZ1" s="66"/>
      <c r="CA1" s="66"/>
      <c r="CB1" s="66"/>
      <c r="CC1" s="66"/>
      <c r="CD1" s="66"/>
      <c r="CE1" s="66"/>
      <c r="CF1" s="66"/>
      <c r="CG1" s="66"/>
      <c r="CH1" s="66"/>
      <c r="CI1" s="66"/>
      <c r="CJ1" s="66"/>
      <c r="CK1" s="66"/>
      <c r="CL1" s="66"/>
      <c r="CM1" s="66"/>
    </row>
    <row r="2" spans="1:91" ht="18" customHeight="1" x14ac:dyDescent="0.25">
      <c r="A2" s="66"/>
      <c r="B2" s="637" t="s">
        <v>499</v>
      </c>
      <c r="C2" s="638"/>
      <c r="D2" s="638"/>
      <c r="E2" s="638"/>
      <c r="F2" s="638"/>
      <c r="G2" s="638"/>
      <c r="H2" s="638"/>
      <c r="I2" s="638"/>
      <c r="J2" s="579" t="s">
        <v>15</v>
      </c>
      <c r="K2" s="579"/>
      <c r="L2" s="579"/>
      <c r="M2" s="579"/>
      <c r="N2" s="579"/>
      <c r="O2" s="579"/>
      <c r="P2" s="579"/>
      <c r="Q2" s="579"/>
      <c r="R2" s="579"/>
      <c r="S2" s="579"/>
      <c r="T2" s="579"/>
      <c r="U2" s="579"/>
      <c r="V2" s="579"/>
      <c r="W2" s="579"/>
      <c r="X2" s="579"/>
      <c r="Y2" s="579"/>
      <c r="Z2" s="579"/>
      <c r="AA2" s="579"/>
      <c r="AB2" s="579"/>
      <c r="AC2" s="579"/>
      <c r="AD2" s="579"/>
      <c r="AE2" s="579"/>
      <c r="AF2" s="579"/>
      <c r="AG2" s="579"/>
      <c r="AH2" s="579"/>
      <c r="AI2" s="579"/>
      <c r="AJ2" s="579"/>
      <c r="AK2" s="579"/>
      <c r="AL2" s="579"/>
      <c r="AM2" s="579"/>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row>
    <row r="3" spans="1:91" ht="18.75" customHeight="1" x14ac:dyDescent="0.25">
      <c r="A3" s="66"/>
      <c r="B3" s="638"/>
      <c r="C3" s="638"/>
      <c r="D3" s="638"/>
      <c r="E3" s="638"/>
      <c r="F3" s="638"/>
      <c r="G3" s="638"/>
      <c r="H3" s="638"/>
      <c r="I3" s="638"/>
      <c r="J3" s="579"/>
      <c r="K3" s="579"/>
      <c r="L3" s="579"/>
      <c r="M3" s="579"/>
      <c r="N3" s="579"/>
      <c r="O3" s="579"/>
      <c r="P3" s="579"/>
      <c r="Q3" s="579"/>
      <c r="R3" s="579"/>
      <c r="S3" s="579"/>
      <c r="T3" s="579"/>
      <c r="U3" s="579"/>
      <c r="V3" s="579"/>
      <c r="W3" s="579"/>
      <c r="X3" s="579"/>
      <c r="Y3" s="579"/>
      <c r="Z3" s="579"/>
      <c r="AA3" s="579"/>
      <c r="AB3" s="579"/>
      <c r="AC3" s="579"/>
      <c r="AD3" s="579"/>
      <c r="AE3" s="579"/>
      <c r="AF3" s="579"/>
      <c r="AG3" s="579"/>
      <c r="AH3" s="579"/>
      <c r="AI3" s="579"/>
      <c r="AJ3" s="579"/>
      <c r="AK3" s="579"/>
      <c r="AL3" s="579"/>
      <c r="AM3" s="579"/>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row>
    <row r="4" spans="1:91" ht="15" customHeight="1" x14ac:dyDescent="0.25">
      <c r="A4" s="66"/>
      <c r="B4" s="638"/>
      <c r="C4" s="638"/>
      <c r="D4" s="638"/>
      <c r="E4" s="638"/>
      <c r="F4" s="638"/>
      <c r="G4" s="638"/>
      <c r="H4" s="638"/>
      <c r="I4" s="638"/>
      <c r="J4" s="579"/>
      <c r="K4" s="579"/>
      <c r="L4" s="579"/>
      <c r="M4" s="579"/>
      <c r="N4" s="579"/>
      <c r="O4" s="579"/>
      <c r="P4" s="579"/>
      <c r="Q4" s="579"/>
      <c r="R4" s="579"/>
      <c r="S4" s="579"/>
      <c r="T4" s="579"/>
      <c r="U4" s="579"/>
      <c r="V4" s="579"/>
      <c r="W4" s="579"/>
      <c r="X4" s="579"/>
      <c r="Y4" s="579"/>
      <c r="Z4" s="579"/>
      <c r="AA4" s="579"/>
      <c r="AB4" s="579"/>
      <c r="AC4" s="579"/>
      <c r="AD4" s="579"/>
      <c r="AE4" s="579"/>
      <c r="AF4" s="579"/>
      <c r="AG4" s="579"/>
      <c r="AH4" s="579"/>
      <c r="AI4" s="579"/>
      <c r="AJ4" s="579"/>
      <c r="AK4" s="579"/>
      <c r="AL4" s="579"/>
      <c r="AM4" s="579"/>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row>
    <row r="5" spans="1:91" ht="15.75" thickBot="1" x14ac:dyDescent="0.3">
      <c r="A5" s="66"/>
      <c r="B5" s="66"/>
      <c r="C5" s="66"/>
      <c r="D5" s="66"/>
      <c r="E5" s="66"/>
      <c r="F5" s="66"/>
      <c r="G5" s="66"/>
      <c r="H5" s="66"/>
      <c r="I5" s="66"/>
      <c r="J5" s="66"/>
      <c r="K5" s="66"/>
      <c r="L5" s="66"/>
      <c r="M5" s="66"/>
      <c r="N5" s="66"/>
      <c r="O5" s="66"/>
      <c r="P5" s="66"/>
      <c r="Q5" s="66"/>
      <c r="R5" s="66"/>
      <c r="S5" s="66"/>
      <c r="T5" s="66"/>
      <c r="U5" s="66"/>
      <c r="V5" s="66"/>
      <c r="W5" s="66"/>
      <c r="X5" s="66"/>
      <c r="Y5" s="66"/>
      <c r="Z5" s="66"/>
      <c r="AA5" s="66"/>
      <c r="AB5" s="66"/>
      <c r="AC5" s="66"/>
      <c r="AD5" s="66"/>
      <c r="AE5" s="66"/>
      <c r="AF5" s="66"/>
      <c r="AG5" s="66"/>
      <c r="AH5" s="66"/>
      <c r="AI5" s="66"/>
      <c r="AJ5" s="66"/>
      <c r="AK5" s="66"/>
      <c r="AL5" s="66"/>
      <c r="AM5" s="66"/>
      <c r="AN5" s="66"/>
      <c r="AO5" s="66"/>
      <c r="AP5" s="66"/>
      <c r="AQ5" s="66"/>
      <c r="AR5" s="66"/>
      <c r="AS5" s="66"/>
      <c r="AT5" s="66"/>
      <c r="AU5" s="66"/>
      <c r="AV5" s="66"/>
      <c r="AW5" s="66"/>
      <c r="AX5" s="66"/>
      <c r="AY5" s="66"/>
      <c r="AZ5" s="66"/>
      <c r="BA5" s="66"/>
      <c r="BB5" s="66"/>
      <c r="BC5" s="66"/>
      <c r="BD5" s="66"/>
      <c r="BE5" s="66"/>
      <c r="BF5" s="66"/>
      <c r="BG5" s="66"/>
      <c r="BH5" s="66"/>
      <c r="BI5" s="66"/>
      <c r="BJ5" s="66"/>
      <c r="BK5" s="66"/>
      <c r="BL5" s="66"/>
      <c r="BM5" s="66"/>
      <c r="BN5" s="66"/>
      <c r="BO5" s="66"/>
      <c r="BP5" s="66"/>
      <c r="BQ5" s="66"/>
      <c r="BR5" s="66"/>
      <c r="BS5" s="66"/>
      <c r="BT5" s="66"/>
      <c r="BU5" s="66"/>
    </row>
    <row r="6" spans="1:91" ht="15" customHeight="1" x14ac:dyDescent="0.25">
      <c r="A6" s="66"/>
      <c r="B6" s="526" t="s">
        <v>484</v>
      </c>
      <c r="C6" s="526"/>
      <c r="D6" s="527"/>
      <c r="E6" s="621" t="s">
        <v>485</v>
      </c>
      <c r="F6" s="622"/>
      <c r="G6" s="622"/>
      <c r="H6" s="622"/>
      <c r="I6" s="639"/>
      <c r="J6" s="29" t="str">
        <f>IF(AND('Riesgos de Gestión'!$AI$13="Muy Alta",'Riesgos de Gestión'!$AK$13="Leve"),CONCATENATE("R1C",'Riesgos de Gestión'!$V$13),"")</f>
        <v/>
      </c>
      <c r="K6" s="30" t="str">
        <f>IF(AND('Riesgos de Gestión'!$AI$14="Muy Alta",'Riesgos de Gestión'!$AK$14="Leve"),CONCATENATE("R1C",'Riesgos de Gestión'!$V$14),"")</f>
        <v/>
      </c>
      <c r="L6" s="30" t="e">
        <f>IF(AND('Riesgos de Gestión'!#REF!="Muy Alta",'Riesgos de Gestión'!#REF!="Leve"),CONCATENATE("R1C",'Riesgos de Gestión'!#REF!),"")</f>
        <v>#REF!</v>
      </c>
      <c r="M6" s="30" t="e">
        <f>IF(AND('Riesgos de Gestión'!#REF!="Muy Alta",'Riesgos de Gestión'!#REF!="Leve"),CONCATENATE("R1C",'Riesgos de Gestión'!#REF!),"")</f>
        <v>#REF!</v>
      </c>
      <c r="N6" s="30" t="e">
        <f>IF(AND('Riesgos de Gestión'!#REF!="Muy Alta",'Riesgos de Gestión'!#REF!="Leve"),CONCATENATE("R1C",'Riesgos de Gestión'!#REF!),"")</f>
        <v>#REF!</v>
      </c>
      <c r="O6" s="31" t="e">
        <f>IF(AND('Riesgos de Gestión'!#REF!="Muy Alta",'Riesgos de Gestión'!#REF!="Leve"),CONCATENATE("R1C",'Riesgos de Gestión'!#REF!),"")</f>
        <v>#REF!</v>
      </c>
      <c r="P6" s="29" t="str">
        <f>IF(AND('Riesgos de Gestión'!$AI$13="Muy Alta",'Riesgos de Gestión'!$AK$13="Menor"),CONCATENATE("R1C",'Riesgos de Gestión'!$V$13),"")</f>
        <v/>
      </c>
      <c r="Q6" s="30" t="str">
        <f>IF(AND('Riesgos de Gestión'!$AI$14="Muy Alta",'Riesgos de Gestión'!$AK$14="Menor"),CONCATENATE("R1C",'Riesgos de Gestión'!$V$14),"")</f>
        <v/>
      </c>
      <c r="R6" s="30" t="e">
        <f>IF(AND('Riesgos de Gestión'!#REF!="Muy Alta",'Riesgos de Gestión'!#REF!="Menor"),CONCATENATE("R1C",'Riesgos de Gestión'!#REF!),"")</f>
        <v>#REF!</v>
      </c>
      <c r="S6" s="30" t="e">
        <f>IF(AND('Riesgos de Gestión'!#REF!="Muy Alta",'Riesgos de Gestión'!#REF!="Menor"),CONCATENATE("R1C",'Riesgos de Gestión'!#REF!),"")</f>
        <v>#REF!</v>
      </c>
      <c r="T6" s="30" t="e">
        <f>IF(AND('Riesgos de Gestión'!#REF!="Muy Alta",'Riesgos de Gestión'!#REF!="Menor"),CONCATENATE("R1C",'Riesgos de Gestión'!#REF!),"")</f>
        <v>#REF!</v>
      </c>
      <c r="U6" s="31" t="e">
        <f>IF(AND('Riesgos de Gestión'!#REF!="Muy Alta",'Riesgos de Gestión'!#REF!="Menor"),CONCATENATE("R1C",'Riesgos de Gestión'!#REF!),"")</f>
        <v>#REF!</v>
      </c>
      <c r="V6" s="29" t="str">
        <f>IF(AND('Riesgos de Gestión'!$AI$13="Muy Alta",'Riesgos de Gestión'!$AK$13="Moderado"),CONCATENATE("R1C",'Riesgos de Gestión'!$V$13),"")</f>
        <v/>
      </c>
      <c r="W6" s="30" t="str">
        <f>IF(AND('Riesgos de Gestión'!$AI$14="Muy Alta",'Riesgos de Gestión'!$AK$14="Moderado"),CONCATENATE("R1C",'Riesgos de Gestión'!$V$14),"")</f>
        <v/>
      </c>
      <c r="X6" s="30" t="e">
        <f>IF(AND('Riesgos de Gestión'!#REF!="Muy Alta",'Riesgos de Gestión'!#REF!="Moderado"),CONCATENATE("R1C",'Riesgos de Gestión'!#REF!),"")</f>
        <v>#REF!</v>
      </c>
      <c r="Y6" s="30" t="e">
        <f>IF(AND('Riesgos de Gestión'!#REF!="Muy Alta",'Riesgos de Gestión'!#REF!="Moderado"),CONCATENATE("R1C",'Riesgos de Gestión'!#REF!),"")</f>
        <v>#REF!</v>
      </c>
      <c r="Z6" s="30" t="e">
        <f>IF(AND('Riesgos de Gestión'!#REF!="Muy Alta",'Riesgos de Gestión'!#REF!="Moderado"),CONCATENATE("R1C",'Riesgos de Gestión'!#REF!),"")</f>
        <v>#REF!</v>
      </c>
      <c r="AA6" s="31" t="e">
        <f>IF(AND('Riesgos de Gestión'!#REF!="Muy Alta",'Riesgos de Gestión'!#REF!="Moderado"),CONCATENATE("R1C",'Riesgos de Gestión'!#REF!),"")</f>
        <v>#REF!</v>
      </c>
      <c r="AB6" s="29" t="str">
        <f>IF(AND('Riesgos de Gestión'!$AI$13="Muy Alta",'Riesgos de Gestión'!$AK$13="Mayor"),CONCATENATE("R1C",'Riesgos de Gestión'!$V$13),"")</f>
        <v/>
      </c>
      <c r="AC6" s="30" t="str">
        <f>IF(AND('Riesgos de Gestión'!$AI$14="Muy Alta",'Riesgos de Gestión'!$AK$14="Mayor"),CONCATENATE("R1C",'Riesgos de Gestión'!$V$14),"")</f>
        <v/>
      </c>
      <c r="AD6" s="30" t="e">
        <f>IF(AND('Riesgos de Gestión'!#REF!="Muy Alta",'Riesgos de Gestión'!#REF!="Mayor"),CONCATENATE("R1C",'Riesgos de Gestión'!#REF!),"")</f>
        <v>#REF!</v>
      </c>
      <c r="AE6" s="30" t="e">
        <f>IF(AND('Riesgos de Gestión'!#REF!="Muy Alta",'Riesgos de Gestión'!#REF!="Mayor"),CONCATENATE("R1C",'Riesgos de Gestión'!#REF!),"")</f>
        <v>#REF!</v>
      </c>
      <c r="AF6" s="30" t="e">
        <f>IF(AND('Riesgos de Gestión'!#REF!="Muy Alta",'Riesgos de Gestión'!#REF!="Mayor"),CONCATENATE("R1C",'Riesgos de Gestión'!#REF!),"")</f>
        <v>#REF!</v>
      </c>
      <c r="AG6" s="31" t="e">
        <f>IF(AND('Riesgos de Gestión'!#REF!="Muy Alta",'Riesgos de Gestión'!#REF!="Mayor"),CONCATENATE("R1C",'Riesgos de Gestión'!#REF!),"")</f>
        <v>#REF!</v>
      </c>
      <c r="AH6" s="32" t="str">
        <f>IF(AND('Riesgos de Gestión'!$AI$13="Muy Alta",'Riesgos de Gestión'!$AK$13="Catastrófico"),CONCATENATE("R1C",'Riesgos de Gestión'!$V$13),"")</f>
        <v/>
      </c>
      <c r="AI6" s="33" t="str">
        <f>IF(AND('Riesgos de Gestión'!$AI$14="Muy Alta",'Riesgos de Gestión'!$AK$14="Catastrófico"),CONCATENATE("R1C",'Riesgos de Gestión'!$V$14),"")</f>
        <v/>
      </c>
      <c r="AJ6" s="33" t="e">
        <f>IF(AND('Riesgos de Gestión'!#REF!="Muy Alta",'Riesgos de Gestión'!#REF!="Catastrófico"),CONCATENATE("R1C",'Riesgos de Gestión'!#REF!),"")</f>
        <v>#REF!</v>
      </c>
      <c r="AK6" s="33" t="e">
        <f>IF(AND('Riesgos de Gestión'!#REF!="Muy Alta",'Riesgos de Gestión'!#REF!="Catastrófico"),CONCATENATE("R1C",'Riesgos de Gestión'!#REF!),"")</f>
        <v>#REF!</v>
      </c>
      <c r="AL6" s="33" t="e">
        <f>IF(AND('Riesgos de Gestión'!#REF!="Muy Alta",'Riesgos de Gestión'!#REF!="Catastrófico"),CONCATENATE("R1C",'Riesgos de Gestión'!#REF!),"")</f>
        <v>#REF!</v>
      </c>
      <c r="AM6" s="34" t="e">
        <f>IF(AND('Riesgos de Gestión'!#REF!="Muy Alta",'Riesgos de Gestión'!#REF!="Catastrófico"),CONCATENATE("R1C",'Riesgos de Gestión'!#REF!),"")</f>
        <v>#REF!</v>
      </c>
      <c r="AN6" s="66"/>
      <c r="AO6" s="628" t="s">
        <v>486</v>
      </c>
      <c r="AP6" s="629"/>
      <c r="AQ6" s="629"/>
      <c r="AR6" s="629"/>
      <c r="AS6" s="629"/>
      <c r="AT6" s="630"/>
      <c r="AU6" s="66"/>
      <c r="AV6" s="66"/>
      <c r="AW6" s="66"/>
      <c r="AX6" s="66"/>
      <c r="AY6" s="66"/>
      <c r="AZ6" s="66"/>
      <c r="BA6" s="66"/>
      <c r="BB6" s="66"/>
      <c r="BC6" s="66"/>
      <c r="BD6" s="66"/>
      <c r="BE6" s="66"/>
      <c r="BF6" s="66"/>
      <c r="BG6" s="66"/>
      <c r="BH6" s="66"/>
      <c r="BI6" s="66"/>
      <c r="BJ6" s="66"/>
      <c r="BK6" s="66"/>
      <c r="BL6" s="66"/>
      <c r="BM6" s="66"/>
      <c r="BN6" s="66"/>
      <c r="BO6" s="66"/>
      <c r="BP6" s="66"/>
      <c r="BQ6" s="66"/>
      <c r="BR6" s="66"/>
      <c r="BS6" s="66"/>
      <c r="BT6" s="66"/>
      <c r="BU6" s="66"/>
      <c r="BV6" s="66"/>
      <c r="BW6" s="66"/>
      <c r="BX6" s="66"/>
    </row>
    <row r="7" spans="1:91" ht="15" customHeight="1" x14ac:dyDescent="0.25">
      <c r="A7" s="66"/>
      <c r="B7" s="526"/>
      <c r="C7" s="526"/>
      <c r="D7" s="527"/>
      <c r="E7" s="625"/>
      <c r="F7" s="624"/>
      <c r="G7" s="624"/>
      <c r="H7" s="624"/>
      <c r="I7" s="640"/>
      <c r="J7" s="35" t="str">
        <f>IF(AND('Riesgos de Gestión'!$AI$15="Muy Alta",'Riesgos de Gestión'!$AK$15="Leve"),CONCATENATE("R2C",'Riesgos de Gestión'!$V$15),"")</f>
        <v/>
      </c>
      <c r="K7" s="36" t="str">
        <f>IF(AND('Riesgos de Gestión'!$AI$16="Muy Alta",'Riesgos de Gestión'!$AK$16="Leve"),CONCATENATE("R2C",'Riesgos de Gestión'!$V$16),"")</f>
        <v/>
      </c>
      <c r="L7" s="36" t="e">
        <f>IF(AND('Riesgos de Gestión'!#REF!="Muy Alta",'Riesgos de Gestión'!#REF!="Leve"),CONCATENATE("R2C",'Riesgos de Gestión'!#REF!),"")</f>
        <v>#REF!</v>
      </c>
      <c r="M7" s="36" t="e">
        <f>IF(AND('Riesgos de Gestión'!#REF!="Muy Alta",'Riesgos de Gestión'!#REF!="Leve"),CONCATENATE("R2C",'Riesgos de Gestión'!#REF!),"")</f>
        <v>#REF!</v>
      </c>
      <c r="N7" s="36" t="e">
        <f>IF(AND('Riesgos de Gestión'!#REF!="Muy Alta",'Riesgos de Gestión'!#REF!="Leve"),CONCATENATE("R2C",'Riesgos de Gestión'!#REF!),"")</f>
        <v>#REF!</v>
      </c>
      <c r="O7" s="37" t="e">
        <f>IF(AND('Riesgos de Gestión'!#REF!="Muy Alta",'Riesgos de Gestión'!#REF!="Leve"),CONCATENATE("R2C",'Riesgos de Gestión'!#REF!),"")</f>
        <v>#REF!</v>
      </c>
      <c r="P7" s="35" t="str">
        <f>IF(AND('Riesgos de Gestión'!$AI$15="Muy Alta",'Riesgos de Gestión'!$AK$15="Menor"),CONCATENATE("R2C",'Riesgos de Gestión'!$V$15),"")</f>
        <v/>
      </c>
      <c r="Q7" s="36" t="str">
        <f>IF(AND('Riesgos de Gestión'!$AI$16="Muy Alta",'Riesgos de Gestión'!$AK$16="Menor"),CONCATENATE("R2C",'Riesgos de Gestión'!$V$16),"")</f>
        <v/>
      </c>
      <c r="R7" s="36" t="e">
        <f>IF(AND('Riesgos de Gestión'!#REF!="Muy Alta",'Riesgos de Gestión'!#REF!="Menor"),CONCATENATE("R2C",'Riesgos de Gestión'!#REF!),"")</f>
        <v>#REF!</v>
      </c>
      <c r="S7" s="36" t="e">
        <f>IF(AND('Riesgos de Gestión'!#REF!="Muy Alta",'Riesgos de Gestión'!#REF!="Menor"),CONCATENATE("R2C",'Riesgos de Gestión'!#REF!),"")</f>
        <v>#REF!</v>
      </c>
      <c r="T7" s="36" t="e">
        <f>IF(AND('Riesgos de Gestión'!#REF!="Muy Alta",'Riesgos de Gestión'!#REF!="Menor"),CONCATENATE("R2C",'Riesgos de Gestión'!#REF!),"")</f>
        <v>#REF!</v>
      </c>
      <c r="U7" s="37" t="e">
        <f>IF(AND('Riesgos de Gestión'!#REF!="Muy Alta",'Riesgos de Gestión'!#REF!="Menor"),CONCATENATE("R2C",'Riesgos de Gestión'!#REF!),"")</f>
        <v>#REF!</v>
      </c>
      <c r="V7" s="35" t="str">
        <f>IF(AND('Riesgos de Gestión'!$AI$15="Muy Alta",'Riesgos de Gestión'!$AK$15="Moderado"),CONCATENATE("R2C",'Riesgos de Gestión'!$V$15),"")</f>
        <v/>
      </c>
      <c r="W7" s="36" t="str">
        <f>IF(AND('Riesgos de Gestión'!$AI$16="Muy Alta",'Riesgos de Gestión'!$AK$16="Moderado"),CONCATENATE("R2C",'Riesgos de Gestión'!$V$16),"")</f>
        <v/>
      </c>
      <c r="X7" s="36" t="e">
        <f>IF(AND('Riesgos de Gestión'!#REF!="Muy Alta",'Riesgos de Gestión'!#REF!="Moderado"),CONCATENATE("R2C",'Riesgos de Gestión'!#REF!),"")</f>
        <v>#REF!</v>
      </c>
      <c r="Y7" s="36" t="e">
        <f>IF(AND('Riesgos de Gestión'!#REF!="Muy Alta",'Riesgos de Gestión'!#REF!="Moderado"),CONCATENATE("R2C",'Riesgos de Gestión'!#REF!),"")</f>
        <v>#REF!</v>
      </c>
      <c r="Z7" s="36" t="e">
        <f>IF(AND('Riesgos de Gestión'!#REF!="Muy Alta",'Riesgos de Gestión'!#REF!="Moderado"),CONCATENATE("R2C",'Riesgos de Gestión'!#REF!),"")</f>
        <v>#REF!</v>
      </c>
      <c r="AA7" s="37" t="e">
        <f>IF(AND('Riesgos de Gestión'!#REF!="Muy Alta",'Riesgos de Gestión'!#REF!="Moderado"),CONCATENATE("R2C",'Riesgos de Gestión'!#REF!),"")</f>
        <v>#REF!</v>
      </c>
      <c r="AB7" s="35" t="str">
        <f>IF(AND('Riesgos de Gestión'!$AI$15="Muy Alta",'Riesgos de Gestión'!$AK$15="Mayor"),CONCATENATE("R2C",'Riesgos de Gestión'!$V$15),"")</f>
        <v/>
      </c>
      <c r="AC7" s="36" t="str">
        <f>IF(AND('Riesgos de Gestión'!$AI$16="Muy Alta",'Riesgos de Gestión'!$AK$16="Mayor"),CONCATENATE("R2C",'Riesgos de Gestión'!$V$16),"")</f>
        <v/>
      </c>
      <c r="AD7" s="36" t="e">
        <f>IF(AND('Riesgos de Gestión'!#REF!="Muy Alta",'Riesgos de Gestión'!#REF!="Mayor"),CONCATENATE("R2C",'Riesgos de Gestión'!#REF!),"")</f>
        <v>#REF!</v>
      </c>
      <c r="AE7" s="36" t="e">
        <f>IF(AND('Riesgos de Gestión'!#REF!="Muy Alta",'Riesgos de Gestión'!#REF!="Mayor"),CONCATENATE("R2C",'Riesgos de Gestión'!#REF!),"")</f>
        <v>#REF!</v>
      </c>
      <c r="AF7" s="36" t="e">
        <f>IF(AND('Riesgos de Gestión'!#REF!="Muy Alta",'Riesgos de Gestión'!#REF!="Mayor"),CONCATENATE("R2C",'Riesgos de Gestión'!#REF!),"")</f>
        <v>#REF!</v>
      </c>
      <c r="AG7" s="37" t="e">
        <f>IF(AND('Riesgos de Gestión'!#REF!="Muy Alta",'Riesgos de Gestión'!#REF!="Mayor"),CONCATENATE("R2C",'Riesgos de Gestión'!#REF!),"")</f>
        <v>#REF!</v>
      </c>
      <c r="AH7" s="38" t="str">
        <f>IF(AND('Riesgos de Gestión'!$AI$15="Muy Alta",'Riesgos de Gestión'!$AK$15="Catastrófico"),CONCATENATE("R2C",'Riesgos de Gestión'!$V$15),"")</f>
        <v/>
      </c>
      <c r="AI7" s="39" t="str">
        <f>IF(AND('Riesgos de Gestión'!$AI$16="Muy Alta",'Riesgos de Gestión'!$AK$16="Catastrófico"),CONCATENATE("R2C",'Riesgos de Gestión'!$V$16),"")</f>
        <v/>
      </c>
      <c r="AJ7" s="39" t="e">
        <f>IF(AND('Riesgos de Gestión'!#REF!="Muy Alta",'Riesgos de Gestión'!#REF!="Catastrófico"),CONCATENATE("R2C",'Riesgos de Gestión'!#REF!),"")</f>
        <v>#REF!</v>
      </c>
      <c r="AK7" s="39" t="e">
        <f>IF(AND('Riesgos de Gestión'!#REF!="Muy Alta",'Riesgos de Gestión'!#REF!="Catastrófico"),CONCATENATE("R2C",'Riesgos de Gestión'!#REF!),"")</f>
        <v>#REF!</v>
      </c>
      <c r="AL7" s="39" t="e">
        <f>IF(AND('Riesgos de Gestión'!#REF!="Muy Alta",'Riesgos de Gestión'!#REF!="Catastrófico"),CONCATENATE("R2C",'Riesgos de Gestión'!#REF!),"")</f>
        <v>#REF!</v>
      </c>
      <c r="AM7" s="40" t="e">
        <f>IF(AND('Riesgos de Gestión'!#REF!="Muy Alta",'Riesgos de Gestión'!#REF!="Catastrófico"),CONCATENATE("R2C",'Riesgos de Gestión'!#REF!),"")</f>
        <v>#REF!</v>
      </c>
      <c r="AN7" s="66"/>
      <c r="AO7" s="631"/>
      <c r="AP7" s="632"/>
      <c r="AQ7" s="632"/>
      <c r="AR7" s="632"/>
      <c r="AS7" s="632"/>
      <c r="AT7" s="633"/>
      <c r="AU7" s="66"/>
      <c r="AV7" s="66"/>
      <c r="AW7" s="66"/>
      <c r="AX7" s="66"/>
      <c r="AY7" s="66"/>
      <c r="AZ7" s="66"/>
      <c r="BA7" s="66"/>
      <c r="BB7" s="66"/>
      <c r="BC7" s="66"/>
      <c r="BD7" s="66"/>
      <c r="BE7" s="66"/>
      <c r="BF7" s="66"/>
      <c r="BG7" s="66"/>
      <c r="BH7" s="66"/>
      <c r="BI7" s="66"/>
      <c r="BJ7" s="66"/>
      <c r="BK7" s="66"/>
      <c r="BL7" s="66"/>
      <c r="BM7" s="66"/>
      <c r="BN7" s="66"/>
      <c r="BO7" s="66"/>
      <c r="BP7" s="66"/>
      <c r="BQ7" s="66"/>
      <c r="BR7" s="66"/>
      <c r="BS7" s="66"/>
      <c r="BT7" s="66"/>
      <c r="BU7" s="66"/>
      <c r="BV7" s="66"/>
      <c r="BW7" s="66"/>
      <c r="BX7" s="66"/>
    </row>
    <row r="8" spans="1:91" ht="15" customHeight="1" x14ac:dyDescent="0.25">
      <c r="A8" s="66"/>
      <c r="B8" s="526"/>
      <c r="C8" s="526"/>
      <c r="D8" s="527"/>
      <c r="E8" s="625"/>
      <c r="F8" s="624"/>
      <c r="G8" s="624"/>
      <c r="H8" s="624"/>
      <c r="I8" s="640"/>
      <c r="J8" s="35" t="str">
        <f>IF(AND('Riesgos de Gestión'!$AI$17="Muy Alta",'Riesgos de Gestión'!$AK$17="Leve"),CONCATENATE("R3C",'Riesgos de Gestión'!$V$17),"")</f>
        <v/>
      </c>
      <c r="K8" s="36" t="str">
        <f>IF(AND('Riesgos de Gestión'!$AI$18="Muy Alta",'Riesgos de Gestión'!$AK$18="Leve"),CONCATENATE("R3C",'Riesgos de Gestión'!$V$18),"")</f>
        <v/>
      </c>
      <c r="L8" s="36" t="str">
        <f>IF(AND('Riesgos de Gestión'!$AI$19="Muy Alta",'Riesgos de Gestión'!$AK$19="Leve"),CONCATENATE("R3C",'Riesgos de Gestión'!$V$19),"")</f>
        <v/>
      </c>
      <c r="M8" s="36" t="e">
        <f>IF(AND('Riesgos de Gestión'!#REF!="Muy Alta",'Riesgos de Gestión'!#REF!="Leve"),CONCATENATE("R3C",'Riesgos de Gestión'!#REF!),"")</f>
        <v>#REF!</v>
      </c>
      <c r="N8" s="36" t="e">
        <f>IF(AND('Riesgos de Gestión'!#REF!="Muy Alta",'Riesgos de Gestión'!#REF!="Leve"),CONCATENATE("R3C",'Riesgos de Gestión'!#REF!),"")</f>
        <v>#REF!</v>
      </c>
      <c r="O8" s="37" t="e">
        <f>IF(AND('Riesgos de Gestión'!#REF!="Muy Alta",'Riesgos de Gestión'!#REF!="Leve"),CONCATENATE("R3C",'Riesgos de Gestión'!#REF!),"")</f>
        <v>#REF!</v>
      </c>
      <c r="P8" s="35" t="str">
        <f>IF(AND('Riesgos de Gestión'!$AI$17="Muy Alta",'Riesgos de Gestión'!$AK$17="Menor"),CONCATENATE("R3C",'Riesgos de Gestión'!$V$17),"")</f>
        <v/>
      </c>
      <c r="Q8" s="36" t="str">
        <f>IF(AND('Riesgos de Gestión'!$AI$18="Muy Alta",'Riesgos de Gestión'!$AK$18="Menor"),CONCATENATE("R3C",'Riesgos de Gestión'!$V$18),"")</f>
        <v/>
      </c>
      <c r="R8" s="36" t="str">
        <f>IF(AND('Riesgos de Gestión'!$AI$19="Muy Alta",'Riesgos de Gestión'!$AK$19="Menor"),CONCATENATE("R3C",'Riesgos de Gestión'!$V$19),"")</f>
        <v/>
      </c>
      <c r="S8" s="36" t="e">
        <f>IF(AND('Riesgos de Gestión'!#REF!="Muy Alta",'Riesgos de Gestión'!#REF!="Menor"),CONCATENATE("R3C",'Riesgos de Gestión'!#REF!),"")</f>
        <v>#REF!</v>
      </c>
      <c r="T8" s="36" t="e">
        <f>IF(AND('Riesgos de Gestión'!#REF!="Muy Alta",'Riesgos de Gestión'!#REF!="Menor"),CONCATENATE("R3C",'Riesgos de Gestión'!#REF!),"")</f>
        <v>#REF!</v>
      </c>
      <c r="U8" s="37" t="e">
        <f>IF(AND('Riesgos de Gestión'!#REF!="Muy Alta",'Riesgos de Gestión'!#REF!="Menor"),CONCATENATE("R3C",'Riesgos de Gestión'!#REF!),"")</f>
        <v>#REF!</v>
      </c>
      <c r="V8" s="35" t="str">
        <f>IF(AND('Riesgos de Gestión'!$AI$17="Muy Alta",'Riesgos de Gestión'!$AK$17="Moderado"),CONCATENATE("R3C",'Riesgos de Gestión'!$V$17),"")</f>
        <v/>
      </c>
      <c r="W8" s="36" t="str">
        <f>IF(AND('Riesgos de Gestión'!$AI$18="Muy Alta",'Riesgos de Gestión'!$AK$18="Moderado"),CONCATENATE("R3C",'Riesgos de Gestión'!$V$18),"")</f>
        <v/>
      </c>
      <c r="X8" s="36" t="str">
        <f>IF(AND('Riesgos de Gestión'!$AI$19="Muy Alta",'Riesgos de Gestión'!$AK$19="Moderado"),CONCATENATE("R3C",'Riesgos de Gestión'!$V$19),"")</f>
        <v/>
      </c>
      <c r="Y8" s="36" t="e">
        <f>IF(AND('Riesgos de Gestión'!#REF!="Muy Alta",'Riesgos de Gestión'!#REF!="Moderado"),CONCATENATE("R3C",'Riesgos de Gestión'!#REF!),"")</f>
        <v>#REF!</v>
      </c>
      <c r="Z8" s="36" t="e">
        <f>IF(AND('Riesgos de Gestión'!#REF!="Muy Alta",'Riesgos de Gestión'!#REF!="Moderado"),CONCATENATE("R3C",'Riesgos de Gestión'!#REF!),"")</f>
        <v>#REF!</v>
      </c>
      <c r="AA8" s="37" t="e">
        <f>IF(AND('Riesgos de Gestión'!#REF!="Muy Alta",'Riesgos de Gestión'!#REF!="Moderado"),CONCATENATE("R3C",'Riesgos de Gestión'!#REF!),"")</f>
        <v>#REF!</v>
      </c>
      <c r="AB8" s="35" t="str">
        <f>IF(AND('Riesgos de Gestión'!$AI$17="Muy Alta",'Riesgos de Gestión'!$AK$17="Mayor"),CONCATENATE("R3C",'Riesgos de Gestión'!$V$17),"")</f>
        <v/>
      </c>
      <c r="AC8" s="36" t="str">
        <f>IF(AND('Riesgos de Gestión'!$AI$18="Muy Alta",'Riesgos de Gestión'!$AK$18="Mayor"),CONCATENATE("R3C",'Riesgos de Gestión'!$V$18),"")</f>
        <v/>
      </c>
      <c r="AD8" s="36" t="str">
        <f>IF(AND('Riesgos de Gestión'!$AI$19="Muy Alta",'Riesgos de Gestión'!$AK$19="Mayor"),CONCATENATE("R3C",'Riesgos de Gestión'!$V$19),"")</f>
        <v/>
      </c>
      <c r="AE8" s="36" t="e">
        <f>IF(AND('Riesgos de Gestión'!#REF!="Muy Alta",'Riesgos de Gestión'!#REF!="Mayor"),CONCATENATE("R3C",'Riesgos de Gestión'!#REF!),"")</f>
        <v>#REF!</v>
      </c>
      <c r="AF8" s="36" t="e">
        <f>IF(AND('Riesgos de Gestión'!#REF!="Muy Alta",'Riesgos de Gestión'!#REF!="Mayor"),CONCATENATE("R3C",'Riesgos de Gestión'!#REF!),"")</f>
        <v>#REF!</v>
      </c>
      <c r="AG8" s="37" t="e">
        <f>IF(AND('Riesgos de Gestión'!#REF!="Muy Alta",'Riesgos de Gestión'!#REF!="Mayor"),CONCATENATE("R3C",'Riesgos de Gestión'!#REF!),"")</f>
        <v>#REF!</v>
      </c>
      <c r="AH8" s="38" t="str">
        <f>IF(AND('Riesgos de Gestión'!$AI$17="Muy Alta",'Riesgos de Gestión'!$AK$17="Catastrófico"),CONCATENATE("R3C",'Riesgos de Gestión'!$V$17),"")</f>
        <v/>
      </c>
      <c r="AI8" s="39" t="str">
        <f>IF(AND('Riesgos de Gestión'!$AI$18="Muy Alta",'Riesgos de Gestión'!$AK$18="Catastrófico"),CONCATENATE("R3C",'Riesgos de Gestión'!$V$18),"")</f>
        <v/>
      </c>
      <c r="AJ8" s="39" t="str">
        <f>IF(AND('Riesgos de Gestión'!$AI$19="Muy Alta",'Riesgos de Gestión'!$AK$19="Catastrófico"),CONCATENATE("R3C",'Riesgos de Gestión'!$V$19),"")</f>
        <v/>
      </c>
      <c r="AK8" s="39" t="e">
        <f>IF(AND('Riesgos de Gestión'!#REF!="Muy Alta",'Riesgos de Gestión'!#REF!="Catastrófico"),CONCATENATE("R3C",'Riesgos de Gestión'!#REF!),"")</f>
        <v>#REF!</v>
      </c>
      <c r="AL8" s="39" t="e">
        <f>IF(AND('Riesgos de Gestión'!#REF!="Muy Alta",'Riesgos de Gestión'!#REF!="Catastrófico"),CONCATENATE("R3C",'Riesgos de Gestión'!#REF!),"")</f>
        <v>#REF!</v>
      </c>
      <c r="AM8" s="40" t="e">
        <f>IF(AND('Riesgos de Gestión'!#REF!="Muy Alta",'Riesgos de Gestión'!#REF!="Catastrófico"),CONCATENATE("R3C",'Riesgos de Gestión'!#REF!),"")</f>
        <v>#REF!</v>
      </c>
      <c r="AN8" s="66"/>
      <c r="AO8" s="631"/>
      <c r="AP8" s="632"/>
      <c r="AQ8" s="632"/>
      <c r="AR8" s="632"/>
      <c r="AS8" s="632"/>
      <c r="AT8" s="633"/>
      <c r="AU8" s="66"/>
      <c r="AV8" s="66"/>
      <c r="AW8" s="66"/>
      <c r="AX8" s="66"/>
      <c r="AY8" s="66"/>
      <c r="AZ8" s="66"/>
      <c r="BA8" s="66"/>
      <c r="BB8" s="66"/>
      <c r="BC8" s="66"/>
      <c r="BD8" s="66"/>
      <c r="BE8" s="66"/>
      <c r="BF8" s="66"/>
      <c r="BG8" s="66"/>
      <c r="BH8" s="66"/>
      <c r="BI8" s="66"/>
      <c r="BJ8" s="66"/>
      <c r="BK8" s="66"/>
      <c r="BL8" s="66"/>
      <c r="BM8" s="66"/>
      <c r="BN8" s="66"/>
      <c r="BO8" s="66"/>
      <c r="BP8" s="66"/>
      <c r="BQ8" s="66"/>
      <c r="BR8" s="66"/>
      <c r="BS8" s="66"/>
      <c r="BT8" s="66"/>
      <c r="BU8" s="66"/>
      <c r="BV8" s="66"/>
      <c r="BW8" s="66"/>
      <c r="BX8" s="66"/>
    </row>
    <row r="9" spans="1:91" ht="15" customHeight="1" x14ac:dyDescent="0.25">
      <c r="A9" s="66"/>
      <c r="B9" s="526"/>
      <c r="C9" s="526"/>
      <c r="D9" s="527"/>
      <c r="E9" s="625"/>
      <c r="F9" s="624"/>
      <c r="G9" s="624"/>
      <c r="H9" s="624"/>
      <c r="I9" s="640"/>
      <c r="J9" s="35" t="str">
        <f>IF(AND('Riesgos de Gestión'!$AI$20="Muy Alta",'Riesgos de Gestión'!$AK$20="Leve"),CONCATENATE("R4C",'Riesgos de Gestión'!$V$20),"")</f>
        <v/>
      </c>
      <c r="K9" s="36" t="str">
        <f>IF(AND('Riesgos de Gestión'!$AI$21="Muy Alta",'Riesgos de Gestión'!$AK$21="Leve"),CONCATENATE("R4C",'Riesgos de Gestión'!$V$21),"")</f>
        <v/>
      </c>
      <c r="L9" s="36" t="str">
        <f>IF(AND('Riesgos de Gestión'!$AI$22="Muy Alta",'Riesgos de Gestión'!$AK$22="Leve"),CONCATENATE("R4C",'Riesgos de Gestión'!$V$22),"")</f>
        <v/>
      </c>
      <c r="M9" s="36" t="str">
        <f>IF(AND('Riesgos de Gestión'!$AI$23="Muy Alta",'Riesgos de Gestión'!$AK$23="Leve"),CONCATENATE("R4C",'Riesgos de Gestión'!$V$23),"")</f>
        <v/>
      </c>
      <c r="N9" s="36" t="str">
        <f>IF(AND('Riesgos de Gestión'!$AI$24="Muy Alta",'Riesgos de Gestión'!$AK$24="Leve"),CONCATENATE("R4C",'Riesgos de Gestión'!$V$24),"")</f>
        <v/>
      </c>
      <c r="O9" s="37" t="str">
        <f>IF(AND('Riesgos de Gestión'!$AI$25="Muy Alta",'Riesgos de Gestión'!$AK$25="Leve"),CONCATENATE("R4C",'Riesgos de Gestión'!$V$25),"")</f>
        <v/>
      </c>
      <c r="P9" s="35" t="str">
        <f>IF(AND('Riesgos de Gestión'!$AI$20="Muy Alta",'Riesgos de Gestión'!$AK$20="Menor"),CONCATENATE("R4C",'Riesgos de Gestión'!$V$20),"")</f>
        <v/>
      </c>
      <c r="Q9" s="36" t="str">
        <f>IF(AND('Riesgos de Gestión'!$AI$21="Muy Alta",'Riesgos de Gestión'!$AK$21="Menor"),CONCATENATE("R4C",'Riesgos de Gestión'!$V$21),"")</f>
        <v/>
      </c>
      <c r="R9" s="36" t="str">
        <f>IF(AND('Riesgos de Gestión'!$AI$22="Muy Alta",'Riesgos de Gestión'!$AK$22="Menor"),CONCATENATE("R4C",'Riesgos de Gestión'!$V$22),"")</f>
        <v/>
      </c>
      <c r="S9" s="36" t="str">
        <f>IF(AND('Riesgos de Gestión'!$AI$23="Muy Alta",'Riesgos de Gestión'!$AK$23="Menor"),CONCATENATE("R4C",'Riesgos de Gestión'!$V$23),"")</f>
        <v/>
      </c>
      <c r="T9" s="36" t="str">
        <f>IF(AND('Riesgos de Gestión'!$AI$24="Muy Alta",'Riesgos de Gestión'!$AK$24="Menor"),CONCATENATE("R4C",'Riesgos de Gestión'!$V$24),"")</f>
        <v/>
      </c>
      <c r="U9" s="37" t="str">
        <f>IF(AND('Riesgos de Gestión'!$AI$25="Muy Alta",'Riesgos de Gestión'!$AK$25="Menor"),CONCATENATE("R4C",'Riesgos de Gestión'!$V$25),"")</f>
        <v/>
      </c>
      <c r="V9" s="35" t="str">
        <f>IF(AND('Riesgos de Gestión'!$AI$20="Muy Alta",'Riesgos de Gestión'!$AK$20="Moderado"),CONCATENATE("R4C",'Riesgos de Gestión'!$V$20),"")</f>
        <v/>
      </c>
      <c r="W9" s="36" t="str">
        <f>IF(AND('Riesgos de Gestión'!$AI$21="Muy Alta",'Riesgos de Gestión'!$AK$21="Moderado"),CONCATENATE("R4C",'Riesgos de Gestión'!$V$21),"")</f>
        <v/>
      </c>
      <c r="X9" s="36" t="str">
        <f>IF(AND('Riesgos de Gestión'!$AI$22="Muy Alta",'Riesgos de Gestión'!$AK$22="Moderado"),CONCATENATE("R4C",'Riesgos de Gestión'!$V$22),"")</f>
        <v/>
      </c>
      <c r="Y9" s="36" t="str">
        <f>IF(AND('Riesgos de Gestión'!$AI$23="Muy Alta",'Riesgos de Gestión'!$AK$23="Moderado"),CONCATENATE("R4C",'Riesgos de Gestión'!$V$23),"")</f>
        <v/>
      </c>
      <c r="Z9" s="36" t="str">
        <f>IF(AND('Riesgos de Gestión'!$AI$24="Muy Alta",'Riesgos de Gestión'!$AK$24="Moderado"),CONCATENATE("R4C",'Riesgos de Gestión'!$V$24),"")</f>
        <v/>
      </c>
      <c r="AA9" s="37" t="str">
        <f>IF(AND('Riesgos de Gestión'!$AI$25="Muy Alta",'Riesgos de Gestión'!$AK$25="Moderado"),CONCATENATE("R4C",'Riesgos de Gestión'!$V$25),"")</f>
        <v/>
      </c>
      <c r="AB9" s="35" t="str">
        <f>IF(AND('Riesgos de Gestión'!$AI$20="Muy Alta",'Riesgos de Gestión'!$AK$20="Mayor"),CONCATENATE("R4C",'Riesgos de Gestión'!$V$20),"")</f>
        <v/>
      </c>
      <c r="AC9" s="36" t="str">
        <f>IF(AND('Riesgos de Gestión'!$AI$21="Muy Alta",'Riesgos de Gestión'!$AK$21="Mayor"),CONCATENATE("R4C",'Riesgos de Gestión'!$V$21),"")</f>
        <v/>
      </c>
      <c r="AD9" s="36" t="str">
        <f>IF(AND('Riesgos de Gestión'!$AI$22="Muy Alta",'Riesgos de Gestión'!$AK$22="Mayor"),CONCATENATE("R4C",'Riesgos de Gestión'!$V$22),"")</f>
        <v/>
      </c>
      <c r="AE9" s="36" t="str">
        <f>IF(AND('Riesgos de Gestión'!$AI$23="Muy Alta",'Riesgos de Gestión'!$AK$23="Mayor"),CONCATENATE("R4C",'Riesgos de Gestión'!$V$23),"")</f>
        <v/>
      </c>
      <c r="AF9" s="36" t="str">
        <f>IF(AND('Riesgos de Gestión'!$AI$24="Muy Alta",'Riesgos de Gestión'!$AK$24="Mayor"),CONCATENATE("R4C",'Riesgos de Gestión'!$V$24),"")</f>
        <v/>
      </c>
      <c r="AG9" s="37" t="str">
        <f>IF(AND('Riesgos de Gestión'!$AI$25="Muy Alta",'Riesgos de Gestión'!$AK$25="Mayor"),CONCATENATE("R4C",'Riesgos de Gestión'!$V$25),"")</f>
        <v/>
      </c>
      <c r="AH9" s="38" t="str">
        <f>IF(AND('Riesgos de Gestión'!$AI$20="Muy Alta",'Riesgos de Gestión'!$AK$20="Catastrófico"),CONCATENATE("R4C",'Riesgos de Gestión'!$V$20),"")</f>
        <v/>
      </c>
      <c r="AI9" s="39" t="str">
        <f>IF(AND('Riesgos de Gestión'!$AI$21="Muy Alta",'Riesgos de Gestión'!$AK$21="Catastrófico"),CONCATENATE("R4C",'Riesgos de Gestión'!$V$21),"")</f>
        <v/>
      </c>
      <c r="AJ9" s="39" t="str">
        <f>IF(AND('Riesgos de Gestión'!$AI$22="Muy Alta",'Riesgos de Gestión'!$AK$22="Catastrófico"),CONCATENATE("R4C",'Riesgos de Gestión'!$V$22),"")</f>
        <v/>
      </c>
      <c r="AK9" s="39" t="str">
        <f>IF(AND('Riesgos de Gestión'!$AI$23="Muy Alta",'Riesgos de Gestión'!$AK$23="Catastrófico"),CONCATENATE("R4C",'Riesgos de Gestión'!$V$23),"")</f>
        <v/>
      </c>
      <c r="AL9" s="39" t="str">
        <f>IF(AND('Riesgos de Gestión'!$AI$24="Muy Alta",'Riesgos de Gestión'!$AK$24="Catastrófico"),CONCATENATE("R4C",'Riesgos de Gestión'!$V$24),"")</f>
        <v/>
      </c>
      <c r="AM9" s="40" t="str">
        <f>IF(AND('Riesgos de Gestión'!$AI$25="Muy Alta",'Riesgos de Gestión'!$AK$25="Catastrófico"),CONCATENATE("R4C",'Riesgos de Gestión'!$V$25),"")</f>
        <v/>
      </c>
      <c r="AN9" s="66"/>
      <c r="AO9" s="631"/>
      <c r="AP9" s="632"/>
      <c r="AQ9" s="632"/>
      <c r="AR9" s="632"/>
      <c r="AS9" s="632"/>
      <c r="AT9" s="633"/>
      <c r="AU9" s="66"/>
      <c r="AV9" s="66"/>
      <c r="AW9" s="66"/>
      <c r="AX9" s="66"/>
      <c r="AY9" s="66"/>
      <c r="AZ9" s="66"/>
      <c r="BA9" s="66"/>
      <c r="BB9" s="66"/>
      <c r="BC9" s="66"/>
      <c r="BD9" s="66"/>
      <c r="BE9" s="66"/>
      <c r="BF9" s="66"/>
      <c r="BG9" s="66"/>
      <c r="BH9" s="66"/>
      <c r="BI9" s="66"/>
      <c r="BJ9" s="66"/>
      <c r="BK9" s="66"/>
      <c r="BL9" s="66"/>
      <c r="BM9" s="66"/>
      <c r="BN9" s="66"/>
      <c r="BO9" s="66"/>
      <c r="BP9" s="66"/>
      <c r="BQ9" s="66"/>
      <c r="BR9" s="66"/>
      <c r="BS9" s="66"/>
      <c r="BT9" s="66"/>
      <c r="BU9" s="66"/>
      <c r="BV9" s="66"/>
      <c r="BW9" s="66"/>
      <c r="BX9" s="66"/>
    </row>
    <row r="10" spans="1:91" ht="15" customHeight="1" x14ac:dyDescent="0.25">
      <c r="A10" s="66"/>
      <c r="B10" s="526"/>
      <c r="C10" s="526"/>
      <c r="D10" s="527"/>
      <c r="E10" s="625"/>
      <c r="F10" s="624"/>
      <c r="G10" s="624"/>
      <c r="H10" s="624"/>
      <c r="I10" s="640"/>
      <c r="J10" s="35" t="str">
        <f>IF(AND('Riesgos de Gestión'!$AI$26="Muy Alta",'Riesgos de Gestión'!$AK$26="Leve"),CONCATENATE("R5C",'Riesgos de Gestión'!$V$26),"")</f>
        <v/>
      </c>
      <c r="K10" s="36" t="str">
        <f>IF(AND('Riesgos de Gestión'!$AI$27="Muy Alta",'Riesgos de Gestión'!$AK$27="Leve"),CONCATENATE("R5C",'Riesgos de Gestión'!$V$27),"")</f>
        <v/>
      </c>
      <c r="L10" s="36" t="str">
        <f>IF(AND('Riesgos de Gestión'!$AI$28="Muy Alta",'Riesgos de Gestión'!$AK$28="Leve"),CONCATENATE("R5C",'Riesgos de Gestión'!$V$28),"")</f>
        <v/>
      </c>
      <c r="M10" s="36" t="str">
        <f>IF(AND('Riesgos de Gestión'!$AI$29="Muy Alta",'Riesgos de Gestión'!$AK$29="Leve"),CONCATENATE("R5C",'Riesgos de Gestión'!$V$29),"")</f>
        <v/>
      </c>
      <c r="N10" s="36" t="str">
        <f>IF(AND('Riesgos de Gestión'!$AI$30="Muy Alta",'Riesgos de Gestión'!$AK$30="Leve"),CONCATENATE("R5C",'Riesgos de Gestión'!$V$30),"")</f>
        <v/>
      </c>
      <c r="O10" s="37" t="str">
        <f>IF(AND('Riesgos de Gestión'!$AI$31="Muy Alta",'Riesgos de Gestión'!$AK$31="Leve"),CONCATENATE("R5C",'Riesgos de Gestión'!$V$31),"")</f>
        <v/>
      </c>
      <c r="P10" s="35" t="str">
        <f>IF(AND('Riesgos de Gestión'!$AI$26="Muy Alta",'Riesgos de Gestión'!$AK$26="Menor"),CONCATENATE("R5C",'Riesgos de Gestión'!$V$26),"")</f>
        <v/>
      </c>
      <c r="Q10" s="36" t="str">
        <f>IF(AND('Riesgos de Gestión'!$AI$27="Muy Alta",'Riesgos de Gestión'!$AK$27="Menor"),CONCATENATE("R5C",'Riesgos de Gestión'!$V$27),"")</f>
        <v/>
      </c>
      <c r="R10" s="36" t="str">
        <f>IF(AND('Riesgos de Gestión'!$AI$28="Muy Alta",'Riesgos de Gestión'!$AK$28="Menor"),CONCATENATE("R5C",'Riesgos de Gestión'!$V$28),"")</f>
        <v/>
      </c>
      <c r="S10" s="36" t="str">
        <f>IF(AND('Riesgos de Gestión'!$AI$29="Muy Alta",'Riesgos de Gestión'!$AK$29="Menor"),CONCATENATE("R5C",'Riesgos de Gestión'!$V$29),"")</f>
        <v/>
      </c>
      <c r="T10" s="36" t="str">
        <f>IF(AND('Riesgos de Gestión'!$AI$30="Muy Alta",'Riesgos de Gestión'!$AK$30="Menor"),CONCATENATE("R5C",'Riesgos de Gestión'!$V$30),"")</f>
        <v/>
      </c>
      <c r="U10" s="37" t="str">
        <f>IF(AND('Riesgos de Gestión'!$AI$31="Muy Alta",'Riesgos de Gestión'!$AK$31="Menor"),CONCATENATE("R5C",'Riesgos de Gestión'!$V$31),"")</f>
        <v/>
      </c>
      <c r="V10" s="35" t="str">
        <f>IF(AND('Riesgos de Gestión'!$AI$26="Muy Alta",'Riesgos de Gestión'!$AK$26="Moderado"),CONCATENATE("R5C",'Riesgos de Gestión'!$V$26),"")</f>
        <v/>
      </c>
      <c r="W10" s="36" t="str">
        <f>IF(AND('Riesgos de Gestión'!$AI$27="Muy Alta",'Riesgos de Gestión'!$AK$27="Moderado"),CONCATENATE("R5C",'Riesgos de Gestión'!$V$27),"")</f>
        <v/>
      </c>
      <c r="X10" s="36" t="str">
        <f>IF(AND('Riesgos de Gestión'!$AI$28="Muy Alta",'Riesgos de Gestión'!$AK$28="Moderado"),CONCATENATE("R5C",'Riesgos de Gestión'!$V$28),"")</f>
        <v/>
      </c>
      <c r="Y10" s="36" t="str">
        <f>IF(AND('Riesgos de Gestión'!$AI$29="Muy Alta",'Riesgos de Gestión'!$AK$29="Moderado"),CONCATENATE("R5C",'Riesgos de Gestión'!$V$29),"")</f>
        <v/>
      </c>
      <c r="Z10" s="36" t="str">
        <f>IF(AND('Riesgos de Gestión'!$AI$30="Muy Alta",'Riesgos de Gestión'!$AK$30="Moderado"),CONCATENATE("R5C",'Riesgos de Gestión'!$V$30),"")</f>
        <v/>
      </c>
      <c r="AA10" s="37" t="str">
        <f>IF(AND('Riesgos de Gestión'!$AI$31="Muy Alta",'Riesgos de Gestión'!$AK$31="Moderado"),CONCATENATE("R5C",'Riesgos de Gestión'!$V$31),"")</f>
        <v/>
      </c>
      <c r="AB10" s="35" t="str">
        <f>IF(AND('Riesgos de Gestión'!$AI$26="Muy Alta",'Riesgos de Gestión'!$AK$26="Mayor"),CONCATENATE("R5C",'Riesgos de Gestión'!$V$26),"")</f>
        <v/>
      </c>
      <c r="AC10" s="36" t="str">
        <f>IF(AND('Riesgos de Gestión'!$AI$27="Muy Alta",'Riesgos de Gestión'!$AK$27="Mayor"),CONCATENATE("R5C",'Riesgos de Gestión'!$V$27),"")</f>
        <v/>
      </c>
      <c r="AD10" s="36" t="str">
        <f>IF(AND('Riesgos de Gestión'!$AI$28="Muy Alta",'Riesgos de Gestión'!$AK$28="Mayor"),CONCATENATE("R5C",'Riesgos de Gestión'!$V$28),"")</f>
        <v/>
      </c>
      <c r="AE10" s="36" t="str">
        <f>IF(AND('Riesgos de Gestión'!$AI$29="Muy Alta",'Riesgos de Gestión'!$AK$29="Mayor"),CONCATENATE("R5C",'Riesgos de Gestión'!$V$29),"")</f>
        <v/>
      </c>
      <c r="AF10" s="36" t="str">
        <f>IF(AND('Riesgos de Gestión'!$AI$30="Muy Alta",'Riesgos de Gestión'!$AK$30="Mayor"),CONCATENATE("R5C",'Riesgos de Gestión'!$V$30),"")</f>
        <v/>
      </c>
      <c r="AG10" s="37" t="str">
        <f>IF(AND('Riesgos de Gestión'!$AI$31="Muy Alta",'Riesgos de Gestión'!$AK$31="Mayor"),CONCATENATE("R5C",'Riesgos de Gestión'!$V$31),"")</f>
        <v/>
      </c>
      <c r="AH10" s="38" t="str">
        <f>IF(AND('Riesgos de Gestión'!$AI$26="Muy Alta",'Riesgos de Gestión'!$AK$26="Catastrófico"),CONCATENATE("R5C",'Riesgos de Gestión'!$V$26),"")</f>
        <v/>
      </c>
      <c r="AI10" s="39" t="str">
        <f>IF(AND('Riesgos de Gestión'!$AI$27="Muy Alta",'Riesgos de Gestión'!$AK$27="Catastrófico"),CONCATENATE("R5C",'Riesgos de Gestión'!$V$27),"")</f>
        <v/>
      </c>
      <c r="AJ10" s="39" t="str">
        <f>IF(AND('Riesgos de Gestión'!$AI$28="Muy Alta",'Riesgos de Gestión'!$AK$28="Catastrófico"),CONCATENATE("R5C",'Riesgos de Gestión'!$V$28),"")</f>
        <v/>
      </c>
      <c r="AK10" s="39" t="str">
        <f>IF(AND('Riesgos de Gestión'!$AI$29="Muy Alta",'Riesgos de Gestión'!$AK$29="Catastrófico"),CONCATENATE("R5C",'Riesgos de Gestión'!$V$29),"")</f>
        <v/>
      </c>
      <c r="AL10" s="39" t="str">
        <f>IF(AND('Riesgos de Gestión'!$AI$30="Muy Alta",'Riesgos de Gestión'!$AK$30="Catastrófico"),CONCATENATE("R5C",'Riesgos de Gestión'!$V$30),"")</f>
        <v/>
      </c>
      <c r="AM10" s="40" t="str">
        <f>IF(AND('Riesgos de Gestión'!$AI$31="Muy Alta",'Riesgos de Gestión'!$AK$31="Catastrófico"),CONCATENATE("R5C",'Riesgos de Gestión'!$V$31),"")</f>
        <v/>
      </c>
      <c r="AN10" s="66"/>
      <c r="AO10" s="631"/>
      <c r="AP10" s="632"/>
      <c r="AQ10" s="632"/>
      <c r="AR10" s="632"/>
      <c r="AS10" s="632"/>
      <c r="AT10" s="633"/>
      <c r="AU10" s="66"/>
      <c r="AV10" s="66"/>
      <c r="AW10" s="66"/>
      <c r="AX10" s="66"/>
      <c r="AY10" s="66"/>
      <c r="AZ10" s="66"/>
      <c r="BA10" s="66"/>
      <c r="BB10" s="66"/>
      <c r="BC10" s="66"/>
      <c r="BD10" s="66"/>
      <c r="BE10" s="66"/>
      <c r="BF10" s="66"/>
      <c r="BG10" s="66"/>
      <c r="BH10" s="66"/>
      <c r="BI10" s="66"/>
      <c r="BJ10" s="66"/>
      <c r="BK10" s="66"/>
      <c r="BL10" s="66"/>
      <c r="BM10" s="66"/>
      <c r="BN10" s="66"/>
      <c r="BO10" s="66"/>
      <c r="BP10" s="66"/>
      <c r="BQ10" s="66"/>
      <c r="BR10" s="66"/>
      <c r="BS10" s="66"/>
      <c r="BT10" s="66"/>
      <c r="BU10" s="66"/>
      <c r="BV10" s="66"/>
      <c r="BW10" s="66"/>
      <c r="BX10" s="66"/>
    </row>
    <row r="11" spans="1:91" ht="15" customHeight="1" x14ac:dyDescent="0.25">
      <c r="A11" s="66"/>
      <c r="B11" s="526"/>
      <c r="C11" s="526"/>
      <c r="D11" s="527"/>
      <c r="E11" s="625"/>
      <c r="F11" s="624"/>
      <c r="G11" s="624"/>
      <c r="H11" s="624"/>
      <c r="I11" s="640"/>
      <c r="J11" s="35" t="str">
        <f>IF(AND('Riesgos de Gestión'!$AI$32="Muy Alta",'Riesgos de Gestión'!$AK$32="Leve"),CONCATENATE("R6C",'Riesgos de Gestión'!$V$32),"")</f>
        <v/>
      </c>
      <c r="K11" s="36" t="str">
        <f>IF(AND('Riesgos de Gestión'!$AI$33="Muy Alta",'Riesgos de Gestión'!$AK$33="Leve"),CONCATENATE("R6C",'Riesgos de Gestión'!$V$33),"")</f>
        <v/>
      </c>
      <c r="L11" s="36" t="str">
        <f>IF(AND('Riesgos de Gestión'!$AI$34="Muy Alta",'Riesgos de Gestión'!$AK$34="Leve"),CONCATENATE("R6C",'Riesgos de Gestión'!$V$34),"")</f>
        <v/>
      </c>
      <c r="M11" s="36" t="str">
        <f>IF(AND('Riesgos de Gestión'!$AI$35="Muy Alta",'Riesgos de Gestión'!$AK$35="Leve"),CONCATENATE("R6C",'Riesgos de Gestión'!$V$35),"")</f>
        <v/>
      </c>
      <c r="N11" s="36" t="str">
        <f>IF(AND('Riesgos de Gestión'!$AI$36="Muy Alta",'Riesgos de Gestión'!$AK$36="Leve"),CONCATENATE("R6C",'Riesgos de Gestión'!$V$36),"")</f>
        <v/>
      </c>
      <c r="O11" s="37" t="str">
        <f>IF(AND('Riesgos de Gestión'!$AI$37="Muy Alta",'Riesgos de Gestión'!$AK$37="Leve"),CONCATENATE("R6C",'Riesgos de Gestión'!$V$37),"")</f>
        <v/>
      </c>
      <c r="P11" s="35" t="str">
        <f>IF(AND('Riesgos de Gestión'!$AI$32="Muy Alta",'Riesgos de Gestión'!$AK$32="Menor"),CONCATENATE("R6C",'Riesgos de Gestión'!$V$32),"")</f>
        <v/>
      </c>
      <c r="Q11" s="36" t="str">
        <f>IF(AND('Riesgos de Gestión'!$AI$33="Muy Alta",'Riesgos de Gestión'!$AK$33="Menor"),CONCATENATE("R6C",'Riesgos de Gestión'!$V$33),"")</f>
        <v/>
      </c>
      <c r="R11" s="36" t="str">
        <f>IF(AND('Riesgos de Gestión'!$AI$34="Muy Alta",'Riesgos de Gestión'!$AK$34="Menor"),CONCATENATE("R6C",'Riesgos de Gestión'!$V$34),"")</f>
        <v/>
      </c>
      <c r="S11" s="36" t="str">
        <f>IF(AND('Riesgos de Gestión'!$AI$35="Muy Alta",'Riesgos de Gestión'!$AK$35="Menor"),CONCATENATE("R6C",'Riesgos de Gestión'!$V$35),"")</f>
        <v/>
      </c>
      <c r="T11" s="36" t="str">
        <f>IF(AND('Riesgos de Gestión'!$AI$36="Muy Alta",'Riesgos de Gestión'!$AK$36="Menor"),CONCATENATE("R6C",'Riesgos de Gestión'!$V$36),"")</f>
        <v/>
      </c>
      <c r="U11" s="37" t="str">
        <f>IF(AND('Riesgos de Gestión'!$AI$37="Muy Alta",'Riesgos de Gestión'!$AK$37="Menor"),CONCATENATE("R6C",'Riesgos de Gestión'!$V$37),"")</f>
        <v/>
      </c>
      <c r="V11" s="35" t="str">
        <f>IF(AND('Riesgos de Gestión'!$AI$32="Muy Alta",'Riesgos de Gestión'!$AK$32="Moderado"),CONCATENATE("R6C",'Riesgos de Gestión'!$V$32),"")</f>
        <v/>
      </c>
      <c r="W11" s="36" t="str">
        <f>IF(AND('Riesgos de Gestión'!$AI$33="Muy Alta",'Riesgos de Gestión'!$AK$33="Moderado"),CONCATENATE("R6C",'Riesgos de Gestión'!$V$33),"")</f>
        <v/>
      </c>
      <c r="X11" s="36" t="str">
        <f>IF(AND('Riesgos de Gestión'!$AI$34="Muy Alta",'Riesgos de Gestión'!$AK$34="Moderado"),CONCATENATE("R6C",'Riesgos de Gestión'!$V$34),"")</f>
        <v/>
      </c>
      <c r="Y11" s="36" t="str">
        <f>IF(AND('Riesgos de Gestión'!$AI$35="Muy Alta",'Riesgos de Gestión'!$AK$35="Moderado"),CONCATENATE("R6C",'Riesgos de Gestión'!$V$35),"")</f>
        <v/>
      </c>
      <c r="Z11" s="36" t="str">
        <f>IF(AND('Riesgos de Gestión'!$AI$36="Muy Alta",'Riesgos de Gestión'!$AK$36="Moderado"),CONCATENATE("R6C",'Riesgos de Gestión'!$V$36),"")</f>
        <v/>
      </c>
      <c r="AA11" s="37" t="str">
        <f>IF(AND('Riesgos de Gestión'!$AI$37="Muy Alta",'Riesgos de Gestión'!$AK$37="Moderado"),CONCATENATE("R6C",'Riesgos de Gestión'!$V$37),"")</f>
        <v/>
      </c>
      <c r="AB11" s="35" t="str">
        <f>IF(AND('Riesgos de Gestión'!$AI$32="Muy Alta",'Riesgos de Gestión'!$AK$32="Mayor"),CONCATENATE("R6C",'Riesgos de Gestión'!$V$32),"")</f>
        <v/>
      </c>
      <c r="AC11" s="36" t="str">
        <f>IF(AND('Riesgos de Gestión'!$AI$33="Muy Alta",'Riesgos de Gestión'!$AK$33="Mayor"),CONCATENATE("R6C",'Riesgos de Gestión'!$V$33),"")</f>
        <v/>
      </c>
      <c r="AD11" s="36" t="str">
        <f>IF(AND('Riesgos de Gestión'!$AI$34="Muy Alta",'Riesgos de Gestión'!$AK$34="Mayor"),CONCATENATE("R6C",'Riesgos de Gestión'!$V$34),"")</f>
        <v/>
      </c>
      <c r="AE11" s="36" t="str">
        <f>IF(AND('Riesgos de Gestión'!$AI$35="Muy Alta",'Riesgos de Gestión'!$AK$35="Mayor"),CONCATENATE("R6C",'Riesgos de Gestión'!$V$35),"")</f>
        <v/>
      </c>
      <c r="AF11" s="36" t="str">
        <f>IF(AND('Riesgos de Gestión'!$AI$36="Muy Alta",'Riesgos de Gestión'!$AK$36="Mayor"),CONCATENATE("R6C",'Riesgos de Gestión'!$V$36),"")</f>
        <v/>
      </c>
      <c r="AG11" s="37" t="str">
        <f>IF(AND('Riesgos de Gestión'!$AI$37="Muy Alta",'Riesgos de Gestión'!$AK$37="Mayor"),CONCATENATE("R6C",'Riesgos de Gestión'!$V$37),"")</f>
        <v/>
      </c>
      <c r="AH11" s="38" t="str">
        <f>IF(AND('Riesgos de Gestión'!$AI$32="Muy Alta",'Riesgos de Gestión'!$AK$32="Catastrófico"),CONCATENATE("R6C",'Riesgos de Gestión'!$V$32),"")</f>
        <v/>
      </c>
      <c r="AI11" s="39" t="str">
        <f>IF(AND('Riesgos de Gestión'!$AI$33="Muy Alta",'Riesgos de Gestión'!$AK$33="Catastrófico"),CONCATENATE("R6C",'Riesgos de Gestión'!$V$33),"")</f>
        <v/>
      </c>
      <c r="AJ11" s="39" t="str">
        <f>IF(AND('Riesgos de Gestión'!$AI$34="Muy Alta",'Riesgos de Gestión'!$AK$34="Catastrófico"),CONCATENATE("R6C",'Riesgos de Gestión'!$V$34),"")</f>
        <v/>
      </c>
      <c r="AK11" s="39" t="str">
        <f>IF(AND('Riesgos de Gestión'!$AI$35="Muy Alta",'Riesgos de Gestión'!$AK$35="Catastrófico"),CONCATENATE("R6C",'Riesgos de Gestión'!$V$35),"")</f>
        <v/>
      </c>
      <c r="AL11" s="39" t="str">
        <f>IF(AND('Riesgos de Gestión'!$AI$36="Muy Alta",'Riesgos de Gestión'!$AK$36="Catastrófico"),CONCATENATE("R6C",'Riesgos de Gestión'!$V$36),"")</f>
        <v/>
      </c>
      <c r="AM11" s="40" t="str">
        <f>IF(AND('Riesgos de Gestión'!$AI$37="Muy Alta",'Riesgos de Gestión'!$AK$37="Catastrófico"),CONCATENATE("R6C",'Riesgos de Gestión'!$V$37),"")</f>
        <v/>
      </c>
      <c r="AN11" s="66"/>
      <c r="AO11" s="631"/>
      <c r="AP11" s="632"/>
      <c r="AQ11" s="632"/>
      <c r="AR11" s="632"/>
      <c r="AS11" s="632"/>
      <c r="AT11" s="633"/>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row>
    <row r="12" spans="1:91" ht="15" customHeight="1" x14ac:dyDescent="0.25">
      <c r="A12" s="66"/>
      <c r="B12" s="526"/>
      <c r="C12" s="526"/>
      <c r="D12" s="527"/>
      <c r="E12" s="625"/>
      <c r="F12" s="624"/>
      <c r="G12" s="624"/>
      <c r="H12" s="624"/>
      <c r="I12" s="640"/>
      <c r="J12" s="35" t="str">
        <f>IF(AND('Riesgos de Gestión'!$AI$38="Muy Alta",'Riesgos de Gestión'!$AK$38="Leve"),CONCATENATE("R7C",'Riesgos de Gestión'!$V$38),"")</f>
        <v/>
      </c>
      <c r="K12" s="36" t="str">
        <f>IF(AND('Riesgos de Gestión'!$AI$39="Muy Alta",'Riesgos de Gestión'!$AK$39="Leve"),CONCATENATE("R7C",'Riesgos de Gestión'!$V$39),"")</f>
        <v/>
      </c>
      <c r="L12" s="36" t="str">
        <f>IF(AND('Riesgos de Gestión'!$AI$40="Muy Alta",'Riesgos de Gestión'!$AK$40="Leve"),CONCATENATE("R7C",'Riesgos de Gestión'!$V$40),"")</f>
        <v/>
      </c>
      <c r="M12" s="36" t="str">
        <f>IF(AND('Riesgos de Gestión'!$AI$41="Muy Alta",'Riesgos de Gestión'!$AK$41="Leve"),CONCATENATE("R7C",'Riesgos de Gestión'!$V$41),"")</f>
        <v/>
      </c>
      <c r="N12" s="36" t="str">
        <f>IF(AND('Riesgos de Gestión'!$AI$42="Muy Alta",'Riesgos de Gestión'!$AK$42="Leve"),CONCATENATE("R7C",'Riesgos de Gestión'!$V$42),"")</f>
        <v/>
      </c>
      <c r="O12" s="37" t="str">
        <f>IF(AND('Riesgos de Gestión'!$AI$43="Muy Alta",'Riesgos de Gestión'!$AK$43="Leve"),CONCATENATE("R7C",'Riesgos de Gestión'!$V$43),"")</f>
        <v/>
      </c>
      <c r="P12" s="35" t="str">
        <f>IF(AND('Riesgos de Gestión'!$AI$38="Muy Alta",'Riesgos de Gestión'!$AK$38="Menor"),CONCATENATE("R7C",'Riesgos de Gestión'!$V$38),"")</f>
        <v/>
      </c>
      <c r="Q12" s="36" t="str">
        <f>IF(AND('Riesgos de Gestión'!$AI$39="Muy Alta",'Riesgos de Gestión'!$AK$39="Menor"),CONCATENATE("R7C",'Riesgos de Gestión'!$V$39),"")</f>
        <v/>
      </c>
      <c r="R12" s="36" t="str">
        <f>IF(AND('Riesgos de Gestión'!$AI$40="Muy Alta",'Riesgos de Gestión'!$AK$40="Menor"),CONCATENATE("R7C",'Riesgos de Gestión'!$V$40),"")</f>
        <v/>
      </c>
      <c r="S12" s="36" t="str">
        <f>IF(AND('Riesgos de Gestión'!$AI$41="Muy Alta",'Riesgos de Gestión'!$AK$41="Menor"),CONCATENATE("R7C",'Riesgos de Gestión'!$V$41),"")</f>
        <v/>
      </c>
      <c r="T12" s="36" t="str">
        <f>IF(AND('Riesgos de Gestión'!$AI$42="Muy Alta",'Riesgos de Gestión'!$AK$42="Menor"),CONCATENATE("R7C",'Riesgos de Gestión'!$V$42),"")</f>
        <v/>
      </c>
      <c r="U12" s="37" t="str">
        <f>IF(AND('Riesgos de Gestión'!$AI$43="Muy Alta",'Riesgos de Gestión'!$AK$43="Menor"),CONCATENATE("R7C",'Riesgos de Gestión'!$V$43),"")</f>
        <v/>
      </c>
      <c r="V12" s="35" t="str">
        <f>IF(AND('Riesgos de Gestión'!$AI$38="Muy Alta",'Riesgos de Gestión'!$AK$38="Moderado"),CONCATENATE("R7C",'Riesgos de Gestión'!$V$38),"")</f>
        <v/>
      </c>
      <c r="W12" s="36" t="str">
        <f>IF(AND('Riesgos de Gestión'!$AI$39="Muy Alta",'Riesgos de Gestión'!$AK$39="Moderado"),CONCATENATE("R7C",'Riesgos de Gestión'!$V$39),"")</f>
        <v/>
      </c>
      <c r="X12" s="36" t="str">
        <f>IF(AND('Riesgos de Gestión'!$AI$40="Muy Alta",'Riesgos de Gestión'!$AK$40="Moderado"),CONCATENATE("R7C",'Riesgos de Gestión'!$V$40),"")</f>
        <v/>
      </c>
      <c r="Y12" s="36" t="str">
        <f>IF(AND('Riesgos de Gestión'!$AI$41="Muy Alta",'Riesgos de Gestión'!$AK$41="Moderado"),CONCATENATE("R7C",'Riesgos de Gestión'!$V$41),"")</f>
        <v/>
      </c>
      <c r="Z12" s="36" t="str">
        <f>IF(AND('Riesgos de Gestión'!$AI$42="Muy Alta",'Riesgos de Gestión'!$AK$42="Moderado"),CONCATENATE("R7C",'Riesgos de Gestión'!$V$42),"")</f>
        <v/>
      </c>
      <c r="AA12" s="37" t="str">
        <f>IF(AND('Riesgos de Gestión'!$AI$43="Muy Alta",'Riesgos de Gestión'!$AK$43="Moderado"),CONCATENATE("R7C",'Riesgos de Gestión'!$V$43),"")</f>
        <v/>
      </c>
      <c r="AB12" s="35" t="str">
        <f>IF(AND('Riesgos de Gestión'!$AI$38="Muy Alta",'Riesgos de Gestión'!$AK$38="Mayor"),CONCATENATE("R7C",'Riesgos de Gestión'!$V$38),"")</f>
        <v/>
      </c>
      <c r="AC12" s="36" t="str">
        <f>IF(AND('Riesgos de Gestión'!$AI$39="Muy Alta",'Riesgos de Gestión'!$AK$39="Mayor"),CONCATENATE("R7C",'Riesgos de Gestión'!$V$39),"")</f>
        <v/>
      </c>
      <c r="AD12" s="36" t="str">
        <f>IF(AND('Riesgos de Gestión'!$AI$40="Muy Alta",'Riesgos de Gestión'!$AK$40="Mayor"),CONCATENATE("R7C",'Riesgos de Gestión'!$V$40),"")</f>
        <v/>
      </c>
      <c r="AE12" s="36" t="str">
        <f>IF(AND('Riesgos de Gestión'!$AI$41="Muy Alta",'Riesgos de Gestión'!$AK$41="Mayor"),CONCATENATE("R7C",'Riesgos de Gestión'!$V$41),"")</f>
        <v/>
      </c>
      <c r="AF12" s="36" t="str">
        <f>IF(AND('Riesgos de Gestión'!$AI$42="Muy Alta",'Riesgos de Gestión'!$AK$42="Mayor"),CONCATENATE("R7C",'Riesgos de Gestión'!$V$42),"")</f>
        <v/>
      </c>
      <c r="AG12" s="37" t="str">
        <f>IF(AND('Riesgos de Gestión'!$AI$43="Muy Alta",'Riesgos de Gestión'!$AK$43="Mayor"),CONCATENATE("R7C",'Riesgos de Gestión'!$V$43),"")</f>
        <v/>
      </c>
      <c r="AH12" s="38" t="str">
        <f>IF(AND('Riesgos de Gestión'!$AI$38="Muy Alta",'Riesgos de Gestión'!$AK$38="Catastrófico"),CONCATENATE("R7C",'Riesgos de Gestión'!$V$38),"")</f>
        <v/>
      </c>
      <c r="AI12" s="39" t="str">
        <f>IF(AND('Riesgos de Gestión'!$AI$39="Muy Alta",'Riesgos de Gestión'!$AK$39="Catastrófico"),CONCATENATE("R7C",'Riesgos de Gestión'!$V$39),"")</f>
        <v/>
      </c>
      <c r="AJ12" s="39" t="str">
        <f>IF(AND('Riesgos de Gestión'!$AI$40="Muy Alta",'Riesgos de Gestión'!$AK$40="Catastrófico"),CONCATENATE("R7C",'Riesgos de Gestión'!$V$40),"")</f>
        <v/>
      </c>
      <c r="AK12" s="39" t="str">
        <f>IF(AND('Riesgos de Gestión'!$AI$41="Muy Alta",'Riesgos de Gestión'!$AK$41="Catastrófico"),CONCATENATE("R7C",'Riesgos de Gestión'!$V$41),"")</f>
        <v/>
      </c>
      <c r="AL12" s="39" t="str">
        <f>IF(AND('Riesgos de Gestión'!$AI$42="Muy Alta",'Riesgos de Gestión'!$AK$42="Catastrófico"),CONCATENATE("R7C",'Riesgos de Gestión'!$V$42),"")</f>
        <v/>
      </c>
      <c r="AM12" s="40" t="str">
        <f>IF(AND('Riesgos de Gestión'!$AI$43="Muy Alta",'Riesgos de Gestión'!$AK$43="Catastrófico"),CONCATENATE("R7C",'Riesgos de Gestión'!$V$43),"")</f>
        <v/>
      </c>
      <c r="AN12" s="66"/>
      <c r="AO12" s="631"/>
      <c r="AP12" s="632"/>
      <c r="AQ12" s="632"/>
      <c r="AR12" s="632"/>
      <c r="AS12" s="632"/>
      <c r="AT12" s="633"/>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row>
    <row r="13" spans="1:91" ht="15" customHeight="1" x14ac:dyDescent="0.25">
      <c r="A13" s="66"/>
      <c r="B13" s="526"/>
      <c r="C13" s="526"/>
      <c r="D13" s="527"/>
      <c r="E13" s="625"/>
      <c r="F13" s="624"/>
      <c r="G13" s="624"/>
      <c r="H13" s="624"/>
      <c r="I13" s="640"/>
      <c r="J13" s="35" t="str">
        <f>IF(AND('Riesgos de Gestión'!$AI$44="Muy Alta",'Riesgos de Gestión'!$AK$44="Leve"),CONCATENATE("R8C",'Riesgos de Gestión'!$V$44),"")</f>
        <v/>
      </c>
      <c r="K13" s="36" t="str">
        <f>IF(AND('Riesgos de Gestión'!$AI$45="Muy Alta",'Riesgos de Gestión'!$AK$45="Leve"),CONCATENATE("R8C",'Riesgos de Gestión'!$V$45),"")</f>
        <v/>
      </c>
      <c r="L13" s="36" t="str">
        <f>IF(AND('Riesgos de Gestión'!$AI$46="Muy Alta",'Riesgos de Gestión'!$AK$46="Leve"),CONCATENATE("R8C",'Riesgos de Gestión'!$V$46),"")</f>
        <v/>
      </c>
      <c r="M13" s="36" t="str">
        <f>IF(AND('Riesgos de Gestión'!$AI$47="Muy Alta",'Riesgos de Gestión'!$AK$47="Leve"),CONCATENATE("R8C",'Riesgos de Gestión'!$V$47),"")</f>
        <v/>
      </c>
      <c r="N13" s="36" t="str">
        <f>IF(AND('Riesgos de Gestión'!$AI$48="Muy Alta",'Riesgos de Gestión'!$AK$48="Leve"),CONCATENATE("R8C",'Riesgos de Gestión'!$V$48),"")</f>
        <v/>
      </c>
      <c r="O13" s="37" t="str">
        <f>IF(AND('Riesgos de Gestión'!$AI$49="Muy Alta",'Riesgos de Gestión'!$AK$49="Leve"),CONCATENATE("R8C",'Riesgos de Gestión'!$V$49),"")</f>
        <v/>
      </c>
      <c r="P13" s="35" t="str">
        <f>IF(AND('Riesgos de Gestión'!$AI$44="Muy Alta",'Riesgos de Gestión'!$AK$44="Menor"),CONCATENATE("R8C",'Riesgos de Gestión'!$V$44),"")</f>
        <v/>
      </c>
      <c r="Q13" s="36" t="str">
        <f>IF(AND('Riesgos de Gestión'!$AI$45="Muy Alta",'Riesgos de Gestión'!$AK$45="Menor"),CONCATENATE("R8C",'Riesgos de Gestión'!$V$45),"")</f>
        <v/>
      </c>
      <c r="R13" s="36" t="str">
        <f>IF(AND('Riesgos de Gestión'!$AI$46="Muy Alta",'Riesgos de Gestión'!$AK$46="Menor"),CONCATENATE("R8C",'Riesgos de Gestión'!$V$46),"")</f>
        <v/>
      </c>
      <c r="S13" s="36" t="str">
        <f>IF(AND('Riesgos de Gestión'!$AI$47="Muy Alta",'Riesgos de Gestión'!$AK$47="Menor"),CONCATENATE("R8C",'Riesgos de Gestión'!$V$47),"")</f>
        <v/>
      </c>
      <c r="T13" s="36" t="str">
        <f>IF(AND('Riesgos de Gestión'!$AI$48="Muy Alta",'Riesgos de Gestión'!$AK$48="Menor"),CONCATENATE("R8C",'Riesgos de Gestión'!$V$48),"")</f>
        <v/>
      </c>
      <c r="U13" s="37" t="str">
        <f>IF(AND('Riesgos de Gestión'!$AI$49="Muy Alta",'Riesgos de Gestión'!$AK$49="Menor"),CONCATENATE("R8C",'Riesgos de Gestión'!$V$49),"")</f>
        <v/>
      </c>
      <c r="V13" s="35" t="str">
        <f>IF(AND('Riesgos de Gestión'!$AI$44="Muy Alta",'Riesgos de Gestión'!$AK$44="Moderado"),CONCATENATE("R8C",'Riesgos de Gestión'!$V$44),"")</f>
        <v/>
      </c>
      <c r="W13" s="36" t="str">
        <f>IF(AND('Riesgos de Gestión'!$AI$45="Muy Alta",'Riesgos de Gestión'!$AK$45="Moderado"),CONCATENATE("R8C",'Riesgos de Gestión'!$V$45),"")</f>
        <v/>
      </c>
      <c r="X13" s="36" t="str">
        <f>IF(AND('Riesgos de Gestión'!$AI$46="Muy Alta",'Riesgos de Gestión'!$AK$46="Moderado"),CONCATENATE("R8C",'Riesgos de Gestión'!$V$46),"")</f>
        <v/>
      </c>
      <c r="Y13" s="36" t="str">
        <f>IF(AND('Riesgos de Gestión'!$AI$47="Muy Alta",'Riesgos de Gestión'!$AK$47="Moderado"),CONCATENATE("R8C",'Riesgos de Gestión'!$V$47),"")</f>
        <v/>
      </c>
      <c r="Z13" s="36" t="str">
        <f>IF(AND('Riesgos de Gestión'!$AI$48="Muy Alta",'Riesgos de Gestión'!$AK$48="Moderado"),CONCATENATE("R8C",'Riesgos de Gestión'!$V$48),"")</f>
        <v/>
      </c>
      <c r="AA13" s="37" t="str">
        <f>IF(AND('Riesgos de Gestión'!$AI$49="Muy Alta",'Riesgos de Gestión'!$AK$49="Moderado"),CONCATENATE("R8C",'Riesgos de Gestión'!$V$49),"")</f>
        <v/>
      </c>
      <c r="AB13" s="35" t="str">
        <f>IF(AND('Riesgos de Gestión'!$AI$44="Muy Alta",'Riesgos de Gestión'!$AK$44="Mayor"),CONCATENATE("R8C",'Riesgos de Gestión'!$V$44),"")</f>
        <v/>
      </c>
      <c r="AC13" s="36" t="str">
        <f>IF(AND('Riesgos de Gestión'!$AI$45="Muy Alta",'Riesgos de Gestión'!$AK$45="Mayor"),CONCATENATE("R8C",'Riesgos de Gestión'!$V$45),"")</f>
        <v/>
      </c>
      <c r="AD13" s="36" t="str">
        <f>IF(AND('Riesgos de Gestión'!$AI$46="Muy Alta",'Riesgos de Gestión'!$AK$46="Mayor"),CONCATENATE("R8C",'Riesgos de Gestión'!$V$46),"")</f>
        <v/>
      </c>
      <c r="AE13" s="36" t="str">
        <f>IF(AND('Riesgos de Gestión'!$AI$47="Muy Alta",'Riesgos de Gestión'!$AK$47="Mayor"),CONCATENATE("R8C",'Riesgos de Gestión'!$V$47),"")</f>
        <v/>
      </c>
      <c r="AF13" s="36" t="str">
        <f>IF(AND('Riesgos de Gestión'!$AI$48="Muy Alta",'Riesgos de Gestión'!$AK$48="Mayor"),CONCATENATE("R8C",'Riesgos de Gestión'!$V$48),"")</f>
        <v/>
      </c>
      <c r="AG13" s="37" t="str">
        <f>IF(AND('Riesgos de Gestión'!$AI$49="Muy Alta",'Riesgos de Gestión'!$AK$49="Mayor"),CONCATENATE("R8C",'Riesgos de Gestión'!$V$49),"")</f>
        <v/>
      </c>
      <c r="AH13" s="38" t="str">
        <f>IF(AND('Riesgos de Gestión'!$AI$44="Muy Alta",'Riesgos de Gestión'!$AK$44="Catastrófico"),CONCATENATE("R8C",'Riesgos de Gestión'!$V$44),"")</f>
        <v/>
      </c>
      <c r="AI13" s="39" t="str">
        <f>IF(AND('Riesgos de Gestión'!$AI$45="Muy Alta",'Riesgos de Gestión'!$AK$45="Catastrófico"),CONCATENATE("R8C",'Riesgos de Gestión'!$V$45),"")</f>
        <v/>
      </c>
      <c r="AJ13" s="39" t="str">
        <f>IF(AND('Riesgos de Gestión'!$AI$46="Muy Alta",'Riesgos de Gestión'!$AK$46="Catastrófico"),CONCATENATE("R8C",'Riesgos de Gestión'!$V$46),"")</f>
        <v/>
      </c>
      <c r="AK13" s="39" t="str">
        <f>IF(AND('Riesgos de Gestión'!$AI$47="Muy Alta",'Riesgos de Gestión'!$AK$47="Catastrófico"),CONCATENATE("R8C",'Riesgos de Gestión'!$V$47),"")</f>
        <v/>
      </c>
      <c r="AL13" s="39" t="str">
        <f>IF(AND('Riesgos de Gestión'!$AI$48="Muy Alta",'Riesgos de Gestión'!$AK$48="Catastrófico"),CONCATENATE("R8C",'Riesgos de Gestión'!$V$48),"")</f>
        <v/>
      </c>
      <c r="AM13" s="40" t="str">
        <f>IF(AND('Riesgos de Gestión'!$AI$49="Muy Alta",'Riesgos de Gestión'!$AK$49="Catastrófico"),CONCATENATE("R8C",'Riesgos de Gestión'!$V$49),"")</f>
        <v/>
      </c>
      <c r="AN13" s="66"/>
      <c r="AO13" s="631"/>
      <c r="AP13" s="632"/>
      <c r="AQ13" s="632"/>
      <c r="AR13" s="632"/>
      <c r="AS13" s="632"/>
      <c r="AT13" s="633"/>
      <c r="AU13" s="66"/>
      <c r="AV13" s="66"/>
      <c r="AW13" s="66"/>
      <c r="AX13" s="66"/>
      <c r="AY13" s="66"/>
      <c r="AZ13" s="66"/>
      <c r="BA13" s="66"/>
      <c r="BB13" s="66"/>
      <c r="BC13" s="66"/>
      <c r="BD13" s="66"/>
      <c r="BE13" s="66"/>
      <c r="BF13" s="66"/>
      <c r="BG13" s="66"/>
      <c r="BH13" s="66"/>
      <c r="BI13" s="66"/>
      <c r="BJ13" s="66"/>
      <c r="BK13" s="66"/>
      <c r="BL13" s="66"/>
      <c r="BM13" s="66"/>
      <c r="BN13" s="66"/>
      <c r="BO13" s="66"/>
      <c r="BP13" s="66"/>
      <c r="BQ13" s="66"/>
      <c r="BR13" s="66"/>
      <c r="BS13" s="66"/>
      <c r="BT13" s="66"/>
      <c r="BU13" s="66"/>
      <c r="BV13" s="66"/>
      <c r="BW13" s="66"/>
      <c r="BX13" s="66"/>
    </row>
    <row r="14" spans="1:91" ht="15" customHeight="1" x14ac:dyDescent="0.25">
      <c r="A14" s="66"/>
      <c r="B14" s="526"/>
      <c r="C14" s="526"/>
      <c r="D14" s="527"/>
      <c r="E14" s="625"/>
      <c r="F14" s="624"/>
      <c r="G14" s="624"/>
      <c r="H14" s="624"/>
      <c r="I14" s="640"/>
      <c r="J14" s="35" t="str">
        <f>IF(AND('Riesgos de Gestión'!$AI$50="Muy Alta",'Riesgos de Gestión'!$AK$50="Leve"),CONCATENATE("R9C",'Riesgos de Gestión'!$V$50),"")</f>
        <v/>
      </c>
      <c r="K14" s="36" t="str">
        <f>IF(AND('Riesgos de Gestión'!$AI$51="Muy Alta",'Riesgos de Gestión'!$AK$51="Leve"),CONCATENATE("R9C",'Riesgos de Gestión'!$V$51),"")</f>
        <v/>
      </c>
      <c r="L14" s="36" t="str">
        <f>IF(AND('Riesgos de Gestión'!$AI$52="Muy Alta",'Riesgos de Gestión'!$AK$52="Leve"),CONCATENATE("R9C",'Riesgos de Gestión'!$V$52),"")</f>
        <v/>
      </c>
      <c r="M14" s="36" t="str">
        <f>IF(AND('Riesgos de Gestión'!$AI$53="Muy Alta",'Riesgos de Gestión'!$AK$53="Leve"),CONCATENATE("R9C",'Riesgos de Gestión'!$V$53),"")</f>
        <v/>
      </c>
      <c r="N14" s="36" t="str">
        <f>IF(AND('Riesgos de Gestión'!$AI$54="Muy Alta",'Riesgos de Gestión'!$AK$54="Leve"),CONCATENATE("R9C",'Riesgos de Gestión'!$V$54),"")</f>
        <v/>
      </c>
      <c r="O14" s="37" t="str">
        <f>IF(AND('Riesgos de Gestión'!$AI$55="Muy Alta",'Riesgos de Gestión'!$AK$55="Leve"),CONCATENATE("R9C",'Riesgos de Gestión'!$V$55),"")</f>
        <v/>
      </c>
      <c r="P14" s="35" t="str">
        <f>IF(AND('Riesgos de Gestión'!$AI$50="Muy Alta",'Riesgos de Gestión'!$AK$50="Menor"),CONCATENATE("R9C",'Riesgos de Gestión'!$V$50),"")</f>
        <v/>
      </c>
      <c r="Q14" s="36" t="str">
        <f>IF(AND('Riesgos de Gestión'!$AI$51="Muy Alta",'Riesgos de Gestión'!$AK$51="Menor"),CONCATENATE("R9C",'Riesgos de Gestión'!$V$51),"")</f>
        <v/>
      </c>
      <c r="R14" s="36" t="str">
        <f>IF(AND('Riesgos de Gestión'!$AI$52="Muy Alta",'Riesgos de Gestión'!$AK$52="Menor"),CONCATENATE("R9C",'Riesgos de Gestión'!$V$52),"")</f>
        <v/>
      </c>
      <c r="S14" s="36" t="str">
        <f>IF(AND('Riesgos de Gestión'!$AI$53="Muy Alta",'Riesgos de Gestión'!$AK$53="Menor"),CONCATENATE("R9C",'Riesgos de Gestión'!$V$53),"")</f>
        <v/>
      </c>
      <c r="T14" s="36" t="str">
        <f>IF(AND('Riesgos de Gestión'!$AI$54="Muy Alta",'Riesgos de Gestión'!$AK$54="Menor"),CONCATENATE("R9C",'Riesgos de Gestión'!$V$54),"")</f>
        <v/>
      </c>
      <c r="U14" s="37" t="str">
        <f>IF(AND('Riesgos de Gestión'!$AI$55="Muy Alta",'Riesgos de Gestión'!$AK$55="Menor"),CONCATENATE("R9C",'Riesgos de Gestión'!$V$55),"")</f>
        <v/>
      </c>
      <c r="V14" s="35" t="str">
        <f>IF(AND('Riesgos de Gestión'!$AI$50="Muy Alta",'Riesgos de Gestión'!$AK$50="Moderado"),CONCATENATE("R9C",'Riesgos de Gestión'!$V$50),"")</f>
        <v/>
      </c>
      <c r="W14" s="36" t="str">
        <f>IF(AND('Riesgos de Gestión'!$AI$51="Muy Alta",'Riesgos de Gestión'!$AK$51="Moderado"),CONCATENATE("R9C",'Riesgos de Gestión'!$V$51),"")</f>
        <v/>
      </c>
      <c r="X14" s="36" t="str">
        <f>IF(AND('Riesgos de Gestión'!$AI$52="Muy Alta",'Riesgos de Gestión'!$AK$52="Moderado"),CONCATENATE("R9C",'Riesgos de Gestión'!$V$52),"")</f>
        <v/>
      </c>
      <c r="Y14" s="36" t="str">
        <f>IF(AND('Riesgos de Gestión'!$AI$53="Muy Alta",'Riesgos de Gestión'!$AK$53="Moderado"),CONCATENATE("R9C",'Riesgos de Gestión'!$V$53),"")</f>
        <v/>
      </c>
      <c r="Z14" s="36" t="str">
        <f>IF(AND('Riesgos de Gestión'!$AI$54="Muy Alta",'Riesgos de Gestión'!$AK$54="Moderado"),CONCATENATE("R9C",'Riesgos de Gestión'!$V$54),"")</f>
        <v/>
      </c>
      <c r="AA14" s="37" t="str">
        <f>IF(AND('Riesgos de Gestión'!$AI$55="Muy Alta",'Riesgos de Gestión'!$AK$55="Moderado"),CONCATENATE("R9C",'Riesgos de Gestión'!$V$55),"")</f>
        <v/>
      </c>
      <c r="AB14" s="35" t="str">
        <f>IF(AND('Riesgos de Gestión'!$AI$50="Muy Alta",'Riesgos de Gestión'!$AK$50="Mayor"),CONCATENATE("R9C",'Riesgos de Gestión'!$V$50),"")</f>
        <v/>
      </c>
      <c r="AC14" s="36" t="str">
        <f>IF(AND('Riesgos de Gestión'!$AI$51="Muy Alta",'Riesgos de Gestión'!$AK$51="Mayor"),CONCATENATE("R9C",'Riesgos de Gestión'!$V$51),"")</f>
        <v/>
      </c>
      <c r="AD14" s="36" t="str">
        <f>IF(AND('Riesgos de Gestión'!$AI$52="Muy Alta",'Riesgos de Gestión'!$AK$52="Mayor"),CONCATENATE("R9C",'Riesgos de Gestión'!$V$52),"")</f>
        <v/>
      </c>
      <c r="AE14" s="36" t="str">
        <f>IF(AND('Riesgos de Gestión'!$AI$53="Muy Alta",'Riesgos de Gestión'!$AK$53="Mayor"),CONCATENATE("R9C",'Riesgos de Gestión'!$V$53),"")</f>
        <v/>
      </c>
      <c r="AF14" s="36" t="str">
        <f>IF(AND('Riesgos de Gestión'!$AI$54="Muy Alta",'Riesgos de Gestión'!$AK$54="Mayor"),CONCATENATE("R9C",'Riesgos de Gestión'!$V$54),"")</f>
        <v/>
      </c>
      <c r="AG14" s="37" t="str">
        <f>IF(AND('Riesgos de Gestión'!$AI$55="Muy Alta",'Riesgos de Gestión'!$AK$55="Mayor"),CONCATENATE("R9C",'Riesgos de Gestión'!$V$55),"")</f>
        <v/>
      </c>
      <c r="AH14" s="38" t="str">
        <f>IF(AND('Riesgos de Gestión'!$AI$50="Muy Alta",'Riesgos de Gestión'!$AK$50="Catastrófico"),CONCATENATE("R9C",'Riesgos de Gestión'!$V$50),"")</f>
        <v/>
      </c>
      <c r="AI14" s="39" t="str">
        <f>IF(AND('Riesgos de Gestión'!$AI$51="Muy Alta",'Riesgos de Gestión'!$AK$51="Catastrófico"),CONCATENATE("R9C",'Riesgos de Gestión'!$V$51),"")</f>
        <v/>
      </c>
      <c r="AJ14" s="39" t="str">
        <f>IF(AND('Riesgos de Gestión'!$AI$52="Muy Alta",'Riesgos de Gestión'!$AK$52="Catastrófico"),CONCATENATE("R9C",'Riesgos de Gestión'!$V$52),"")</f>
        <v/>
      </c>
      <c r="AK14" s="39" t="str">
        <f>IF(AND('Riesgos de Gestión'!$AI$53="Muy Alta",'Riesgos de Gestión'!$AK$53="Catastrófico"),CONCATENATE("R9C",'Riesgos de Gestión'!$V$53),"")</f>
        <v/>
      </c>
      <c r="AL14" s="39" t="str">
        <f>IF(AND('Riesgos de Gestión'!$AI$54="Muy Alta",'Riesgos de Gestión'!$AK$54="Catastrófico"),CONCATENATE("R9C",'Riesgos de Gestión'!$V$54),"")</f>
        <v/>
      </c>
      <c r="AM14" s="40" t="str">
        <f>IF(AND('Riesgos de Gestión'!$AI$55="Muy Alta",'Riesgos de Gestión'!$AK$55="Catastrófico"),CONCATENATE("R9C",'Riesgos de Gestión'!$V$55),"")</f>
        <v/>
      </c>
      <c r="AN14" s="66"/>
      <c r="AO14" s="631"/>
      <c r="AP14" s="632"/>
      <c r="AQ14" s="632"/>
      <c r="AR14" s="632"/>
      <c r="AS14" s="632"/>
      <c r="AT14" s="633"/>
      <c r="AU14" s="66"/>
      <c r="AV14" s="66"/>
      <c r="AW14" s="66"/>
      <c r="AX14" s="66"/>
      <c r="AY14" s="66"/>
      <c r="AZ14" s="66"/>
      <c r="BA14" s="66"/>
      <c r="BB14" s="66"/>
      <c r="BC14" s="66"/>
      <c r="BD14" s="66"/>
      <c r="BE14" s="66"/>
      <c r="BF14" s="66"/>
      <c r="BG14" s="66"/>
      <c r="BH14" s="66"/>
      <c r="BI14" s="66"/>
      <c r="BJ14" s="66"/>
      <c r="BK14" s="66"/>
      <c r="BL14" s="66"/>
      <c r="BM14" s="66"/>
      <c r="BN14" s="66"/>
      <c r="BO14" s="66"/>
      <c r="BP14" s="66"/>
      <c r="BQ14" s="66"/>
      <c r="BR14" s="66"/>
      <c r="BS14" s="66"/>
      <c r="BT14" s="66"/>
      <c r="BU14" s="66"/>
      <c r="BV14" s="66"/>
      <c r="BW14" s="66"/>
      <c r="BX14" s="66"/>
    </row>
    <row r="15" spans="1:91" ht="15.75" customHeight="1" thickBot="1" x14ac:dyDescent="0.3">
      <c r="A15" s="66"/>
      <c r="B15" s="526"/>
      <c r="C15" s="526"/>
      <c r="D15" s="527"/>
      <c r="E15" s="626"/>
      <c r="F15" s="627"/>
      <c r="G15" s="627"/>
      <c r="H15" s="627"/>
      <c r="I15" s="641"/>
      <c r="J15" s="41" t="str">
        <f>IF(AND('Riesgos de Gestión'!$AI$56="Muy Alta",'Riesgos de Gestión'!$AK$56="Leve"),CONCATENATE("R10C",'Riesgos de Gestión'!$V$56),"")</f>
        <v/>
      </c>
      <c r="K15" s="42" t="str">
        <f>IF(AND('Riesgos de Gestión'!$AI$57="Muy Alta",'Riesgos de Gestión'!$AK$57="Leve"),CONCATENATE("R10C",'Riesgos de Gestión'!$V$57),"")</f>
        <v/>
      </c>
      <c r="L15" s="42" t="str">
        <f>IF(AND('Riesgos de Gestión'!$AI$58="Muy Alta",'Riesgos de Gestión'!$AK$58="Leve"),CONCATENATE("R10C",'Riesgos de Gestión'!$V$58),"")</f>
        <v/>
      </c>
      <c r="M15" s="42" t="str">
        <f>IF(AND('Riesgos de Gestión'!$AI$59="Muy Alta",'Riesgos de Gestión'!$AK$59="Leve"),CONCATENATE("R10C",'Riesgos de Gestión'!$V$59),"")</f>
        <v/>
      </c>
      <c r="N15" s="42" t="str">
        <f>IF(AND('Riesgos de Gestión'!$AI$60="Muy Alta",'Riesgos de Gestión'!$AK$60="Leve"),CONCATENATE("R10C",'Riesgos de Gestión'!$V$60),"")</f>
        <v/>
      </c>
      <c r="O15" s="43" t="str">
        <f>IF(AND('Riesgos de Gestión'!$AI$61="Muy Alta",'Riesgos de Gestión'!$AK$61="Leve"),CONCATENATE("R10C",'Riesgos de Gestión'!$V$61),"")</f>
        <v/>
      </c>
      <c r="P15" s="35" t="str">
        <f>IF(AND('Riesgos de Gestión'!$AI$56="Muy Alta",'Riesgos de Gestión'!$AK$56="Menor"),CONCATENATE("R10C",'Riesgos de Gestión'!$V$56),"")</f>
        <v/>
      </c>
      <c r="Q15" s="36" t="str">
        <f>IF(AND('Riesgos de Gestión'!$AI$57="Muy Alta",'Riesgos de Gestión'!$AK$57="Menor"),CONCATENATE("R10C",'Riesgos de Gestión'!$V$57),"")</f>
        <v/>
      </c>
      <c r="R15" s="36" t="str">
        <f>IF(AND('Riesgos de Gestión'!$AI$58="Muy Alta",'Riesgos de Gestión'!$AK$58="Menor"),CONCATENATE("R10C",'Riesgos de Gestión'!$V$58),"")</f>
        <v/>
      </c>
      <c r="S15" s="36" t="str">
        <f>IF(AND('Riesgos de Gestión'!$AI$59="Muy Alta",'Riesgos de Gestión'!$AK$59="Menor"),CONCATENATE("R10C",'Riesgos de Gestión'!$V$59),"")</f>
        <v/>
      </c>
      <c r="T15" s="36" t="str">
        <f>IF(AND('Riesgos de Gestión'!$AI$60="Muy Alta",'Riesgos de Gestión'!$AK$60="Menor"),CONCATENATE("R10C",'Riesgos de Gestión'!$V$60),"")</f>
        <v/>
      </c>
      <c r="U15" s="37" t="str">
        <f>IF(AND('Riesgos de Gestión'!$AI$61="Muy Alta",'Riesgos de Gestión'!$AK$61="Menor"),CONCATENATE("R10C",'Riesgos de Gestión'!$V$61),"")</f>
        <v/>
      </c>
      <c r="V15" s="41" t="str">
        <f>IF(AND('Riesgos de Gestión'!$AI$56="Muy Alta",'Riesgos de Gestión'!$AK$56="Moderado"),CONCATENATE("R10C",'Riesgos de Gestión'!$V$56),"")</f>
        <v/>
      </c>
      <c r="W15" s="42" t="str">
        <f>IF(AND('Riesgos de Gestión'!$AI$57="Muy Alta",'Riesgos de Gestión'!$AK$57="Moderado"),CONCATENATE("R10C",'Riesgos de Gestión'!$V$57),"")</f>
        <v/>
      </c>
      <c r="X15" s="42" t="str">
        <f>IF(AND('Riesgos de Gestión'!$AI$58="Muy Alta",'Riesgos de Gestión'!$AK$58="Moderado"),CONCATENATE("R10C",'Riesgos de Gestión'!$V$58),"")</f>
        <v/>
      </c>
      <c r="Y15" s="42" t="str">
        <f>IF(AND('Riesgos de Gestión'!$AI$59="Muy Alta",'Riesgos de Gestión'!$AK$59="Moderado"),CONCATENATE("R10C",'Riesgos de Gestión'!$V$59),"")</f>
        <v/>
      </c>
      <c r="Z15" s="42" t="str">
        <f>IF(AND('Riesgos de Gestión'!$AI$60="Muy Alta",'Riesgos de Gestión'!$AK$60="Moderado"),CONCATENATE("R10C",'Riesgos de Gestión'!$V$60),"")</f>
        <v/>
      </c>
      <c r="AA15" s="43" t="str">
        <f>IF(AND('Riesgos de Gestión'!$AI$61="Muy Alta",'Riesgos de Gestión'!$AK$61="Moderado"),CONCATENATE("R10C",'Riesgos de Gestión'!$V$61),"")</f>
        <v/>
      </c>
      <c r="AB15" s="35" t="str">
        <f>IF(AND('Riesgos de Gestión'!$AI$56="Muy Alta",'Riesgos de Gestión'!$AK$56="Mayor"),CONCATENATE("R10C",'Riesgos de Gestión'!$V$56),"")</f>
        <v/>
      </c>
      <c r="AC15" s="36" t="str">
        <f>IF(AND('Riesgos de Gestión'!$AI$57="Muy Alta",'Riesgos de Gestión'!$AK$57="Mayor"),CONCATENATE("R10C",'Riesgos de Gestión'!$V$57),"")</f>
        <v/>
      </c>
      <c r="AD15" s="36" t="str">
        <f>IF(AND('Riesgos de Gestión'!$AI$58="Muy Alta",'Riesgos de Gestión'!$AK$58="Mayor"),CONCATENATE("R10C",'Riesgos de Gestión'!$V$58),"")</f>
        <v/>
      </c>
      <c r="AE15" s="36" t="str">
        <f>IF(AND('Riesgos de Gestión'!$AI$59="Muy Alta",'Riesgos de Gestión'!$AK$59="Mayor"),CONCATENATE("R10C",'Riesgos de Gestión'!$V$59),"")</f>
        <v/>
      </c>
      <c r="AF15" s="36" t="str">
        <f>IF(AND('Riesgos de Gestión'!$AI$60="Muy Alta",'Riesgos de Gestión'!$AK$60="Mayor"),CONCATENATE("R10C",'Riesgos de Gestión'!$V$60),"")</f>
        <v/>
      </c>
      <c r="AG15" s="37" t="str">
        <f>IF(AND('Riesgos de Gestión'!$AI$61="Muy Alta",'Riesgos de Gestión'!$AK$61="Mayor"),CONCATENATE("R10C",'Riesgos de Gestión'!$V$61),"")</f>
        <v/>
      </c>
      <c r="AH15" s="44" t="str">
        <f>IF(AND('Riesgos de Gestión'!$AI$56="Muy Alta",'Riesgos de Gestión'!$AK$56="Catastrófico"),CONCATENATE("R10C",'Riesgos de Gestión'!$V$56),"")</f>
        <v/>
      </c>
      <c r="AI15" s="45" t="str">
        <f>IF(AND('Riesgos de Gestión'!$AI$57="Muy Alta",'Riesgos de Gestión'!$AK$57="Catastrófico"),CONCATENATE("R10C",'Riesgos de Gestión'!$V$57),"")</f>
        <v/>
      </c>
      <c r="AJ15" s="45" t="str">
        <f>IF(AND('Riesgos de Gestión'!$AI$58="Muy Alta",'Riesgos de Gestión'!$AK$58="Catastrófico"),CONCATENATE("R10C",'Riesgos de Gestión'!$V$58),"")</f>
        <v/>
      </c>
      <c r="AK15" s="45" t="str">
        <f>IF(AND('Riesgos de Gestión'!$AI$59="Muy Alta",'Riesgos de Gestión'!$AK$59="Catastrófico"),CONCATENATE("R10C",'Riesgos de Gestión'!$V$59),"")</f>
        <v/>
      </c>
      <c r="AL15" s="45" t="str">
        <f>IF(AND('Riesgos de Gestión'!$AI$60="Muy Alta",'Riesgos de Gestión'!$AK$60="Catastrófico"),CONCATENATE("R10C",'Riesgos de Gestión'!$V$60),"")</f>
        <v/>
      </c>
      <c r="AM15" s="46" t="str">
        <f>IF(AND('Riesgos de Gestión'!$AI$61="Muy Alta",'Riesgos de Gestión'!$AK$61="Catastrófico"),CONCATENATE("R10C",'Riesgos de Gestión'!$V$61),"")</f>
        <v/>
      </c>
      <c r="AN15" s="66"/>
      <c r="AO15" s="634"/>
      <c r="AP15" s="635"/>
      <c r="AQ15" s="635"/>
      <c r="AR15" s="635"/>
      <c r="AS15" s="635"/>
      <c r="AT15" s="636"/>
      <c r="AU15" s="66"/>
      <c r="AV15" s="66"/>
      <c r="AW15" s="66"/>
      <c r="AX15" s="66"/>
      <c r="AY15" s="66"/>
      <c r="AZ15" s="66"/>
      <c r="BA15" s="66"/>
      <c r="BB15" s="66"/>
      <c r="BC15" s="66"/>
      <c r="BD15" s="66"/>
      <c r="BE15" s="66"/>
      <c r="BF15" s="66"/>
      <c r="BG15" s="66"/>
      <c r="BH15" s="66"/>
      <c r="BI15" s="66"/>
      <c r="BJ15" s="66"/>
      <c r="BK15" s="66"/>
      <c r="BL15" s="66"/>
      <c r="BM15" s="66"/>
      <c r="BN15" s="66"/>
      <c r="BO15" s="66"/>
      <c r="BP15" s="66"/>
      <c r="BQ15" s="66"/>
      <c r="BR15" s="66"/>
      <c r="BS15" s="66"/>
      <c r="BT15" s="66"/>
      <c r="BU15" s="66"/>
      <c r="BV15" s="66"/>
      <c r="BW15" s="66"/>
      <c r="BX15" s="66"/>
    </row>
    <row r="16" spans="1:91" ht="15" customHeight="1" x14ac:dyDescent="0.25">
      <c r="A16" s="66"/>
      <c r="B16" s="526"/>
      <c r="C16" s="526"/>
      <c r="D16" s="527"/>
      <c r="E16" s="621" t="s">
        <v>487</v>
      </c>
      <c r="F16" s="622"/>
      <c r="G16" s="622"/>
      <c r="H16" s="622"/>
      <c r="I16" s="622"/>
      <c r="J16" s="47" t="str">
        <f>IF(AND('Riesgos de Gestión'!$AI$13="Alta",'Riesgos de Gestión'!$AK$13="Leve"),CONCATENATE("R1C",'Riesgos de Gestión'!$V$13),"")</f>
        <v/>
      </c>
      <c r="K16" s="48" t="str">
        <f>IF(AND('Riesgos de Gestión'!$AI$14="Alta",'Riesgos de Gestión'!$AK$14="Leve"),CONCATENATE("R1C",'Riesgos de Gestión'!$V$14),"")</f>
        <v/>
      </c>
      <c r="L16" s="48" t="e">
        <f>IF(AND('Riesgos de Gestión'!#REF!="Alta",'Riesgos de Gestión'!#REF!="Leve"),CONCATENATE("R1C",'Riesgos de Gestión'!#REF!),"")</f>
        <v>#REF!</v>
      </c>
      <c r="M16" s="48" t="e">
        <f>IF(AND('Riesgos de Gestión'!#REF!="Alta",'Riesgos de Gestión'!#REF!="Leve"),CONCATENATE("R1C",'Riesgos de Gestión'!#REF!),"")</f>
        <v>#REF!</v>
      </c>
      <c r="N16" s="48" t="e">
        <f>IF(AND('Riesgos de Gestión'!#REF!="Alta",'Riesgos de Gestión'!#REF!="Leve"),CONCATENATE("R1C",'Riesgos de Gestión'!#REF!),"")</f>
        <v>#REF!</v>
      </c>
      <c r="O16" s="49" t="e">
        <f>IF(AND('Riesgos de Gestión'!#REF!="Alta",'Riesgos de Gestión'!#REF!="Leve"),CONCATENATE("R1C",'Riesgos de Gestión'!#REF!),"")</f>
        <v>#REF!</v>
      </c>
      <c r="P16" s="47" t="str">
        <f>IF(AND('Riesgos de Gestión'!$AI$13="Alta",'Riesgos de Gestión'!$AK$13="Menor"),CONCATENATE("R1C",'Riesgos de Gestión'!$V$13),"")</f>
        <v/>
      </c>
      <c r="Q16" s="48" t="str">
        <f>IF(AND('Riesgos de Gestión'!$AI$14="Alta",'Riesgos de Gestión'!$AK$14="Menor"),CONCATENATE("R1C",'Riesgos de Gestión'!$V$14),"")</f>
        <v/>
      </c>
      <c r="R16" s="48" t="e">
        <f>IF(AND('Riesgos de Gestión'!#REF!="Alta",'Riesgos de Gestión'!#REF!="Menor"),CONCATENATE("R1C",'Riesgos de Gestión'!#REF!),"")</f>
        <v>#REF!</v>
      </c>
      <c r="S16" s="48" t="e">
        <f>IF(AND('Riesgos de Gestión'!#REF!="Alta",'Riesgos de Gestión'!#REF!="Menor"),CONCATENATE("R1C",'Riesgos de Gestión'!#REF!),"")</f>
        <v>#REF!</v>
      </c>
      <c r="T16" s="48" t="e">
        <f>IF(AND('Riesgos de Gestión'!#REF!="Alta",'Riesgos de Gestión'!#REF!="Menor"),CONCATENATE("R1C",'Riesgos de Gestión'!#REF!),"")</f>
        <v>#REF!</v>
      </c>
      <c r="U16" s="49" t="e">
        <f>IF(AND('Riesgos de Gestión'!#REF!="Alta",'Riesgos de Gestión'!#REF!="Menor"),CONCATENATE("R1C",'Riesgos de Gestión'!#REF!),"")</f>
        <v>#REF!</v>
      </c>
      <c r="V16" s="29" t="str">
        <f>IF(AND('Riesgos de Gestión'!$AI$13="Alta",'Riesgos de Gestión'!$AK$13="Moderado"),CONCATENATE("R1C",'Riesgos de Gestión'!$V$13),"")</f>
        <v/>
      </c>
      <c r="W16" s="30" t="str">
        <f>IF(AND('Riesgos de Gestión'!$AI$14="Alta",'Riesgos de Gestión'!$AK$14="Moderado"),CONCATENATE("R1C",'Riesgos de Gestión'!$V$14),"")</f>
        <v/>
      </c>
      <c r="X16" s="30" t="e">
        <f>IF(AND('Riesgos de Gestión'!#REF!="Alta",'Riesgos de Gestión'!#REF!="Moderado"),CONCATENATE("R1C",'Riesgos de Gestión'!#REF!),"")</f>
        <v>#REF!</v>
      </c>
      <c r="Y16" s="30" t="e">
        <f>IF(AND('Riesgos de Gestión'!#REF!="Alta",'Riesgos de Gestión'!#REF!="Moderado"),CONCATENATE("R1C",'Riesgos de Gestión'!#REF!),"")</f>
        <v>#REF!</v>
      </c>
      <c r="Z16" s="30" t="e">
        <f>IF(AND('Riesgos de Gestión'!#REF!="Alta",'Riesgos de Gestión'!#REF!="Moderado"),CONCATENATE("R1C",'Riesgos de Gestión'!#REF!),"")</f>
        <v>#REF!</v>
      </c>
      <c r="AA16" s="31" t="e">
        <f>IF(AND('Riesgos de Gestión'!#REF!="Alta",'Riesgos de Gestión'!#REF!="Moderado"),CONCATENATE("R1C",'Riesgos de Gestión'!#REF!),"")</f>
        <v>#REF!</v>
      </c>
      <c r="AB16" s="29" t="str">
        <f>IF(AND('Riesgos de Gestión'!$AI$13="Alta",'Riesgos de Gestión'!$AK$13="Mayor"),CONCATENATE("R1C",'Riesgos de Gestión'!$V$13),"")</f>
        <v/>
      </c>
      <c r="AC16" s="30" t="str">
        <f>IF(AND('Riesgos de Gestión'!$AI$14="Alta",'Riesgos de Gestión'!$AK$14="Mayor"),CONCATENATE("R1C",'Riesgos de Gestión'!$V$14),"")</f>
        <v/>
      </c>
      <c r="AD16" s="30" t="e">
        <f>IF(AND('Riesgos de Gestión'!#REF!="Alta",'Riesgos de Gestión'!#REF!="Mayor"),CONCATENATE("R1C",'Riesgos de Gestión'!#REF!),"")</f>
        <v>#REF!</v>
      </c>
      <c r="AE16" s="30" t="e">
        <f>IF(AND('Riesgos de Gestión'!#REF!="Alta",'Riesgos de Gestión'!#REF!="Mayor"),CONCATENATE("R1C",'Riesgos de Gestión'!#REF!),"")</f>
        <v>#REF!</v>
      </c>
      <c r="AF16" s="30" t="e">
        <f>IF(AND('Riesgos de Gestión'!#REF!="Alta",'Riesgos de Gestión'!#REF!="Mayor"),CONCATENATE("R1C",'Riesgos de Gestión'!#REF!),"")</f>
        <v>#REF!</v>
      </c>
      <c r="AG16" s="31" t="e">
        <f>IF(AND('Riesgos de Gestión'!#REF!="Alta",'Riesgos de Gestión'!#REF!="Mayor"),CONCATENATE("R1C",'Riesgos de Gestión'!#REF!),"")</f>
        <v>#REF!</v>
      </c>
      <c r="AH16" s="32" t="str">
        <f>IF(AND('Riesgos de Gestión'!$AI$13="Alta",'Riesgos de Gestión'!$AK$13="Catastrófico"),CONCATENATE("R1C",'Riesgos de Gestión'!$V$13),"")</f>
        <v/>
      </c>
      <c r="AI16" s="33" t="str">
        <f>IF(AND('Riesgos de Gestión'!$AI$14="Alta",'Riesgos de Gestión'!$AK$14="Catastrófico"),CONCATENATE("R1C",'Riesgos de Gestión'!$V$14),"")</f>
        <v/>
      </c>
      <c r="AJ16" s="33" t="e">
        <f>IF(AND('Riesgos de Gestión'!#REF!="Alta",'Riesgos de Gestión'!#REF!="Catastrófico"),CONCATENATE("R1C",'Riesgos de Gestión'!#REF!),"")</f>
        <v>#REF!</v>
      </c>
      <c r="AK16" s="33" t="e">
        <f>IF(AND('Riesgos de Gestión'!#REF!="Alta",'Riesgos de Gestión'!#REF!="Catastrófico"),CONCATENATE("R1C",'Riesgos de Gestión'!#REF!),"")</f>
        <v>#REF!</v>
      </c>
      <c r="AL16" s="33" t="e">
        <f>IF(AND('Riesgos de Gestión'!#REF!="Alta",'Riesgos de Gestión'!#REF!="Catastrófico"),CONCATENATE("R1C",'Riesgos de Gestión'!#REF!),"")</f>
        <v>#REF!</v>
      </c>
      <c r="AM16" s="34" t="e">
        <f>IF(AND('Riesgos de Gestión'!#REF!="Alta",'Riesgos de Gestión'!#REF!="Catastrófico"),CONCATENATE("R1C",'Riesgos de Gestión'!#REF!),"")</f>
        <v>#REF!</v>
      </c>
      <c r="AN16" s="66"/>
      <c r="AO16" s="612" t="s">
        <v>488</v>
      </c>
      <c r="AP16" s="613"/>
      <c r="AQ16" s="613"/>
      <c r="AR16" s="613"/>
      <c r="AS16" s="613"/>
      <c r="AT16" s="614"/>
      <c r="AU16" s="66"/>
      <c r="AV16" s="66"/>
      <c r="AW16" s="66"/>
      <c r="AX16" s="66"/>
      <c r="AY16" s="66"/>
      <c r="AZ16" s="66"/>
      <c r="BA16" s="66"/>
      <c r="BB16" s="66"/>
      <c r="BC16" s="66"/>
      <c r="BD16" s="66"/>
      <c r="BE16" s="66"/>
      <c r="BF16" s="66"/>
      <c r="BG16" s="66"/>
      <c r="BH16" s="66"/>
      <c r="BI16" s="66"/>
      <c r="BJ16" s="66"/>
      <c r="BK16" s="66"/>
      <c r="BL16" s="66"/>
      <c r="BM16" s="66"/>
      <c r="BN16" s="66"/>
      <c r="BO16" s="66"/>
      <c r="BP16" s="66"/>
      <c r="BQ16" s="66"/>
      <c r="BR16" s="66"/>
      <c r="BS16" s="66"/>
      <c r="BT16" s="66"/>
      <c r="BU16" s="66"/>
      <c r="BV16" s="66"/>
      <c r="BW16" s="66"/>
      <c r="BX16" s="66"/>
    </row>
    <row r="17" spans="1:76" ht="15" customHeight="1" x14ac:dyDescent="0.25">
      <c r="A17" s="66"/>
      <c r="B17" s="526"/>
      <c r="C17" s="526"/>
      <c r="D17" s="527"/>
      <c r="E17" s="623"/>
      <c r="F17" s="624"/>
      <c r="G17" s="624"/>
      <c r="H17" s="624"/>
      <c r="I17" s="624"/>
      <c r="J17" s="50" t="str">
        <f>IF(AND('Riesgos de Gestión'!$AI$15="Alta",'Riesgos de Gestión'!$AK$15="Leve"),CONCATENATE("R2C",'Riesgos de Gestión'!$V$15),"")</f>
        <v/>
      </c>
      <c r="K17" s="51" t="str">
        <f>IF(AND('Riesgos de Gestión'!$AI$16="Alta",'Riesgos de Gestión'!$AK$16="Leve"),CONCATENATE("R2C",'Riesgos de Gestión'!$V$16),"")</f>
        <v/>
      </c>
      <c r="L17" s="51" t="e">
        <f>IF(AND('Riesgos de Gestión'!#REF!="Alta",'Riesgos de Gestión'!#REF!="Leve"),CONCATENATE("R2C",'Riesgos de Gestión'!#REF!),"")</f>
        <v>#REF!</v>
      </c>
      <c r="M17" s="51" t="e">
        <f>IF(AND('Riesgos de Gestión'!#REF!="Alta",'Riesgos de Gestión'!#REF!="Leve"),CONCATENATE("R2C",'Riesgos de Gestión'!#REF!),"")</f>
        <v>#REF!</v>
      </c>
      <c r="N17" s="51" t="e">
        <f>IF(AND('Riesgos de Gestión'!#REF!="Alta",'Riesgos de Gestión'!#REF!="Leve"),CONCATENATE("R2C",'Riesgos de Gestión'!#REF!),"")</f>
        <v>#REF!</v>
      </c>
      <c r="O17" s="52" t="e">
        <f>IF(AND('Riesgos de Gestión'!#REF!="Alta",'Riesgos de Gestión'!#REF!="Leve"),CONCATENATE("R2C",'Riesgos de Gestión'!#REF!),"")</f>
        <v>#REF!</v>
      </c>
      <c r="P17" s="50" t="str">
        <f>IF(AND('Riesgos de Gestión'!$AI$15="Alta",'Riesgos de Gestión'!$AK$15="Menor"),CONCATENATE("R2C",'Riesgos de Gestión'!$V$15),"")</f>
        <v/>
      </c>
      <c r="Q17" s="51" t="str">
        <f>IF(AND('Riesgos de Gestión'!$AI$16="Alta",'Riesgos de Gestión'!$AK$16="Menor"),CONCATENATE("R2C",'Riesgos de Gestión'!$V$16),"")</f>
        <v/>
      </c>
      <c r="R17" s="51" t="e">
        <f>IF(AND('Riesgos de Gestión'!#REF!="Alta",'Riesgos de Gestión'!#REF!="Menor"),CONCATENATE("R2C",'Riesgos de Gestión'!#REF!),"")</f>
        <v>#REF!</v>
      </c>
      <c r="S17" s="51" t="e">
        <f>IF(AND('Riesgos de Gestión'!#REF!="Alta",'Riesgos de Gestión'!#REF!="Menor"),CONCATENATE("R2C",'Riesgos de Gestión'!#REF!),"")</f>
        <v>#REF!</v>
      </c>
      <c r="T17" s="51" t="e">
        <f>IF(AND('Riesgos de Gestión'!#REF!="Alta",'Riesgos de Gestión'!#REF!="Menor"),CONCATENATE("R2C",'Riesgos de Gestión'!#REF!),"")</f>
        <v>#REF!</v>
      </c>
      <c r="U17" s="52" t="e">
        <f>IF(AND('Riesgos de Gestión'!#REF!="Alta",'Riesgos de Gestión'!#REF!="Menor"),CONCATENATE("R2C",'Riesgos de Gestión'!#REF!),"")</f>
        <v>#REF!</v>
      </c>
      <c r="V17" s="35" t="str">
        <f>IF(AND('Riesgos de Gestión'!$AI$15="Alta",'Riesgos de Gestión'!$AK$15="Moderado"),CONCATENATE("R2C",'Riesgos de Gestión'!$V$15),"")</f>
        <v/>
      </c>
      <c r="W17" s="36" t="str">
        <f>IF(AND('Riesgos de Gestión'!$AI$16="Alta",'Riesgos de Gestión'!$AK$16="Moderado"),CONCATENATE("R2C",'Riesgos de Gestión'!$V$16),"")</f>
        <v/>
      </c>
      <c r="X17" s="36" t="e">
        <f>IF(AND('Riesgos de Gestión'!#REF!="Alta",'Riesgos de Gestión'!#REF!="Moderado"),CONCATENATE("R2C",'Riesgos de Gestión'!#REF!),"")</f>
        <v>#REF!</v>
      </c>
      <c r="Y17" s="36" t="e">
        <f>IF(AND('Riesgos de Gestión'!#REF!="Alta",'Riesgos de Gestión'!#REF!="Moderado"),CONCATENATE("R2C",'Riesgos de Gestión'!#REF!),"")</f>
        <v>#REF!</v>
      </c>
      <c r="Z17" s="36" t="e">
        <f>IF(AND('Riesgos de Gestión'!#REF!="Alta",'Riesgos de Gestión'!#REF!="Moderado"),CONCATENATE("R2C",'Riesgos de Gestión'!#REF!),"")</f>
        <v>#REF!</v>
      </c>
      <c r="AA17" s="37" t="e">
        <f>IF(AND('Riesgos de Gestión'!#REF!="Alta",'Riesgos de Gestión'!#REF!="Moderado"),CONCATENATE("R2C",'Riesgos de Gestión'!#REF!),"")</f>
        <v>#REF!</v>
      </c>
      <c r="AB17" s="35" t="str">
        <f>IF(AND('Riesgos de Gestión'!$AI$15="Alta",'Riesgos de Gestión'!$AK$15="Mayor"),CONCATENATE("R2C",'Riesgos de Gestión'!$V$15),"")</f>
        <v/>
      </c>
      <c r="AC17" s="36" t="str">
        <f>IF(AND('Riesgos de Gestión'!$AI$16="Alta",'Riesgos de Gestión'!$AK$16="Mayor"),CONCATENATE("R2C",'Riesgos de Gestión'!$V$16),"")</f>
        <v/>
      </c>
      <c r="AD17" s="36" t="e">
        <f>IF(AND('Riesgos de Gestión'!#REF!="Alta",'Riesgos de Gestión'!#REF!="Mayor"),CONCATENATE("R2C",'Riesgos de Gestión'!#REF!),"")</f>
        <v>#REF!</v>
      </c>
      <c r="AE17" s="36" t="e">
        <f>IF(AND('Riesgos de Gestión'!#REF!="Alta",'Riesgos de Gestión'!#REF!="Mayor"),CONCATENATE("R2C",'Riesgos de Gestión'!#REF!),"")</f>
        <v>#REF!</v>
      </c>
      <c r="AF17" s="36" t="e">
        <f>IF(AND('Riesgos de Gestión'!#REF!="Alta",'Riesgos de Gestión'!#REF!="Mayor"),CONCATENATE("R2C",'Riesgos de Gestión'!#REF!),"")</f>
        <v>#REF!</v>
      </c>
      <c r="AG17" s="37" t="e">
        <f>IF(AND('Riesgos de Gestión'!#REF!="Alta",'Riesgos de Gestión'!#REF!="Mayor"),CONCATENATE("R2C",'Riesgos de Gestión'!#REF!),"")</f>
        <v>#REF!</v>
      </c>
      <c r="AH17" s="38" t="str">
        <f>IF(AND('Riesgos de Gestión'!$AI$15="Alta",'Riesgos de Gestión'!$AK$15="Catastrófico"),CONCATENATE("R2C",'Riesgos de Gestión'!$V$15),"")</f>
        <v/>
      </c>
      <c r="AI17" s="39" t="str">
        <f>IF(AND('Riesgos de Gestión'!$AI$16="Alta",'Riesgos de Gestión'!$AK$16="Catastrófico"),CONCATENATE("R2C",'Riesgos de Gestión'!$V$16),"")</f>
        <v/>
      </c>
      <c r="AJ17" s="39" t="e">
        <f>IF(AND('Riesgos de Gestión'!#REF!="Alta",'Riesgos de Gestión'!#REF!="Catastrófico"),CONCATENATE("R2C",'Riesgos de Gestión'!#REF!),"")</f>
        <v>#REF!</v>
      </c>
      <c r="AK17" s="39" t="e">
        <f>IF(AND('Riesgos de Gestión'!#REF!="Alta",'Riesgos de Gestión'!#REF!="Catastrófico"),CONCATENATE("R2C",'Riesgos de Gestión'!#REF!),"")</f>
        <v>#REF!</v>
      </c>
      <c r="AL17" s="39" t="e">
        <f>IF(AND('Riesgos de Gestión'!#REF!="Alta",'Riesgos de Gestión'!#REF!="Catastrófico"),CONCATENATE("R2C",'Riesgos de Gestión'!#REF!),"")</f>
        <v>#REF!</v>
      </c>
      <c r="AM17" s="40" t="e">
        <f>IF(AND('Riesgos de Gestión'!#REF!="Alta",'Riesgos de Gestión'!#REF!="Catastrófico"),CONCATENATE("R2C",'Riesgos de Gestión'!#REF!),"")</f>
        <v>#REF!</v>
      </c>
      <c r="AN17" s="66"/>
      <c r="AO17" s="615"/>
      <c r="AP17" s="616"/>
      <c r="AQ17" s="616"/>
      <c r="AR17" s="616"/>
      <c r="AS17" s="616"/>
      <c r="AT17" s="617"/>
      <c r="AU17" s="66"/>
      <c r="AV17" s="66"/>
      <c r="AW17" s="66"/>
      <c r="AX17" s="66"/>
      <c r="AY17" s="66"/>
      <c r="AZ17" s="66"/>
      <c r="BA17" s="66"/>
      <c r="BB17" s="66"/>
      <c r="BC17" s="66"/>
      <c r="BD17" s="66"/>
      <c r="BE17" s="66"/>
      <c r="BF17" s="66"/>
      <c r="BG17" s="66"/>
      <c r="BH17" s="66"/>
      <c r="BI17" s="66"/>
      <c r="BJ17" s="66"/>
      <c r="BK17" s="66"/>
      <c r="BL17" s="66"/>
      <c r="BM17" s="66"/>
      <c r="BN17" s="66"/>
      <c r="BO17" s="66"/>
      <c r="BP17" s="66"/>
      <c r="BQ17" s="66"/>
      <c r="BR17" s="66"/>
      <c r="BS17" s="66"/>
      <c r="BT17" s="66"/>
      <c r="BU17" s="66"/>
      <c r="BV17" s="66"/>
      <c r="BW17" s="66"/>
      <c r="BX17" s="66"/>
    </row>
    <row r="18" spans="1:76" ht="15" customHeight="1" x14ac:dyDescent="0.25">
      <c r="A18" s="66"/>
      <c r="B18" s="526"/>
      <c r="C18" s="526"/>
      <c r="D18" s="527"/>
      <c r="E18" s="625"/>
      <c r="F18" s="624"/>
      <c r="G18" s="624"/>
      <c r="H18" s="624"/>
      <c r="I18" s="624"/>
      <c r="J18" s="50" t="str">
        <f>IF(AND('Riesgos de Gestión'!$AI$17="Alta",'Riesgos de Gestión'!$AK$17="Leve"),CONCATENATE("R3C",'Riesgos de Gestión'!$V$17),"")</f>
        <v/>
      </c>
      <c r="K18" s="51" t="str">
        <f>IF(AND('Riesgos de Gestión'!$AI$18="Alta",'Riesgos de Gestión'!$AK$18="Leve"),CONCATENATE("R3C",'Riesgos de Gestión'!$V$18),"")</f>
        <v/>
      </c>
      <c r="L18" s="51" t="str">
        <f>IF(AND('Riesgos de Gestión'!$AI$19="Alta",'Riesgos de Gestión'!$AK$19="Leve"),CONCATENATE("R3C",'Riesgos de Gestión'!$V$19),"")</f>
        <v/>
      </c>
      <c r="M18" s="51" t="e">
        <f>IF(AND('Riesgos de Gestión'!#REF!="Alta",'Riesgos de Gestión'!#REF!="Leve"),CONCATENATE("R3C",'Riesgos de Gestión'!#REF!),"")</f>
        <v>#REF!</v>
      </c>
      <c r="N18" s="51" t="e">
        <f>IF(AND('Riesgos de Gestión'!#REF!="Alta",'Riesgos de Gestión'!#REF!="Leve"),CONCATENATE("R3C",'Riesgos de Gestión'!#REF!),"")</f>
        <v>#REF!</v>
      </c>
      <c r="O18" s="52" t="e">
        <f>IF(AND('Riesgos de Gestión'!#REF!="Alta",'Riesgos de Gestión'!#REF!="Leve"),CONCATENATE("R3C",'Riesgos de Gestión'!#REF!),"")</f>
        <v>#REF!</v>
      </c>
      <c r="P18" s="50" t="str">
        <f>IF(AND('Riesgos de Gestión'!$AI$17="Alta",'Riesgos de Gestión'!$AK$17="Menor"),CONCATENATE("R3C",'Riesgos de Gestión'!$V$17),"")</f>
        <v/>
      </c>
      <c r="Q18" s="51" t="str">
        <f>IF(AND('Riesgos de Gestión'!$AI$18="Alta",'Riesgos de Gestión'!$AK$18="Menor"),CONCATENATE("R3C",'Riesgos de Gestión'!$V$18),"")</f>
        <v/>
      </c>
      <c r="R18" s="51" t="str">
        <f>IF(AND('Riesgos de Gestión'!$AI$19="Alta",'Riesgos de Gestión'!$AK$19="Menor"),CONCATENATE("R3C",'Riesgos de Gestión'!$V$19),"")</f>
        <v/>
      </c>
      <c r="S18" s="51" t="e">
        <f>IF(AND('Riesgos de Gestión'!#REF!="Alta",'Riesgos de Gestión'!#REF!="Menor"),CONCATENATE("R3C",'Riesgos de Gestión'!#REF!),"")</f>
        <v>#REF!</v>
      </c>
      <c r="T18" s="51" t="e">
        <f>IF(AND('Riesgos de Gestión'!#REF!="Alta",'Riesgos de Gestión'!#REF!="Menor"),CONCATENATE("R3C",'Riesgos de Gestión'!#REF!),"")</f>
        <v>#REF!</v>
      </c>
      <c r="U18" s="52" t="e">
        <f>IF(AND('Riesgos de Gestión'!#REF!="Alta",'Riesgos de Gestión'!#REF!="Menor"),CONCATENATE("R3C",'Riesgos de Gestión'!#REF!),"")</f>
        <v>#REF!</v>
      </c>
      <c r="V18" s="35" t="str">
        <f>IF(AND('Riesgos de Gestión'!$AI$17="Alta",'Riesgos de Gestión'!$AK$17="Moderado"),CONCATENATE("R3C",'Riesgos de Gestión'!$V$17),"")</f>
        <v/>
      </c>
      <c r="W18" s="36" t="str">
        <f>IF(AND('Riesgos de Gestión'!$AI$18="Alta",'Riesgos de Gestión'!$AK$18="Moderado"),CONCATENATE("R3C",'Riesgos de Gestión'!$V$18),"")</f>
        <v/>
      </c>
      <c r="X18" s="36" t="str">
        <f>IF(AND('Riesgos de Gestión'!$AI$19="Alta",'Riesgos de Gestión'!$AK$19="Moderado"),CONCATENATE("R3C",'Riesgos de Gestión'!$V$19),"")</f>
        <v/>
      </c>
      <c r="Y18" s="36" t="e">
        <f>IF(AND('Riesgos de Gestión'!#REF!="Alta",'Riesgos de Gestión'!#REF!="Moderado"),CONCATENATE("R3C",'Riesgos de Gestión'!#REF!),"")</f>
        <v>#REF!</v>
      </c>
      <c r="Z18" s="36" t="e">
        <f>IF(AND('Riesgos de Gestión'!#REF!="Alta",'Riesgos de Gestión'!#REF!="Moderado"),CONCATENATE("R3C",'Riesgos de Gestión'!#REF!),"")</f>
        <v>#REF!</v>
      </c>
      <c r="AA18" s="37" t="e">
        <f>IF(AND('Riesgos de Gestión'!#REF!="Alta",'Riesgos de Gestión'!#REF!="Moderado"),CONCATENATE("R3C",'Riesgos de Gestión'!#REF!),"")</f>
        <v>#REF!</v>
      </c>
      <c r="AB18" s="35" t="str">
        <f>IF(AND('Riesgos de Gestión'!$AI$17="Alta",'Riesgos de Gestión'!$AK$17="Mayor"),CONCATENATE("R3C",'Riesgos de Gestión'!$V$17),"")</f>
        <v/>
      </c>
      <c r="AC18" s="36" t="str">
        <f>IF(AND('Riesgos de Gestión'!$AI$18="Alta",'Riesgos de Gestión'!$AK$18="Mayor"),CONCATENATE("R3C",'Riesgos de Gestión'!$V$18),"")</f>
        <v/>
      </c>
      <c r="AD18" s="36" t="str">
        <f>IF(AND('Riesgos de Gestión'!$AI$19="Alta",'Riesgos de Gestión'!$AK$19="Mayor"),CONCATENATE("R3C",'Riesgos de Gestión'!$V$19),"")</f>
        <v/>
      </c>
      <c r="AE18" s="36" t="e">
        <f>IF(AND('Riesgos de Gestión'!#REF!="Alta",'Riesgos de Gestión'!#REF!="Mayor"),CONCATENATE("R3C",'Riesgos de Gestión'!#REF!),"")</f>
        <v>#REF!</v>
      </c>
      <c r="AF18" s="36" t="e">
        <f>IF(AND('Riesgos de Gestión'!#REF!="Alta",'Riesgos de Gestión'!#REF!="Mayor"),CONCATENATE("R3C",'Riesgos de Gestión'!#REF!),"")</f>
        <v>#REF!</v>
      </c>
      <c r="AG18" s="37" t="e">
        <f>IF(AND('Riesgos de Gestión'!#REF!="Alta",'Riesgos de Gestión'!#REF!="Mayor"),CONCATENATE("R3C",'Riesgos de Gestión'!#REF!),"")</f>
        <v>#REF!</v>
      </c>
      <c r="AH18" s="38" t="str">
        <f>IF(AND('Riesgos de Gestión'!$AI$17="Alta",'Riesgos de Gestión'!$AK$17="Catastrófico"),CONCATENATE("R3C",'Riesgos de Gestión'!$V$17),"")</f>
        <v/>
      </c>
      <c r="AI18" s="39" t="str">
        <f>IF(AND('Riesgos de Gestión'!$AI$18="Alta",'Riesgos de Gestión'!$AK$18="Catastrófico"),CONCATENATE("R3C",'Riesgos de Gestión'!$V$18),"")</f>
        <v/>
      </c>
      <c r="AJ18" s="39" t="str">
        <f>IF(AND('Riesgos de Gestión'!$AI$19="Alta",'Riesgos de Gestión'!$AK$19="Catastrófico"),CONCATENATE("R3C",'Riesgos de Gestión'!$V$19),"")</f>
        <v/>
      </c>
      <c r="AK18" s="39" t="e">
        <f>IF(AND('Riesgos de Gestión'!#REF!="Alta",'Riesgos de Gestión'!#REF!="Catastrófico"),CONCATENATE("R3C",'Riesgos de Gestión'!#REF!),"")</f>
        <v>#REF!</v>
      </c>
      <c r="AL18" s="39" t="e">
        <f>IF(AND('Riesgos de Gestión'!#REF!="Alta",'Riesgos de Gestión'!#REF!="Catastrófico"),CONCATENATE("R3C",'Riesgos de Gestión'!#REF!),"")</f>
        <v>#REF!</v>
      </c>
      <c r="AM18" s="40" t="e">
        <f>IF(AND('Riesgos de Gestión'!#REF!="Alta",'Riesgos de Gestión'!#REF!="Catastrófico"),CONCATENATE("R3C",'Riesgos de Gestión'!#REF!),"")</f>
        <v>#REF!</v>
      </c>
      <c r="AN18" s="66"/>
      <c r="AO18" s="615"/>
      <c r="AP18" s="616"/>
      <c r="AQ18" s="616"/>
      <c r="AR18" s="616"/>
      <c r="AS18" s="616"/>
      <c r="AT18" s="617"/>
      <c r="AU18" s="66"/>
      <c r="AV18" s="66"/>
      <c r="AW18" s="66"/>
      <c r="AX18" s="66"/>
      <c r="AY18" s="66"/>
      <c r="AZ18" s="66"/>
      <c r="BA18" s="66"/>
      <c r="BB18" s="66"/>
      <c r="BC18" s="66"/>
      <c r="BD18" s="66"/>
      <c r="BE18" s="66"/>
      <c r="BF18" s="66"/>
      <c r="BG18" s="66"/>
      <c r="BH18" s="66"/>
      <c r="BI18" s="66"/>
      <c r="BJ18" s="66"/>
      <c r="BK18" s="66"/>
      <c r="BL18" s="66"/>
      <c r="BM18" s="66"/>
      <c r="BN18" s="66"/>
      <c r="BO18" s="66"/>
      <c r="BP18" s="66"/>
      <c r="BQ18" s="66"/>
      <c r="BR18" s="66"/>
      <c r="BS18" s="66"/>
      <c r="BT18" s="66"/>
      <c r="BU18" s="66"/>
      <c r="BV18" s="66"/>
      <c r="BW18" s="66"/>
      <c r="BX18" s="66"/>
    </row>
    <row r="19" spans="1:76" ht="15" customHeight="1" x14ac:dyDescent="0.25">
      <c r="A19" s="66"/>
      <c r="B19" s="526"/>
      <c r="C19" s="526"/>
      <c r="D19" s="527"/>
      <c r="E19" s="625"/>
      <c r="F19" s="624"/>
      <c r="G19" s="624"/>
      <c r="H19" s="624"/>
      <c r="I19" s="624"/>
      <c r="J19" s="50" t="str">
        <f>IF(AND('Riesgos de Gestión'!$AI$20="Alta",'Riesgos de Gestión'!$AK$20="Leve"),CONCATENATE("R4C",'Riesgos de Gestión'!$V$20),"")</f>
        <v/>
      </c>
      <c r="K19" s="51" t="str">
        <f>IF(AND('Riesgos de Gestión'!$AI$21="Alta",'Riesgos de Gestión'!$AK$21="Leve"),CONCATENATE("R4C",'Riesgos de Gestión'!$V$21),"")</f>
        <v/>
      </c>
      <c r="L19" s="51" t="str">
        <f>IF(AND('Riesgos de Gestión'!$AI$22="Alta",'Riesgos de Gestión'!$AK$22="Leve"),CONCATENATE("R4C",'Riesgos de Gestión'!$V$22),"")</f>
        <v/>
      </c>
      <c r="M19" s="51" t="str">
        <f>IF(AND('Riesgos de Gestión'!$AI$23="Alta",'Riesgos de Gestión'!$AK$23="Leve"),CONCATENATE("R4C",'Riesgos de Gestión'!$V$23),"")</f>
        <v/>
      </c>
      <c r="N19" s="51" t="str">
        <f>IF(AND('Riesgos de Gestión'!$AI$24="Alta",'Riesgos de Gestión'!$AK$24="Leve"),CONCATENATE("R4C",'Riesgos de Gestión'!$V$24),"")</f>
        <v/>
      </c>
      <c r="O19" s="52" t="str">
        <f>IF(AND('Riesgos de Gestión'!$AI$25="Alta",'Riesgos de Gestión'!$AK$25="Leve"),CONCATENATE("R4C",'Riesgos de Gestión'!$V$25),"")</f>
        <v/>
      </c>
      <c r="P19" s="50" t="str">
        <f>IF(AND('Riesgos de Gestión'!$AI$20="Alta",'Riesgos de Gestión'!$AK$20="Menor"),CONCATENATE("R4C",'Riesgos de Gestión'!$V$20),"")</f>
        <v/>
      </c>
      <c r="Q19" s="51" t="str">
        <f>IF(AND('Riesgos de Gestión'!$AI$21="Alta",'Riesgos de Gestión'!$AK$21="Menor"),CONCATENATE("R4C",'Riesgos de Gestión'!$V$21),"")</f>
        <v/>
      </c>
      <c r="R19" s="51" t="str">
        <f>IF(AND('Riesgos de Gestión'!$AI$22="Alta",'Riesgos de Gestión'!$AK$22="Menor"),CONCATENATE("R4C",'Riesgos de Gestión'!$V$22),"")</f>
        <v/>
      </c>
      <c r="S19" s="51" t="str">
        <f>IF(AND('Riesgos de Gestión'!$AI$23="Alta",'Riesgos de Gestión'!$AK$23="Menor"),CONCATENATE("R4C",'Riesgos de Gestión'!$V$23),"")</f>
        <v/>
      </c>
      <c r="T19" s="51" t="str">
        <f>IF(AND('Riesgos de Gestión'!$AI$24="Alta",'Riesgos de Gestión'!$AK$24="Menor"),CONCATENATE("R4C",'Riesgos de Gestión'!$V$24),"")</f>
        <v/>
      </c>
      <c r="U19" s="52" t="str">
        <f>IF(AND('Riesgos de Gestión'!$AI$25="Alta",'Riesgos de Gestión'!$AK$25="Menor"),CONCATENATE("R4C",'Riesgos de Gestión'!$V$25),"")</f>
        <v/>
      </c>
      <c r="V19" s="35" t="str">
        <f>IF(AND('Riesgos de Gestión'!$AI$20="Alta",'Riesgos de Gestión'!$AK$20="Moderado"),CONCATENATE("R4C",'Riesgos de Gestión'!$V$20),"")</f>
        <v/>
      </c>
      <c r="W19" s="36" t="str">
        <f>IF(AND('Riesgos de Gestión'!$AI$21="Alta",'Riesgos de Gestión'!$AK$21="Moderado"),CONCATENATE("R4C",'Riesgos de Gestión'!$V$21),"")</f>
        <v/>
      </c>
      <c r="X19" s="36" t="str">
        <f>IF(AND('Riesgos de Gestión'!$AI$22="Alta",'Riesgos de Gestión'!$AK$22="Moderado"),CONCATENATE("R4C",'Riesgos de Gestión'!$V$22),"")</f>
        <v/>
      </c>
      <c r="Y19" s="36" t="str">
        <f>IF(AND('Riesgos de Gestión'!$AI$23="Alta",'Riesgos de Gestión'!$AK$23="Moderado"),CONCATENATE("R4C",'Riesgos de Gestión'!$V$23),"")</f>
        <v/>
      </c>
      <c r="Z19" s="36" t="str">
        <f>IF(AND('Riesgos de Gestión'!$AI$24="Alta",'Riesgos de Gestión'!$AK$24="Moderado"),CONCATENATE("R4C",'Riesgos de Gestión'!$V$24),"")</f>
        <v/>
      </c>
      <c r="AA19" s="37" t="str">
        <f>IF(AND('Riesgos de Gestión'!$AI$25="Alta",'Riesgos de Gestión'!$AK$25="Moderado"),CONCATENATE("R4C",'Riesgos de Gestión'!$V$25),"")</f>
        <v/>
      </c>
      <c r="AB19" s="35" t="str">
        <f>IF(AND('Riesgos de Gestión'!$AI$20="Alta",'Riesgos de Gestión'!$AK$20="Mayor"),CONCATENATE("R4C",'Riesgos de Gestión'!$V$20),"")</f>
        <v/>
      </c>
      <c r="AC19" s="36" t="str">
        <f>IF(AND('Riesgos de Gestión'!$AI$21="Alta",'Riesgos de Gestión'!$AK$21="Mayor"),CONCATENATE("R4C",'Riesgos de Gestión'!$V$21),"")</f>
        <v/>
      </c>
      <c r="AD19" s="36" t="str">
        <f>IF(AND('Riesgos de Gestión'!$AI$22="Alta",'Riesgos de Gestión'!$AK$22="Mayor"),CONCATENATE("R4C",'Riesgos de Gestión'!$V$22),"")</f>
        <v/>
      </c>
      <c r="AE19" s="36" t="str">
        <f>IF(AND('Riesgos de Gestión'!$AI$23="Alta",'Riesgos de Gestión'!$AK$23="Mayor"),CONCATENATE("R4C",'Riesgos de Gestión'!$V$23),"")</f>
        <v/>
      </c>
      <c r="AF19" s="36" t="str">
        <f>IF(AND('Riesgos de Gestión'!$AI$24="Alta",'Riesgos de Gestión'!$AK$24="Mayor"),CONCATENATE("R4C",'Riesgos de Gestión'!$V$24),"")</f>
        <v/>
      </c>
      <c r="AG19" s="37" t="str">
        <f>IF(AND('Riesgos de Gestión'!$AI$25="Alta",'Riesgos de Gestión'!$AK$25="Mayor"),CONCATENATE("R4C",'Riesgos de Gestión'!$V$25),"")</f>
        <v/>
      </c>
      <c r="AH19" s="38" t="str">
        <f>IF(AND('Riesgos de Gestión'!$AI$20="Alta",'Riesgos de Gestión'!$AK$20="Catastrófico"),CONCATENATE("R4C",'Riesgos de Gestión'!$V$20),"")</f>
        <v/>
      </c>
      <c r="AI19" s="39" t="str">
        <f>IF(AND('Riesgos de Gestión'!$AI$21="Alta",'Riesgos de Gestión'!$AK$21="Catastrófico"),CONCATENATE("R4C",'Riesgos de Gestión'!$V$21),"")</f>
        <v/>
      </c>
      <c r="AJ19" s="39" t="str">
        <f>IF(AND('Riesgos de Gestión'!$AI$22="Alta",'Riesgos de Gestión'!$AK$22="Catastrófico"),CONCATENATE("R4C",'Riesgos de Gestión'!$V$22),"")</f>
        <v/>
      </c>
      <c r="AK19" s="39" t="str">
        <f>IF(AND('Riesgos de Gestión'!$AI$23="Alta",'Riesgos de Gestión'!$AK$23="Catastrófico"),CONCATENATE("R4C",'Riesgos de Gestión'!$V$23),"")</f>
        <v/>
      </c>
      <c r="AL19" s="39" t="str">
        <f>IF(AND('Riesgos de Gestión'!$AI$24="Alta",'Riesgos de Gestión'!$AK$24="Catastrófico"),CONCATENATE("R4C",'Riesgos de Gestión'!$V$24),"")</f>
        <v/>
      </c>
      <c r="AM19" s="40" t="str">
        <f>IF(AND('Riesgos de Gestión'!$AI$25="Alta",'Riesgos de Gestión'!$AK$25="Catastrófico"),CONCATENATE("R4C",'Riesgos de Gestión'!$V$25),"")</f>
        <v/>
      </c>
      <c r="AN19" s="66"/>
      <c r="AO19" s="615"/>
      <c r="AP19" s="616"/>
      <c r="AQ19" s="616"/>
      <c r="AR19" s="616"/>
      <c r="AS19" s="616"/>
      <c r="AT19" s="617"/>
      <c r="AU19" s="66"/>
      <c r="AV19" s="66"/>
      <c r="AW19" s="66"/>
      <c r="AX19" s="66"/>
      <c r="AY19" s="66"/>
      <c r="AZ19" s="66"/>
      <c r="BA19" s="66"/>
      <c r="BB19" s="66"/>
      <c r="BC19" s="66"/>
      <c r="BD19" s="66"/>
      <c r="BE19" s="66"/>
      <c r="BF19" s="66"/>
      <c r="BG19" s="66"/>
      <c r="BH19" s="66"/>
      <c r="BI19" s="66"/>
      <c r="BJ19" s="66"/>
      <c r="BK19" s="66"/>
      <c r="BL19" s="66"/>
      <c r="BM19" s="66"/>
      <c r="BN19" s="66"/>
      <c r="BO19" s="66"/>
      <c r="BP19" s="66"/>
      <c r="BQ19" s="66"/>
      <c r="BR19" s="66"/>
      <c r="BS19" s="66"/>
      <c r="BT19" s="66"/>
      <c r="BU19" s="66"/>
      <c r="BV19" s="66"/>
      <c r="BW19" s="66"/>
      <c r="BX19" s="66"/>
    </row>
    <row r="20" spans="1:76" ht="15" customHeight="1" x14ac:dyDescent="0.25">
      <c r="A20" s="66"/>
      <c r="B20" s="526"/>
      <c r="C20" s="526"/>
      <c r="D20" s="527"/>
      <c r="E20" s="625"/>
      <c r="F20" s="624"/>
      <c r="G20" s="624"/>
      <c r="H20" s="624"/>
      <c r="I20" s="624"/>
      <c r="J20" s="50" t="str">
        <f>IF(AND('Riesgos de Gestión'!$AI$26="Alta",'Riesgos de Gestión'!$AK$26="Leve"),CONCATENATE("R5C",'Riesgos de Gestión'!$V$26),"")</f>
        <v/>
      </c>
      <c r="K20" s="51" t="str">
        <f>IF(AND('Riesgos de Gestión'!$AI$27="Alta",'Riesgos de Gestión'!$AK$27="Leve"),CONCATENATE("R5C",'Riesgos de Gestión'!$V$27),"")</f>
        <v/>
      </c>
      <c r="L20" s="51" t="str">
        <f>IF(AND('Riesgos de Gestión'!$AI$28="Alta",'Riesgos de Gestión'!$AK$28="Leve"),CONCATENATE("R5C",'Riesgos de Gestión'!$V$28),"")</f>
        <v/>
      </c>
      <c r="M20" s="51" t="str">
        <f>IF(AND('Riesgos de Gestión'!$AI$29="Alta",'Riesgos de Gestión'!$AK$29="Leve"),CONCATENATE("R5C",'Riesgos de Gestión'!$V$29),"")</f>
        <v/>
      </c>
      <c r="N20" s="51" t="str">
        <f>IF(AND('Riesgos de Gestión'!$AI$30="Alta",'Riesgos de Gestión'!$AK$30="Leve"),CONCATENATE("R5C",'Riesgos de Gestión'!$V$30),"")</f>
        <v/>
      </c>
      <c r="O20" s="52" t="str">
        <f>IF(AND('Riesgos de Gestión'!$AI$31="Alta",'Riesgos de Gestión'!$AK$31="Leve"),CONCATENATE("R5C",'Riesgos de Gestión'!$V$31),"")</f>
        <v/>
      </c>
      <c r="P20" s="50" t="str">
        <f>IF(AND('Riesgos de Gestión'!$AI$26="Alta",'Riesgos de Gestión'!$AK$26="Menor"),CONCATENATE("R5C",'Riesgos de Gestión'!$V$26),"")</f>
        <v/>
      </c>
      <c r="Q20" s="51" t="str">
        <f>IF(AND('Riesgos de Gestión'!$AI$27="Alta",'Riesgos de Gestión'!$AK$27="Menor"),CONCATENATE("R5C",'Riesgos de Gestión'!$V$27),"")</f>
        <v/>
      </c>
      <c r="R20" s="51" t="str">
        <f>IF(AND('Riesgos de Gestión'!$AI$28="Alta",'Riesgos de Gestión'!$AK$28="Menor"),CONCATENATE("R5C",'Riesgos de Gestión'!$V$28),"")</f>
        <v/>
      </c>
      <c r="S20" s="51" t="str">
        <f>IF(AND('Riesgos de Gestión'!$AI$29="Alta",'Riesgos de Gestión'!$AK$29="Menor"),CONCATENATE("R5C",'Riesgos de Gestión'!$V$29),"")</f>
        <v/>
      </c>
      <c r="T20" s="51" t="str">
        <f>IF(AND('Riesgos de Gestión'!$AI$30="Alta",'Riesgos de Gestión'!$AK$30="Menor"),CONCATENATE("R5C",'Riesgos de Gestión'!$V$30),"")</f>
        <v/>
      </c>
      <c r="U20" s="52" t="str">
        <f>IF(AND('Riesgos de Gestión'!$AI$31="Alta",'Riesgos de Gestión'!$AK$31="Menor"),CONCATENATE("R5C",'Riesgos de Gestión'!$V$31),"")</f>
        <v/>
      </c>
      <c r="V20" s="35" t="str">
        <f>IF(AND('Riesgos de Gestión'!$AI$26="Alta",'Riesgos de Gestión'!$AK$26="Moderado"),CONCATENATE("R5C",'Riesgos de Gestión'!$V$26),"")</f>
        <v/>
      </c>
      <c r="W20" s="36" t="str">
        <f>IF(AND('Riesgos de Gestión'!$AI$27="Alta",'Riesgos de Gestión'!$AK$27="Moderado"),CONCATENATE("R5C",'Riesgos de Gestión'!$V$27),"")</f>
        <v/>
      </c>
      <c r="X20" s="36" t="str">
        <f>IF(AND('Riesgos de Gestión'!$AI$28="Alta",'Riesgos de Gestión'!$AK$28="Moderado"),CONCATENATE("R5C",'Riesgos de Gestión'!$V$28),"")</f>
        <v/>
      </c>
      <c r="Y20" s="36" t="str">
        <f>IF(AND('Riesgos de Gestión'!$AI$29="Alta",'Riesgos de Gestión'!$AK$29="Moderado"),CONCATENATE("R5C",'Riesgos de Gestión'!$V$29),"")</f>
        <v/>
      </c>
      <c r="Z20" s="36" t="str">
        <f>IF(AND('Riesgos de Gestión'!$AI$30="Alta",'Riesgos de Gestión'!$AK$30="Moderado"),CONCATENATE("R5C",'Riesgos de Gestión'!$V$30),"")</f>
        <v/>
      </c>
      <c r="AA20" s="37" t="str">
        <f>IF(AND('Riesgos de Gestión'!$AI$31="Alta",'Riesgos de Gestión'!$AK$31="Moderado"),CONCATENATE("R5C",'Riesgos de Gestión'!$V$31),"")</f>
        <v/>
      </c>
      <c r="AB20" s="35" t="str">
        <f>IF(AND('Riesgos de Gestión'!$AI$26="Alta",'Riesgos de Gestión'!$AK$26="Mayor"),CONCATENATE("R5C",'Riesgos de Gestión'!$V$26),"")</f>
        <v/>
      </c>
      <c r="AC20" s="36" t="str">
        <f>IF(AND('Riesgos de Gestión'!$AI$27="Alta",'Riesgos de Gestión'!$AK$27="Mayor"),CONCATENATE("R5C",'Riesgos de Gestión'!$V$27),"")</f>
        <v/>
      </c>
      <c r="AD20" s="36" t="str">
        <f>IF(AND('Riesgos de Gestión'!$AI$28="Alta",'Riesgos de Gestión'!$AK$28="Mayor"),CONCATENATE("R5C",'Riesgos de Gestión'!$V$28),"")</f>
        <v/>
      </c>
      <c r="AE20" s="36" t="str">
        <f>IF(AND('Riesgos de Gestión'!$AI$29="Alta",'Riesgos de Gestión'!$AK$29="Mayor"),CONCATENATE("R5C",'Riesgos de Gestión'!$V$29),"")</f>
        <v/>
      </c>
      <c r="AF20" s="36" t="str">
        <f>IF(AND('Riesgos de Gestión'!$AI$30="Alta",'Riesgos de Gestión'!$AK$30="Mayor"),CONCATENATE("R5C",'Riesgos de Gestión'!$V$30),"")</f>
        <v/>
      </c>
      <c r="AG20" s="37" t="str">
        <f>IF(AND('Riesgos de Gestión'!$AI$31="Alta",'Riesgos de Gestión'!$AK$31="Mayor"),CONCATENATE("R5C",'Riesgos de Gestión'!$V$31),"")</f>
        <v/>
      </c>
      <c r="AH20" s="38" t="str">
        <f>IF(AND('Riesgos de Gestión'!$AI$26="Alta",'Riesgos de Gestión'!$AK$26="Catastrófico"),CONCATENATE("R5C",'Riesgos de Gestión'!$V$26),"")</f>
        <v/>
      </c>
      <c r="AI20" s="39" t="str">
        <f>IF(AND('Riesgos de Gestión'!$AI$27="Alta",'Riesgos de Gestión'!$AK$27="Catastrófico"),CONCATENATE("R5C",'Riesgos de Gestión'!$V$27),"")</f>
        <v/>
      </c>
      <c r="AJ20" s="39" t="str">
        <f>IF(AND('Riesgos de Gestión'!$AI$28="Alta",'Riesgos de Gestión'!$AK$28="Catastrófico"),CONCATENATE("R5C",'Riesgos de Gestión'!$V$28),"")</f>
        <v/>
      </c>
      <c r="AK20" s="39" t="str">
        <f>IF(AND('Riesgos de Gestión'!$AI$29="Alta",'Riesgos de Gestión'!$AK$29="Catastrófico"),CONCATENATE("R5C",'Riesgos de Gestión'!$V$29),"")</f>
        <v/>
      </c>
      <c r="AL20" s="39" t="str">
        <f>IF(AND('Riesgos de Gestión'!$AI$30="Alta",'Riesgos de Gestión'!$AK$30="Catastrófico"),CONCATENATE("R5C",'Riesgos de Gestión'!$V$30),"")</f>
        <v/>
      </c>
      <c r="AM20" s="40" t="str">
        <f>IF(AND('Riesgos de Gestión'!$AI$31="Alta",'Riesgos de Gestión'!$AK$31="Catastrófico"),CONCATENATE("R5C",'Riesgos de Gestión'!$V$31),"")</f>
        <v/>
      </c>
      <c r="AN20" s="66"/>
      <c r="AO20" s="615"/>
      <c r="AP20" s="616"/>
      <c r="AQ20" s="616"/>
      <c r="AR20" s="616"/>
      <c r="AS20" s="616"/>
      <c r="AT20" s="617"/>
      <c r="AU20" s="66"/>
      <c r="AV20" s="66"/>
      <c r="AW20" s="66"/>
      <c r="AX20" s="66"/>
      <c r="AY20" s="66"/>
      <c r="AZ20" s="66"/>
      <c r="BA20" s="66"/>
      <c r="BB20" s="66"/>
      <c r="BC20" s="66"/>
      <c r="BD20" s="66"/>
      <c r="BE20" s="66"/>
      <c r="BF20" s="66"/>
      <c r="BG20" s="66"/>
      <c r="BH20" s="66"/>
      <c r="BI20" s="66"/>
      <c r="BJ20" s="66"/>
      <c r="BK20" s="66"/>
      <c r="BL20" s="66"/>
      <c r="BM20" s="66"/>
      <c r="BN20" s="66"/>
      <c r="BO20" s="66"/>
      <c r="BP20" s="66"/>
      <c r="BQ20" s="66"/>
      <c r="BR20" s="66"/>
      <c r="BS20" s="66"/>
      <c r="BT20" s="66"/>
      <c r="BU20" s="66"/>
      <c r="BV20" s="66"/>
      <c r="BW20" s="66"/>
      <c r="BX20" s="66"/>
    </row>
    <row r="21" spans="1:76" ht="15" customHeight="1" x14ac:dyDescent="0.25">
      <c r="A21" s="66"/>
      <c r="B21" s="526"/>
      <c r="C21" s="526"/>
      <c r="D21" s="527"/>
      <c r="E21" s="625"/>
      <c r="F21" s="624"/>
      <c r="G21" s="624"/>
      <c r="H21" s="624"/>
      <c r="I21" s="624"/>
      <c r="J21" s="50" t="str">
        <f>IF(AND('Riesgos de Gestión'!$AI$32="Alta",'Riesgos de Gestión'!$AK$32="Leve"),CONCATENATE("R6C",'Riesgos de Gestión'!$V$32),"")</f>
        <v/>
      </c>
      <c r="K21" s="51" t="str">
        <f>IF(AND('Riesgos de Gestión'!$AI$33="Alta",'Riesgos de Gestión'!$AK$33="Leve"),CONCATENATE("R6C",'Riesgos de Gestión'!$V$33),"")</f>
        <v/>
      </c>
      <c r="L21" s="51" t="str">
        <f>IF(AND('Riesgos de Gestión'!$AI$34="Alta",'Riesgos de Gestión'!$AK$34="Leve"),CONCATENATE("R6C",'Riesgos de Gestión'!$V$34),"")</f>
        <v/>
      </c>
      <c r="M21" s="51" t="str">
        <f>IF(AND('Riesgos de Gestión'!$AI$35="Alta",'Riesgos de Gestión'!$AK$35="Leve"),CONCATENATE("R6C",'Riesgos de Gestión'!$V$35),"")</f>
        <v/>
      </c>
      <c r="N21" s="51" t="str">
        <f>IF(AND('Riesgos de Gestión'!$AI$36="Alta",'Riesgos de Gestión'!$AK$36="Leve"),CONCATENATE("R6C",'Riesgos de Gestión'!$V$36),"")</f>
        <v/>
      </c>
      <c r="O21" s="52" t="str">
        <f>IF(AND('Riesgos de Gestión'!$AI$37="Alta",'Riesgos de Gestión'!$AK$37="Leve"),CONCATENATE("R6C",'Riesgos de Gestión'!$V$37),"")</f>
        <v/>
      </c>
      <c r="P21" s="50" t="str">
        <f>IF(AND('Riesgos de Gestión'!$AI$32="Alta",'Riesgos de Gestión'!$AK$32="Menor"),CONCATENATE("R6C",'Riesgos de Gestión'!$V$32),"")</f>
        <v/>
      </c>
      <c r="Q21" s="51" t="str">
        <f>IF(AND('Riesgos de Gestión'!$AI$33="Alta",'Riesgos de Gestión'!$AK$33="Menor"),CONCATENATE("R6C",'Riesgos de Gestión'!$V$33),"")</f>
        <v/>
      </c>
      <c r="R21" s="51" t="str">
        <f>IF(AND('Riesgos de Gestión'!$AI$34="Alta",'Riesgos de Gestión'!$AK$34="Menor"),CONCATENATE("R6C",'Riesgos de Gestión'!$V$34),"")</f>
        <v/>
      </c>
      <c r="S21" s="51" t="str">
        <f>IF(AND('Riesgos de Gestión'!$AI$35="Alta",'Riesgos de Gestión'!$AK$35="Menor"),CONCATENATE("R6C",'Riesgos de Gestión'!$V$35),"")</f>
        <v/>
      </c>
      <c r="T21" s="51" t="str">
        <f>IF(AND('Riesgos de Gestión'!$AI$36="Alta",'Riesgos de Gestión'!$AK$36="Menor"),CONCATENATE("R6C",'Riesgos de Gestión'!$V$36),"")</f>
        <v/>
      </c>
      <c r="U21" s="52" t="str">
        <f>IF(AND('Riesgos de Gestión'!$AI$37="Alta",'Riesgos de Gestión'!$AK$37="Menor"),CONCATENATE("R6C",'Riesgos de Gestión'!$V$37),"")</f>
        <v/>
      </c>
      <c r="V21" s="35" t="str">
        <f>IF(AND('Riesgos de Gestión'!$AI$32="Alta",'Riesgos de Gestión'!$AK$32="Moderado"),CONCATENATE("R6C",'Riesgos de Gestión'!$V$32),"")</f>
        <v/>
      </c>
      <c r="W21" s="36" t="str">
        <f>IF(AND('Riesgos de Gestión'!$AI$33="Alta",'Riesgos de Gestión'!$AK$33="Moderado"),CONCATENATE("R6C",'Riesgos de Gestión'!$V$33),"")</f>
        <v/>
      </c>
      <c r="X21" s="36" t="str">
        <f>IF(AND('Riesgos de Gestión'!$AI$34="Alta",'Riesgos de Gestión'!$AK$34="Moderado"),CONCATENATE("R6C",'Riesgos de Gestión'!$V$34),"")</f>
        <v/>
      </c>
      <c r="Y21" s="36" t="str">
        <f>IF(AND('Riesgos de Gestión'!$AI$35="Alta",'Riesgos de Gestión'!$AK$35="Moderado"),CONCATENATE("R6C",'Riesgos de Gestión'!$V$35),"")</f>
        <v/>
      </c>
      <c r="Z21" s="36" t="str">
        <f>IF(AND('Riesgos de Gestión'!$AI$36="Alta",'Riesgos de Gestión'!$AK$36="Moderado"),CONCATENATE("R6C",'Riesgos de Gestión'!$V$36),"")</f>
        <v/>
      </c>
      <c r="AA21" s="37" t="str">
        <f>IF(AND('Riesgos de Gestión'!$AI$37="Alta",'Riesgos de Gestión'!$AK$37="Moderado"),CONCATENATE("R6C",'Riesgos de Gestión'!$V$37),"")</f>
        <v/>
      </c>
      <c r="AB21" s="35" t="str">
        <f>IF(AND('Riesgos de Gestión'!$AI$32="Alta",'Riesgos de Gestión'!$AK$32="Mayor"),CONCATENATE("R6C",'Riesgos de Gestión'!$V$32),"")</f>
        <v/>
      </c>
      <c r="AC21" s="36" t="str">
        <f>IF(AND('Riesgos de Gestión'!$AI$33="Alta",'Riesgos de Gestión'!$AK$33="Mayor"),CONCATENATE("R6C",'Riesgos de Gestión'!$V$33),"")</f>
        <v/>
      </c>
      <c r="AD21" s="36" t="str">
        <f>IF(AND('Riesgos de Gestión'!$AI$34="Alta",'Riesgos de Gestión'!$AK$34="Mayor"),CONCATENATE("R6C",'Riesgos de Gestión'!$V$34),"")</f>
        <v/>
      </c>
      <c r="AE21" s="36" t="str">
        <f>IF(AND('Riesgos de Gestión'!$AI$35="Alta",'Riesgos de Gestión'!$AK$35="Mayor"),CONCATENATE("R6C",'Riesgos de Gestión'!$V$35),"")</f>
        <v/>
      </c>
      <c r="AF21" s="36" t="str">
        <f>IF(AND('Riesgos de Gestión'!$AI$36="Alta",'Riesgos de Gestión'!$AK$36="Mayor"),CONCATENATE("R6C",'Riesgos de Gestión'!$V$36),"")</f>
        <v/>
      </c>
      <c r="AG21" s="37" t="str">
        <f>IF(AND('Riesgos de Gestión'!$AI$37="Alta",'Riesgos de Gestión'!$AK$37="Mayor"),CONCATENATE("R6C",'Riesgos de Gestión'!$V$37),"")</f>
        <v/>
      </c>
      <c r="AH21" s="38" t="str">
        <f>IF(AND('Riesgos de Gestión'!$AI$32="Alta",'Riesgos de Gestión'!$AK$32="Catastrófico"),CONCATENATE("R6C",'Riesgos de Gestión'!$V$32),"")</f>
        <v/>
      </c>
      <c r="AI21" s="39" t="str">
        <f>IF(AND('Riesgos de Gestión'!$AI$33="Alta",'Riesgos de Gestión'!$AK$33="Catastrófico"),CONCATENATE("R6C",'Riesgos de Gestión'!$V$33),"")</f>
        <v/>
      </c>
      <c r="AJ21" s="39" t="str">
        <f>IF(AND('Riesgos de Gestión'!$AI$34="Alta",'Riesgos de Gestión'!$AK$34="Catastrófico"),CONCATENATE("R6C",'Riesgos de Gestión'!$V$34),"")</f>
        <v/>
      </c>
      <c r="AK21" s="39" t="str">
        <f>IF(AND('Riesgos de Gestión'!$AI$35="Alta",'Riesgos de Gestión'!$AK$35="Catastrófico"),CONCATENATE("R6C",'Riesgos de Gestión'!$V$35),"")</f>
        <v/>
      </c>
      <c r="AL21" s="39" t="str">
        <f>IF(AND('Riesgos de Gestión'!$AI$36="Alta",'Riesgos de Gestión'!$AK$36="Catastrófico"),CONCATENATE("R6C",'Riesgos de Gestión'!$V$36),"")</f>
        <v/>
      </c>
      <c r="AM21" s="40" t="str">
        <f>IF(AND('Riesgos de Gestión'!$AI$37="Alta",'Riesgos de Gestión'!$AK$37="Catastrófico"),CONCATENATE("R6C",'Riesgos de Gestión'!$V$37),"")</f>
        <v/>
      </c>
      <c r="AN21" s="66"/>
      <c r="AO21" s="615"/>
      <c r="AP21" s="616"/>
      <c r="AQ21" s="616"/>
      <c r="AR21" s="616"/>
      <c r="AS21" s="616"/>
      <c r="AT21" s="617"/>
      <c r="AU21" s="66"/>
      <c r="AV21" s="66"/>
      <c r="AW21" s="66"/>
      <c r="AX21" s="66"/>
      <c r="AY21" s="66"/>
      <c r="AZ21" s="66"/>
      <c r="BA21" s="66"/>
      <c r="BB21" s="66"/>
      <c r="BC21" s="66"/>
      <c r="BD21" s="66"/>
      <c r="BE21" s="66"/>
      <c r="BF21" s="66"/>
      <c r="BG21" s="66"/>
      <c r="BH21" s="66"/>
      <c r="BI21" s="66"/>
      <c r="BJ21" s="66"/>
      <c r="BK21" s="66"/>
      <c r="BL21" s="66"/>
      <c r="BM21" s="66"/>
      <c r="BN21" s="66"/>
      <c r="BO21" s="66"/>
      <c r="BP21" s="66"/>
      <c r="BQ21" s="66"/>
      <c r="BR21" s="66"/>
      <c r="BS21" s="66"/>
      <c r="BT21" s="66"/>
      <c r="BU21" s="66"/>
      <c r="BV21" s="66"/>
      <c r="BW21" s="66"/>
      <c r="BX21" s="66"/>
    </row>
    <row r="22" spans="1:76" ht="15" customHeight="1" x14ac:dyDescent="0.25">
      <c r="A22" s="66"/>
      <c r="B22" s="526"/>
      <c r="C22" s="526"/>
      <c r="D22" s="527"/>
      <c r="E22" s="625"/>
      <c r="F22" s="624"/>
      <c r="G22" s="624"/>
      <c r="H22" s="624"/>
      <c r="I22" s="624"/>
      <c r="J22" s="50" t="str">
        <f>IF(AND('Riesgos de Gestión'!$AI$38="Alta",'Riesgos de Gestión'!$AK$38="Leve"),CONCATENATE("R7C",'Riesgos de Gestión'!$V$38),"")</f>
        <v/>
      </c>
      <c r="K22" s="51" t="str">
        <f>IF(AND('Riesgos de Gestión'!$AI$39="Alta",'Riesgos de Gestión'!$AK$39="Leve"),CONCATENATE("R7C",'Riesgos de Gestión'!$V$39),"")</f>
        <v/>
      </c>
      <c r="L22" s="51" t="str">
        <f>IF(AND('Riesgos de Gestión'!$AI$40="Alta",'Riesgos de Gestión'!$AK$40="Leve"),CONCATENATE("R7C",'Riesgos de Gestión'!$V$40),"")</f>
        <v/>
      </c>
      <c r="M22" s="51" t="str">
        <f>IF(AND('Riesgos de Gestión'!$AI$41="Alta",'Riesgos de Gestión'!$AK$41="Leve"),CONCATENATE("R7C",'Riesgos de Gestión'!$V$41),"")</f>
        <v/>
      </c>
      <c r="N22" s="51" t="str">
        <f>IF(AND('Riesgos de Gestión'!$AI$42="Alta",'Riesgos de Gestión'!$AK$42="Leve"),CONCATENATE("R7C",'Riesgos de Gestión'!$V$42),"")</f>
        <v/>
      </c>
      <c r="O22" s="52" t="str">
        <f>IF(AND('Riesgos de Gestión'!$AI$43="Alta",'Riesgos de Gestión'!$AK$43="Leve"),CONCATENATE("R7C",'Riesgos de Gestión'!$V$43),"")</f>
        <v/>
      </c>
      <c r="P22" s="50" t="str">
        <f>IF(AND('Riesgos de Gestión'!$AI$38="Alta",'Riesgos de Gestión'!$AK$38="Menor"),CONCATENATE("R7C",'Riesgos de Gestión'!$V$38),"")</f>
        <v/>
      </c>
      <c r="Q22" s="51" t="str">
        <f>IF(AND('Riesgos de Gestión'!$AI$39="Alta",'Riesgos de Gestión'!$AK$39="Menor"),CONCATENATE("R7C",'Riesgos de Gestión'!$V$39),"")</f>
        <v/>
      </c>
      <c r="R22" s="51" t="str">
        <f>IF(AND('Riesgos de Gestión'!$AI$40="Alta",'Riesgos de Gestión'!$AK$40="Menor"),CONCATENATE("R7C",'Riesgos de Gestión'!$V$40),"")</f>
        <v/>
      </c>
      <c r="S22" s="51" t="str">
        <f>IF(AND('Riesgos de Gestión'!$AI$41="Alta",'Riesgos de Gestión'!$AK$41="Menor"),CONCATENATE("R7C",'Riesgos de Gestión'!$V$41),"")</f>
        <v/>
      </c>
      <c r="T22" s="51" t="str">
        <f>IF(AND('Riesgos de Gestión'!$AI$42="Alta",'Riesgos de Gestión'!$AK$42="Menor"),CONCATENATE("R7C",'Riesgos de Gestión'!$V$42),"")</f>
        <v/>
      </c>
      <c r="U22" s="52" t="str">
        <f>IF(AND('Riesgos de Gestión'!$AI$43="Alta",'Riesgos de Gestión'!$AK$43="Menor"),CONCATENATE("R7C",'Riesgos de Gestión'!$V$43),"")</f>
        <v/>
      </c>
      <c r="V22" s="35" t="str">
        <f>IF(AND('Riesgos de Gestión'!$AI$38="Alta",'Riesgos de Gestión'!$AK$38="Moderado"),CONCATENATE("R7C",'Riesgos de Gestión'!$V$38),"")</f>
        <v/>
      </c>
      <c r="W22" s="36" t="str">
        <f>IF(AND('Riesgos de Gestión'!$AI$39="Alta",'Riesgos de Gestión'!$AK$39="Moderado"),CONCATENATE("R7C",'Riesgos de Gestión'!$V$39),"")</f>
        <v/>
      </c>
      <c r="X22" s="36" t="str">
        <f>IF(AND('Riesgos de Gestión'!$AI$40="Alta",'Riesgos de Gestión'!$AK$40="Moderado"),CONCATENATE("R7C",'Riesgos de Gestión'!$V$40),"")</f>
        <v/>
      </c>
      <c r="Y22" s="36" t="str">
        <f>IF(AND('Riesgos de Gestión'!$AI$41="Alta",'Riesgos de Gestión'!$AK$41="Moderado"),CONCATENATE("R7C",'Riesgos de Gestión'!$V$41),"")</f>
        <v/>
      </c>
      <c r="Z22" s="36" t="str">
        <f>IF(AND('Riesgos de Gestión'!$AI$42="Alta",'Riesgos de Gestión'!$AK$42="Moderado"),CONCATENATE("R7C",'Riesgos de Gestión'!$V$42),"")</f>
        <v/>
      </c>
      <c r="AA22" s="37" t="str">
        <f>IF(AND('Riesgos de Gestión'!$AI$43="Alta",'Riesgos de Gestión'!$AK$43="Moderado"),CONCATENATE("R7C",'Riesgos de Gestión'!$V$43),"")</f>
        <v/>
      </c>
      <c r="AB22" s="35" t="str">
        <f>IF(AND('Riesgos de Gestión'!$AI$38="Alta",'Riesgos de Gestión'!$AK$38="Mayor"),CONCATENATE("R7C",'Riesgos de Gestión'!$V$38),"")</f>
        <v/>
      </c>
      <c r="AC22" s="36" t="str">
        <f>IF(AND('Riesgos de Gestión'!$AI$39="Alta",'Riesgos de Gestión'!$AK$39="Mayor"),CONCATENATE("R7C",'Riesgos de Gestión'!$V$39),"")</f>
        <v/>
      </c>
      <c r="AD22" s="36" t="str">
        <f>IF(AND('Riesgos de Gestión'!$AI$40="Alta",'Riesgos de Gestión'!$AK$40="Mayor"),CONCATENATE("R7C",'Riesgos de Gestión'!$V$40),"")</f>
        <v/>
      </c>
      <c r="AE22" s="36" t="str">
        <f>IF(AND('Riesgos de Gestión'!$AI$41="Alta",'Riesgos de Gestión'!$AK$41="Mayor"),CONCATENATE("R7C",'Riesgos de Gestión'!$V$41),"")</f>
        <v/>
      </c>
      <c r="AF22" s="36" t="str">
        <f>IF(AND('Riesgos de Gestión'!$AI$42="Alta",'Riesgos de Gestión'!$AK$42="Mayor"),CONCATENATE("R7C",'Riesgos de Gestión'!$V$42),"")</f>
        <v/>
      </c>
      <c r="AG22" s="37" t="str">
        <f>IF(AND('Riesgos de Gestión'!$AI$43="Alta",'Riesgos de Gestión'!$AK$43="Mayor"),CONCATENATE("R7C",'Riesgos de Gestión'!$V$43),"")</f>
        <v/>
      </c>
      <c r="AH22" s="38" t="str">
        <f>IF(AND('Riesgos de Gestión'!$AI$38="Alta",'Riesgos de Gestión'!$AK$38="Catastrófico"),CONCATENATE("R7C",'Riesgos de Gestión'!$V$38),"")</f>
        <v/>
      </c>
      <c r="AI22" s="39" t="str">
        <f>IF(AND('Riesgos de Gestión'!$AI$39="Alta",'Riesgos de Gestión'!$AK$39="Catastrófico"),CONCATENATE("R7C",'Riesgos de Gestión'!$V$39),"")</f>
        <v/>
      </c>
      <c r="AJ22" s="39" t="str">
        <f>IF(AND('Riesgos de Gestión'!$AI$40="Alta",'Riesgos de Gestión'!$AK$40="Catastrófico"),CONCATENATE("R7C",'Riesgos de Gestión'!$V$40),"")</f>
        <v/>
      </c>
      <c r="AK22" s="39" t="str">
        <f>IF(AND('Riesgos de Gestión'!$AI$41="Alta",'Riesgos de Gestión'!$AK$41="Catastrófico"),CONCATENATE("R7C",'Riesgos de Gestión'!$V$41),"")</f>
        <v/>
      </c>
      <c r="AL22" s="39" t="str">
        <f>IF(AND('Riesgos de Gestión'!$AI$42="Alta",'Riesgos de Gestión'!$AK$42="Catastrófico"),CONCATENATE("R7C",'Riesgos de Gestión'!$V$42),"")</f>
        <v/>
      </c>
      <c r="AM22" s="40" t="str">
        <f>IF(AND('Riesgos de Gestión'!$AI$43="Alta",'Riesgos de Gestión'!$AK$43="Catastrófico"),CONCATENATE("R7C",'Riesgos de Gestión'!$V$43),"")</f>
        <v/>
      </c>
      <c r="AN22" s="66"/>
      <c r="AO22" s="615"/>
      <c r="AP22" s="616"/>
      <c r="AQ22" s="616"/>
      <c r="AR22" s="616"/>
      <c r="AS22" s="616"/>
      <c r="AT22" s="617"/>
      <c r="AU22" s="66"/>
      <c r="AV22" s="66"/>
      <c r="AW22" s="66"/>
      <c r="AX22" s="66"/>
      <c r="AY22" s="66"/>
      <c r="AZ22" s="66"/>
      <c r="BA22" s="66"/>
      <c r="BB22" s="66"/>
      <c r="BC22" s="66"/>
      <c r="BD22" s="66"/>
      <c r="BE22" s="66"/>
      <c r="BF22" s="66"/>
      <c r="BG22" s="66"/>
      <c r="BH22" s="66"/>
      <c r="BI22" s="66"/>
      <c r="BJ22" s="66"/>
      <c r="BK22" s="66"/>
      <c r="BL22" s="66"/>
      <c r="BM22" s="66"/>
      <c r="BN22" s="66"/>
      <c r="BO22" s="66"/>
      <c r="BP22" s="66"/>
      <c r="BQ22" s="66"/>
      <c r="BR22" s="66"/>
      <c r="BS22" s="66"/>
      <c r="BT22" s="66"/>
      <c r="BU22" s="66"/>
      <c r="BV22" s="66"/>
      <c r="BW22" s="66"/>
      <c r="BX22" s="66"/>
    </row>
    <row r="23" spans="1:76" ht="15" customHeight="1" x14ac:dyDescent="0.25">
      <c r="A23" s="66"/>
      <c r="B23" s="526"/>
      <c r="C23" s="526"/>
      <c r="D23" s="527"/>
      <c r="E23" s="625"/>
      <c r="F23" s="624"/>
      <c r="G23" s="624"/>
      <c r="H23" s="624"/>
      <c r="I23" s="624"/>
      <c r="J23" s="50" t="str">
        <f>IF(AND('Riesgos de Gestión'!$AI$44="Alta",'Riesgos de Gestión'!$AK$44="Leve"),CONCATENATE("R8C",'Riesgos de Gestión'!$V$44),"")</f>
        <v/>
      </c>
      <c r="K23" s="51" t="str">
        <f>IF(AND('Riesgos de Gestión'!$AI$45="Alta",'Riesgos de Gestión'!$AK$45="Leve"),CONCATENATE("R8C",'Riesgos de Gestión'!$V$45),"")</f>
        <v/>
      </c>
      <c r="L23" s="51" t="str">
        <f>IF(AND('Riesgos de Gestión'!$AI$46="Alta",'Riesgos de Gestión'!$AK$46="Leve"),CONCATENATE("R8C",'Riesgos de Gestión'!$V$46),"")</f>
        <v/>
      </c>
      <c r="M23" s="51" t="str">
        <f>IF(AND('Riesgos de Gestión'!$AI$47="Alta",'Riesgos de Gestión'!$AK$47="Leve"),CONCATENATE("R8C",'Riesgos de Gestión'!$V$47),"")</f>
        <v/>
      </c>
      <c r="N23" s="51" t="str">
        <f>IF(AND('Riesgos de Gestión'!$AI$48="Alta",'Riesgos de Gestión'!$AK$48="Leve"),CONCATENATE("R8C",'Riesgos de Gestión'!$V$48),"")</f>
        <v/>
      </c>
      <c r="O23" s="52" t="str">
        <f>IF(AND('Riesgos de Gestión'!$AI$49="Alta",'Riesgos de Gestión'!$AK$49="Leve"),CONCATENATE("R8C",'Riesgos de Gestión'!$V$49),"")</f>
        <v/>
      </c>
      <c r="P23" s="50" t="str">
        <f>IF(AND('Riesgos de Gestión'!$AI$44="Alta",'Riesgos de Gestión'!$AK$44="Menor"),CONCATENATE("R8C",'Riesgos de Gestión'!$V$44),"")</f>
        <v/>
      </c>
      <c r="Q23" s="51" t="str">
        <f>IF(AND('Riesgos de Gestión'!$AI$45="Alta",'Riesgos de Gestión'!$AK$45="Menor"),CONCATENATE("R8C",'Riesgos de Gestión'!$V$45),"")</f>
        <v/>
      </c>
      <c r="R23" s="51" t="str">
        <f>IF(AND('Riesgos de Gestión'!$AI$46="Alta",'Riesgos de Gestión'!$AK$46="Menor"),CONCATENATE("R8C",'Riesgos de Gestión'!$V$46),"")</f>
        <v/>
      </c>
      <c r="S23" s="51" t="str">
        <f>IF(AND('Riesgos de Gestión'!$AI$47="Alta",'Riesgos de Gestión'!$AK$47="Menor"),CONCATENATE("R8C",'Riesgos de Gestión'!$V$47),"")</f>
        <v/>
      </c>
      <c r="T23" s="51" t="str">
        <f>IF(AND('Riesgos de Gestión'!$AI$48="Alta",'Riesgos de Gestión'!$AK$48="Menor"),CONCATENATE("R8C",'Riesgos de Gestión'!$V$48),"")</f>
        <v/>
      </c>
      <c r="U23" s="52" t="str">
        <f>IF(AND('Riesgos de Gestión'!$AI$49="Alta",'Riesgos de Gestión'!$AK$49="Menor"),CONCATENATE("R8C",'Riesgos de Gestión'!$V$49),"")</f>
        <v/>
      </c>
      <c r="V23" s="35" t="str">
        <f>IF(AND('Riesgos de Gestión'!$AI$44="Alta",'Riesgos de Gestión'!$AK$44="Moderado"),CONCATENATE("R8C",'Riesgos de Gestión'!$V$44),"")</f>
        <v/>
      </c>
      <c r="W23" s="36" t="str">
        <f>IF(AND('Riesgos de Gestión'!$AI$45="Alta",'Riesgos de Gestión'!$AK$45="Moderado"),CONCATENATE("R8C",'Riesgos de Gestión'!$V$45),"")</f>
        <v/>
      </c>
      <c r="X23" s="36" t="str">
        <f>IF(AND('Riesgos de Gestión'!$AI$46="Alta",'Riesgos de Gestión'!$AK$46="Moderado"),CONCATENATE("R8C",'Riesgos de Gestión'!$V$46),"")</f>
        <v/>
      </c>
      <c r="Y23" s="36" t="str">
        <f>IF(AND('Riesgos de Gestión'!$AI$47="Alta",'Riesgos de Gestión'!$AK$47="Moderado"),CONCATENATE("R8C",'Riesgos de Gestión'!$V$47),"")</f>
        <v/>
      </c>
      <c r="Z23" s="36" t="str">
        <f>IF(AND('Riesgos de Gestión'!$AI$48="Alta",'Riesgos de Gestión'!$AK$48="Moderado"),CONCATENATE("R8C",'Riesgos de Gestión'!$V$48),"")</f>
        <v/>
      </c>
      <c r="AA23" s="37" t="str">
        <f>IF(AND('Riesgos de Gestión'!$AI$49="Alta",'Riesgos de Gestión'!$AK$49="Moderado"),CONCATENATE("R8C",'Riesgos de Gestión'!$V$49),"")</f>
        <v/>
      </c>
      <c r="AB23" s="35" t="str">
        <f>IF(AND('Riesgos de Gestión'!$AI$44="Alta",'Riesgos de Gestión'!$AK$44="Mayor"),CONCATENATE("R8C",'Riesgos de Gestión'!$V$44),"")</f>
        <v/>
      </c>
      <c r="AC23" s="36" t="str">
        <f>IF(AND('Riesgos de Gestión'!$AI$45="Alta",'Riesgos de Gestión'!$AK$45="Mayor"),CONCATENATE("R8C",'Riesgos de Gestión'!$V$45),"")</f>
        <v/>
      </c>
      <c r="AD23" s="36" t="str">
        <f>IF(AND('Riesgos de Gestión'!$AI$46="Alta",'Riesgos de Gestión'!$AK$46="Mayor"),CONCATENATE("R8C",'Riesgos de Gestión'!$V$46),"")</f>
        <v/>
      </c>
      <c r="AE23" s="36" t="str">
        <f>IF(AND('Riesgos de Gestión'!$AI$47="Alta",'Riesgos de Gestión'!$AK$47="Mayor"),CONCATENATE("R8C",'Riesgos de Gestión'!$V$47),"")</f>
        <v/>
      </c>
      <c r="AF23" s="36" t="str">
        <f>IF(AND('Riesgos de Gestión'!$AI$48="Alta",'Riesgos de Gestión'!$AK$48="Mayor"),CONCATENATE("R8C",'Riesgos de Gestión'!$V$48),"")</f>
        <v/>
      </c>
      <c r="AG23" s="37" t="str">
        <f>IF(AND('Riesgos de Gestión'!$AI$49="Alta",'Riesgos de Gestión'!$AK$49="Mayor"),CONCATENATE("R8C",'Riesgos de Gestión'!$V$49),"")</f>
        <v/>
      </c>
      <c r="AH23" s="38" t="str">
        <f>IF(AND('Riesgos de Gestión'!$AI$44="Alta",'Riesgos de Gestión'!$AK$44="Catastrófico"),CONCATENATE("R8C",'Riesgos de Gestión'!$V$44),"")</f>
        <v/>
      </c>
      <c r="AI23" s="39" t="str">
        <f>IF(AND('Riesgos de Gestión'!$AI$45="Alta",'Riesgos de Gestión'!$AK$45="Catastrófico"),CONCATENATE("R8C",'Riesgos de Gestión'!$V$45),"")</f>
        <v/>
      </c>
      <c r="AJ23" s="39" t="str">
        <f>IF(AND('Riesgos de Gestión'!$AI$46="Alta",'Riesgos de Gestión'!$AK$46="Catastrófico"),CONCATENATE("R8C",'Riesgos de Gestión'!$V$46),"")</f>
        <v/>
      </c>
      <c r="AK23" s="39" t="str">
        <f>IF(AND('Riesgos de Gestión'!$AI$47="Alta",'Riesgos de Gestión'!$AK$47="Catastrófico"),CONCATENATE("R8C",'Riesgos de Gestión'!$V$47),"")</f>
        <v/>
      </c>
      <c r="AL23" s="39" t="str">
        <f>IF(AND('Riesgos de Gestión'!$AI$48="Alta",'Riesgos de Gestión'!$AK$48="Catastrófico"),CONCATENATE("R8C",'Riesgos de Gestión'!$V$48),"")</f>
        <v/>
      </c>
      <c r="AM23" s="40" t="str">
        <f>IF(AND('Riesgos de Gestión'!$AI$49="Alta",'Riesgos de Gestión'!$AK$49="Catastrófico"),CONCATENATE("R8C",'Riesgos de Gestión'!$V$49),"")</f>
        <v/>
      </c>
      <c r="AN23" s="66"/>
      <c r="AO23" s="615"/>
      <c r="AP23" s="616"/>
      <c r="AQ23" s="616"/>
      <c r="AR23" s="616"/>
      <c r="AS23" s="616"/>
      <c r="AT23" s="617"/>
      <c r="AU23" s="66"/>
      <c r="AV23" s="66"/>
      <c r="AW23" s="66"/>
      <c r="AX23" s="66"/>
      <c r="AY23" s="66"/>
      <c r="AZ23" s="66"/>
      <c r="BA23" s="66"/>
      <c r="BB23" s="66"/>
      <c r="BC23" s="66"/>
      <c r="BD23" s="66"/>
      <c r="BE23" s="66"/>
      <c r="BF23" s="66"/>
      <c r="BG23" s="66"/>
      <c r="BH23" s="66"/>
      <c r="BI23" s="66"/>
      <c r="BJ23" s="66"/>
      <c r="BK23" s="66"/>
      <c r="BL23" s="66"/>
      <c r="BM23" s="66"/>
      <c r="BN23" s="66"/>
      <c r="BO23" s="66"/>
      <c r="BP23" s="66"/>
      <c r="BQ23" s="66"/>
      <c r="BR23" s="66"/>
      <c r="BS23" s="66"/>
      <c r="BT23" s="66"/>
      <c r="BU23" s="66"/>
      <c r="BV23" s="66"/>
      <c r="BW23" s="66"/>
      <c r="BX23" s="66"/>
    </row>
    <row r="24" spans="1:76" ht="15" customHeight="1" x14ac:dyDescent="0.25">
      <c r="A24" s="66"/>
      <c r="B24" s="526"/>
      <c r="C24" s="526"/>
      <c r="D24" s="527"/>
      <c r="E24" s="625"/>
      <c r="F24" s="624"/>
      <c r="G24" s="624"/>
      <c r="H24" s="624"/>
      <c r="I24" s="624"/>
      <c r="J24" s="50" t="str">
        <f>IF(AND('Riesgos de Gestión'!$AI$50="Alta",'Riesgos de Gestión'!$AK$50="Leve"),CONCATENATE("R9C",'Riesgos de Gestión'!$V$50),"")</f>
        <v/>
      </c>
      <c r="K24" s="51" t="str">
        <f>IF(AND('Riesgos de Gestión'!$AI$51="Alta",'Riesgos de Gestión'!$AK$51="Leve"),CONCATENATE("R9C",'Riesgos de Gestión'!$V$51),"")</f>
        <v/>
      </c>
      <c r="L24" s="51" t="str">
        <f>IF(AND('Riesgos de Gestión'!$AI$52="Alta",'Riesgos de Gestión'!$AK$52="Leve"),CONCATENATE("R9C",'Riesgos de Gestión'!$V$52),"")</f>
        <v/>
      </c>
      <c r="M24" s="51" t="str">
        <f>IF(AND('Riesgos de Gestión'!$AI$53="Alta",'Riesgos de Gestión'!$AK$53="Leve"),CONCATENATE("R9C",'Riesgos de Gestión'!$V$53),"")</f>
        <v/>
      </c>
      <c r="N24" s="51" t="str">
        <f>IF(AND('Riesgos de Gestión'!$AI$54="Alta",'Riesgos de Gestión'!$AK$54="Leve"),CONCATENATE("R9C",'Riesgos de Gestión'!$V$54),"")</f>
        <v/>
      </c>
      <c r="O24" s="52" t="str">
        <f>IF(AND('Riesgos de Gestión'!$AI$55="Alta",'Riesgos de Gestión'!$AK$55="Leve"),CONCATENATE("R9C",'Riesgos de Gestión'!$V$55),"")</f>
        <v/>
      </c>
      <c r="P24" s="50" t="str">
        <f>IF(AND('Riesgos de Gestión'!$AI$50="Alta",'Riesgos de Gestión'!$AK$50="Menor"),CONCATENATE("R9C",'Riesgos de Gestión'!$V$50),"")</f>
        <v/>
      </c>
      <c r="Q24" s="51" t="str">
        <f>IF(AND('Riesgos de Gestión'!$AI$51="Alta",'Riesgos de Gestión'!$AK$51="Menor"),CONCATENATE("R9C",'Riesgos de Gestión'!$V$51),"")</f>
        <v/>
      </c>
      <c r="R24" s="51" t="str">
        <f>IF(AND('Riesgos de Gestión'!$AI$52="Alta",'Riesgos de Gestión'!$AK$52="Menor"),CONCATENATE("R9C",'Riesgos de Gestión'!$V$52),"")</f>
        <v/>
      </c>
      <c r="S24" s="51" t="str">
        <f>IF(AND('Riesgos de Gestión'!$AI$53="Alta",'Riesgos de Gestión'!$AK$53="Menor"),CONCATENATE("R9C",'Riesgos de Gestión'!$V$53),"")</f>
        <v/>
      </c>
      <c r="T24" s="51" t="str">
        <f>IF(AND('Riesgos de Gestión'!$AI$54="Alta",'Riesgos de Gestión'!$AK$54="Menor"),CONCATENATE("R9C",'Riesgos de Gestión'!$V$54),"")</f>
        <v/>
      </c>
      <c r="U24" s="52" t="str">
        <f>IF(AND('Riesgos de Gestión'!$AI$55="Alta",'Riesgos de Gestión'!$AK$55="Menor"),CONCATENATE("R9C",'Riesgos de Gestión'!$V$55),"")</f>
        <v/>
      </c>
      <c r="V24" s="35" t="str">
        <f>IF(AND('Riesgos de Gestión'!$AI$50="Alta",'Riesgos de Gestión'!$AK$50="Moderado"),CONCATENATE("R9C",'Riesgos de Gestión'!$V$50),"")</f>
        <v/>
      </c>
      <c r="W24" s="36" t="str">
        <f>IF(AND('Riesgos de Gestión'!$AI$51="Alta",'Riesgos de Gestión'!$AK$51="Moderado"),CONCATENATE("R9C",'Riesgos de Gestión'!$V$51),"")</f>
        <v/>
      </c>
      <c r="X24" s="36" t="str">
        <f>IF(AND('Riesgos de Gestión'!$AI$52="Alta",'Riesgos de Gestión'!$AK$52="Moderado"),CONCATENATE("R9C",'Riesgos de Gestión'!$V$52),"")</f>
        <v/>
      </c>
      <c r="Y24" s="36" t="str">
        <f>IF(AND('Riesgos de Gestión'!$AI$53="Alta",'Riesgos de Gestión'!$AK$53="Moderado"),CONCATENATE("R9C",'Riesgos de Gestión'!$V$53),"")</f>
        <v/>
      </c>
      <c r="Z24" s="36" t="str">
        <f>IF(AND('Riesgos de Gestión'!$AI$54="Alta",'Riesgos de Gestión'!$AK$54="Moderado"),CONCATENATE("R9C",'Riesgos de Gestión'!$V$54),"")</f>
        <v/>
      </c>
      <c r="AA24" s="37" t="str">
        <f>IF(AND('Riesgos de Gestión'!$AI$55="Alta",'Riesgos de Gestión'!$AK$55="Moderado"),CONCATENATE("R9C",'Riesgos de Gestión'!$V$55),"")</f>
        <v/>
      </c>
      <c r="AB24" s="35" t="str">
        <f>IF(AND('Riesgos de Gestión'!$AI$50="Alta",'Riesgos de Gestión'!$AK$50="Mayor"),CONCATENATE("R9C",'Riesgos de Gestión'!$V$50),"")</f>
        <v/>
      </c>
      <c r="AC24" s="36" t="str">
        <f>IF(AND('Riesgos de Gestión'!$AI$51="Alta",'Riesgos de Gestión'!$AK$51="Mayor"),CONCATENATE("R9C",'Riesgos de Gestión'!$V$51),"")</f>
        <v/>
      </c>
      <c r="AD24" s="36" t="str">
        <f>IF(AND('Riesgos de Gestión'!$AI$52="Alta",'Riesgos de Gestión'!$AK$52="Mayor"),CONCATENATE("R9C",'Riesgos de Gestión'!$V$52),"")</f>
        <v/>
      </c>
      <c r="AE24" s="36" t="str">
        <f>IF(AND('Riesgos de Gestión'!$AI$53="Alta",'Riesgos de Gestión'!$AK$53="Mayor"),CONCATENATE("R9C",'Riesgos de Gestión'!$V$53),"")</f>
        <v/>
      </c>
      <c r="AF24" s="36" t="str">
        <f>IF(AND('Riesgos de Gestión'!$AI$54="Alta",'Riesgos de Gestión'!$AK$54="Mayor"),CONCATENATE("R9C",'Riesgos de Gestión'!$V$54),"")</f>
        <v/>
      </c>
      <c r="AG24" s="37" t="str">
        <f>IF(AND('Riesgos de Gestión'!$AI$55="Alta",'Riesgos de Gestión'!$AK$55="Mayor"),CONCATENATE("R9C",'Riesgos de Gestión'!$V$55),"")</f>
        <v/>
      </c>
      <c r="AH24" s="38" t="str">
        <f>IF(AND('Riesgos de Gestión'!$AI$50="Alta",'Riesgos de Gestión'!$AK$50="Catastrófico"),CONCATENATE("R9C",'Riesgos de Gestión'!$V$50),"")</f>
        <v/>
      </c>
      <c r="AI24" s="39" t="str">
        <f>IF(AND('Riesgos de Gestión'!$AI$51="Alta",'Riesgos de Gestión'!$AK$51="Catastrófico"),CONCATENATE("R9C",'Riesgos de Gestión'!$V$51),"")</f>
        <v/>
      </c>
      <c r="AJ24" s="39" t="str">
        <f>IF(AND('Riesgos de Gestión'!$AI$52="Alta",'Riesgos de Gestión'!$AK$52="Catastrófico"),CONCATENATE("R9C",'Riesgos de Gestión'!$V$52),"")</f>
        <v/>
      </c>
      <c r="AK24" s="39" t="str">
        <f>IF(AND('Riesgos de Gestión'!$AI$53="Alta",'Riesgos de Gestión'!$AK$53="Catastrófico"),CONCATENATE("R9C",'Riesgos de Gestión'!$V$53),"")</f>
        <v/>
      </c>
      <c r="AL24" s="39" t="str">
        <f>IF(AND('Riesgos de Gestión'!$AI$54="Alta",'Riesgos de Gestión'!$AK$54="Catastrófico"),CONCATENATE("R9C",'Riesgos de Gestión'!$V$54),"")</f>
        <v/>
      </c>
      <c r="AM24" s="40" t="str">
        <f>IF(AND('Riesgos de Gestión'!$AI$55="Alta",'Riesgos de Gestión'!$AK$55="Catastrófico"),CONCATENATE("R9C",'Riesgos de Gestión'!$V$55),"")</f>
        <v/>
      </c>
      <c r="AN24" s="66"/>
      <c r="AO24" s="615"/>
      <c r="AP24" s="616"/>
      <c r="AQ24" s="616"/>
      <c r="AR24" s="616"/>
      <c r="AS24" s="616"/>
      <c r="AT24" s="617"/>
      <c r="AU24" s="66"/>
      <c r="AV24" s="66"/>
      <c r="AW24" s="66"/>
      <c r="AX24" s="66"/>
      <c r="AY24" s="66"/>
      <c r="AZ24" s="66"/>
      <c r="BA24" s="66"/>
      <c r="BB24" s="66"/>
      <c r="BC24" s="66"/>
      <c r="BD24" s="66"/>
      <c r="BE24" s="66"/>
      <c r="BF24" s="66"/>
      <c r="BG24" s="66"/>
      <c r="BH24" s="66"/>
      <c r="BI24" s="66"/>
      <c r="BJ24" s="66"/>
      <c r="BK24" s="66"/>
      <c r="BL24" s="66"/>
      <c r="BM24" s="66"/>
      <c r="BN24" s="66"/>
      <c r="BO24" s="66"/>
      <c r="BP24" s="66"/>
      <c r="BQ24" s="66"/>
      <c r="BR24" s="66"/>
      <c r="BS24" s="66"/>
      <c r="BT24" s="66"/>
      <c r="BU24" s="66"/>
      <c r="BV24" s="66"/>
      <c r="BW24" s="66"/>
      <c r="BX24" s="66"/>
    </row>
    <row r="25" spans="1:76" ht="15.75" customHeight="1" thickBot="1" x14ac:dyDescent="0.3">
      <c r="A25" s="66"/>
      <c r="B25" s="526"/>
      <c r="C25" s="526"/>
      <c r="D25" s="527"/>
      <c r="E25" s="626"/>
      <c r="F25" s="627"/>
      <c r="G25" s="627"/>
      <c r="H25" s="627"/>
      <c r="I25" s="627"/>
      <c r="J25" s="53" t="str">
        <f>IF(AND('Riesgos de Gestión'!$AI$56="Alta",'Riesgos de Gestión'!$AK$56="Leve"),CONCATENATE("R10C",'Riesgos de Gestión'!$V$56),"")</f>
        <v/>
      </c>
      <c r="K25" s="54" t="str">
        <f>IF(AND('Riesgos de Gestión'!$AI$57="Alta",'Riesgos de Gestión'!$AK$57="Leve"),CONCATENATE("R10C",'Riesgos de Gestión'!$V$57),"")</f>
        <v/>
      </c>
      <c r="L25" s="54" t="str">
        <f>IF(AND('Riesgos de Gestión'!$AI$58="Alta",'Riesgos de Gestión'!$AK$58="Leve"),CONCATENATE("R10C",'Riesgos de Gestión'!$V$58),"")</f>
        <v/>
      </c>
      <c r="M25" s="54" t="str">
        <f>IF(AND('Riesgos de Gestión'!$AI$59="Alta",'Riesgos de Gestión'!$AK$59="Leve"),CONCATENATE("R10C",'Riesgos de Gestión'!$V$59),"")</f>
        <v/>
      </c>
      <c r="N25" s="54" t="str">
        <f>IF(AND('Riesgos de Gestión'!$AI$60="Alta",'Riesgos de Gestión'!$AK$60="Leve"),CONCATENATE("R10C",'Riesgos de Gestión'!$V$60),"")</f>
        <v/>
      </c>
      <c r="O25" s="55" t="str">
        <f>IF(AND('Riesgos de Gestión'!$AI$61="Alta",'Riesgos de Gestión'!$AK$61="Leve"),CONCATENATE("R10C",'Riesgos de Gestión'!$V$61),"")</f>
        <v/>
      </c>
      <c r="P25" s="53" t="str">
        <f>IF(AND('Riesgos de Gestión'!$AI$56="Alta",'Riesgos de Gestión'!$AK$56="Menor"),CONCATENATE("R10C",'Riesgos de Gestión'!$V$56),"")</f>
        <v/>
      </c>
      <c r="Q25" s="54" t="str">
        <f>IF(AND('Riesgos de Gestión'!$AI$57="Alta",'Riesgos de Gestión'!$AK$57="Menor"),CONCATENATE("R10C",'Riesgos de Gestión'!$V$57),"")</f>
        <v/>
      </c>
      <c r="R25" s="54" t="str">
        <f>IF(AND('Riesgos de Gestión'!$AI$58="Alta",'Riesgos de Gestión'!$AK$58="Menor"),CONCATENATE("R10C",'Riesgos de Gestión'!$V$58),"")</f>
        <v/>
      </c>
      <c r="S25" s="54" t="str">
        <f>IF(AND('Riesgos de Gestión'!$AI$59="Alta",'Riesgos de Gestión'!$AK$59="Menor"),CONCATENATE("R10C",'Riesgos de Gestión'!$V$59),"")</f>
        <v/>
      </c>
      <c r="T25" s="54" t="str">
        <f>IF(AND('Riesgos de Gestión'!$AI$60="Alta",'Riesgos de Gestión'!$AK$60="Menor"),CONCATENATE("R10C",'Riesgos de Gestión'!$V$60),"")</f>
        <v/>
      </c>
      <c r="U25" s="55" t="str">
        <f>IF(AND('Riesgos de Gestión'!$AI$61="Alta",'Riesgos de Gestión'!$AK$61="Menor"),CONCATENATE("R10C",'Riesgos de Gestión'!$V$61),"")</f>
        <v/>
      </c>
      <c r="V25" s="41" t="str">
        <f>IF(AND('Riesgos de Gestión'!$AI$56="Alta",'Riesgos de Gestión'!$AK$56="Moderado"),CONCATENATE("R10C",'Riesgos de Gestión'!$V$56),"")</f>
        <v/>
      </c>
      <c r="W25" s="42" t="str">
        <f>IF(AND('Riesgos de Gestión'!$AI$57="Alta",'Riesgos de Gestión'!$AK$57="Moderado"),CONCATENATE("R10C",'Riesgos de Gestión'!$V$57),"")</f>
        <v/>
      </c>
      <c r="X25" s="42" t="str">
        <f>IF(AND('Riesgos de Gestión'!$AI$58="Alta",'Riesgos de Gestión'!$AK$58="Moderado"),CONCATENATE("R10C",'Riesgos de Gestión'!$V$58),"")</f>
        <v/>
      </c>
      <c r="Y25" s="42" t="str">
        <f>IF(AND('Riesgos de Gestión'!$AI$59="Alta",'Riesgos de Gestión'!$AK$59="Moderado"),CONCATENATE("R10C",'Riesgos de Gestión'!$V$59),"")</f>
        <v/>
      </c>
      <c r="Z25" s="42" t="str">
        <f>IF(AND('Riesgos de Gestión'!$AI$60="Alta",'Riesgos de Gestión'!$AK$60="Moderado"),CONCATENATE("R10C",'Riesgos de Gestión'!$V$60),"")</f>
        <v/>
      </c>
      <c r="AA25" s="43" t="str">
        <f>IF(AND('Riesgos de Gestión'!$AI$61="Alta",'Riesgos de Gestión'!$AK$61="Moderado"),CONCATENATE("R10C",'Riesgos de Gestión'!$V$61),"")</f>
        <v/>
      </c>
      <c r="AB25" s="41" t="str">
        <f>IF(AND('Riesgos de Gestión'!$AI$56="Alta",'Riesgos de Gestión'!$AK$56="Mayor"),CONCATENATE("R10C",'Riesgos de Gestión'!$V$56),"")</f>
        <v/>
      </c>
      <c r="AC25" s="42" t="str">
        <f>IF(AND('Riesgos de Gestión'!$AI$57="Alta",'Riesgos de Gestión'!$AK$57="Mayor"),CONCATENATE("R10C",'Riesgos de Gestión'!$V$57),"")</f>
        <v/>
      </c>
      <c r="AD25" s="42" t="str">
        <f>IF(AND('Riesgos de Gestión'!$AI$58="Alta",'Riesgos de Gestión'!$AK$58="Mayor"),CONCATENATE("R10C",'Riesgos de Gestión'!$V$58),"")</f>
        <v/>
      </c>
      <c r="AE25" s="42" t="str">
        <f>IF(AND('Riesgos de Gestión'!$AI$59="Alta",'Riesgos de Gestión'!$AK$59="Mayor"),CONCATENATE("R10C",'Riesgos de Gestión'!$V$59),"")</f>
        <v/>
      </c>
      <c r="AF25" s="42" t="str">
        <f>IF(AND('Riesgos de Gestión'!$AI$60="Alta",'Riesgos de Gestión'!$AK$60="Mayor"),CONCATENATE("R10C",'Riesgos de Gestión'!$V$60),"")</f>
        <v/>
      </c>
      <c r="AG25" s="43" t="str">
        <f>IF(AND('Riesgos de Gestión'!$AI$61="Alta",'Riesgos de Gestión'!$AK$61="Mayor"),CONCATENATE("R10C",'Riesgos de Gestión'!$V$61),"")</f>
        <v/>
      </c>
      <c r="AH25" s="44" t="str">
        <f>IF(AND('Riesgos de Gestión'!$AI$56="Alta",'Riesgos de Gestión'!$AK$56="Catastrófico"),CONCATENATE("R10C",'Riesgos de Gestión'!$V$56),"")</f>
        <v/>
      </c>
      <c r="AI25" s="45" t="str">
        <f>IF(AND('Riesgos de Gestión'!$AI$57="Alta",'Riesgos de Gestión'!$AK$57="Catastrófico"),CONCATENATE("R10C",'Riesgos de Gestión'!$V$57),"")</f>
        <v/>
      </c>
      <c r="AJ25" s="45" t="str">
        <f>IF(AND('Riesgos de Gestión'!$AI$58="Alta",'Riesgos de Gestión'!$AK$58="Catastrófico"),CONCATENATE("R10C",'Riesgos de Gestión'!$V$58),"")</f>
        <v/>
      </c>
      <c r="AK25" s="45" t="str">
        <f>IF(AND('Riesgos de Gestión'!$AI$59="Alta",'Riesgos de Gestión'!$AK$59="Catastrófico"),CONCATENATE("R10C",'Riesgos de Gestión'!$V$59),"")</f>
        <v/>
      </c>
      <c r="AL25" s="45" t="str">
        <f>IF(AND('Riesgos de Gestión'!$AI$60="Alta",'Riesgos de Gestión'!$AK$60="Catastrófico"),CONCATENATE("R10C",'Riesgos de Gestión'!$V$60),"")</f>
        <v/>
      </c>
      <c r="AM25" s="46" t="str">
        <f>IF(AND('Riesgos de Gestión'!$AI$61="Alta",'Riesgos de Gestión'!$AK$61="Catastrófico"),CONCATENATE("R10C",'Riesgos de Gestión'!$V$61),"")</f>
        <v/>
      </c>
      <c r="AN25" s="66"/>
      <c r="AO25" s="618"/>
      <c r="AP25" s="619"/>
      <c r="AQ25" s="619"/>
      <c r="AR25" s="619"/>
      <c r="AS25" s="619"/>
      <c r="AT25" s="620"/>
      <c r="AU25" s="66"/>
      <c r="AV25" s="66"/>
      <c r="AW25" s="66"/>
      <c r="AX25" s="66"/>
      <c r="AY25" s="66"/>
      <c r="AZ25" s="66"/>
      <c r="BA25" s="66"/>
      <c r="BB25" s="66"/>
      <c r="BC25" s="66"/>
      <c r="BD25" s="66"/>
      <c r="BE25" s="66"/>
      <c r="BF25" s="66"/>
      <c r="BG25" s="66"/>
      <c r="BH25" s="66"/>
      <c r="BI25" s="66"/>
      <c r="BJ25" s="66"/>
      <c r="BK25" s="66"/>
      <c r="BL25" s="66"/>
      <c r="BM25" s="66"/>
      <c r="BN25" s="66"/>
      <c r="BO25" s="66"/>
      <c r="BP25" s="66"/>
      <c r="BQ25" s="66"/>
      <c r="BR25" s="66"/>
      <c r="BS25" s="66"/>
      <c r="BT25" s="66"/>
      <c r="BU25" s="66"/>
      <c r="BV25" s="66"/>
      <c r="BW25" s="66"/>
      <c r="BX25" s="66"/>
    </row>
    <row r="26" spans="1:76" ht="15" customHeight="1" x14ac:dyDescent="0.25">
      <c r="A26" s="66"/>
      <c r="B26" s="526"/>
      <c r="C26" s="526"/>
      <c r="D26" s="527"/>
      <c r="E26" s="621" t="s">
        <v>489</v>
      </c>
      <c r="F26" s="622"/>
      <c r="G26" s="622"/>
      <c r="H26" s="622"/>
      <c r="I26" s="639"/>
      <c r="J26" s="47" t="str">
        <f>IF(AND('Riesgos de Gestión'!$AI$13="Media",'Riesgos de Gestión'!$AK$13="Leve"),CONCATENATE("R1C",'Riesgos de Gestión'!$V$13),"")</f>
        <v/>
      </c>
      <c r="K26" s="48" t="str">
        <f>IF(AND('Riesgos de Gestión'!$AI$14="Media",'Riesgos de Gestión'!$AK$14="Leve"),CONCATENATE("R1C",'Riesgos de Gestión'!$V$14),"")</f>
        <v/>
      </c>
      <c r="L26" s="48" t="e">
        <f>IF(AND('Riesgos de Gestión'!#REF!="Media",'Riesgos de Gestión'!#REF!="Leve"),CONCATENATE("R1C",'Riesgos de Gestión'!#REF!),"")</f>
        <v>#REF!</v>
      </c>
      <c r="M26" s="48" t="e">
        <f>IF(AND('Riesgos de Gestión'!#REF!="Media",'Riesgos de Gestión'!#REF!="Leve"),CONCATENATE("R1C",'Riesgos de Gestión'!#REF!),"")</f>
        <v>#REF!</v>
      </c>
      <c r="N26" s="48" t="e">
        <f>IF(AND('Riesgos de Gestión'!#REF!="Media",'Riesgos de Gestión'!#REF!="Leve"),CONCATENATE("R1C",'Riesgos de Gestión'!#REF!),"")</f>
        <v>#REF!</v>
      </c>
      <c r="O26" s="49" t="e">
        <f>IF(AND('Riesgos de Gestión'!#REF!="Media",'Riesgos de Gestión'!#REF!="Leve"),CONCATENATE("R1C",'Riesgos de Gestión'!#REF!),"")</f>
        <v>#REF!</v>
      </c>
      <c r="P26" s="47" t="str">
        <f>IF(AND('Riesgos de Gestión'!$AI$13="Media",'Riesgos de Gestión'!$AK$13="Menor"),CONCATENATE("R1C",'Riesgos de Gestión'!$V$13),"")</f>
        <v>R1C1</v>
      </c>
      <c r="Q26" s="48" t="str">
        <f>IF(AND('Riesgos de Gestión'!$AI$14="Media",'Riesgos de Gestión'!$AK$14="Menor"),CONCATENATE("R1C",'Riesgos de Gestión'!$V$14),"")</f>
        <v/>
      </c>
      <c r="R26" s="48" t="e">
        <f>IF(AND('Riesgos de Gestión'!#REF!="Media",'Riesgos de Gestión'!#REF!="Menor"),CONCATENATE("R1C",'Riesgos de Gestión'!#REF!),"")</f>
        <v>#REF!</v>
      </c>
      <c r="S26" s="48" t="e">
        <f>IF(AND('Riesgos de Gestión'!#REF!="Media",'Riesgos de Gestión'!#REF!="Menor"),CONCATENATE("R1C",'Riesgos de Gestión'!#REF!),"")</f>
        <v>#REF!</v>
      </c>
      <c r="T26" s="48" t="e">
        <f>IF(AND('Riesgos de Gestión'!#REF!="Media",'Riesgos de Gestión'!#REF!="Menor"),CONCATENATE("R1C",'Riesgos de Gestión'!#REF!),"")</f>
        <v>#REF!</v>
      </c>
      <c r="U26" s="49" t="e">
        <f>IF(AND('Riesgos de Gestión'!#REF!="Media",'Riesgos de Gestión'!#REF!="Menor"),CONCATENATE("R1C",'Riesgos de Gestión'!#REF!),"")</f>
        <v>#REF!</v>
      </c>
      <c r="V26" s="47" t="str">
        <f>IF(AND('Riesgos de Gestión'!$AI$13="Media",'Riesgos de Gestión'!$AK$13="Moderado"),CONCATENATE("R1C",'Riesgos de Gestión'!$V$13),"")</f>
        <v/>
      </c>
      <c r="W26" s="48" t="str">
        <f>IF(AND('Riesgos de Gestión'!$AI$14="Media",'Riesgos de Gestión'!$AK$14="Moderado"),CONCATENATE("R1C",'Riesgos de Gestión'!$V$14),"")</f>
        <v/>
      </c>
      <c r="X26" s="48" t="e">
        <f>IF(AND('Riesgos de Gestión'!#REF!="Media",'Riesgos de Gestión'!#REF!="Moderado"),CONCATENATE("R1C",'Riesgos de Gestión'!#REF!),"")</f>
        <v>#REF!</v>
      </c>
      <c r="Y26" s="48" t="e">
        <f>IF(AND('Riesgos de Gestión'!#REF!="Media",'Riesgos de Gestión'!#REF!="Moderado"),CONCATENATE("R1C",'Riesgos de Gestión'!#REF!),"")</f>
        <v>#REF!</v>
      </c>
      <c r="Z26" s="48" t="e">
        <f>IF(AND('Riesgos de Gestión'!#REF!="Media",'Riesgos de Gestión'!#REF!="Moderado"),CONCATENATE("R1C",'Riesgos de Gestión'!#REF!),"")</f>
        <v>#REF!</v>
      </c>
      <c r="AA26" s="49" t="e">
        <f>IF(AND('Riesgos de Gestión'!#REF!="Media",'Riesgos de Gestión'!#REF!="Moderado"),CONCATENATE("R1C",'Riesgos de Gestión'!#REF!),"")</f>
        <v>#REF!</v>
      </c>
      <c r="AB26" s="29" t="str">
        <f>IF(AND('Riesgos de Gestión'!$AI$13="Media",'Riesgos de Gestión'!$AK$13="Mayor"),CONCATENATE("R1C",'Riesgos de Gestión'!$V$13),"")</f>
        <v/>
      </c>
      <c r="AC26" s="30" t="str">
        <f>IF(AND('Riesgos de Gestión'!$AI$14="Media",'Riesgos de Gestión'!$AK$14="Mayor"),CONCATENATE("R1C",'Riesgos de Gestión'!$V$14),"")</f>
        <v/>
      </c>
      <c r="AD26" s="30" t="e">
        <f>IF(AND('Riesgos de Gestión'!#REF!="Media",'Riesgos de Gestión'!#REF!="Mayor"),CONCATENATE("R1C",'Riesgos de Gestión'!#REF!),"")</f>
        <v>#REF!</v>
      </c>
      <c r="AE26" s="30" t="e">
        <f>IF(AND('Riesgos de Gestión'!#REF!="Media",'Riesgos de Gestión'!#REF!="Mayor"),CONCATENATE("R1C",'Riesgos de Gestión'!#REF!),"")</f>
        <v>#REF!</v>
      </c>
      <c r="AF26" s="30" t="e">
        <f>IF(AND('Riesgos de Gestión'!#REF!="Media",'Riesgos de Gestión'!#REF!="Mayor"),CONCATENATE("R1C",'Riesgos de Gestión'!#REF!),"")</f>
        <v>#REF!</v>
      </c>
      <c r="AG26" s="31" t="e">
        <f>IF(AND('Riesgos de Gestión'!#REF!="Media",'Riesgos de Gestión'!#REF!="Mayor"),CONCATENATE("R1C",'Riesgos de Gestión'!#REF!),"")</f>
        <v>#REF!</v>
      </c>
      <c r="AH26" s="32" t="str">
        <f>IF(AND('Riesgos de Gestión'!$AI$13="Media",'Riesgos de Gestión'!$AK$13="Catastrófico"),CONCATENATE("R1C",'Riesgos de Gestión'!$V$13),"")</f>
        <v/>
      </c>
      <c r="AI26" s="33" t="str">
        <f>IF(AND('Riesgos de Gestión'!$AI$14="Media",'Riesgos de Gestión'!$AK$14="Catastrófico"),CONCATENATE("R1C",'Riesgos de Gestión'!$V$14),"")</f>
        <v/>
      </c>
      <c r="AJ26" s="33" t="e">
        <f>IF(AND('Riesgos de Gestión'!#REF!="Media",'Riesgos de Gestión'!#REF!="Catastrófico"),CONCATENATE("R1C",'Riesgos de Gestión'!#REF!),"")</f>
        <v>#REF!</v>
      </c>
      <c r="AK26" s="33" t="e">
        <f>IF(AND('Riesgos de Gestión'!#REF!="Media",'Riesgos de Gestión'!#REF!="Catastrófico"),CONCATENATE("R1C",'Riesgos de Gestión'!#REF!),"")</f>
        <v>#REF!</v>
      </c>
      <c r="AL26" s="33" t="e">
        <f>IF(AND('Riesgos de Gestión'!#REF!="Media",'Riesgos de Gestión'!#REF!="Catastrófico"),CONCATENATE("R1C",'Riesgos de Gestión'!#REF!),"")</f>
        <v>#REF!</v>
      </c>
      <c r="AM26" s="34" t="e">
        <f>IF(AND('Riesgos de Gestión'!#REF!="Media",'Riesgos de Gestión'!#REF!="Catastrófico"),CONCATENATE("R1C",'Riesgos de Gestión'!#REF!),"")</f>
        <v>#REF!</v>
      </c>
      <c r="AN26" s="66"/>
      <c r="AO26" s="651" t="s">
        <v>490</v>
      </c>
      <c r="AP26" s="652"/>
      <c r="AQ26" s="652"/>
      <c r="AR26" s="652"/>
      <c r="AS26" s="652"/>
      <c r="AT26" s="653"/>
      <c r="AU26" s="66"/>
      <c r="AV26" s="66"/>
      <c r="AW26" s="66"/>
      <c r="AX26" s="66"/>
      <c r="AY26" s="66"/>
      <c r="AZ26" s="66"/>
      <c r="BA26" s="66"/>
      <c r="BB26" s="66"/>
      <c r="BC26" s="66"/>
      <c r="BD26" s="66"/>
      <c r="BE26" s="66"/>
      <c r="BF26" s="66"/>
      <c r="BG26" s="66"/>
      <c r="BH26" s="66"/>
      <c r="BI26" s="66"/>
      <c r="BJ26" s="66"/>
      <c r="BK26" s="66"/>
      <c r="BL26" s="66"/>
      <c r="BM26" s="66"/>
      <c r="BN26" s="66"/>
      <c r="BO26" s="66"/>
      <c r="BP26" s="66"/>
      <c r="BQ26" s="66"/>
      <c r="BR26" s="66"/>
      <c r="BS26" s="66"/>
      <c r="BT26" s="66"/>
      <c r="BU26" s="66"/>
      <c r="BV26" s="66"/>
      <c r="BW26" s="66"/>
      <c r="BX26" s="66"/>
    </row>
    <row r="27" spans="1:76" ht="15" customHeight="1" x14ac:dyDescent="0.25">
      <c r="A27" s="66"/>
      <c r="B27" s="526"/>
      <c r="C27" s="526"/>
      <c r="D27" s="527"/>
      <c r="E27" s="623"/>
      <c r="F27" s="624"/>
      <c r="G27" s="624"/>
      <c r="H27" s="624"/>
      <c r="I27" s="640"/>
      <c r="J27" s="50" t="str">
        <f>IF(AND('Riesgos de Gestión'!$AI$15="Media",'Riesgos de Gestión'!$AK$15="Leve"),CONCATENATE("R2C",'Riesgos de Gestión'!$V$15),"")</f>
        <v>R2C1</v>
      </c>
      <c r="K27" s="51" t="str">
        <f>IF(AND('Riesgos de Gestión'!$AI$16="Media",'Riesgos de Gestión'!$AK$16="Leve"),CONCATENATE("R2C",'Riesgos de Gestión'!$V$16),"")</f>
        <v/>
      </c>
      <c r="L27" s="51" t="e">
        <f>IF(AND('Riesgos de Gestión'!#REF!="Media",'Riesgos de Gestión'!#REF!="Leve"),CONCATENATE("R2C",'Riesgos de Gestión'!#REF!),"")</f>
        <v>#REF!</v>
      </c>
      <c r="M27" s="51" t="e">
        <f>IF(AND('Riesgos de Gestión'!#REF!="Media",'Riesgos de Gestión'!#REF!="Leve"),CONCATENATE("R2C",'Riesgos de Gestión'!#REF!),"")</f>
        <v>#REF!</v>
      </c>
      <c r="N27" s="51" t="e">
        <f>IF(AND('Riesgos de Gestión'!#REF!="Media",'Riesgos de Gestión'!#REF!="Leve"),CONCATENATE("R2C",'Riesgos de Gestión'!#REF!),"")</f>
        <v>#REF!</v>
      </c>
      <c r="O27" s="52" t="e">
        <f>IF(AND('Riesgos de Gestión'!#REF!="Media",'Riesgos de Gestión'!#REF!="Leve"),CONCATENATE("R2C",'Riesgos de Gestión'!#REF!),"")</f>
        <v>#REF!</v>
      </c>
      <c r="P27" s="50" t="str">
        <f>IF(AND('Riesgos de Gestión'!$AI$15="Media",'Riesgos de Gestión'!$AK$15="Menor"),CONCATENATE("R2C",'Riesgos de Gestión'!$V$15),"")</f>
        <v/>
      </c>
      <c r="Q27" s="51" t="str">
        <f>IF(AND('Riesgos de Gestión'!$AI$16="Media",'Riesgos de Gestión'!$AK$16="Menor"),CONCATENATE("R2C",'Riesgos de Gestión'!$V$16),"")</f>
        <v/>
      </c>
      <c r="R27" s="51" t="e">
        <f>IF(AND('Riesgos de Gestión'!#REF!="Media",'Riesgos de Gestión'!#REF!="Menor"),CONCATENATE("R2C",'Riesgos de Gestión'!#REF!),"")</f>
        <v>#REF!</v>
      </c>
      <c r="S27" s="51" t="e">
        <f>IF(AND('Riesgos de Gestión'!#REF!="Media",'Riesgos de Gestión'!#REF!="Menor"),CONCATENATE("R2C",'Riesgos de Gestión'!#REF!),"")</f>
        <v>#REF!</v>
      </c>
      <c r="T27" s="51" t="e">
        <f>IF(AND('Riesgos de Gestión'!#REF!="Media",'Riesgos de Gestión'!#REF!="Menor"),CONCATENATE("R2C",'Riesgos de Gestión'!#REF!),"")</f>
        <v>#REF!</v>
      </c>
      <c r="U27" s="52" t="e">
        <f>IF(AND('Riesgos de Gestión'!#REF!="Media",'Riesgos de Gestión'!#REF!="Menor"),CONCATENATE("R2C",'Riesgos de Gestión'!#REF!),"")</f>
        <v>#REF!</v>
      </c>
      <c r="V27" s="50" t="str">
        <f>IF(AND('Riesgos de Gestión'!$AI$15="Media",'Riesgos de Gestión'!$AK$15="Moderado"),CONCATENATE("R2C",'Riesgos de Gestión'!$V$15),"")</f>
        <v/>
      </c>
      <c r="W27" s="51" t="str">
        <f>IF(AND('Riesgos de Gestión'!$AI$16="Media",'Riesgos de Gestión'!$AK$16="Moderado"),CONCATENATE("R2C",'Riesgos de Gestión'!$V$16),"")</f>
        <v/>
      </c>
      <c r="X27" s="51" t="e">
        <f>IF(AND('Riesgos de Gestión'!#REF!="Media",'Riesgos de Gestión'!#REF!="Moderado"),CONCATENATE("R2C",'Riesgos de Gestión'!#REF!),"")</f>
        <v>#REF!</v>
      </c>
      <c r="Y27" s="51" t="e">
        <f>IF(AND('Riesgos de Gestión'!#REF!="Media",'Riesgos de Gestión'!#REF!="Moderado"),CONCATENATE("R2C",'Riesgos de Gestión'!#REF!),"")</f>
        <v>#REF!</v>
      </c>
      <c r="Z27" s="51" t="e">
        <f>IF(AND('Riesgos de Gestión'!#REF!="Media",'Riesgos de Gestión'!#REF!="Moderado"),CONCATENATE("R2C",'Riesgos de Gestión'!#REF!),"")</f>
        <v>#REF!</v>
      </c>
      <c r="AA27" s="52" t="e">
        <f>IF(AND('Riesgos de Gestión'!#REF!="Media",'Riesgos de Gestión'!#REF!="Moderado"),CONCATENATE("R2C",'Riesgos de Gestión'!#REF!),"")</f>
        <v>#REF!</v>
      </c>
      <c r="AB27" s="35" t="str">
        <f>IF(AND('Riesgos de Gestión'!$AI$15="Media",'Riesgos de Gestión'!$AK$15="Mayor"),CONCATENATE("R2C",'Riesgos de Gestión'!$V$15),"")</f>
        <v/>
      </c>
      <c r="AC27" s="36" t="str">
        <f>IF(AND('Riesgos de Gestión'!$AI$16="Media",'Riesgos de Gestión'!$AK$16="Mayor"),CONCATENATE("R2C",'Riesgos de Gestión'!$V$16),"")</f>
        <v/>
      </c>
      <c r="AD27" s="36" t="e">
        <f>IF(AND('Riesgos de Gestión'!#REF!="Media",'Riesgos de Gestión'!#REF!="Mayor"),CONCATENATE("R2C",'Riesgos de Gestión'!#REF!),"")</f>
        <v>#REF!</v>
      </c>
      <c r="AE27" s="36" t="e">
        <f>IF(AND('Riesgos de Gestión'!#REF!="Media",'Riesgos de Gestión'!#REF!="Mayor"),CONCATENATE("R2C",'Riesgos de Gestión'!#REF!),"")</f>
        <v>#REF!</v>
      </c>
      <c r="AF27" s="36" t="e">
        <f>IF(AND('Riesgos de Gestión'!#REF!="Media",'Riesgos de Gestión'!#REF!="Mayor"),CONCATENATE("R2C",'Riesgos de Gestión'!#REF!),"")</f>
        <v>#REF!</v>
      </c>
      <c r="AG27" s="37" t="e">
        <f>IF(AND('Riesgos de Gestión'!#REF!="Media",'Riesgos de Gestión'!#REF!="Mayor"),CONCATENATE("R2C",'Riesgos de Gestión'!#REF!),"")</f>
        <v>#REF!</v>
      </c>
      <c r="AH27" s="38" t="str">
        <f>IF(AND('Riesgos de Gestión'!$AI$15="Media",'Riesgos de Gestión'!$AK$15="Catastrófico"),CONCATENATE("R2C",'Riesgos de Gestión'!$V$15),"")</f>
        <v/>
      </c>
      <c r="AI27" s="39" t="str">
        <f>IF(AND('Riesgos de Gestión'!$AI$16="Media",'Riesgos de Gestión'!$AK$16="Catastrófico"),CONCATENATE("R2C",'Riesgos de Gestión'!$V$16),"")</f>
        <v/>
      </c>
      <c r="AJ27" s="39" t="e">
        <f>IF(AND('Riesgos de Gestión'!#REF!="Media",'Riesgos de Gestión'!#REF!="Catastrófico"),CONCATENATE("R2C",'Riesgos de Gestión'!#REF!),"")</f>
        <v>#REF!</v>
      </c>
      <c r="AK27" s="39" t="e">
        <f>IF(AND('Riesgos de Gestión'!#REF!="Media",'Riesgos de Gestión'!#REF!="Catastrófico"),CONCATENATE("R2C",'Riesgos de Gestión'!#REF!),"")</f>
        <v>#REF!</v>
      </c>
      <c r="AL27" s="39" t="e">
        <f>IF(AND('Riesgos de Gestión'!#REF!="Media",'Riesgos de Gestión'!#REF!="Catastrófico"),CONCATENATE("R2C",'Riesgos de Gestión'!#REF!),"")</f>
        <v>#REF!</v>
      </c>
      <c r="AM27" s="40" t="e">
        <f>IF(AND('Riesgos de Gestión'!#REF!="Media",'Riesgos de Gestión'!#REF!="Catastrófico"),CONCATENATE("R2C",'Riesgos de Gestión'!#REF!),"")</f>
        <v>#REF!</v>
      </c>
      <c r="AN27" s="66"/>
      <c r="AO27" s="654"/>
      <c r="AP27" s="655"/>
      <c r="AQ27" s="655"/>
      <c r="AR27" s="655"/>
      <c r="AS27" s="655"/>
      <c r="AT27" s="656"/>
      <c r="AU27" s="66"/>
      <c r="AV27" s="66"/>
      <c r="AW27" s="66"/>
      <c r="AX27" s="66"/>
      <c r="AY27" s="66"/>
      <c r="AZ27" s="66"/>
      <c r="BA27" s="66"/>
      <c r="BB27" s="66"/>
      <c r="BC27" s="66"/>
      <c r="BD27" s="66"/>
      <c r="BE27" s="66"/>
      <c r="BF27" s="66"/>
      <c r="BG27" s="66"/>
      <c r="BH27" s="66"/>
      <c r="BI27" s="66"/>
      <c r="BJ27" s="66"/>
      <c r="BK27" s="66"/>
      <c r="BL27" s="66"/>
      <c r="BM27" s="66"/>
      <c r="BN27" s="66"/>
      <c r="BO27" s="66"/>
      <c r="BP27" s="66"/>
      <c r="BQ27" s="66"/>
      <c r="BR27" s="66"/>
      <c r="BS27" s="66"/>
      <c r="BT27" s="66"/>
      <c r="BU27" s="66"/>
      <c r="BV27" s="66"/>
      <c r="BW27" s="66"/>
      <c r="BX27" s="66"/>
    </row>
    <row r="28" spans="1:76" ht="15" customHeight="1" x14ac:dyDescent="0.25">
      <c r="A28" s="66"/>
      <c r="B28" s="526"/>
      <c r="C28" s="526"/>
      <c r="D28" s="527"/>
      <c r="E28" s="625"/>
      <c r="F28" s="624"/>
      <c r="G28" s="624"/>
      <c r="H28" s="624"/>
      <c r="I28" s="640"/>
      <c r="J28" s="50" t="str">
        <f>IF(AND('Riesgos de Gestión'!$AI$17="Media",'Riesgos de Gestión'!$AK$17="Leve"),CONCATENATE("R3C",'Riesgos de Gestión'!$V$17),"")</f>
        <v/>
      </c>
      <c r="K28" s="51" t="str">
        <f>IF(AND('Riesgos de Gestión'!$AI$18="Media",'Riesgos de Gestión'!$AK$18="Leve"),CONCATENATE("R3C",'Riesgos de Gestión'!$V$18),"")</f>
        <v/>
      </c>
      <c r="L28" s="51" t="str">
        <f>IF(AND('Riesgos de Gestión'!$AI$19="Media",'Riesgos de Gestión'!$AK$19="Leve"),CONCATENATE("R3C",'Riesgos de Gestión'!$V$19),"")</f>
        <v/>
      </c>
      <c r="M28" s="51" t="e">
        <f>IF(AND('Riesgos de Gestión'!#REF!="Media",'Riesgos de Gestión'!#REF!="Leve"),CONCATENATE("R3C",'Riesgos de Gestión'!#REF!),"")</f>
        <v>#REF!</v>
      </c>
      <c r="N28" s="51" t="e">
        <f>IF(AND('Riesgos de Gestión'!#REF!="Media",'Riesgos de Gestión'!#REF!="Leve"),CONCATENATE("R3C",'Riesgos de Gestión'!#REF!),"")</f>
        <v>#REF!</v>
      </c>
      <c r="O28" s="52" t="e">
        <f>IF(AND('Riesgos de Gestión'!#REF!="Media",'Riesgos de Gestión'!#REF!="Leve"),CONCATENATE("R3C",'Riesgos de Gestión'!#REF!),"")</f>
        <v>#REF!</v>
      </c>
      <c r="P28" s="50" t="str">
        <f>IF(AND('Riesgos de Gestión'!$AI$17="Media",'Riesgos de Gestión'!$AK$17="Menor"),CONCATENATE("R3C",'Riesgos de Gestión'!$V$17),"")</f>
        <v/>
      </c>
      <c r="Q28" s="51" t="str">
        <f>IF(AND('Riesgos de Gestión'!$AI$18="Media",'Riesgos de Gestión'!$AK$18="Menor"),CONCATENATE("R3C",'Riesgos de Gestión'!$V$18),"")</f>
        <v/>
      </c>
      <c r="R28" s="51" t="str">
        <f>IF(AND('Riesgos de Gestión'!$AI$19="Media",'Riesgos de Gestión'!$AK$19="Menor"),CONCATENATE("R3C",'Riesgos de Gestión'!$V$19),"")</f>
        <v/>
      </c>
      <c r="S28" s="51" t="e">
        <f>IF(AND('Riesgos de Gestión'!#REF!="Media",'Riesgos de Gestión'!#REF!="Menor"),CONCATENATE("R3C",'Riesgos de Gestión'!#REF!),"")</f>
        <v>#REF!</v>
      </c>
      <c r="T28" s="51" t="e">
        <f>IF(AND('Riesgos de Gestión'!#REF!="Media",'Riesgos de Gestión'!#REF!="Menor"),CONCATENATE("R3C",'Riesgos de Gestión'!#REF!),"")</f>
        <v>#REF!</v>
      </c>
      <c r="U28" s="52" t="e">
        <f>IF(AND('Riesgos de Gestión'!#REF!="Media",'Riesgos de Gestión'!#REF!="Menor"),CONCATENATE("R3C",'Riesgos de Gestión'!#REF!),"")</f>
        <v>#REF!</v>
      </c>
      <c r="V28" s="50" t="str">
        <f>IF(AND('Riesgos de Gestión'!$AI$17="Media",'Riesgos de Gestión'!$AK$17="Moderado"),CONCATENATE("R3C",'Riesgos de Gestión'!$V$17),"")</f>
        <v/>
      </c>
      <c r="W28" s="51" t="str">
        <f>IF(AND('Riesgos de Gestión'!$AI$18="Media",'Riesgos de Gestión'!$AK$18="Moderado"),CONCATENATE("R3C",'Riesgos de Gestión'!$V$18),"")</f>
        <v/>
      </c>
      <c r="X28" s="51" t="str">
        <f>IF(AND('Riesgos de Gestión'!$AI$19="Media",'Riesgos de Gestión'!$AK$19="Moderado"),CONCATENATE("R3C",'Riesgos de Gestión'!$V$19),"")</f>
        <v/>
      </c>
      <c r="Y28" s="51" t="e">
        <f>IF(AND('Riesgos de Gestión'!#REF!="Media",'Riesgos de Gestión'!#REF!="Moderado"),CONCATENATE("R3C",'Riesgos de Gestión'!#REF!),"")</f>
        <v>#REF!</v>
      </c>
      <c r="Z28" s="51" t="e">
        <f>IF(AND('Riesgos de Gestión'!#REF!="Media",'Riesgos de Gestión'!#REF!="Moderado"),CONCATENATE("R3C",'Riesgos de Gestión'!#REF!),"")</f>
        <v>#REF!</v>
      </c>
      <c r="AA28" s="52" t="e">
        <f>IF(AND('Riesgos de Gestión'!#REF!="Media",'Riesgos de Gestión'!#REF!="Moderado"),CONCATENATE("R3C",'Riesgos de Gestión'!#REF!),"")</f>
        <v>#REF!</v>
      </c>
      <c r="AB28" s="35" t="str">
        <f>IF(AND('Riesgos de Gestión'!$AI$17="Media",'Riesgos de Gestión'!$AK$17="Mayor"),CONCATENATE("R3C",'Riesgos de Gestión'!$V$17),"")</f>
        <v/>
      </c>
      <c r="AC28" s="36" t="str">
        <f>IF(AND('Riesgos de Gestión'!$AI$18="Media",'Riesgos de Gestión'!$AK$18="Mayor"),CONCATENATE("R3C",'Riesgos de Gestión'!$V$18),"")</f>
        <v/>
      </c>
      <c r="AD28" s="36" t="str">
        <f>IF(AND('Riesgos de Gestión'!$AI$19="Media",'Riesgos de Gestión'!$AK$19="Mayor"),CONCATENATE("R3C",'Riesgos de Gestión'!$V$19),"")</f>
        <v/>
      </c>
      <c r="AE28" s="36" t="e">
        <f>IF(AND('Riesgos de Gestión'!#REF!="Media",'Riesgos de Gestión'!#REF!="Mayor"),CONCATENATE("R3C",'Riesgos de Gestión'!#REF!),"")</f>
        <v>#REF!</v>
      </c>
      <c r="AF28" s="36" t="e">
        <f>IF(AND('Riesgos de Gestión'!#REF!="Media",'Riesgos de Gestión'!#REF!="Mayor"),CONCATENATE("R3C",'Riesgos de Gestión'!#REF!),"")</f>
        <v>#REF!</v>
      </c>
      <c r="AG28" s="37" t="e">
        <f>IF(AND('Riesgos de Gestión'!#REF!="Media",'Riesgos de Gestión'!#REF!="Mayor"),CONCATENATE("R3C",'Riesgos de Gestión'!#REF!),"")</f>
        <v>#REF!</v>
      </c>
      <c r="AH28" s="38" t="str">
        <f>IF(AND('Riesgos de Gestión'!$AI$17="Media",'Riesgos de Gestión'!$AK$17="Catastrófico"),CONCATENATE("R3C",'Riesgos de Gestión'!$V$17),"")</f>
        <v/>
      </c>
      <c r="AI28" s="39" t="str">
        <f>IF(AND('Riesgos de Gestión'!$AI$18="Media",'Riesgos de Gestión'!$AK$18="Catastrófico"),CONCATENATE("R3C",'Riesgos de Gestión'!$V$18),"")</f>
        <v/>
      </c>
      <c r="AJ28" s="39" t="str">
        <f>IF(AND('Riesgos de Gestión'!$AI$19="Media",'Riesgos de Gestión'!$AK$19="Catastrófico"),CONCATENATE("R3C",'Riesgos de Gestión'!$V$19),"")</f>
        <v/>
      </c>
      <c r="AK28" s="39" t="e">
        <f>IF(AND('Riesgos de Gestión'!#REF!="Media",'Riesgos de Gestión'!#REF!="Catastrófico"),CONCATENATE("R3C",'Riesgos de Gestión'!#REF!),"")</f>
        <v>#REF!</v>
      </c>
      <c r="AL28" s="39" t="e">
        <f>IF(AND('Riesgos de Gestión'!#REF!="Media",'Riesgos de Gestión'!#REF!="Catastrófico"),CONCATENATE("R3C",'Riesgos de Gestión'!#REF!),"")</f>
        <v>#REF!</v>
      </c>
      <c r="AM28" s="40" t="e">
        <f>IF(AND('Riesgos de Gestión'!#REF!="Media",'Riesgos de Gestión'!#REF!="Catastrófico"),CONCATENATE("R3C",'Riesgos de Gestión'!#REF!),"")</f>
        <v>#REF!</v>
      </c>
      <c r="AN28" s="66"/>
      <c r="AO28" s="654"/>
      <c r="AP28" s="655"/>
      <c r="AQ28" s="655"/>
      <c r="AR28" s="655"/>
      <c r="AS28" s="655"/>
      <c r="AT28" s="656"/>
      <c r="AU28" s="66"/>
      <c r="AV28" s="66"/>
      <c r="AW28" s="66"/>
      <c r="AX28" s="66"/>
      <c r="AY28" s="66"/>
      <c r="AZ28" s="66"/>
      <c r="BA28" s="66"/>
      <c r="BB28" s="66"/>
      <c r="BC28" s="66"/>
      <c r="BD28" s="66"/>
      <c r="BE28" s="66"/>
      <c r="BF28" s="66"/>
      <c r="BG28" s="66"/>
      <c r="BH28" s="66"/>
      <c r="BI28" s="66"/>
      <c r="BJ28" s="66"/>
      <c r="BK28" s="66"/>
      <c r="BL28" s="66"/>
      <c r="BM28" s="66"/>
      <c r="BN28" s="66"/>
      <c r="BO28" s="66"/>
      <c r="BP28" s="66"/>
      <c r="BQ28" s="66"/>
      <c r="BR28" s="66"/>
      <c r="BS28" s="66"/>
      <c r="BT28" s="66"/>
      <c r="BU28" s="66"/>
      <c r="BV28" s="66"/>
      <c r="BW28" s="66"/>
      <c r="BX28" s="66"/>
    </row>
    <row r="29" spans="1:76" ht="15" customHeight="1" x14ac:dyDescent="0.25">
      <c r="A29" s="66"/>
      <c r="B29" s="526"/>
      <c r="C29" s="526"/>
      <c r="D29" s="527"/>
      <c r="E29" s="625"/>
      <c r="F29" s="624"/>
      <c r="G29" s="624"/>
      <c r="H29" s="624"/>
      <c r="I29" s="640"/>
      <c r="J29" s="50" t="str">
        <f>IF(AND('Riesgos de Gestión'!$AI$20="Media",'Riesgos de Gestión'!$AK$20="Leve"),CONCATENATE("R4C",'Riesgos de Gestión'!$V$20),"")</f>
        <v/>
      </c>
      <c r="K29" s="51" t="str">
        <f>IF(AND('Riesgos de Gestión'!$AI$21="Media",'Riesgos de Gestión'!$AK$21="Leve"),CONCATENATE("R4C",'Riesgos de Gestión'!$V$21),"")</f>
        <v/>
      </c>
      <c r="L29" s="51" t="str">
        <f>IF(AND('Riesgos de Gestión'!$AI$22="Media",'Riesgos de Gestión'!$AK$22="Leve"),CONCATENATE("R4C",'Riesgos de Gestión'!$V$22),"")</f>
        <v/>
      </c>
      <c r="M29" s="51" t="str">
        <f>IF(AND('Riesgos de Gestión'!$AI$23="Media",'Riesgos de Gestión'!$AK$23="Leve"),CONCATENATE("R4C",'Riesgos de Gestión'!$V$23),"")</f>
        <v/>
      </c>
      <c r="N29" s="51" t="str">
        <f>IF(AND('Riesgos de Gestión'!$AI$24="Media",'Riesgos de Gestión'!$AK$24="Leve"),CONCATENATE("R4C",'Riesgos de Gestión'!$V$24),"")</f>
        <v/>
      </c>
      <c r="O29" s="52" t="str">
        <f>IF(AND('Riesgos de Gestión'!$AI$25="Media",'Riesgos de Gestión'!$AK$25="Leve"),CONCATENATE("R4C",'Riesgos de Gestión'!$V$25),"")</f>
        <v/>
      </c>
      <c r="P29" s="50" t="str">
        <f>IF(AND('Riesgos de Gestión'!$AI$20="Media",'Riesgos de Gestión'!$AK$20="Menor"),CONCATENATE("R4C",'Riesgos de Gestión'!$V$20),"")</f>
        <v/>
      </c>
      <c r="Q29" s="51" t="str">
        <f>IF(AND('Riesgos de Gestión'!$AI$21="Media",'Riesgos de Gestión'!$AK$21="Menor"),CONCATENATE("R4C",'Riesgos de Gestión'!$V$21),"")</f>
        <v/>
      </c>
      <c r="R29" s="51" t="str">
        <f>IF(AND('Riesgos de Gestión'!$AI$22="Media",'Riesgos de Gestión'!$AK$22="Menor"),CONCATENATE("R4C",'Riesgos de Gestión'!$V$22),"")</f>
        <v/>
      </c>
      <c r="S29" s="51" t="str">
        <f>IF(AND('Riesgos de Gestión'!$AI$23="Media",'Riesgos de Gestión'!$AK$23="Menor"),CONCATENATE("R4C",'Riesgos de Gestión'!$V$23),"")</f>
        <v/>
      </c>
      <c r="T29" s="51" t="str">
        <f>IF(AND('Riesgos de Gestión'!$AI$24="Media",'Riesgos de Gestión'!$AK$24="Menor"),CONCATENATE("R4C",'Riesgos de Gestión'!$V$24),"")</f>
        <v/>
      </c>
      <c r="U29" s="52" t="str">
        <f>IF(AND('Riesgos de Gestión'!$AI$25="Media",'Riesgos de Gestión'!$AK$25="Menor"),CONCATENATE("R4C",'Riesgos de Gestión'!$V$25),"")</f>
        <v/>
      </c>
      <c r="V29" s="50" t="str">
        <f>IF(AND('Riesgos de Gestión'!$AI$20="Media",'Riesgos de Gestión'!$AK$20="Moderado"),CONCATENATE("R4C",'Riesgos de Gestión'!$V$20),"")</f>
        <v/>
      </c>
      <c r="W29" s="51" t="str">
        <f>IF(AND('Riesgos de Gestión'!$AI$21="Media",'Riesgos de Gestión'!$AK$21="Moderado"),CONCATENATE("R4C",'Riesgos de Gestión'!$V$21),"")</f>
        <v/>
      </c>
      <c r="X29" s="51" t="str">
        <f>IF(AND('Riesgos de Gestión'!$AI$22="Media",'Riesgos de Gestión'!$AK$22="Moderado"),CONCATENATE("R4C",'Riesgos de Gestión'!$V$22),"")</f>
        <v/>
      </c>
      <c r="Y29" s="51" t="str">
        <f>IF(AND('Riesgos de Gestión'!$AI$23="Media",'Riesgos de Gestión'!$AK$23="Moderado"),CONCATENATE("R4C",'Riesgos de Gestión'!$V$23),"")</f>
        <v/>
      </c>
      <c r="Z29" s="51" t="str">
        <f>IF(AND('Riesgos de Gestión'!$AI$24="Media",'Riesgos de Gestión'!$AK$24="Moderado"),CONCATENATE("R4C",'Riesgos de Gestión'!$V$24),"")</f>
        <v/>
      </c>
      <c r="AA29" s="52" t="str">
        <f>IF(AND('Riesgos de Gestión'!$AI$25="Media",'Riesgos de Gestión'!$AK$25="Moderado"),CONCATENATE("R4C",'Riesgos de Gestión'!$V$25),"")</f>
        <v/>
      </c>
      <c r="AB29" s="35" t="str">
        <f>IF(AND('Riesgos de Gestión'!$AI$20="Media",'Riesgos de Gestión'!$AK$20="Mayor"),CONCATENATE("R4C",'Riesgos de Gestión'!$V$20),"")</f>
        <v/>
      </c>
      <c r="AC29" s="36" t="str">
        <f>IF(AND('Riesgos de Gestión'!$AI$21="Media",'Riesgos de Gestión'!$AK$21="Mayor"),CONCATENATE("R4C",'Riesgos de Gestión'!$V$21),"")</f>
        <v/>
      </c>
      <c r="AD29" s="36" t="str">
        <f>IF(AND('Riesgos de Gestión'!$AI$22="Media",'Riesgos de Gestión'!$AK$22="Mayor"),CONCATENATE("R4C",'Riesgos de Gestión'!$V$22),"")</f>
        <v/>
      </c>
      <c r="AE29" s="36" t="str">
        <f>IF(AND('Riesgos de Gestión'!$AI$23="Media",'Riesgos de Gestión'!$AK$23="Mayor"),CONCATENATE("R4C",'Riesgos de Gestión'!$V$23),"")</f>
        <v/>
      </c>
      <c r="AF29" s="36" t="str">
        <f>IF(AND('Riesgos de Gestión'!$AI$24="Media",'Riesgos de Gestión'!$AK$24="Mayor"),CONCATENATE("R4C",'Riesgos de Gestión'!$V$24),"")</f>
        <v/>
      </c>
      <c r="AG29" s="37" t="str">
        <f>IF(AND('Riesgos de Gestión'!$AI$25="Media",'Riesgos de Gestión'!$AK$25="Mayor"),CONCATENATE("R4C",'Riesgos de Gestión'!$V$25),"")</f>
        <v/>
      </c>
      <c r="AH29" s="38" t="str">
        <f>IF(AND('Riesgos de Gestión'!$AI$20="Media",'Riesgos de Gestión'!$AK$20="Catastrófico"),CONCATENATE("R4C",'Riesgos de Gestión'!$V$20),"")</f>
        <v/>
      </c>
      <c r="AI29" s="39" t="str">
        <f>IF(AND('Riesgos de Gestión'!$AI$21="Media",'Riesgos de Gestión'!$AK$21="Catastrófico"),CONCATENATE("R4C",'Riesgos de Gestión'!$V$21),"")</f>
        <v/>
      </c>
      <c r="AJ29" s="39" t="str">
        <f>IF(AND('Riesgos de Gestión'!$AI$22="Media",'Riesgos de Gestión'!$AK$22="Catastrófico"),CONCATENATE("R4C",'Riesgos de Gestión'!$V$22),"")</f>
        <v/>
      </c>
      <c r="AK29" s="39" t="str">
        <f>IF(AND('Riesgos de Gestión'!$AI$23="Media",'Riesgos de Gestión'!$AK$23="Catastrófico"),CONCATENATE("R4C",'Riesgos de Gestión'!$V$23),"")</f>
        <v/>
      </c>
      <c r="AL29" s="39" t="str">
        <f>IF(AND('Riesgos de Gestión'!$AI$24="Media",'Riesgos de Gestión'!$AK$24="Catastrófico"),CONCATENATE("R4C",'Riesgos de Gestión'!$V$24),"")</f>
        <v/>
      </c>
      <c r="AM29" s="40" t="str">
        <f>IF(AND('Riesgos de Gestión'!$AI$25="Media",'Riesgos de Gestión'!$AK$25="Catastrófico"),CONCATENATE("R4C",'Riesgos de Gestión'!$V$25),"")</f>
        <v/>
      </c>
      <c r="AN29" s="66"/>
      <c r="AO29" s="654"/>
      <c r="AP29" s="655"/>
      <c r="AQ29" s="655"/>
      <c r="AR29" s="655"/>
      <c r="AS29" s="655"/>
      <c r="AT29" s="656"/>
      <c r="AU29" s="66"/>
      <c r="AV29" s="66"/>
      <c r="AW29" s="66"/>
      <c r="AX29" s="66"/>
      <c r="AY29" s="66"/>
      <c r="AZ29" s="66"/>
      <c r="BA29" s="66"/>
      <c r="BB29" s="66"/>
      <c r="BC29" s="66"/>
      <c r="BD29" s="66"/>
      <c r="BE29" s="66"/>
      <c r="BF29" s="66"/>
      <c r="BG29" s="66"/>
      <c r="BH29" s="66"/>
      <c r="BI29" s="66"/>
      <c r="BJ29" s="66"/>
      <c r="BK29" s="66"/>
      <c r="BL29" s="66"/>
      <c r="BM29" s="66"/>
      <c r="BN29" s="66"/>
      <c r="BO29" s="66"/>
      <c r="BP29" s="66"/>
      <c r="BQ29" s="66"/>
      <c r="BR29" s="66"/>
      <c r="BS29" s="66"/>
      <c r="BT29" s="66"/>
      <c r="BU29" s="66"/>
      <c r="BV29" s="66"/>
      <c r="BW29" s="66"/>
      <c r="BX29" s="66"/>
    </row>
    <row r="30" spans="1:76" ht="15" customHeight="1" x14ac:dyDescent="0.25">
      <c r="A30" s="66"/>
      <c r="B30" s="526"/>
      <c r="C30" s="526"/>
      <c r="D30" s="527"/>
      <c r="E30" s="625"/>
      <c r="F30" s="624"/>
      <c r="G30" s="624"/>
      <c r="H30" s="624"/>
      <c r="I30" s="640"/>
      <c r="J30" s="50" t="str">
        <f>IF(AND('Riesgos de Gestión'!$AI$26="Media",'Riesgos de Gestión'!$AK$26="Leve"),CONCATENATE("R5C",'Riesgos de Gestión'!$V$26),"")</f>
        <v/>
      </c>
      <c r="K30" s="51" t="str">
        <f>IF(AND('Riesgos de Gestión'!$AI$27="Media",'Riesgos de Gestión'!$AK$27="Leve"),CONCATENATE("R5C",'Riesgos de Gestión'!$V$27),"")</f>
        <v/>
      </c>
      <c r="L30" s="51" t="str">
        <f>IF(AND('Riesgos de Gestión'!$AI$28="Media",'Riesgos de Gestión'!$AK$28="Leve"),CONCATENATE("R5C",'Riesgos de Gestión'!$V$28),"")</f>
        <v/>
      </c>
      <c r="M30" s="51" t="str">
        <f>IF(AND('Riesgos de Gestión'!$AI$29="Media",'Riesgos de Gestión'!$AK$29="Leve"),CONCATENATE("R5C",'Riesgos de Gestión'!$V$29),"")</f>
        <v/>
      </c>
      <c r="N30" s="51" t="str">
        <f>IF(AND('Riesgos de Gestión'!$AI$30="Media",'Riesgos de Gestión'!$AK$30="Leve"),CONCATENATE("R5C",'Riesgos de Gestión'!$V$30),"")</f>
        <v/>
      </c>
      <c r="O30" s="52" t="str">
        <f>IF(AND('Riesgos de Gestión'!$AI$31="Media",'Riesgos de Gestión'!$AK$31="Leve"),CONCATENATE("R5C",'Riesgos de Gestión'!$V$31),"")</f>
        <v/>
      </c>
      <c r="P30" s="50" t="str">
        <f>IF(AND('Riesgos de Gestión'!$AI$26="Media",'Riesgos de Gestión'!$AK$26="Menor"),CONCATENATE("R5C",'Riesgos de Gestión'!$V$26),"")</f>
        <v/>
      </c>
      <c r="Q30" s="51" t="str">
        <f>IF(AND('Riesgos de Gestión'!$AI$27="Media",'Riesgos de Gestión'!$AK$27="Menor"),CONCATENATE("R5C",'Riesgos de Gestión'!$V$27),"")</f>
        <v/>
      </c>
      <c r="R30" s="51" t="str">
        <f>IF(AND('Riesgos de Gestión'!$AI$28="Media",'Riesgos de Gestión'!$AK$28="Menor"),CONCATENATE("R5C",'Riesgos de Gestión'!$V$28),"")</f>
        <v/>
      </c>
      <c r="S30" s="51" t="str">
        <f>IF(AND('Riesgos de Gestión'!$AI$29="Media",'Riesgos de Gestión'!$AK$29="Menor"),CONCATENATE("R5C",'Riesgos de Gestión'!$V$29),"")</f>
        <v/>
      </c>
      <c r="T30" s="51" t="str">
        <f>IF(AND('Riesgos de Gestión'!$AI$30="Media",'Riesgos de Gestión'!$AK$30="Menor"),CONCATENATE("R5C",'Riesgos de Gestión'!$V$30),"")</f>
        <v/>
      </c>
      <c r="U30" s="52" t="str">
        <f>IF(AND('Riesgos de Gestión'!$AI$31="Media",'Riesgos de Gestión'!$AK$31="Menor"),CONCATENATE("R5C",'Riesgos de Gestión'!$V$31),"")</f>
        <v/>
      </c>
      <c r="V30" s="50" t="str">
        <f>IF(AND('Riesgos de Gestión'!$AI$26="Media",'Riesgos de Gestión'!$AK$26="Moderado"),CONCATENATE("R5C",'Riesgos de Gestión'!$V$26),"")</f>
        <v/>
      </c>
      <c r="W30" s="51" t="str">
        <f>IF(AND('Riesgos de Gestión'!$AI$27="Media",'Riesgos de Gestión'!$AK$27="Moderado"),CONCATENATE("R5C",'Riesgos de Gestión'!$V$27),"")</f>
        <v/>
      </c>
      <c r="X30" s="51" t="str">
        <f>IF(AND('Riesgos de Gestión'!$AI$28="Media",'Riesgos de Gestión'!$AK$28="Moderado"),CONCATENATE("R5C",'Riesgos de Gestión'!$V$28),"")</f>
        <v/>
      </c>
      <c r="Y30" s="51" t="str">
        <f>IF(AND('Riesgos de Gestión'!$AI$29="Media",'Riesgos de Gestión'!$AK$29="Moderado"),CONCATENATE("R5C",'Riesgos de Gestión'!$V$29),"")</f>
        <v/>
      </c>
      <c r="Z30" s="51" t="str">
        <f>IF(AND('Riesgos de Gestión'!$AI$30="Media",'Riesgos de Gestión'!$AK$30="Moderado"),CONCATENATE("R5C",'Riesgos de Gestión'!$V$30),"")</f>
        <v/>
      </c>
      <c r="AA30" s="52" t="str">
        <f>IF(AND('Riesgos de Gestión'!$AI$31="Media",'Riesgos de Gestión'!$AK$31="Moderado"),CONCATENATE("R5C",'Riesgos de Gestión'!$V$31),"")</f>
        <v/>
      </c>
      <c r="AB30" s="35" t="str">
        <f>IF(AND('Riesgos de Gestión'!$AI$26="Media",'Riesgos de Gestión'!$AK$26="Mayor"),CONCATENATE("R5C",'Riesgos de Gestión'!$V$26),"")</f>
        <v/>
      </c>
      <c r="AC30" s="36" t="str">
        <f>IF(AND('Riesgos de Gestión'!$AI$27="Media",'Riesgos de Gestión'!$AK$27="Mayor"),CONCATENATE("R5C",'Riesgos de Gestión'!$V$27),"")</f>
        <v/>
      </c>
      <c r="AD30" s="36" t="str">
        <f>IF(AND('Riesgos de Gestión'!$AI$28="Media",'Riesgos de Gestión'!$AK$28="Mayor"),CONCATENATE("R5C",'Riesgos de Gestión'!$V$28),"")</f>
        <v/>
      </c>
      <c r="AE30" s="36" t="str">
        <f>IF(AND('Riesgos de Gestión'!$AI$29="Media",'Riesgos de Gestión'!$AK$29="Mayor"),CONCATENATE("R5C",'Riesgos de Gestión'!$V$29),"")</f>
        <v/>
      </c>
      <c r="AF30" s="36" t="str">
        <f>IF(AND('Riesgos de Gestión'!$AI$30="Media",'Riesgos de Gestión'!$AK$30="Mayor"),CONCATENATE("R5C",'Riesgos de Gestión'!$V$30),"")</f>
        <v/>
      </c>
      <c r="AG30" s="37" t="str">
        <f>IF(AND('Riesgos de Gestión'!$AI$31="Media",'Riesgos de Gestión'!$AK$31="Mayor"),CONCATENATE("R5C",'Riesgos de Gestión'!$V$31),"")</f>
        <v/>
      </c>
      <c r="AH30" s="38" t="str">
        <f>IF(AND('Riesgos de Gestión'!$AI$26="Media",'Riesgos de Gestión'!$AK$26="Catastrófico"),CONCATENATE("R5C",'Riesgos de Gestión'!$V$26),"")</f>
        <v/>
      </c>
      <c r="AI30" s="39" t="str">
        <f>IF(AND('Riesgos de Gestión'!$AI$27="Media",'Riesgos de Gestión'!$AK$27="Catastrófico"),CONCATENATE("R5C",'Riesgos de Gestión'!$V$27),"")</f>
        <v/>
      </c>
      <c r="AJ30" s="39" t="str">
        <f>IF(AND('Riesgos de Gestión'!$AI$28="Media",'Riesgos de Gestión'!$AK$28="Catastrófico"),CONCATENATE("R5C",'Riesgos de Gestión'!$V$28),"")</f>
        <v/>
      </c>
      <c r="AK30" s="39" t="str">
        <f>IF(AND('Riesgos de Gestión'!$AI$29="Media",'Riesgos de Gestión'!$AK$29="Catastrófico"),CONCATENATE("R5C",'Riesgos de Gestión'!$V$29),"")</f>
        <v/>
      </c>
      <c r="AL30" s="39" t="str">
        <f>IF(AND('Riesgos de Gestión'!$AI$30="Media",'Riesgos de Gestión'!$AK$30="Catastrófico"),CONCATENATE("R5C",'Riesgos de Gestión'!$V$30),"")</f>
        <v/>
      </c>
      <c r="AM30" s="40" t="str">
        <f>IF(AND('Riesgos de Gestión'!$AI$31="Media",'Riesgos de Gestión'!$AK$31="Catastrófico"),CONCATENATE("R5C",'Riesgos de Gestión'!$V$31),"")</f>
        <v/>
      </c>
      <c r="AN30" s="66"/>
      <c r="AO30" s="654"/>
      <c r="AP30" s="655"/>
      <c r="AQ30" s="655"/>
      <c r="AR30" s="655"/>
      <c r="AS30" s="655"/>
      <c r="AT30" s="656"/>
      <c r="AU30" s="66"/>
      <c r="AV30" s="66"/>
      <c r="AW30" s="66"/>
      <c r="AX30" s="66"/>
      <c r="AY30" s="66"/>
      <c r="AZ30" s="66"/>
      <c r="BA30" s="66"/>
      <c r="BB30" s="66"/>
      <c r="BC30" s="66"/>
      <c r="BD30" s="66"/>
      <c r="BE30" s="66"/>
      <c r="BF30" s="66"/>
      <c r="BG30" s="66"/>
      <c r="BH30" s="66"/>
      <c r="BI30" s="66"/>
      <c r="BJ30" s="66"/>
      <c r="BK30" s="66"/>
      <c r="BL30" s="66"/>
      <c r="BM30" s="66"/>
      <c r="BN30" s="66"/>
      <c r="BO30" s="66"/>
      <c r="BP30" s="66"/>
      <c r="BQ30" s="66"/>
      <c r="BR30" s="66"/>
      <c r="BS30" s="66"/>
      <c r="BT30" s="66"/>
      <c r="BU30" s="66"/>
      <c r="BV30" s="66"/>
      <c r="BW30" s="66"/>
      <c r="BX30" s="66"/>
    </row>
    <row r="31" spans="1:76" ht="15" customHeight="1" x14ac:dyDescent="0.25">
      <c r="A31" s="66"/>
      <c r="B31" s="526"/>
      <c r="C31" s="526"/>
      <c r="D31" s="527"/>
      <c r="E31" s="625"/>
      <c r="F31" s="624"/>
      <c r="G31" s="624"/>
      <c r="H31" s="624"/>
      <c r="I31" s="640"/>
      <c r="J31" s="50" t="str">
        <f>IF(AND('Riesgos de Gestión'!$AI$32="Media",'Riesgos de Gestión'!$AK$32="Leve"),CONCATENATE("R6C",'Riesgos de Gestión'!$V$32),"")</f>
        <v/>
      </c>
      <c r="K31" s="51" t="str">
        <f>IF(AND('Riesgos de Gestión'!$AI$33="Media",'Riesgos de Gestión'!$AK$33="Leve"),CONCATENATE("R6C",'Riesgos de Gestión'!$V$33),"")</f>
        <v/>
      </c>
      <c r="L31" s="51" t="str">
        <f>IF(AND('Riesgos de Gestión'!$AI$34="Media",'Riesgos de Gestión'!$AK$34="Leve"),CONCATENATE("R6C",'Riesgos de Gestión'!$V$34),"")</f>
        <v/>
      </c>
      <c r="M31" s="51" t="str">
        <f>IF(AND('Riesgos de Gestión'!$AI$35="Media",'Riesgos de Gestión'!$AK$35="Leve"),CONCATENATE("R6C",'Riesgos de Gestión'!$V$35),"")</f>
        <v/>
      </c>
      <c r="N31" s="51" t="str">
        <f>IF(AND('Riesgos de Gestión'!$AI$36="Media",'Riesgos de Gestión'!$AK$36="Leve"),CONCATENATE("R6C",'Riesgos de Gestión'!$V$36),"")</f>
        <v/>
      </c>
      <c r="O31" s="52" t="str">
        <f>IF(AND('Riesgos de Gestión'!$AI$37="Media",'Riesgos de Gestión'!$AK$37="Leve"),CONCATENATE("R6C",'Riesgos de Gestión'!$V$37),"")</f>
        <v/>
      </c>
      <c r="P31" s="50" t="str">
        <f>IF(AND('Riesgos de Gestión'!$AI$32="Media",'Riesgos de Gestión'!$AK$32="Menor"),CONCATENATE("R6C",'Riesgos de Gestión'!$V$32),"")</f>
        <v/>
      </c>
      <c r="Q31" s="51" t="str">
        <f>IF(AND('Riesgos de Gestión'!$AI$33="Media",'Riesgos de Gestión'!$AK$33="Menor"),CONCATENATE("R6C",'Riesgos de Gestión'!$V$33),"")</f>
        <v/>
      </c>
      <c r="R31" s="51" t="str">
        <f>IF(AND('Riesgos de Gestión'!$AI$34="Media",'Riesgos de Gestión'!$AK$34="Menor"),CONCATENATE("R6C",'Riesgos de Gestión'!$V$34),"")</f>
        <v/>
      </c>
      <c r="S31" s="51" t="str">
        <f>IF(AND('Riesgos de Gestión'!$AI$35="Media",'Riesgos de Gestión'!$AK$35="Menor"),CONCATENATE("R6C",'Riesgos de Gestión'!$V$35),"")</f>
        <v/>
      </c>
      <c r="T31" s="51" t="str">
        <f>IF(AND('Riesgos de Gestión'!$AI$36="Media",'Riesgos de Gestión'!$AK$36="Menor"),CONCATENATE("R6C",'Riesgos de Gestión'!$V$36),"")</f>
        <v/>
      </c>
      <c r="U31" s="52" t="str">
        <f>IF(AND('Riesgos de Gestión'!$AI$37="Media",'Riesgos de Gestión'!$AK$37="Menor"),CONCATENATE("R6C",'Riesgos de Gestión'!$V$37),"")</f>
        <v/>
      </c>
      <c r="V31" s="50" t="str">
        <f>IF(AND('Riesgos de Gestión'!$AI$32="Media",'Riesgos de Gestión'!$AK$32="Moderado"),CONCATENATE("R6C",'Riesgos de Gestión'!$V$32),"")</f>
        <v/>
      </c>
      <c r="W31" s="51" t="str">
        <f>IF(AND('Riesgos de Gestión'!$AI$33="Media",'Riesgos de Gestión'!$AK$33="Moderado"),CONCATENATE("R6C",'Riesgos de Gestión'!$V$33),"")</f>
        <v/>
      </c>
      <c r="X31" s="51" t="str">
        <f>IF(AND('Riesgos de Gestión'!$AI$34="Media",'Riesgos de Gestión'!$AK$34="Moderado"),CONCATENATE("R6C",'Riesgos de Gestión'!$V$34),"")</f>
        <v/>
      </c>
      <c r="Y31" s="51" t="str">
        <f>IF(AND('Riesgos de Gestión'!$AI$35="Media",'Riesgos de Gestión'!$AK$35="Moderado"),CONCATENATE("R6C",'Riesgos de Gestión'!$V$35),"")</f>
        <v/>
      </c>
      <c r="Z31" s="51" t="str">
        <f>IF(AND('Riesgos de Gestión'!$AI$36="Media",'Riesgos de Gestión'!$AK$36="Moderado"),CONCATENATE("R6C",'Riesgos de Gestión'!$V$36),"")</f>
        <v/>
      </c>
      <c r="AA31" s="52" t="str">
        <f>IF(AND('Riesgos de Gestión'!$AI$37="Media",'Riesgos de Gestión'!$AK$37="Moderado"),CONCATENATE("R6C",'Riesgos de Gestión'!$V$37),"")</f>
        <v/>
      </c>
      <c r="AB31" s="35" t="str">
        <f>IF(AND('Riesgos de Gestión'!$AI$32="Media",'Riesgos de Gestión'!$AK$32="Mayor"),CONCATENATE("R6C",'Riesgos de Gestión'!$V$32),"")</f>
        <v/>
      </c>
      <c r="AC31" s="36" t="str">
        <f>IF(AND('Riesgos de Gestión'!$AI$33="Media",'Riesgos de Gestión'!$AK$33="Mayor"),CONCATENATE("R6C",'Riesgos de Gestión'!$V$33),"")</f>
        <v/>
      </c>
      <c r="AD31" s="36" t="str">
        <f>IF(AND('Riesgos de Gestión'!$AI$34="Media",'Riesgos de Gestión'!$AK$34="Mayor"),CONCATENATE("R6C",'Riesgos de Gestión'!$V$34),"")</f>
        <v/>
      </c>
      <c r="AE31" s="36" t="str">
        <f>IF(AND('Riesgos de Gestión'!$AI$35="Media",'Riesgos de Gestión'!$AK$35="Mayor"),CONCATENATE("R6C",'Riesgos de Gestión'!$V$35),"")</f>
        <v/>
      </c>
      <c r="AF31" s="36" t="str">
        <f>IF(AND('Riesgos de Gestión'!$AI$36="Media",'Riesgos de Gestión'!$AK$36="Mayor"),CONCATENATE("R6C",'Riesgos de Gestión'!$V$36),"")</f>
        <v/>
      </c>
      <c r="AG31" s="37" t="str">
        <f>IF(AND('Riesgos de Gestión'!$AI$37="Media",'Riesgos de Gestión'!$AK$37="Mayor"),CONCATENATE("R6C",'Riesgos de Gestión'!$V$37),"")</f>
        <v/>
      </c>
      <c r="AH31" s="38" t="str">
        <f>IF(AND('Riesgos de Gestión'!$AI$32="Media",'Riesgos de Gestión'!$AK$32="Catastrófico"),CONCATENATE("R6C",'Riesgos de Gestión'!$V$32),"")</f>
        <v/>
      </c>
      <c r="AI31" s="39" t="str">
        <f>IF(AND('Riesgos de Gestión'!$AI$33="Media",'Riesgos de Gestión'!$AK$33="Catastrófico"),CONCATENATE("R6C",'Riesgos de Gestión'!$V$33),"")</f>
        <v/>
      </c>
      <c r="AJ31" s="39" t="str">
        <f>IF(AND('Riesgos de Gestión'!$AI$34="Media",'Riesgos de Gestión'!$AK$34="Catastrófico"),CONCATENATE("R6C",'Riesgos de Gestión'!$V$34),"")</f>
        <v/>
      </c>
      <c r="AK31" s="39" t="str">
        <f>IF(AND('Riesgos de Gestión'!$AI$35="Media",'Riesgos de Gestión'!$AK$35="Catastrófico"),CONCATENATE("R6C",'Riesgos de Gestión'!$V$35),"")</f>
        <v/>
      </c>
      <c r="AL31" s="39" t="str">
        <f>IF(AND('Riesgos de Gestión'!$AI$36="Media",'Riesgos de Gestión'!$AK$36="Catastrófico"),CONCATENATE("R6C",'Riesgos de Gestión'!$V$36),"")</f>
        <v/>
      </c>
      <c r="AM31" s="40" t="str">
        <f>IF(AND('Riesgos de Gestión'!$AI$37="Media",'Riesgos de Gestión'!$AK$37="Catastrófico"),CONCATENATE("R6C",'Riesgos de Gestión'!$V$37),"")</f>
        <v/>
      </c>
      <c r="AN31" s="66"/>
      <c r="AO31" s="654"/>
      <c r="AP31" s="655"/>
      <c r="AQ31" s="655"/>
      <c r="AR31" s="655"/>
      <c r="AS31" s="655"/>
      <c r="AT31" s="656"/>
      <c r="AU31" s="66"/>
      <c r="AV31" s="66"/>
      <c r="AW31" s="66"/>
      <c r="AX31" s="66"/>
      <c r="AY31" s="66"/>
      <c r="AZ31" s="66"/>
      <c r="BA31" s="66"/>
      <c r="BB31" s="66"/>
      <c r="BC31" s="66"/>
      <c r="BD31" s="66"/>
      <c r="BE31" s="66"/>
      <c r="BF31" s="66"/>
      <c r="BG31" s="66"/>
      <c r="BH31" s="66"/>
      <c r="BI31" s="66"/>
      <c r="BJ31" s="66"/>
      <c r="BK31" s="66"/>
      <c r="BL31" s="66"/>
      <c r="BM31" s="66"/>
      <c r="BN31" s="66"/>
      <c r="BO31" s="66"/>
      <c r="BP31" s="66"/>
      <c r="BQ31" s="66"/>
      <c r="BR31" s="66"/>
      <c r="BS31" s="66"/>
      <c r="BT31" s="66"/>
      <c r="BU31" s="66"/>
      <c r="BV31" s="66"/>
      <c r="BW31" s="66"/>
      <c r="BX31" s="66"/>
    </row>
    <row r="32" spans="1:76" ht="15" customHeight="1" x14ac:dyDescent="0.25">
      <c r="A32" s="66"/>
      <c r="B32" s="526"/>
      <c r="C32" s="526"/>
      <c r="D32" s="527"/>
      <c r="E32" s="625"/>
      <c r="F32" s="624"/>
      <c r="G32" s="624"/>
      <c r="H32" s="624"/>
      <c r="I32" s="640"/>
      <c r="J32" s="50" t="str">
        <f>IF(AND('Riesgos de Gestión'!$AI$38="Media",'Riesgos de Gestión'!$AK$38="Leve"),CONCATENATE("R7C",'Riesgos de Gestión'!$V$38),"")</f>
        <v/>
      </c>
      <c r="K32" s="51" t="str">
        <f>IF(AND('Riesgos de Gestión'!$AI$39="Media",'Riesgos de Gestión'!$AK$39="Leve"),CONCATENATE("R7C",'Riesgos de Gestión'!$V$39),"")</f>
        <v/>
      </c>
      <c r="L32" s="51" t="str">
        <f>IF(AND('Riesgos de Gestión'!$AI$40="Media",'Riesgos de Gestión'!$AK$40="Leve"),CONCATENATE("R7C",'Riesgos de Gestión'!$V$40),"")</f>
        <v/>
      </c>
      <c r="M32" s="51" t="str">
        <f>IF(AND('Riesgos de Gestión'!$AI$41="Media",'Riesgos de Gestión'!$AK$41="Leve"),CONCATENATE("R7C",'Riesgos de Gestión'!$V$41),"")</f>
        <v/>
      </c>
      <c r="N32" s="51" t="str">
        <f>IF(AND('Riesgos de Gestión'!$AI$42="Media",'Riesgos de Gestión'!$AK$42="Leve"),CONCATENATE("R7C",'Riesgos de Gestión'!$V$42),"")</f>
        <v/>
      </c>
      <c r="O32" s="52" t="str">
        <f>IF(AND('Riesgos de Gestión'!$AI$43="Media",'Riesgos de Gestión'!$AK$43="Leve"),CONCATENATE("R7C",'Riesgos de Gestión'!$V$43),"")</f>
        <v/>
      </c>
      <c r="P32" s="50" t="str">
        <f>IF(AND('Riesgos de Gestión'!$AI$38="Media",'Riesgos de Gestión'!$AK$38="Menor"),CONCATENATE("R7C",'Riesgos de Gestión'!$V$38),"")</f>
        <v/>
      </c>
      <c r="Q32" s="51" t="str">
        <f>IF(AND('Riesgos de Gestión'!$AI$39="Media",'Riesgos de Gestión'!$AK$39="Menor"),CONCATENATE("R7C",'Riesgos de Gestión'!$V$39),"")</f>
        <v/>
      </c>
      <c r="R32" s="51" t="str">
        <f>IF(AND('Riesgos de Gestión'!$AI$40="Media",'Riesgos de Gestión'!$AK$40="Menor"),CONCATENATE("R7C",'Riesgos de Gestión'!$V$40),"")</f>
        <v/>
      </c>
      <c r="S32" s="51" t="str">
        <f>IF(AND('Riesgos de Gestión'!$AI$41="Media",'Riesgos de Gestión'!$AK$41="Menor"),CONCATENATE("R7C",'Riesgos de Gestión'!$V$41),"")</f>
        <v/>
      </c>
      <c r="T32" s="51" t="str">
        <f>IF(AND('Riesgos de Gestión'!$AI$42="Media",'Riesgos de Gestión'!$AK$42="Menor"),CONCATENATE("R7C",'Riesgos de Gestión'!$V$42),"")</f>
        <v/>
      </c>
      <c r="U32" s="52" t="str">
        <f>IF(AND('Riesgos de Gestión'!$AI$43="Media",'Riesgos de Gestión'!$AK$43="Menor"),CONCATENATE("R7C",'Riesgos de Gestión'!$V$43),"")</f>
        <v/>
      </c>
      <c r="V32" s="50" t="str">
        <f>IF(AND('Riesgos de Gestión'!$AI$38="Media",'Riesgos de Gestión'!$AK$38="Moderado"),CONCATENATE("R7C",'Riesgos de Gestión'!$V$38),"")</f>
        <v/>
      </c>
      <c r="W32" s="51" t="str">
        <f>IF(AND('Riesgos de Gestión'!$AI$39="Media",'Riesgos de Gestión'!$AK$39="Moderado"),CONCATENATE("R7C",'Riesgos de Gestión'!$V$39),"")</f>
        <v/>
      </c>
      <c r="X32" s="51" t="str">
        <f>IF(AND('Riesgos de Gestión'!$AI$40="Media",'Riesgos de Gestión'!$AK$40="Moderado"),CONCATENATE("R7C",'Riesgos de Gestión'!$V$40),"")</f>
        <v/>
      </c>
      <c r="Y32" s="51" t="str">
        <f>IF(AND('Riesgos de Gestión'!$AI$41="Media",'Riesgos de Gestión'!$AK$41="Moderado"),CONCATENATE("R7C",'Riesgos de Gestión'!$V$41),"")</f>
        <v/>
      </c>
      <c r="Z32" s="51" t="str">
        <f>IF(AND('Riesgos de Gestión'!$AI$42="Media",'Riesgos de Gestión'!$AK$42="Moderado"),CONCATENATE("R7C",'Riesgos de Gestión'!$V$42),"")</f>
        <v/>
      </c>
      <c r="AA32" s="52" t="str">
        <f>IF(AND('Riesgos de Gestión'!$AI$43="Media",'Riesgos de Gestión'!$AK$43="Moderado"),CONCATENATE("R7C",'Riesgos de Gestión'!$V$43),"")</f>
        <v/>
      </c>
      <c r="AB32" s="35" t="str">
        <f>IF(AND('Riesgos de Gestión'!$AI$38="Media",'Riesgos de Gestión'!$AK$38="Mayor"),CONCATENATE("R7C",'Riesgos de Gestión'!$V$38),"")</f>
        <v/>
      </c>
      <c r="AC32" s="36" t="str">
        <f>IF(AND('Riesgos de Gestión'!$AI$39="Media",'Riesgos de Gestión'!$AK$39="Mayor"),CONCATENATE("R7C",'Riesgos de Gestión'!$V$39),"")</f>
        <v/>
      </c>
      <c r="AD32" s="36" t="str">
        <f>IF(AND('Riesgos de Gestión'!$AI$40="Media",'Riesgos de Gestión'!$AK$40="Mayor"),CONCATENATE("R7C",'Riesgos de Gestión'!$V$40),"")</f>
        <v/>
      </c>
      <c r="AE32" s="36" t="str">
        <f>IF(AND('Riesgos de Gestión'!$AI$41="Media",'Riesgos de Gestión'!$AK$41="Mayor"),CONCATENATE("R7C",'Riesgos de Gestión'!$V$41),"")</f>
        <v/>
      </c>
      <c r="AF32" s="36" t="str">
        <f>IF(AND('Riesgos de Gestión'!$AI$42="Media",'Riesgos de Gestión'!$AK$42="Mayor"),CONCATENATE("R7C",'Riesgos de Gestión'!$V$42),"")</f>
        <v/>
      </c>
      <c r="AG32" s="37" t="str">
        <f>IF(AND('Riesgos de Gestión'!$AI$43="Media",'Riesgos de Gestión'!$AK$43="Mayor"),CONCATENATE("R7C",'Riesgos de Gestión'!$V$43),"")</f>
        <v/>
      </c>
      <c r="AH32" s="38" t="str">
        <f>IF(AND('Riesgos de Gestión'!$AI$38="Media",'Riesgos de Gestión'!$AK$38="Catastrófico"),CONCATENATE("R7C",'Riesgos de Gestión'!$V$38),"")</f>
        <v/>
      </c>
      <c r="AI32" s="39" t="str">
        <f>IF(AND('Riesgos de Gestión'!$AI$39="Media",'Riesgos de Gestión'!$AK$39="Catastrófico"),CONCATENATE("R7C",'Riesgos de Gestión'!$V$39),"")</f>
        <v/>
      </c>
      <c r="AJ32" s="39" t="str">
        <f>IF(AND('Riesgos de Gestión'!$AI$40="Media",'Riesgos de Gestión'!$AK$40="Catastrófico"),CONCATENATE("R7C",'Riesgos de Gestión'!$V$40),"")</f>
        <v/>
      </c>
      <c r="AK32" s="39" t="str">
        <f>IF(AND('Riesgos de Gestión'!$AI$41="Media",'Riesgos de Gestión'!$AK$41="Catastrófico"),CONCATENATE("R7C",'Riesgos de Gestión'!$V$41),"")</f>
        <v/>
      </c>
      <c r="AL32" s="39" t="str">
        <f>IF(AND('Riesgos de Gestión'!$AI$42="Media",'Riesgos de Gestión'!$AK$42="Catastrófico"),CONCATENATE("R7C",'Riesgos de Gestión'!$V$42),"")</f>
        <v/>
      </c>
      <c r="AM32" s="40" t="str">
        <f>IF(AND('Riesgos de Gestión'!$AI$43="Media",'Riesgos de Gestión'!$AK$43="Catastrófico"),CONCATENATE("R7C",'Riesgos de Gestión'!$V$43),"")</f>
        <v/>
      </c>
      <c r="AN32" s="66"/>
      <c r="AO32" s="654"/>
      <c r="AP32" s="655"/>
      <c r="AQ32" s="655"/>
      <c r="AR32" s="655"/>
      <c r="AS32" s="655"/>
      <c r="AT32" s="656"/>
      <c r="AU32" s="66"/>
      <c r="AV32" s="66"/>
      <c r="AW32" s="66"/>
      <c r="AX32" s="66"/>
      <c r="AY32" s="66"/>
      <c r="AZ32" s="66"/>
      <c r="BA32" s="66"/>
      <c r="BB32" s="66"/>
      <c r="BC32" s="66"/>
      <c r="BD32" s="66"/>
      <c r="BE32" s="66"/>
      <c r="BF32" s="66"/>
      <c r="BG32" s="66"/>
      <c r="BH32" s="66"/>
      <c r="BI32" s="66"/>
      <c r="BJ32" s="66"/>
      <c r="BK32" s="66"/>
      <c r="BL32" s="66"/>
      <c r="BM32" s="66"/>
      <c r="BN32" s="66"/>
      <c r="BO32" s="66"/>
      <c r="BP32" s="66"/>
      <c r="BQ32" s="66"/>
      <c r="BR32" s="66"/>
      <c r="BS32" s="66"/>
      <c r="BT32" s="66"/>
      <c r="BU32" s="66"/>
      <c r="BV32" s="66"/>
      <c r="BW32" s="66"/>
      <c r="BX32" s="66"/>
    </row>
    <row r="33" spans="1:80" ht="15" customHeight="1" x14ac:dyDescent="0.25">
      <c r="A33" s="66"/>
      <c r="B33" s="526"/>
      <c r="C33" s="526"/>
      <c r="D33" s="527"/>
      <c r="E33" s="625"/>
      <c r="F33" s="624"/>
      <c r="G33" s="624"/>
      <c r="H33" s="624"/>
      <c r="I33" s="640"/>
      <c r="J33" s="50" t="str">
        <f>IF(AND('Riesgos de Gestión'!$AI$44="Media",'Riesgos de Gestión'!$AK$44="Leve"),CONCATENATE("R8C",'Riesgos de Gestión'!$V$44),"")</f>
        <v/>
      </c>
      <c r="K33" s="51" t="str">
        <f>IF(AND('Riesgos de Gestión'!$AI$45="Media",'Riesgos de Gestión'!$AK$45="Leve"),CONCATENATE("R8C",'Riesgos de Gestión'!$V$45),"")</f>
        <v/>
      </c>
      <c r="L33" s="51" t="str">
        <f>IF(AND('Riesgos de Gestión'!$AI$46="Media",'Riesgos de Gestión'!$AK$46="Leve"),CONCATENATE("R8C",'Riesgos de Gestión'!$V$46),"")</f>
        <v/>
      </c>
      <c r="M33" s="51" t="str">
        <f>IF(AND('Riesgos de Gestión'!$AI$47="Media",'Riesgos de Gestión'!$AK$47="Leve"),CONCATENATE("R8C",'Riesgos de Gestión'!$V$47),"")</f>
        <v/>
      </c>
      <c r="N33" s="51" t="str">
        <f>IF(AND('Riesgos de Gestión'!$AI$48="Media",'Riesgos de Gestión'!$AK$48="Leve"),CONCATENATE("R8C",'Riesgos de Gestión'!$V$48),"")</f>
        <v/>
      </c>
      <c r="O33" s="52" t="str">
        <f>IF(AND('Riesgos de Gestión'!$AI$49="Media",'Riesgos de Gestión'!$AK$49="Leve"),CONCATENATE("R8C",'Riesgos de Gestión'!$V$49),"")</f>
        <v/>
      </c>
      <c r="P33" s="50" t="str">
        <f>IF(AND('Riesgos de Gestión'!$AI$44="Media",'Riesgos de Gestión'!$AK$44="Menor"),CONCATENATE("R8C",'Riesgos de Gestión'!$V$44),"")</f>
        <v/>
      </c>
      <c r="Q33" s="51" t="str">
        <f>IF(AND('Riesgos de Gestión'!$AI$45="Media",'Riesgos de Gestión'!$AK$45="Menor"),CONCATENATE("R8C",'Riesgos de Gestión'!$V$45),"")</f>
        <v/>
      </c>
      <c r="R33" s="51" t="str">
        <f>IF(AND('Riesgos de Gestión'!$AI$46="Media",'Riesgos de Gestión'!$AK$46="Menor"),CONCATENATE("R8C",'Riesgos de Gestión'!$V$46),"")</f>
        <v/>
      </c>
      <c r="S33" s="51" t="str">
        <f>IF(AND('Riesgos de Gestión'!$AI$47="Media",'Riesgos de Gestión'!$AK$47="Menor"),CONCATENATE("R8C",'Riesgos de Gestión'!$V$47),"")</f>
        <v/>
      </c>
      <c r="T33" s="51" t="str">
        <f>IF(AND('Riesgos de Gestión'!$AI$48="Media",'Riesgos de Gestión'!$AK$48="Menor"),CONCATENATE("R8C",'Riesgos de Gestión'!$V$48),"")</f>
        <v/>
      </c>
      <c r="U33" s="52" t="str">
        <f>IF(AND('Riesgos de Gestión'!$AI$49="Media",'Riesgos de Gestión'!$AK$49="Menor"),CONCATENATE("R8C",'Riesgos de Gestión'!$V$49),"")</f>
        <v/>
      </c>
      <c r="V33" s="50" t="str">
        <f>IF(AND('Riesgos de Gestión'!$AI$44="Media",'Riesgos de Gestión'!$AK$44="Moderado"),CONCATENATE("R8C",'Riesgos de Gestión'!$V$44),"")</f>
        <v/>
      </c>
      <c r="W33" s="51" t="str">
        <f>IF(AND('Riesgos de Gestión'!$AI$45="Media",'Riesgos de Gestión'!$AK$45="Moderado"),CONCATENATE("R8C",'Riesgos de Gestión'!$V$45),"")</f>
        <v/>
      </c>
      <c r="X33" s="51" t="str">
        <f>IF(AND('Riesgos de Gestión'!$AI$46="Media",'Riesgos de Gestión'!$AK$46="Moderado"),CONCATENATE("R8C",'Riesgos de Gestión'!$V$46),"")</f>
        <v/>
      </c>
      <c r="Y33" s="51" t="str">
        <f>IF(AND('Riesgos de Gestión'!$AI$47="Media",'Riesgos de Gestión'!$AK$47="Moderado"),CONCATENATE("R8C",'Riesgos de Gestión'!$V$47),"")</f>
        <v/>
      </c>
      <c r="Z33" s="51" t="str">
        <f>IF(AND('Riesgos de Gestión'!$AI$48="Media",'Riesgos de Gestión'!$AK$48="Moderado"),CONCATENATE("R8C",'Riesgos de Gestión'!$V$48),"")</f>
        <v/>
      </c>
      <c r="AA33" s="52" t="str">
        <f>IF(AND('Riesgos de Gestión'!$AI$49="Media",'Riesgos de Gestión'!$AK$49="Moderado"),CONCATENATE("R8C",'Riesgos de Gestión'!$V$49),"")</f>
        <v/>
      </c>
      <c r="AB33" s="35" t="str">
        <f>IF(AND('Riesgos de Gestión'!$AI$44="Media",'Riesgos de Gestión'!$AK$44="Mayor"),CONCATENATE("R8C",'Riesgos de Gestión'!$V$44),"")</f>
        <v/>
      </c>
      <c r="AC33" s="36" t="str">
        <f>IF(AND('Riesgos de Gestión'!$AI$45="Media",'Riesgos de Gestión'!$AK$45="Mayor"),CONCATENATE("R8C",'Riesgos de Gestión'!$V$45),"")</f>
        <v/>
      </c>
      <c r="AD33" s="36" t="str">
        <f>IF(AND('Riesgos de Gestión'!$AI$46="Media",'Riesgos de Gestión'!$AK$46="Mayor"),CONCATENATE("R8C",'Riesgos de Gestión'!$V$46),"")</f>
        <v/>
      </c>
      <c r="AE33" s="36" t="str">
        <f>IF(AND('Riesgos de Gestión'!$AI$47="Media",'Riesgos de Gestión'!$AK$47="Mayor"),CONCATENATE("R8C",'Riesgos de Gestión'!$V$47),"")</f>
        <v/>
      </c>
      <c r="AF33" s="36" t="str">
        <f>IF(AND('Riesgos de Gestión'!$AI$48="Media",'Riesgos de Gestión'!$AK$48="Mayor"),CONCATENATE("R8C",'Riesgos de Gestión'!$V$48),"")</f>
        <v/>
      </c>
      <c r="AG33" s="37" t="str">
        <f>IF(AND('Riesgos de Gestión'!$AI$49="Media",'Riesgos de Gestión'!$AK$49="Mayor"),CONCATENATE("R8C",'Riesgos de Gestión'!$V$49),"")</f>
        <v/>
      </c>
      <c r="AH33" s="38" t="str">
        <f>IF(AND('Riesgos de Gestión'!$AI$44="Media",'Riesgos de Gestión'!$AK$44="Catastrófico"),CONCATENATE("R8C",'Riesgos de Gestión'!$V$44),"")</f>
        <v/>
      </c>
      <c r="AI33" s="39" t="str">
        <f>IF(AND('Riesgos de Gestión'!$AI$45="Media",'Riesgos de Gestión'!$AK$45="Catastrófico"),CONCATENATE("R8C",'Riesgos de Gestión'!$V$45),"")</f>
        <v/>
      </c>
      <c r="AJ33" s="39" t="str">
        <f>IF(AND('Riesgos de Gestión'!$AI$46="Media",'Riesgos de Gestión'!$AK$46="Catastrófico"),CONCATENATE("R8C",'Riesgos de Gestión'!$V$46),"")</f>
        <v/>
      </c>
      <c r="AK33" s="39" t="str">
        <f>IF(AND('Riesgos de Gestión'!$AI$47="Media",'Riesgos de Gestión'!$AK$47="Catastrófico"),CONCATENATE("R8C",'Riesgos de Gestión'!$V$47),"")</f>
        <v/>
      </c>
      <c r="AL33" s="39" t="str">
        <f>IF(AND('Riesgos de Gestión'!$AI$48="Media",'Riesgos de Gestión'!$AK$48="Catastrófico"),CONCATENATE("R8C",'Riesgos de Gestión'!$V$48),"")</f>
        <v/>
      </c>
      <c r="AM33" s="40" t="str">
        <f>IF(AND('Riesgos de Gestión'!$AI$49="Media",'Riesgos de Gestión'!$AK$49="Catastrófico"),CONCATENATE("R8C",'Riesgos de Gestión'!$V$49),"")</f>
        <v/>
      </c>
      <c r="AN33" s="66"/>
      <c r="AO33" s="654"/>
      <c r="AP33" s="655"/>
      <c r="AQ33" s="655"/>
      <c r="AR33" s="655"/>
      <c r="AS33" s="655"/>
      <c r="AT33" s="656"/>
      <c r="AU33" s="66"/>
      <c r="AV33" s="66"/>
      <c r="AW33" s="66"/>
      <c r="AX33" s="66"/>
      <c r="AY33" s="66"/>
      <c r="AZ33" s="66"/>
      <c r="BA33" s="66"/>
      <c r="BB33" s="66"/>
      <c r="BC33" s="66"/>
      <c r="BD33" s="66"/>
      <c r="BE33" s="66"/>
      <c r="BF33" s="66"/>
      <c r="BG33" s="66"/>
      <c r="BH33" s="66"/>
      <c r="BI33" s="66"/>
      <c r="BJ33" s="66"/>
      <c r="BK33" s="66"/>
      <c r="BL33" s="66"/>
      <c r="BM33" s="66"/>
      <c r="BN33" s="66"/>
      <c r="BO33" s="66"/>
      <c r="BP33" s="66"/>
      <c r="BQ33" s="66"/>
      <c r="BR33" s="66"/>
      <c r="BS33" s="66"/>
      <c r="BT33" s="66"/>
      <c r="BU33" s="66"/>
      <c r="BV33" s="66"/>
      <c r="BW33" s="66"/>
      <c r="BX33" s="66"/>
    </row>
    <row r="34" spans="1:80" ht="15" customHeight="1" x14ac:dyDescent="0.25">
      <c r="A34" s="66"/>
      <c r="B34" s="526"/>
      <c r="C34" s="526"/>
      <c r="D34" s="527"/>
      <c r="E34" s="625"/>
      <c r="F34" s="624"/>
      <c r="G34" s="624"/>
      <c r="H34" s="624"/>
      <c r="I34" s="640"/>
      <c r="J34" s="50" t="str">
        <f>IF(AND('Riesgos de Gestión'!$AI$50="Media",'Riesgos de Gestión'!$AK$50="Leve"),CONCATENATE("R9C",'Riesgos de Gestión'!$V$50),"")</f>
        <v/>
      </c>
      <c r="K34" s="51" t="str">
        <f>IF(AND('Riesgos de Gestión'!$AI$51="Media",'Riesgos de Gestión'!$AK$51="Leve"),CONCATENATE("R9C",'Riesgos de Gestión'!$V$51),"")</f>
        <v/>
      </c>
      <c r="L34" s="51" t="str">
        <f>IF(AND('Riesgos de Gestión'!$AI$52="Media",'Riesgos de Gestión'!$AK$52="Leve"),CONCATENATE("R9C",'Riesgos de Gestión'!$V$52),"")</f>
        <v/>
      </c>
      <c r="M34" s="51" t="str">
        <f>IF(AND('Riesgos de Gestión'!$AI$53="Media",'Riesgos de Gestión'!$AK$53="Leve"),CONCATENATE("R9C",'Riesgos de Gestión'!$V$53),"")</f>
        <v/>
      </c>
      <c r="N34" s="51" t="str">
        <f>IF(AND('Riesgos de Gestión'!$AI$54="Media",'Riesgos de Gestión'!$AK$54="Leve"),CONCATENATE("R9C",'Riesgos de Gestión'!$V$54),"")</f>
        <v/>
      </c>
      <c r="O34" s="52" t="str">
        <f>IF(AND('Riesgos de Gestión'!$AI$55="Media",'Riesgos de Gestión'!$AK$55="Leve"),CONCATENATE("R9C",'Riesgos de Gestión'!$V$55),"")</f>
        <v/>
      </c>
      <c r="P34" s="50" t="str">
        <f>IF(AND('Riesgos de Gestión'!$AI$50="Media",'Riesgos de Gestión'!$AK$50="Menor"),CONCATENATE("R9C",'Riesgos de Gestión'!$V$50),"")</f>
        <v/>
      </c>
      <c r="Q34" s="51" t="str">
        <f>IF(AND('Riesgos de Gestión'!$AI$51="Media",'Riesgos de Gestión'!$AK$51="Menor"),CONCATENATE("R9C",'Riesgos de Gestión'!$V$51),"")</f>
        <v/>
      </c>
      <c r="R34" s="51" t="str">
        <f>IF(AND('Riesgos de Gestión'!$AI$52="Media",'Riesgos de Gestión'!$AK$52="Menor"),CONCATENATE("R9C",'Riesgos de Gestión'!$V$52),"")</f>
        <v/>
      </c>
      <c r="S34" s="51" t="str">
        <f>IF(AND('Riesgos de Gestión'!$AI$53="Media",'Riesgos de Gestión'!$AK$53="Menor"),CONCATENATE("R9C",'Riesgos de Gestión'!$V$53),"")</f>
        <v/>
      </c>
      <c r="T34" s="51" t="str">
        <f>IF(AND('Riesgos de Gestión'!$AI$54="Media",'Riesgos de Gestión'!$AK$54="Menor"),CONCATENATE("R9C",'Riesgos de Gestión'!$V$54),"")</f>
        <v/>
      </c>
      <c r="U34" s="52" t="str">
        <f>IF(AND('Riesgos de Gestión'!$AI$55="Media",'Riesgos de Gestión'!$AK$55="Menor"),CONCATENATE("R9C",'Riesgos de Gestión'!$V$55),"")</f>
        <v/>
      </c>
      <c r="V34" s="50" t="str">
        <f>IF(AND('Riesgos de Gestión'!$AI$50="Media",'Riesgos de Gestión'!$AK$50="Moderado"),CONCATENATE("R9C",'Riesgos de Gestión'!$V$50),"")</f>
        <v/>
      </c>
      <c r="W34" s="51" t="str">
        <f>IF(AND('Riesgos de Gestión'!$AI$51="Media",'Riesgos de Gestión'!$AK$51="Moderado"),CONCATENATE("R9C",'Riesgos de Gestión'!$V$51),"")</f>
        <v/>
      </c>
      <c r="X34" s="51" t="str">
        <f>IF(AND('Riesgos de Gestión'!$AI$52="Media",'Riesgos de Gestión'!$AK$52="Moderado"),CONCATENATE("R9C",'Riesgos de Gestión'!$V$52),"")</f>
        <v/>
      </c>
      <c r="Y34" s="51" t="str">
        <f>IF(AND('Riesgos de Gestión'!$AI$53="Media",'Riesgos de Gestión'!$AK$53="Moderado"),CONCATENATE("R9C",'Riesgos de Gestión'!$V$53),"")</f>
        <v/>
      </c>
      <c r="Z34" s="51" t="str">
        <f>IF(AND('Riesgos de Gestión'!$AI$54="Media",'Riesgos de Gestión'!$AK$54="Moderado"),CONCATENATE("R9C",'Riesgos de Gestión'!$V$54),"")</f>
        <v/>
      </c>
      <c r="AA34" s="52" t="str">
        <f>IF(AND('Riesgos de Gestión'!$AI$55="Media",'Riesgos de Gestión'!$AK$55="Moderado"),CONCATENATE("R9C",'Riesgos de Gestión'!$V$55),"")</f>
        <v/>
      </c>
      <c r="AB34" s="35" t="str">
        <f>IF(AND('Riesgos de Gestión'!$AI$50="Media",'Riesgos de Gestión'!$AK$50="Mayor"),CONCATENATE("R9C",'Riesgos de Gestión'!$V$50),"")</f>
        <v/>
      </c>
      <c r="AC34" s="36" t="str">
        <f>IF(AND('Riesgos de Gestión'!$AI$51="Media",'Riesgos de Gestión'!$AK$51="Mayor"),CONCATENATE("R9C",'Riesgos de Gestión'!$V$51),"")</f>
        <v/>
      </c>
      <c r="AD34" s="36" t="str">
        <f>IF(AND('Riesgos de Gestión'!$AI$52="Media",'Riesgos de Gestión'!$AK$52="Mayor"),CONCATENATE("R9C",'Riesgos de Gestión'!$V$52),"")</f>
        <v/>
      </c>
      <c r="AE34" s="36" t="str">
        <f>IF(AND('Riesgos de Gestión'!$AI$53="Media",'Riesgos de Gestión'!$AK$53="Mayor"),CONCATENATE("R9C",'Riesgos de Gestión'!$V$53),"")</f>
        <v/>
      </c>
      <c r="AF34" s="36" t="str">
        <f>IF(AND('Riesgos de Gestión'!$AI$54="Media",'Riesgos de Gestión'!$AK$54="Mayor"),CONCATENATE("R9C",'Riesgos de Gestión'!$V$54),"")</f>
        <v/>
      </c>
      <c r="AG34" s="37" t="str">
        <f>IF(AND('Riesgos de Gestión'!$AI$55="Media",'Riesgos de Gestión'!$AK$55="Mayor"),CONCATENATE("R9C",'Riesgos de Gestión'!$V$55),"")</f>
        <v/>
      </c>
      <c r="AH34" s="38" t="str">
        <f>IF(AND('Riesgos de Gestión'!$AI$50="Media",'Riesgos de Gestión'!$AK$50="Catastrófico"),CONCATENATE("R9C",'Riesgos de Gestión'!$V$50),"")</f>
        <v/>
      </c>
      <c r="AI34" s="39" t="str">
        <f>IF(AND('Riesgos de Gestión'!$AI$51="Media",'Riesgos de Gestión'!$AK$51="Catastrófico"),CONCATENATE("R9C",'Riesgos de Gestión'!$V$51),"")</f>
        <v/>
      </c>
      <c r="AJ34" s="39" t="str">
        <f>IF(AND('Riesgos de Gestión'!$AI$52="Media",'Riesgos de Gestión'!$AK$52="Catastrófico"),CONCATENATE("R9C",'Riesgos de Gestión'!$V$52),"")</f>
        <v/>
      </c>
      <c r="AK34" s="39" t="str">
        <f>IF(AND('Riesgos de Gestión'!$AI$53="Media",'Riesgos de Gestión'!$AK$53="Catastrófico"),CONCATENATE("R9C",'Riesgos de Gestión'!$V$53),"")</f>
        <v/>
      </c>
      <c r="AL34" s="39" t="str">
        <f>IF(AND('Riesgos de Gestión'!$AI$54="Media",'Riesgos de Gestión'!$AK$54="Catastrófico"),CONCATENATE("R9C",'Riesgos de Gestión'!$V$54),"")</f>
        <v/>
      </c>
      <c r="AM34" s="40" t="str">
        <f>IF(AND('Riesgos de Gestión'!$AI$55="Media",'Riesgos de Gestión'!$AK$55="Catastrófico"),CONCATENATE("R9C",'Riesgos de Gestión'!$V$55),"")</f>
        <v/>
      </c>
      <c r="AN34" s="66"/>
      <c r="AO34" s="654"/>
      <c r="AP34" s="655"/>
      <c r="AQ34" s="655"/>
      <c r="AR34" s="655"/>
      <c r="AS34" s="655"/>
      <c r="AT34" s="656"/>
      <c r="AU34" s="66"/>
      <c r="AV34" s="66"/>
      <c r="AW34" s="66"/>
      <c r="AX34" s="66"/>
      <c r="AY34" s="66"/>
      <c r="AZ34" s="66"/>
      <c r="BA34" s="66"/>
      <c r="BB34" s="66"/>
      <c r="BC34" s="66"/>
      <c r="BD34" s="66"/>
      <c r="BE34" s="66"/>
      <c r="BF34" s="66"/>
      <c r="BG34" s="66"/>
      <c r="BH34" s="66"/>
      <c r="BI34" s="66"/>
      <c r="BJ34" s="66"/>
      <c r="BK34" s="66"/>
      <c r="BL34" s="66"/>
      <c r="BM34" s="66"/>
      <c r="BN34" s="66"/>
      <c r="BO34" s="66"/>
      <c r="BP34" s="66"/>
      <c r="BQ34" s="66"/>
      <c r="BR34" s="66"/>
      <c r="BS34" s="66"/>
      <c r="BT34" s="66"/>
      <c r="BU34" s="66"/>
      <c r="BV34" s="66"/>
      <c r="BW34" s="66"/>
      <c r="BX34" s="66"/>
    </row>
    <row r="35" spans="1:80" ht="15.75" customHeight="1" thickBot="1" x14ac:dyDescent="0.3">
      <c r="A35" s="66"/>
      <c r="B35" s="526"/>
      <c r="C35" s="526"/>
      <c r="D35" s="527"/>
      <c r="E35" s="626"/>
      <c r="F35" s="627"/>
      <c r="G35" s="627"/>
      <c r="H35" s="627"/>
      <c r="I35" s="641"/>
      <c r="J35" s="50" t="str">
        <f>IF(AND('Riesgos de Gestión'!$AI$56="Media",'Riesgos de Gestión'!$AK$56="Leve"),CONCATENATE("R10C",'Riesgos de Gestión'!$V$56),"")</f>
        <v/>
      </c>
      <c r="K35" s="51" t="str">
        <f>IF(AND('Riesgos de Gestión'!$AI$57="Media",'Riesgos de Gestión'!$AK$57="Leve"),CONCATENATE("R10C",'Riesgos de Gestión'!$V$57),"")</f>
        <v/>
      </c>
      <c r="L35" s="51" t="str">
        <f>IF(AND('Riesgos de Gestión'!$AI$58="Media",'Riesgos de Gestión'!$AK$58="Leve"),CONCATENATE("R10C",'Riesgos de Gestión'!$V$58),"")</f>
        <v/>
      </c>
      <c r="M35" s="51" t="str">
        <f>IF(AND('Riesgos de Gestión'!$AI$59="Media",'Riesgos de Gestión'!$AK$59="Leve"),CONCATENATE("R10C",'Riesgos de Gestión'!$V$59),"")</f>
        <v/>
      </c>
      <c r="N35" s="51" t="str">
        <f>IF(AND('Riesgos de Gestión'!$AI$60="Media",'Riesgos de Gestión'!$AK$60="Leve"),CONCATENATE("R10C",'Riesgos de Gestión'!$V$60),"")</f>
        <v/>
      </c>
      <c r="O35" s="52" t="str">
        <f>IF(AND('Riesgos de Gestión'!$AI$61="Media",'Riesgos de Gestión'!$AK$61="Leve"),CONCATENATE("R10C",'Riesgos de Gestión'!$V$61),"")</f>
        <v/>
      </c>
      <c r="P35" s="50" t="str">
        <f>IF(AND('Riesgos de Gestión'!$AI$56="Media",'Riesgos de Gestión'!$AK$56="Menor"),CONCATENATE("R10C",'Riesgos de Gestión'!$V$56),"")</f>
        <v/>
      </c>
      <c r="Q35" s="51" t="str">
        <f>IF(AND('Riesgos de Gestión'!$AI$57="Media",'Riesgos de Gestión'!$AK$57="Menor"),CONCATENATE("R10C",'Riesgos de Gestión'!$V$57),"")</f>
        <v/>
      </c>
      <c r="R35" s="51" t="str">
        <f>IF(AND('Riesgos de Gestión'!$AI$58="Media",'Riesgos de Gestión'!$AK$58="Menor"),CONCATENATE("R10C",'Riesgos de Gestión'!$V$58),"")</f>
        <v/>
      </c>
      <c r="S35" s="51" t="str">
        <f>IF(AND('Riesgos de Gestión'!$AI$59="Media",'Riesgos de Gestión'!$AK$59="Menor"),CONCATENATE("R10C",'Riesgos de Gestión'!$V$59),"")</f>
        <v/>
      </c>
      <c r="T35" s="51" t="str">
        <f>IF(AND('Riesgos de Gestión'!$AI$60="Media",'Riesgos de Gestión'!$AK$60="Menor"),CONCATENATE("R10C",'Riesgos de Gestión'!$V$60),"")</f>
        <v/>
      </c>
      <c r="U35" s="52" t="str">
        <f>IF(AND('Riesgos de Gestión'!$AI$61="Media",'Riesgos de Gestión'!$AK$61="Menor"),CONCATENATE("R10C",'Riesgos de Gestión'!$V$61),"")</f>
        <v/>
      </c>
      <c r="V35" s="50" t="str">
        <f>IF(AND('Riesgos de Gestión'!$AI$56="Media",'Riesgos de Gestión'!$AK$56="Moderado"),CONCATENATE("R10C",'Riesgos de Gestión'!$V$56),"")</f>
        <v/>
      </c>
      <c r="W35" s="51" t="str">
        <f>IF(AND('Riesgos de Gestión'!$AI$57="Media",'Riesgos de Gestión'!$AK$57="Moderado"),CONCATENATE("R10C",'Riesgos de Gestión'!$V$57),"")</f>
        <v/>
      </c>
      <c r="X35" s="51" t="str">
        <f>IF(AND('Riesgos de Gestión'!$AI$58="Media",'Riesgos de Gestión'!$AK$58="Moderado"),CONCATENATE("R10C",'Riesgos de Gestión'!$V$58),"")</f>
        <v/>
      </c>
      <c r="Y35" s="51" t="str">
        <f>IF(AND('Riesgos de Gestión'!$AI$59="Media",'Riesgos de Gestión'!$AK$59="Moderado"),CONCATENATE("R10C",'Riesgos de Gestión'!$V$59),"")</f>
        <v/>
      </c>
      <c r="Z35" s="51" t="str">
        <f>IF(AND('Riesgos de Gestión'!$AI$60="Media",'Riesgos de Gestión'!$AK$60="Moderado"),CONCATENATE("R10C",'Riesgos de Gestión'!$V$60),"")</f>
        <v/>
      </c>
      <c r="AA35" s="52" t="str">
        <f>IF(AND('Riesgos de Gestión'!$AI$61="Media",'Riesgos de Gestión'!$AK$61="Moderado"),CONCATENATE("R10C",'Riesgos de Gestión'!$V$61),"")</f>
        <v/>
      </c>
      <c r="AB35" s="41" t="str">
        <f>IF(AND('Riesgos de Gestión'!$AI$56="Media",'Riesgos de Gestión'!$AK$56="Mayor"),CONCATENATE("R10C",'Riesgos de Gestión'!$V$56),"")</f>
        <v/>
      </c>
      <c r="AC35" s="42" t="str">
        <f>IF(AND('Riesgos de Gestión'!$AI$57="Media",'Riesgos de Gestión'!$AK$57="Mayor"),CONCATENATE("R10C",'Riesgos de Gestión'!$V$57),"")</f>
        <v/>
      </c>
      <c r="AD35" s="42" t="str">
        <f>IF(AND('Riesgos de Gestión'!$AI$58="Media",'Riesgos de Gestión'!$AK$58="Mayor"),CONCATENATE("R10C",'Riesgos de Gestión'!$V$58),"")</f>
        <v/>
      </c>
      <c r="AE35" s="42" t="str">
        <f>IF(AND('Riesgos de Gestión'!$AI$59="Media",'Riesgos de Gestión'!$AK$59="Mayor"),CONCATENATE("R10C",'Riesgos de Gestión'!$V$59),"")</f>
        <v/>
      </c>
      <c r="AF35" s="42" t="str">
        <f>IF(AND('Riesgos de Gestión'!$AI$60="Media",'Riesgos de Gestión'!$AK$60="Mayor"),CONCATENATE("R10C",'Riesgos de Gestión'!$V$60),"")</f>
        <v/>
      </c>
      <c r="AG35" s="43" t="str">
        <f>IF(AND('Riesgos de Gestión'!$AI$61="Media",'Riesgos de Gestión'!$AK$61="Mayor"),CONCATENATE("R10C",'Riesgos de Gestión'!$V$61),"")</f>
        <v/>
      </c>
      <c r="AH35" s="44" t="str">
        <f>IF(AND('Riesgos de Gestión'!$AI$56="Media",'Riesgos de Gestión'!$AK$56="Catastrófico"),CONCATENATE("R10C",'Riesgos de Gestión'!$V$56),"")</f>
        <v/>
      </c>
      <c r="AI35" s="45" t="str">
        <f>IF(AND('Riesgos de Gestión'!$AI$57="Media",'Riesgos de Gestión'!$AK$57="Catastrófico"),CONCATENATE("R10C",'Riesgos de Gestión'!$V$57),"")</f>
        <v/>
      </c>
      <c r="AJ35" s="45" t="str">
        <f>IF(AND('Riesgos de Gestión'!$AI$58="Media",'Riesgos de Gestión'!$AK$58="Catastrófico"),CONCATENATE("R10C",'Riesgos de Gestión'!$V$58),"")</f>
        <v/>
      </c>
      <c r="AK35" s="45" t="str">
        <f>IF(AND('Riesgos de Gestión'!$AI$59="Media",'Riesgos de Gestión'!$AK$59="Catastrófico"),CONCATENATE("R10C",'Riesgos de Gestión'!$V$59),"")</f>
        <v/>
      </c>
      <c r="AL35" s="45" t="str">
        <f>IF(AND('Riesgos de Gestión'!$AI$60="Media",'Riesgos de Gestión'!$AK$60="Catastrófico"),CONCATENATE("R10C",'Riesgos de Gestión'!$V$60),"")</f>
        <v/>
      </c>
      <c r="AM35" s="46" t="str">
        <f>IF(AND('Riesgos de Gestión'!$AI$61="Media",'Riesgos de Gestión'!$AK$61="Catastrófico"),CONCATENATE("R10C",'Riesgos de Gestión'!$V$61),"")</f>
        <v/>
      </c>
      <c r="AN35" s="66"/>
      <c r="AO35" s="657"/>
      <c r="AP35" s="658"/>
      <c r="AQ35" s="658"/>
      <c r="AR35" s="658"/>
      <c r="AS35" s="658"/>
      <c r="AT35" s="659"/>
      <c r="AU35" s="66"/>
      <c r="AV35" s="66"/>
      <c r="AW35" s="66"/>
      <c r="AX35" s="66"/>
      <c r="AY35" s="66"/>
      <c r="AZ35" s="66"/>
      <c r="BA35" s="66"/>
      <c r="BB35" s="66"/>
      <c r="BC35" s="66"/>
      <c r="BD35" s="66"/>
      <c r="BE35" s="66"/>
      <c r="BF35" s="66"/>
      <c r="BG35" s="66"/>
      <c r="BH35" s="66"/>
      <c r="BI35" s="66"/>
      <c r="BJ35" s="66"/>
      <c r="BK35" s="66"/>
      <c r="BL35" s="66"/>
      <c r="BM35" s="66"/>
      <c r="BN35" s="66"/>
      <c r="BO35" s="66"/>
      <c r="BP35" s="66"/>
      <c r="BQ35" s="66"/>
      <c r="BR35" s="66"/>
      <c r="BS35" s="66"/>
      <c r="BT35" s="66"/>
      <c r="BU35" s="66"/>
      <c r="BV35" s="66"/>
      <c r="BW35" s="66"/>
      <c r="BX35" s="66"/>
    </row>
    <row r="36" spans="1:80" ht="15" customHeight="1" x14ac:dyDescent="0.25">
      <c r="A36" s="66"/>
      <c r="B36" s="526"/>
      <c r="C36" s="526"/>
      <c r="D36" s="527"/>
      <c r="E36" s="621" t="s">
        <v>491</v>
      </c>
      <c r="F36" s="622"/>
      <c r="G36" s="622"/>
      <c r="H36" s="622"/>
      <c r="I36" s="622"/>
      <c r="J36" s="56" t="str">
        <f>IF(AND('Riesgos de Gestión'!$AI$13="Baja",'Riesgos de Gestión'!$AK$13="Leve"),CONCATENATE("R1C",'Riesgos de Gestión'!$V$13),"")</f>
        <v/>
      </c>
      <c r="K36" s="57" t="str">
        <f>IF(AND('Riesgos de Gestión'!$AI$14="Baja",'Riesgos de Gestión'!$AK$14="Leve"),CONCATENATE("R1C",'Riesgos de Gestión'!$V$14),"")</f>
        <v/>
      </c>
      <c r="L36" s="57" t="e">
        <f>IF(AND('Riesgos de Gestión'!#REF!="Baja",'Riesgos de Gestión'!#REF!="Leve"),CONCATENATE("R1C",'Riesgos de Gestión'!#REF!),"")</f>
        <v>#REF!</v>
      </c>
      <c r="M36" s="57" t="e">
        <f>IF(AND('Riesgos de Gestión'!#REF!="Baja",'Riesgos de Gestión'!#REF!="Leve"),CONCATENATE("R1C",'Riesgos de Gestión'!#REF!),"")</f>
        <v>#REF!</v>
      </c>
      <c r="N36" s="57" t="e">
        <f>IF(AND('Riesgos de Gestión'!#REF!="Baja",'Riesgos de Gestión'!#REF!="Leve"),CONCATENATE("R1C",'Riesgos de Gestión'!#REF!),"")</f>
        <v>#REF!</v>
      </c>
      <c r="O36" s="58" t="e">
        <f>IF(AND('Riesgos de Gestión'!#REF!="Baja",'Riesgos de Gestión'!#REF!="Leve"),CONCATENATE("R1C",'Riesgos de Gestión'!#REF!),"")</f>
        <v>#REF!</v>
      </c>
      <c r="P36" s="47" t="str">
        <f>IF(AND('Riesgos de Gestión'!$AI$13="Baja",'Riesgos de Gestión'!$AK$13="Menor"),CONCATENATE("R1C",'Riesgos de Gestión'!$V$13),"")</f>
        <v/>
      </c>
      <c r="Q36" s="48" t="str">
        <f>IF(AND('Riesgos de Gestión'!$AI$14="Baja",'Riesgos de Gestión'!$AK$14="Menor"),CONCATENATE("R1C",'Riesgos de Gestión'!$V$14),"")</f>
        <v/>
      </c>
      <c r="R36" s="48" t="e">
        <f>IF(AND('Riesgos de Gestión'!#REF!="Baja",'Riesgos de Gestión'!#REF!="Menor"),CONCATENATE("R1C",'Riesgos de Gestión'!#REF!),"")</f>
        <v>#REF!</v>
      </c>
      <c r="S36" s="48" t="e">
        <f>IF(AND('Riesgos de Gestión'!#REF!="Baja",'Riesgos de Gestión'!#REF!="Menor"),CONCATENATE("R1C",'Riesgos de Gestión'!#REF!),"")</f>
        <v>#REF!</v>
      </c>
      <c r="T36" s="48" t="e">
        <f>IF(AND('Riesgos de Gestión'!#REF!="Baja",'Riesgos de Gestión'!#REF!="Menor"),CONCATENATE("R1C",'Riesgos de Gestión'!#REF!),"")</f>
        <v>#REF!</v>
      </c>
      <c r="U36" s="49" t="e">
        <f>IF(AND('Riesgos de Gestión'!#REF!="Baja",'Riesgos de Gestión'!#REF!="Menor"),CONCATENATE("R1C",'Riesgos de Gestión'!#REF!),"")</f>
        <v>#REF!</v>
      </c>
      <c r="V36" s="47" t="str">
        <f>IF(AND('Riesgos de Gestión'!$AI$13="Baja",'Riesgos de Gestión'!$AK$13="Moderado"),CONCATENATE("R1C",'Riesgos de Gestión'!$V$13),"")</f>
        <v/>
      </c>
      <c r="W36" s="48" t="str">
        <f>IF(AND('Riesgos de Gestión'!$AI$14="Baja",'Riesgos de Gestión'!$AK$14="Moderado"),CONCATENATE("R1C",'Riesgos de Gestión'!$V$14),"")</f>
        <v/>
      </c>
      <c r="X36" s="48" t="e">
        <f>IF(AND('Riesgos de Gestión'!#REF!="Baja",'Riesgos de Gestión'!#REF!="Moderado"),CONCATENATE("R1C",'Riesgos de Gestión'!#REF!),"")</f>
        <v>#REF!</v>
      </c>
      <c r="Y36" s="48" t="e">
        <f>IF(AND('Riesgos de Gestión'!#REF!="Baja",'Riesgos de Gestión'!#REF!="Moderado"),CONCATENATE("R1C",'Riesgos de Gestión'!#REF!),"")</f>
        <v>#REF!</v>
      </c>
      <c r="Z36" s="48" t="e">
        <f>IF(AND('Riesgos de Gestión'!#REF!="Baja",'Riesgos de Gestión'!#REF!="Moderado"),CONCATENATE("R1C",'Riesgos de Gestión'!#REF!),"")</f>
        <v>#REF!</v>
      </c>
      <c r="AA36" s="49" t="e">
        <f>IF(AND('Riesgos de Gestión'!#REF!="Baja",'Riesgos de Gestión'!#REF!="Moderado"),CONCATENATE("R1C",'Riesgos de Gestión'!#REF!),"")</f>
        <v>#REF!</v>
      </c>
      <c r="AB36" s="29" t="str">
        <f>IF(AND('Riesgos de Gestión'!$AI$13="Baja",'Riesgos de Gestión'!$AK$13="Mayor"),CONCATENATE("R1C",'Riesgos de Gestión'!$V$13),"")</f>
        <v/>
      </c>
      <c r="AC36" s="30" t="str">
        <f>IF(AND('Riesgos de Gestión'!$AI$14="Baja",'Riesgos de Gestión'!$AK$14="Mayor"),CONCATENATE("R1C",'Riesgos de Gestión'!$V$14),"")</f>
        <v/>
      </c>
      <c r="AD36" s="30" t="e">
        <f>IF(AND('Riesgos de Gestión'!#REF!="Baja",'Riesgos de Gestión'!#REF!="Mayor"),CONCATENATE("R1C",'Riesgos de Gestión'!#REF!),"")</f>
        <v>#REF!</v>
      </c>
      <c r="AE36" s="30" t="e">
        <f>IF(AND('Riesgos de Gestión'!#REF!="Baja",'Riesgos de Gestión'!#REF!="Mayor"),CONCATENATE("R1C",'Riesgos de Gestión'!#REF!),"")</f>
        <v>#REF!</v>
      </c>
      <c r="AF36" s="30" t="e">
        <f>IF(AND('Riesgos de Gestión'!#REF!="Baja",'Riesgos de Gestión'!#REF!="Mayor"),CONCATENATE("R1C",'Riesgos de Gestión'!#REF!),"")</f>
        <v>#REF!</v>
      </c>
      <c r="AG36" s="31" t="e">
        <f>IF(AND('Riesgos de Gestión'!#REF!="Baja",'Riesgos de Gestión'!#REF!="Mayor"),CONCATENATE("R1C",'Riesgos de Gestión'!#REF!),"")</f>
        <v>#REF!</v>
      </c>
      <c r="AH36" s="32" t="str">
        <f>IF(AND('Riesgos de Gestión'!$AI$13="Baja",'Riesgos de Gestión'!$AK$13="Catastrófico"),CONCATENATE("R1C",'Riesgos de Gestión'!$V$13),"")</f>
        <v/>
      </c>
      <c r="AI36" s="33" t="str">
        <f>IF(AND('Riesgos de Gestión'!$AI$14="Baja",'Riesgos de Gestión'!$AK$14="Catastrófico"),CONCATENATE("R1C",'Riesgos de Gestión'!$V$14),"")</f>
        <v/>
      </c>
      <c r="AJ36" s="33" t="e">
        <f>IF(AND('Riesgos de Gestión'!#REF!="Baja",'Riesgos de Gestión'!#REF!="Catastrófico"),CONCATENATE("R1C",'Riesgos de Gestión'!#REF!),"")</f>
        <v>#REF!</v>
      </c>
      <c r="AK36" s="33" t="e">
        <f>IF(AND('Riesgos de Gestión'!#REF!="Baja",'Riesgos de Gestión'!#REF!="Catastrófico"),CONCATENATE("R1C",'Riesgos de Gestión'!#REF!),"")</f>
        <v>#REF!</v>
      </c>
      <c r="AL36" s="33" t="e">
        <f>IF(AND('Riesgos de Gestión'!#REF!="Baja",'Riesgos de Gestión'!#REF!="Catastrófico"),CONCATENATE("R1C",'Riesgos de Gestión'!#REF!),"")</f>
        <v>#REF!</v>
      </c>
      <c r="AM36" s="34" t="e">
        <f>IF(AND('Riesgos de Gestión'!#REF!="Baja",'Riesgos de Gestión'!#REF!="Catastrófico"),CONCATENATE("R1C",'Riesgos de Gestión'!#REF!),"")</f>
        <v>#REF!</v>
      </c>
      <c r="AN36" s="66"/>
      <c r="AO36" s="642" t="s">
        <v>492</v>
      </c>
      <c r="AP36" s="643"/>
      <c r="AQ36" s="643"/>
      <c r="AR36" s="643"/>
      <c r="AS36" s="643"/>
      <c r="AT36" s="644"/>
      <c r="AU36" s="66"/>
      <c r="AV36" s="66"/>
      <c r="AW36" s="66"/>
      <c r="AX36" s="66"/>
      <c r="AY36" s="66"/>
      <c r="AZ36" s="66"/>
      <c r="BA36" s="66"/>
      <c r="BB36" s="66"/>
      <c r="BC36" s="66"/>
      <c r="BD36" s="66"/>
      <c r="BE36" s="66"/>
      <c r="BF36" s="66"/>
      <c r="BG36" s="66"/>
      <c r="BH36" s="66"/>
      <c r="BI36" s="66"/>
      <c r="BJ36" s="66"/>
      <c r="BK36" s="66"/>
      <c r="BL36" s="66"/>
      <c r="BM36" s="66"/>
      <c r="BN36" s="66"/>
      <c r="BO36" s="66"/>
      <c r="BP36" s="66"/>
      <c r="BQ36" s="66"/>
      <c r="BR36" s="66"/>
      <c r="BS36" s="66"/>
      <c r="BT36" s="66"/>
      <c r="BU36" s="66"/>
      <c r="BV36" s="66"/>
      <c r="BW36" s="66"/>
      <c r="BX36" s="66"/>
    </row>
    <row r="37" spans="1:80" ht="15" customHeight="1" x14ac:dyDescent="0.25">
      <c r="A37" s="66"/>
      <c r="B37" s="526"/>
      <c r="C37" s="526"/>
      <c r="D37" s="527"/>
      <c r="E37" s="623"/>
      <c r="F37" s="624"/>
      <c r="G37" s="624"/>
      <c r="H37" s="624"/>
      <c r="I37" s="624"/>
      <c r="J37" s="59" t="str">
        <f>IF(AND('Riesgos de Gestión'!$AI$15="Baja",'Riesgos de Gestión'!$AK$15="Leve"),CONCATENATE("R2C",'Riesgos de Gestión'!$V$15),"")</f>
        <v/>
      </c>
      <c r="K37" s="60" t="str">
        <f>IF(AND('Riesgos de Gestión'!$AI$16="Baja",'Riesgos de Gestión'!$AK$16="Leve"),CONCATENATE("R2C",'Riesgos de Gestión'!$V$16),"")</f>
        <v/>
      </c>
      <c r="L37" s="60" t="e">
        <f>IF(AND('Riesgos de Gestión'!#REF!="Baja",'Riesgos de Gestión'!#REF!="Leve"),CONCATENATE("R2C",'Riesgos de Gestión'!#REF!),"")</f>
        <v>#REF!</v>
      </c>
      <c r="M37" s="60" t="e">
        <f>IF(AND('Riesgos de Gestión'!#REF!="Baja",'Riesgos de Gestión'!#REF!="Leve"),CONCATENATE("R2C",'Riesgos de Gestión'!#REF!),"")</f>
        <v>#REF!</v>
      </c>
      <c r="N37" s="60" t="e">
        <f>IF(AND('Riesgos de Gestión'!#REF!="Baja",'Riesgos de Gestión'!#REF!="Leve"),CONCATENATE("R2C",'Riesgos de Gestión'!#REF!),"")</f>
        <v>#REF!</v>
      </c>
      <c r="O37" s="61" t="e">
        <f>IF(AND('Riesgos de Gestión'!#REF!="Baja",'Riesgos de Gestión'!#REF!="Leve"),CONCATENATE("R2C",'Riesgos de Gestión'!#REF!),"")</f>
        <v>#REF!</v>
      </c>
      <c r="P37" s="50" t="str">
        <f>IF(AND('Riesgos de Gestión'!$AI$15="Baja",'Riesgos de Gestión'!$AK$15="Menor"),CONCATENATE("R2C",'Riesgos de Gestión'!$V$15),"")</f>
        <v/>
      </c>
      <c r="Q37" s="51" t="str">
        <f>IF(AND('Riesgos de Gestión'!$AI$16="Baja",'Riesgos de Gestión'!$AK$16="Menor"),CONCATENATE("R2C",'Riesgos de Gestión'!$V$16),"")</f>
        <v/>
      </c>
      <c r="R37" s="51" t="e">
        <f>IF(AND('Riesgos de Gestión'!#REF!="Baja",'Riesgos de Gestión'!#REF!="Menor"),CONCATENATE("R2C",'Riesgos de Gestión'!#REF!),"")</f>
        <v>#REF!</v>
      </c>
      <c r="S37" s="51" t="e">
        <f>IF(AND('Riesgos de Gestión'!#REF!="Baja",'Riesgos de Gestión'!#REF!="Menor"),CONCATENATE("R2C",'Riesgos de Gestión'!#REF!),"")</f>
        <v>#REF!</v>
      </c>
      <c r="T37" s="51" t="e">
        <f>IF(AND('Riesgos de Gestión'!#REF!="Baja",'Riesgos de Gestión'!#REF!="Menor"),CONCATENATE("R2C",'Riesgos de Gestión'!#REF!),"")</f>
        <v>#REF!</v>
      </c>
      <c r="U37" s="52" t="e">
        <f>IF(AND('Riesgos de Gestión'!#REF!="Baja",'Riesgos de Gestión'!#REF!="Menor"),CONCATENATE("R2C",'Riesgos de Gestión'!#REF!),"")</f>
        <v>#REF!</v>
      </c>
      <c r="V37" s="50" t="str">
        <f>IF(AND('Riesgos de Gestión'!$AI$15="Baja",'Riesgos de Gestión'!$AK$15="Moderado"),CONCATENATE("R2C",'Riesgos de Gestión'!$V$15),"")</f>
        <v/>
      </c>
      <c r="W37" s="51" t="str">
        <f>IF(AND('Riesgos de Gestión'!$AI$16="Baja",'Riesgos de Gestión'!$AK$16="Moderado"),CONCATENATE("R2C",'Riesgos de Gestión'!$V$16),"")</f>
        <v/>
      </c>
      <c r="X37" s="51" t="e">
        <f>IF(AND('Riesgos de Gestión'!#REF!="Baja",'Riesgos de Gestión'!#REF!="Moderado"),CONCATENATE("R2C",'Riesgos de Gestión'!#REF!),"")</f>
        <v>#REF!</v>
      </c>
      <c r="Y37" s="51" t="e">
        <f>IF(AND('Riesgos de Gestión'!#REF!="Baja",'Riesgos de Gestión'!#REF!="Moderado"),CONCATENATE("R2C",'Riesgos de Gestión'!#REF!),"")</f>
        <v>#REF!</v>
      </c>
      <c r="Z37" s="51" t="e">
        <f>IF(AND('Riesgos de Gestión'!#REF!="Baja",'Riesgos de Gestión'!#REF!="Moderado"),CONCATENATE("R2C",'Riesgos de Gestión'!#REF!),"")</f>
        <v>#REF!</v>
      </c>
      <c r="AA37" s="52" t="e">
        <f>IF(AND('Riesgos de Gestión'!#REF!="Baja",'Riesgos de Gestión'!#REF!="Moderado"),CONCATENATE("R2C",'Riesgos de Gestión'!#REF!),"")</f>
        <v>#REF!</v>
      </c>
      <c r="AB37" s="35" t="str">
        <f>IF(AND('Riesgos de Gestión'!$AI$15="Baja",'Riesgos de Gestión'!$AK$15="Mayor"),CONCATENATE("R2C",'Riesgos de Gestión'!$V$15),"")</f>
        <v/>
      </c>
      <c r="AC37" s="36" t="str">
        <f>IF(AND('Riesgos de Gestión'!$AI$16="Baja",'Riesgos de Gestión'!$AK$16="Mayor"),CONCATENATE("R2C",'Riesgos de Gestión'!$V$16),"")</f>
        <v/>
      </c>
      <c r="AD37" s="36" t="e">
        <f>IF(AND('Riesgos de Gestión'!#REF!="Baja",'Riesgos de Gestión'!#REF!="Mayor"),CONCATENATE("R2C",'Riesgos de Gestión'!#REF!),"")</f>
        <v>#REF!</v>
      </c>
      <c r="AE37" s="36" t="e">
        <f>IF(AND('Riesgos de Gestión'!#REF!="Baja",'Riesgos de Gestión'!#REF!="Mayor"),CONCATENATE("R2C",'Riesgos de Gestión'!#REF!),"")</f>
        <v>#REF!</v>
      </c>
      <c r="AF37" s="36" t="e">
        <f>IF(AND('Riesgos de Gestión'!#REF!="Baja",'Riesgos de Gestión'!#REF!="Mayor"),CONCATENATE("R2C",'Riesgos de Gestión'!#REF!),"")</f>
        <v>#REF!</v>
      </c>
      <c r="AG37" s="37" t="e">
        <f>IF(AND('Riesgos de Gestión'!#REF!="Baja",'Riesgos de Gestión'!#REF!="Mayor"),CONCATENATE("R2C",'Riesgos de Gestión'!#REF!),"")</f>
        <v>#REF!</v>
      </c>
      <c r="AH37" s="38" t="str">
        <f>IF(AND('Riesgos de Gestión'!$AI$15="Baja",'Riesgos de Gestión'!$AK$15="Catastrófico"),CONCATENATE("R2C",'Riesgos de Gestión'!$V$15),"")</f>
        <v/>
      </c>
      <c r="AI37" s="39" t="str">
        <f>IF(AND('Riesgos de Gestión'!$AI$16="Baja",'Riesgos de Gestión'!$AK$16="Catastrófico"),CONCATENATE("R2C",'Riesgos de Gestión'!$V$16),"")</f>
        <v/>
      </c>
      <c r="AJ37" s="39" t="e">
        <f>IF(AND('Riesgos de Gestión'!#REF!="Baja",'Riesgos de Gestión'!#REF!="Catastrófico"),CONCATENATE("R2C",'Riesgos de Gestión'!#REF!),"")</f>
        <v>#REF!</v>
      </c>
      <c r="AK37" s="39" t="e">
        <f>IF(AND('Riesgos de Gestión'!#REF!="Baja",'Riesgos de Gestión'!#REF!="Catastrófico"),CONCATENATE("R2C",'Riesgos de Gestión'!#REF!),"")</f>
        <v>#REF!</v>
      </c>
      <c r="AL37" s="39" t="e">
        <f>IF(AND('Riesgos de Gestión'!#REF!="Baja",'Riesgos de Gestión'!#REF!="Catastrófico"),CONCATENATE("R2C",'Riesgos de Gestión'!#REF!),"")</f>
        <v>#REF!</v>
      </c>
      <c r="AM37" s="40" t="e">
        <f>IF(AND('Riesgos de Gestión'!#REF!="Baja",'Riesgos de Gestión'!#REF!="Catastrófico"),CONCATENATE("R2C",'Riesgos de Gestión'!#REF!),"")</f>
        <v>#REF!</v>
      </c>
      <c r="AN37" s="66"/>
      <c r="AO37" s="645"/>
      <c r="AP37" s="646"/>
      <c r="AQ37" s="646"/>
      <c r="AR37" s="646"/>
      <c r="AS37" s="646"/>
      <c r="AT37" s="647"/>
      <c r="AU37" s="66"/>
      <c r="AV37" s="66"/>
      <c r="AW37" s="66"/>
      <c r="AX37" s="66"/>
      <c r="AY37" s="66"/>
      <c r="AZ37" s="66"/>
      <c r="BA37" s="66"/>
      <c r="BB37" s="66"/>
      <c r="BC37" s="66"/>
      <c r="BD37" s="66"/>
      <c r="BE37" s="66"/>
      <c r="BF37" s="66"/>
      <c r="BG37" s="66"/>
      <c r="BH37" s="66"/>
      <c r="BI37" s="66"/>
      <c r="BJ37" s="66"/>
      <c r="BK37" s="66"/>
      <c r="BL37" s="66"/>
      <c r="BM37" s="66"/>
      <c r="BN37" s="66"/>
      <c r="BO37" s="66"/>
      <c r="BP37" s="66"/>
      <c r="BQ37" s="66"/>
      <c r="BR37" s="66"/>
      <c r="BS37" s="66"/>
      <c r="BT37" s="66"/>
      <c r="BU37" s="66"/>
      <c r="BV37" s="66"/>
      <c r="BW37" s="66"/>
      <c r="BX37" s="66"/>
    </row>
    <row r="38" spans="1:80" ht="15" customHeight="1" x14ac:dyDescent="0.25">
      <c r="A38" s="66"/>
      <c r="B38" s="526"/>
      <c r="C38" s="526"/>
      <c r="D38" s="527"/>
      <c r="E38" s="625"/>
      <c r="F38" s="624"/>
      <c r="G38" s="624"/>
      <c r="H38" s="624"/>
      <c r="I38" s="624"/>
      <c r="J38" s="59" t="str">
        <f>IF(AND('Riesgos de Gestión'!$AI$17="Baja",'Riesgos de Gestión'!$AK$17="Leve"),CONCATENATE("R3C",'Riesgos de Gestión'!$V$17),"")</f>
        <v>R3C1</v>
      </c>
      <c r="K38" s="60" t="str">
        <f>IF(AND('Riesgos de Gestión'!$AI$18="Baja",'Riesgos de Gestión'!$AK$18="Leve"),CONCATENATE("R3C",'Riesgos de Gestión'!$V$18),"")</f>
        <v/>
      </c>
      <c r="L38" s="60" t="str">
        <f>IF(AND('Riesgos de Gestión'!$AI$19="Baja",'Riesgos de Gestión'!$AK$19="Leve"),CONCATENATE("R3C",'Riesgos de Gestión'!$V$19),"")</f>
        <v/>
      </c>
      <c r="M38" s="60" t="e">
        <f>IF(AND('Riesgos de Gestión'!#REF!="Baja",'Riesgos de Gestión'!#REF!="Leve"),CONCATENATE("R3C",'Riesgos de Gestión'!#REF!),"")</f>
        <v>#REF!</v>
      </c>
      <c r="N38" s="60" t="e">
        <f>IF(AND('Riesgos de Gestión'!#REF!="Baja",'Riesgos de Gestión'!#REF!="Leve"),CONCATENATE("R3C",'Riesgos de Gestión'!#REF!),"")</f>
        <v>#REF!</v>
      </c>
      <c r="O38" s="61" t="e">
        <f>IF(AND('Riesgos de Gestión'!#REF!="Baja",'Riesgos de Gestión'!#REF!="Leve"),CONCATENATE("R3C",'Riesgos de Gestión'!#REF!),"")</f>
        <v>#REF!</v>
      </c>
      <c r="P38" s="50" t="str">
        <f>IF(AND('Riesgos de Gestión'!$AI$17="Baja",'Riesgos de Gestión'!$AK$17="Menor"),CONCATENATE("R3C",'Riesgos de Gestión'!$V$17),"")</f>
        <v/>
      </c>
      <c r="Q38" s="51" t="str">
        <f>IF(AND('Riesgos de Gestión'!$AI$18="Baja",'Riesgos de Gestión'!$AK$18="Menor"),CONCATENATE("R3C",'Riesgos de Gestión'!$V$18),"")</f>
        <v/>
      </c>
      <c r="R38" s="51" t="str">
        <f>IF(AND('Riesgos de Gestión'!$AI$19="Baja",'Riesgos de Gestión'!$AK$19="Menor"),CONCATENATE("R3C",'Riesgos de Gestión'!$V$19),"")</f>
        <v/>
      </c>
      <c r="S38" s="51" t="e">
        <f>IF(AND('Riesgos de Gestión'!#REF!="Baja",'Riesgos de Gestión'!#REF!="Menor"),CONCATENATE("R3C",'Riesgos de Gestión'!#REF!),"")</f>
        <v>#REF!</v>
      </c>
      <c r="T38" s="51" t="e">
        <f>IF(AND('Riesgos de Gestión'!#REF!="Baja",'Riesgos de Gestión'!#REF!="Menor"),CONCATENATE("R3C",'Riesgos de Gestión'!#REF!),"")</f>
        <v>#REF!</v>
      </c>
      <c r="U38" s="52" t="e">
        <f>IF(AND('Riesgos de Gestión'!#REF!="Baja",'Riesgos de Gestión'!#REF!="Menor"),CONCATENATE("R3C",'Riesgos de Gestión'!#REF!),"")</f>
        <v>#REF!</v>
      </c>
      <c r="V38" s="50" t="str">
        <f>IF(AND('Riesgos de Gestión'!$AI$17="Baja",'Riesgos de Gestión'!$AK$17="Moderado"),CONCATENATE("R3C",'Riesgos de Gestión'!$V$17),"")</f>
        <v/>
      </c>
      <c r="W38" s="51" t="str">
        <f>IF(AND('Riesgos de Gestión'!$AI$18="Baja",'Riesgos de Gestión'!$AK$18="Moderado"),CONCATENATE("R3C",'Riesgos de Gestión'!$V$18),"")</f>
        <v/>
      </c>
      <c r="X38" s="51" t="str">
        <f>IF(AND('Riesgos de Gestión'!$AI$19="Baja",'Riesgos de Gestión'!$AK$19="Moderado"),CONCATENATE("R3C",'Riesgos de Gestión'!$V$19),"")</f>
        <v/>
      </c>
      <c r="Y38" s="51" t="e">
        <f>IF(AND('Riesgos de Gestión'!#REF!="Baja",'Riesgos de Gestión'!#REF!="Moderado"),CONCATENATE("R3C",'Riesgos de Gestión'!#REF!),"")</f>
        <v>#REF!</v>
      </c>
      <c r="Z38" s="51" t="e">
        <f>IF(AND('Riesgos de Gestión'!#REF!="Baja",'Riesgos de Gestión'!#REF!="Moderado"),CONCATENATE("R3C",'Riesgos de Gestión'!#REF!),"")</f>
        <v>#REF!</v>
      </c>
      <c r="AA38" s="52" t="e">
        <f>IF(AND('Riesgos de Gestión'!#REF!="Baja",'Riesgos de Gestión'!#REF!="Moderado"),CONCATENATE("R3C",'Riesgos de Gestión'!#REF!),"")</f>
        <v>#REF!</v>
      </c>
      <c r="AB38" s="35" t="str">
        <f>IF(AND('Riesgos de Gestión'!$AI$17="Baja",'Riesgos de Gestión'!$AK$17="Mayor"),CONCATENATE("R3C",'Riesgos de Gestión'!$V$17),"")</f>
        <v/>
      </c>
      <c r="AC38" s="36" t="str">
        <f>IF(AND('Riesgos de Gestión'!$AI$18="Baja",'Riesgos de Gestión'!$AK$18="Mayor"),CONCATENATE("R3C",'Riesgos de Gestión'!$V$18),"")</f>
        <v/>
      </c>
      <c r="AD38" s="36" t="str">
        <f>IF(AND('Riesgos de Gestión'!$AI$19="Baja",'Riesgos de Gestión'!$AK$19="Mayor"),CONCATENATE("R3C",'Riesgos de Gestión'!$V$19),"")</f>
        <v/>
      </c>
      <c r="AE38" s="36" t="e">
        <f>IF(AND('Riesgos de Gestión'!#REF!="Baja",'Riesgos de Gestión'!#REF!="Mayor"),CONCATENATE("R3C",'Riesgos de Gestión'!#REF!),"")</f>
        <v>#REF!</v>
      </c>
      <c r="AF38" s="36" t="e">
        <f>IF(AND('Riesgos de Gestión'!#REF!="Baja",'Riesgos de Gestión'!#REF!="Mayor"),CONCATENATE("R3C",'Riesgos de Gestión'!#REF!),"")</f>
        <v>#REF!</v>
      </c>
      <c r="AG38" s="37" t="e">
        <f>IF(AND('Riesgos de Gestión'!#REF!="Baja",'Riesgos de Gestión'!#REF!="Mayor"),CONCATENATE("R3C",'Riesgos de Gestión'!#REF!),"")</f>
        <v>#REF!</v>
      </c>
      <c r="AH38" s="38" t="str">
        <f>IF(AND('Riesgos de Gestión'!$AI$17="Baja",'Riesgos de Gestión'!$AK$17="Catastrófico"),CONCATENATE("R3C",'Riesgos de Gestión'!$V$17),"")</f>
        <v/>
      </c>
      <c r="AI38" s="39" t="str">
        <f>IF(AND('Riesgos de Gestión'!$AI$18="Baja",'Riesgos de Gestión'!$AK$18="Catastrófico"),CONCATENATE("R3C",'Riesgos de Gestión'!$V$18),"")</f>
        <v/>
      </c>
      <c r="AJ38" s="39" t="str">
        <f>IF(AND('Riesgos de Gestión'!$AI$19="Baja",'Riesgos de Gestión'!$AK$19="Catastrófico"),CONCATENATE("R3C",'Riesgos de Gestión'!$V$19),"")</f>
        <v/>
      </c>
      <c r="AK38" s="39" t="e">
        <f>IF(AND('Riesgos de Gestión'!#REF!="Baja",'Riesgos de Gestión'!#REF!="Catastrófico"),CONCATENATE("R3C",'Riesgos de Gestión'!#REF!),"")</f>
        <v>#REF!</v>
      </c>
      <c r="AL38" s="39" t="e">
        <f>IF(AND('Riesgos de Gestión'!#REF!="Baja",'Riesgos de Gestión'!#REF!="Catastrófico"),CONCATENATE("R3C",'Riesgos de Gestión'!#REF!),"")</f>
        <v>#REF!</v>
      </c>
      <c r="AM38" s="40" t="e">
        <f>IF(AND('Riesgos de Gestión'!#REF!="Baja",'Riesgos de Gestión'!#REF!="Catastrófico"),CONCATENATE("R3C",'Riesgos de Gestión'!#REF!),"")</f>
        <v>#REF!</v>
      </c>
      <c r="AN38" s="66"/>
      <c r="AO38" s="645"/>
      <c r="AP38" s="646"/>
      <c r="AQ38" s="646"/>
      <c r="AR38" s="646"/>
      <c r="AS38" s="646"/>
      <c r="AT38" s="647"/>
      <c r="AU38" s="66"/>
      <c r="AV38" s="66"/>
      <c r="AW38" s="66"/>
      <c r="AX38" s="66"/>
      <c r="AY38" s="66"/>
      <c r="AZ38" s="66"/>
      <c r="BA38" s="66"/>
      <c r="BB38" s="66"/>
      <c r="BC38" s="66"/>
      <c r="BD38" s="66"/>
      <c r="BE38" s="66"/>
      <c r="BF38" s="66"/>
      <c r="BG38" s="66"/>
      <c r="BH38" s="66"/>
      <c r="BI38" s="66"/>
      <c r="BJ38" s="66"/>
      <c r="BK38" s="66"/>
      <c r="BL38" s="66"/>
      <c r="BM38" s="66"/>
      <c r="BN38" s="66"/>
      <c r="BO38" s="66"/>
      <c r="BP38" s="66"/>
      <c r="BQ38" s="66"/>
      <c r="BR38" s="66"/>
      <c r="BS38" s="66"/>
      <c r="BT38" s="66"/>
      <c r="BU38" s="66"/>
      <c r="BV38" s="66"/>
      <c r="BW38" s="66"/>
      <c r="BX38" s="66"/>
    </row>
    <row r="39" spans="1:80" ht="15" customHeight="1" x14ac:dyDescent="0.25">
      <c r="A39" s="66"/>
      <c r="B39" s="526"/>
      <c r="C39" s="526"/>
      <c r="D39" s="527"/>
      <c r="E39" s="625"/>
      <c r="F39" s="624"/>
      <c r="G39" s="624"/>
      <c r="H39" s="624"/>
      <c r="I39" s="624"/>
      <c r="J39" s="59" t="str">
        <f>IF(AND('Riesgos de Gestión'!$AI$20="Baja",'Riesgos de Gestión'!$AK$20="Leve"),CONCATENATE("R4C",'Riesgos de Gestión'!$V$20),"")</f>
        <v/>
      </c>
      <c r="K39" s="60" t="str">
        <f>IF(AND('Riesgos de Gestión'!$AI$21="Baja",'Riesgos de Gestión'!$AK$21="Leve"),CONCATENATE("R4C",'Riesgos de Gestión'!$V$21),"")</f>
        <v/>
      </c>
      <c r="L39" s="60" t="str">
        <f>IF(AND('Riesgos de Gestión'!$AI$22="Baja",'Riesgos de Gestión'!$AK$22="Leve"),CONCATENATE("R4C",'Riesgos de Gestión'!$V$22),"")</f>
        <v/>
      </c>
      <c r="M39" s="60" t="str">
        <f>IF(AND('Riesgos de Gestión'!$AI$23="Baja",'Riesgos de Gestión'!$AK$23="Leve"),CONCATENATE("R4C",'Riesgos de Gestión'!$V$23),"")</f>
        <v/>
      </c>
      <c r="N39" s="60" t="str">
        <f>IF(AND('Riesgos de Gestión'!$AI$24="Baja",'Riesgos de Gestión'!$AK$24="Leve"),CONCATENATE("R4C",'Riesgos de Gestión'!$V$24),"")</f>
        <v/>
      </c>
      <c r="O39" s="61" t="str">
        <f>IF(AND('Riesgos de Gestión'!$AI$25="Baja",'Riesgos de Gestión'!$AK$25="Leve"),CONCATENATE("R4C",'Riesgos de Gestión'!$V$25),"")</f>
        <v/>
      </c>
      <c r="P39" s="50" t="str">
        <f>IF(AND('Riesgos de Gestión'!$AI$20="Baja",'Riesgos de Gestión'!$AK$20="Menor"),CONCATENATE("R4C",'Riesgos de Gestión'!$V$20),"")</f>
        <v/>
      </c>
      <c r="Q39" s="51" t="str">
        <f>IF(AND('Riesgos de Gestión'!$AI$21="Baja",'Riesgos de Gestión'!$AK$21="Menor"),CONCATENATE("R4C",'Riesgos de Gestión'!$V$21),"")</f>
        <v/>
      </c>
      <c r="R39" s="51" t="str">
        <f>IF(AND('Riesgos de Gestión'!$AI$22="Baja",'Riesgos de Gestión'!$AK$22="Menor"),CONCATENATE("R4C",'Riesgos de Gestión'!$V$22),"")</f>
        <v/>
      </c>
      <c r="S39" s="51" t="str">
        <f>IF(AND('Riesgos de Gestión'!$AI$23="Baja",'Riesgos de Gestión'!$AK$23="Menor"),CONCATENATE("R4C",'Riesgos de Gestión'!$V$23),"")</f>
        <v/>
      </c>
      <c r="T39" s="51" t="str">
        <f>IF(AND('Riesgos de Gestión'!$AI$24="Baja",'Riesgos de Gestión'!$AK$24="Menor"),CONCATENATE("R4C",'Riesgos de Gestión'!$V$24),"")</f>
        <v/>
      </c>
      <c r="U39" s="52" t="str">
        <f>IF(AND('Riesgos de Gestión'!$AI$25="Baja",'Riesgos de Gestión'!$AK$25="Menor"),CONCATENATE("R4C",'Riesgos de Gestión'!$V$25),"")</f>
        <v/>
      </c>
      <c r="V39" s="50" t="str">
        <f>IF(AND('Riesgos de Gestión'!$AI$20="Baja",'Riesgos de Gestión'!$AK$20="Moderado"),CONCATENATE("R4C",'Riesgos de Gestión'!$V$20),"")</f>
        <v/>
      </c>
      <c r="W39" s="51" t="str">
        <f>IF(AND('Riesgos de Gestión'!$AI$21="Baja",'Riesgos de Gestión'!$AK$21="Moderado"),CONCATENATE("R4C",'Riesgos de Gestión'!$V$21),"")</f>
        <v/>
      </c>
      <c r="X39" s="51" t="str">
        <f>IF(AND('Riesgos de Gestión'!$AI$22="Baja",'Riesgos de Gestión'!$AK$22="Moderado"),CONCATENATE("R4C",'Riesgos de Gestión'!$V$22),"")</f>
        <v/>
      </c>
      <c r="Y39" s="51" t="str">
        <f>IF(AND('Riesgos de Gestión'!$AI$23="Baja",'Riesgos de Gestión'!$AK$23="Moderado"),CONCATENATE("R4C",'Riesgos de Gestión'!$V$23),"")</f>
        <v/>
      </c>
      <c r="Z39" s="51" t="str">
        <f>IF(AND('Riesgos de Gestión'!$AI$24="Baja",'Riesgos de Gestión'!$AK$24="Moderado"),CONCATENATE("R4C",'Riesgos de Gestión'!$V$24),"")</f>
        <v/>
      </c>
      <c r="AA39" s="52" t="str">
        <f>IF(AND('Riesgos de Gestión'!$AI$25="Baja",'Riesgos de Gestión'!$AK$25="Moderado"),CONCATENATE("R4C",'Riesgos de Gestión'!$V$25),"")</f>
        <v/>
      </c>
      <c r="AB39" s="35" t="str">
        <f>IF(AND('Riesgos de Gestión'!$AI$20="Baja",'Riesgos de Gestión'!$AK$20="Mayor"),CONCATENATE("R4C",'Riesgos de Gestión'!$V$20),"")</f>
        <v/>
      </c>
      <c r="AC39" s="36" t="str">
        <f>IF(AND('Riesgos de Gestión'!$AI$21="Baja",'Riesgos de Gestión'!$AK$21="Mayor"),CONCATENATE("R4C",'Riesgos de Gestión'!$V$21),"")</f>
        <v/>
      </c>
      <c r="AD39" s="36" t="str">
        <f>IF(AND('Riesgos de Gestión'!$AI$22="Baja",'Riesgos de Gestión'!$AK$22="Mayor"),CONCATENATE("R4C",'Riesgos de Gestión'!$V$22),"")</f>
        <v/>
      </c>
      <c r="AE39" s="36" t="str">
        <f>IF(AND('Riesgos de Gestión'!$AI$23="Baja",'Riesgos de Gestión'!$AK$23="Mayor"),CONCATENATE("R4C",'Riesgos de Gestión'!$V$23),"")</f>
        <v/>
      </c>
      <c r="AF39" s="36" t="str">
        <f>IF(AND('Riesgos de Gestión'!$AI$24="Baja",'Riesgos de Gestión'!$AK$24="Mayor"),CONCATENATE("R4C",'Riesgos de Gestión'!$V$24),"")</f>
        <v/>
      </c>
      <c r="AG39" s="37" t="str">
        <f>IF(AND('Riesgos de Gestión'!$AI$25="Baja",'Riesgos de Gestión'!$AK$25="Mayor"),CONCATENATE("R4C",'Riesgos de Gestión'!$V$25),"")</f>
        <v/>
      </c>
      <c r="AH39" s="38" t="str">
        <f>IF(AND('Riesgos de Gestión'!$AI$20="Baja",'Riesgos de Gestión'!$AK$20="Catastrófico"),CONCATENATE("R4C",'Riesgos de Gestión'!$V$20),"")</f>
        <v/>
      </c>
      <c r="AI39" s="39" t="str">
        <f>IF(AND('Riesgos de Gestión'!$AI$21="Baja",'Riesgos de Gestión'!$AK$21="Catastrófico"),CONCATENATE("R4C",'Riesgos de Gestión'!$V$21),"")</f>
        <v/>
      </c>
      <c r="AJ39" s="39" t="str">
        <f>IF(AND('Riesgos de Gestión'!$AI$22="Baja",'Riesgos de Gestión'!$AK$22="Catastrófico"),CONCATENATE("R4C",'Riesgos de Gestión'!$V$22),"")</f>
        <v/>
      </c>
      <c r="AK39" s="39" t="str">
        <f>IF(AND('Riesgos de Gestión'!$AI$23="Baja",'Riesgos de Gestión'!$AK$23="Catastrófico"),CONCATENATE("R4C",'Riesgos de Gestión'!$V$23),"")</f>
        <v/>
      </c>
      <c r="AL39" s="39" t="str">
        <f>IF(AND('Riesgos de Gestión'!$AI$24="Baja",'Riesgos de Gestión'!$AK$24="Catastrófico"),CONCATENATE("R4C",'Riesgos de Gestión'!$V$24),"")</f>
        <v/>
      </c>
      <c r="AM39" s="40" t="str">
        <f>IF(AND('Riesgos de Gestión'!$AI$25="Baja",'Riesgos de Gestión'!$AK$25="Catastrófico"),CONCATENATE("R4C",'Riesgos de Gestión'!$V$25),"")</f>
        <v/>
      </c>
      <c r="AN39" s="66"/>
      <c r="AO39" s="645"/>
      <c r="AP39" s="646"/>
      <c r="AQ39" s="646"/>
      <c r="AR39" s="646"/>
      <c r="AS39" s="646"/>
      <c r="AT39" s="647"/>
      <c r="AU39" s="66"/>
      <c r="AV39" s="66"/>
      <c r="AW39" s="66"/>
      <c r="AX39" s="66"/>
      <c r="AY39" s="66"/>
      <c r="AZ39" s="66"/>
      <c r="BA39" s="66"/>
      <c r="BB39" s="66"/>
      <c r="BC39" s="66"/>
      <c r="BD39" s="66"/>
      <c r="BE39" s="66"/>
      <c r="BF39" s="66"/>
      <c r="BG39" s="66"/>
      <c r="BH39" s="66"/>
      <c r="BI39" s="66"/>
      <c r="BJ39" s="66"/>
      <c r="BK39" s="66"/>
      <c r="BL39" s="66"/>
      <c r="BM39" s="66"/>
      <c r="BN39" s="66"/>
      <c r="BO39" s="66"/>
      <c r="BP39" s="66"/>
      <c r="BQ39" s="66"/>
      <c r="BR39" s="66"/>
      <c r="BS39" s="66"/>
      <c r="BT39" s="66"/>
      <c r="BU39" s="66"/>
      <c r="BV39" s="66"/>
      <c r="BW39" s="66"/>
      <c r="BX39" s="66"/>
    </row>
    <row r="40" spans="1:80" ht="15" customHeight="1" x14ac:dyDescent="0.25">
      <c r="A40" s="66"/>
      <c r="B40" s="526"/>
      <c r="C40" s="526"/>
      <c r="D40" s="527"/>
      <c r="E40" s="625"/>
      <c r="F40" s="624"/>
      <c r="G40" s="624"/>
      <c r="H40" s="624"/>
      <c r="I40" s="624"/>
      <c r="J40" s="59" t="str">
        <f>IF(AND('Riesgos de Gestión'!$AI$26="Baja",'Riesgos de Gestión'!$AK$26="Leve"),CONCATENATE("R5C",'Riesgos de Gestión'!$V$26),"")</f>
        <v/>
      </c>
      <c r="K40" s="60" t="str">
        <f>IF(AND('Riesgos de Gestión'!$AI$27="Baja",'Riesgos de Gestión'!$AK$27="Leve"),CONCATENATE("R5C",'Riesgos de Gestión'!$V$27),"")</f>
        <v/>
      </c>
      <c r="L40" s="60" t="str">
        <f>IF(AND('Riesgos de Gestión'!$AI$28="Baja",'Riesgos de Gestión'!$AK$28="Leve"),CONCATENATE("R5C",'Riesgos de Gestión'!$V$28),"")</f>
        <v/>
      </c>
      <c r="M40" s="60" t="str">
        <f>IF(AND('Riesgos de Gestión'!$AI$29="Baja",'Riesgos de Gestión'!$AK$29="Leve"),CONCATENATE("R5C",'Riesgos de Gestión'!$V$29),"")</f>
        <v/>
      </c>
      <c r="N40" s="60" t="str">
        <f>IF(AND('Riesgos de Gestión'!$AI$30="Baja",'Riesgos de Gestión'!$AK$30="Leve"),CONCATENATE("R5C",'Riesgos de Gestión'!$V$30),"")</f>
        <v/>
      </c>
      <c r="O40" s="61" t="str">
        <f>IF(AND('Riesgos de Gestión'!$AI$31="Baja",'Riesgos de Gestión'!$AK$31="Leve"),CONCATENATE("R5C",'Riesgos de Gestión'!$V$31),"")</f>
        <v/>
      </c>
      <c r="P40" s="50" t="str">
        <f>IF(AND('Riesgos de Gestión'!$AI$26="Baja",'Riesgos de Gestión'!$AK$26="Menor"),CONCATENATE("R5C",'Riesgos de Gestión'!$V$26),"")</f>
        <v/>
      </c>
      <c r="Q40" s="51" t="str">
        <f>IF(AND('Riesgos de Gestión'!$AI$27="Baja",'Riesgos de Gestión'!$AK$27="Menor"),CONCATENATE("R5C",'Riesgos de Gestión'!$V$27),"")</f>
        <v/>
      </c>
      <c r="R40" s="51" t="str">
        <f>IF(AND('Riesgos de Gestión'!$AI$28="Baja",'Riesgos de Gestión'!$AK$28="Menor"),CONCATENATE("R5C",'Riesgos de Gestión'!$V$28),"")</f>
        <v/>
      </c>
      <c r="S40" s="51" t="str">
        <f>IF(AND('Riesgos de Gestión'!$AI$29="Baja",'Riesgos de Gestión'!$AK$29="Menor"),CONCATENATE("R5C",'Riesgos de Gestión'!$V$29),"")</f>
        <v/>
      </c>
      <c r="T40" s="51" t="str">
        <f>IF(AND('Riesgos de Gestión'!$AI$30="Baja",'Riesgos de Gestión'!$AK$30="Menor"),CONCATENATE("R5C",'Riesgos de Gestión'!$V$30),"")</f>
        <v/>
      </c>
      <c r="U40" s="52" t="str">
        <f>IF(AND('Riesgos de Gestión'!$AI$31="Baja",'Riesgos de Gestión'!$AK$31="Menor"),CONCATENATE("R5C",'Riesgos de Gestión'!$V$31),"")</f>
        <v/>
      </c>
      <c r="V40" s="50" t="str">
        <f>IF(AND('Riesgos de Gestión'!$AI$26="Baja",'Riesgos de Gestión'!$AK$26="Moderado"),CONCATENATE("R5C",'Riesgos de Gestión'!$V$26),"")</f>
        <v/>
      </c>
      <c r="W40" s="51" t="str">
        <f>IF(AND('Riesgos de Gestión'!$AI$27="Baja",'Riesgos de Gestión'!$AK$27="Moderado"),CONCATENATE("R5C",'Riesgos de Gestión'!$V$27),"")</f>
        <v/>
      </c>
      <c r="X40" s="51" t="str">
        <f>IF(AND('Riesgos de Gestión'!$AI$28="Baja",'Riesgos de Gestión'!$AK$28="Moderado"),CONCATENATE("R5C",'Riesgos de Gestión'!$V$28),"")</f>
        <v/>
      </c>
      <c r="Y40" s="51" t="str">
        <f>IF(AND('Riesgos de Gestión'!$AI$29="Baja",'Riesgos de Gestión'!$AK$29="Moderado"),CONCATENATE("R5C",'Riesgos de Gestión'!$V$29),"")</f>
        <v/>
      </c>
      <c r="Z40" s="51" t="str">
        <f>IF(AND('Riesgos de Gestión'!$AI$30="Baja",'Riesgos de Gestión'!$AK$30="Moderado"),CONCATENATE("R5C",'Riesgos de Gestión'!$V$30),"")</f>
        <v/>
      </c>
      <c r="AA40" s="52" t="str">
        <f>IF(AND('Riesgos de Gestión'!$AI$31="Baja",'Riesgos de Gestión'!$AK$31="Moderado"),CONCATENATE("R5C",'Riesgos de Gestión'!$V$31),"")</f>
        <v/>
      </c>
      <c r="AB40" s="35" t="str">
        <f>IF(AND('Riesgos de Gestión'!$AI$26="Baja",'Riesgos de Gestión'!$AK$26="Mayor"),CONCATENATE("R5C",'Riesgos de Gestión'!$V$26),"")</f>
        <v/>
      </c>
      <c r="AC40" s="36" t="str">
        <f>IF(AND('Riesgos de Gestión'!$AI$27="Baja",'Riesgos de Gestión'!$AK$27="Mayor"),CONCATENATE("R5C",'Riesgos de Gestión'!$V$27),"")</f>
        <v/>
      </c>
      <c r="AD40" s="36" t="str">
        <f>IF(AND('Riesgos de Gestión'!$AI$28="Baja",'Riesgos de Gestión'!$AK$28="Mayor"),CONCATENATE("R5C",'Riesgos de Gestión'!$V$28),"")</f>
        <v/>
      </c>
      <c r="AE40" s="36" t="str">
        <f>IF(AND('Riesgos de Gestión'!$AI$29="Baja",'Riesgos de Gestión'!$AK$29="Mayor"),CONCATENATE("R5C",'Riesgos de Gestión'!$V$29),"")</f>
        <v/>
      </c>
      <c r="AF40" s="36" t="str">
        <f>IF(AND('Riesgos de Gestión'!$AI$30="Baja",'Riesgos de Gestión'!$AK$30="Mayor"),CONCATENATE("R5C",'Riesgos de Gestión'!$V$30),"")</f>
        <v/>
      </c>
      <c r="AG40" s="37" t="str">
        <f>IF(AND('Riesgos de Gestión'!$AI$31="Baja",'Riesgos de Gestión'!$AK$31="Mayor"),CONCATENATE("R5C",'Riesgos de Gestión'!$V$31),"")</f>
        <v/>
      </c>
      <c r="AH40" s="38" t="str">
        <f>IF(AND('Riesgos de Gestión'!$AI$26="Baja",'Riesgos de Gestión'!$AK$26="Catastrófico"),CONCATENATE("R5C",'Riesgos de Gestión'!$V$26),"")</f>
        <v/>
      </c>
      <c r="AI40" s="39" t="str">
        <f>IF(AND('Riesgos de Gestión'!$AI$27="Baja",'Riesgos de Gestión'!$AK$27="Catastrófico"),CONCATENATE("R5C",'Riesgos de Gestión'!$V$27),"")</f>
        <v/>
      </c>
      <c r="AJ40" s="39" t="str">
        <f>IF(AND('Riesgos de Gestión'!$AI$28="Baja",'Riesgos de Gestión'!$AK$28="Catastrófico"),CONCATENATE("R5C",'Riesgos de Gestión'!$V$28),"")</f>
        <v/>
      </c>
      <c r="AK40" s="39" t="str">
        <f>IF(AND('Riesgos de Gestión'!$AI$29="Baja",'Riesgos de Gestión'!$AK$29="Catastrófico"),CONCATENATE("R5C",'Riesgos de Gestión'!$V$29),"")</f>
        <v/>
      </c>
      <c r="AL40" s="39" t="str">
        <f>IF(AND('Riesgos de Gestión'!$AI$30="Baja",'Riesgos de Gestión'!$AK$30="Catastrófico"),CONCATENATE("R5C",'Riesgos de Gestión'!$V$30),"")</f>
        <v/>
      </c>
      <c r="AM40" s="40" t="str">
        <f>IF(AND('Riesgos de Gestión'!$AI$31="Baja",'Riesgos de Gestión'!$AK$31="Catastrófico"),CONCATENATE("R5C",'Riesgos de Gestión'!$V$31),"")</f>
        <v/>
      </c>
      <c r="AN40" s="66"/>
      <c r="AO40" s="645"/>
      <c r="AP40" s="646"/>
      <c r="AQ40" s="646"/>
      <c r="AR40" s="646"/>
      <c r="AS40" s="646"/>
      <c r="AT40" s="647"/>
      <c r="AU40" s="66"/>
      <c r="AV40" s="66"/>
      <c r="AW40" s="66"/>
      <c r="AX40" s="66"/>
      <c r="AY40" s="66"/>
      <c r="AZ40" s="66"/>
      <c r="BA40" s="66"/>
      <c r="BB40" s="66"/>
      <c r="BC40" s="66"/>
      <c r="BD40" s="66"/>
      <c r="BE40" s="66"/>
      <c r="BF40" s="66"/>
      <c r="BG40" s="66"/>
      <c r="BH40" s="66"/>
      <c r="BI40" s="66"/>
      <c r="BJ40" s="66"/>
      <c r="BK40" s="66"/>
      <c r="BL40" s="66"/>
      <c r="BM40" s="66"/>
      <c r="BN40" s="66"/>
      <c r="BO40" s="66"/>
      <c r="BP40" s="66"/>
      <c r="BQ40" s="66"/>
      <c r="BR40" s="66"/>
      <c r="BS40" s="66"/>
      <c r="BT40" s="66"/>
      <c r="BU40" s="66"/>
      <c r="BV40" s="66"/>
      <c r="BW40" s="66"/>
      <c r="BX40" s="66"/>
    </row>
    <row r="41" spans="1:80" ht="15" customHeight="1" x14ac:dyDescent="0.25">
      <c r="A41" s="66"/>
      <c r="B41" s="526"/>
      <c r="C41" s="526"/>
      <c r="D41" s="527"/>
      <c r="E41" s="625"/>
      <c r="F41" s="624"/>
      <c r="G41" s="624"/>
      <c r="H41" s="624"/>
      <c r="I41" s="624"/>
      <c r="J41" s="59" t="str">
        <f>IF(AND('Riesgos de Gestión'!$AI$32="Baja",'Riesgos de Gestión'!$AK$32="Leve"),CONCATENATE("R6C",'Riesgos de Gestión'!$V$32),"")</f>
        <v/>
      </c>
      <c r="K41" s="60" t="str">
        <f>IF(AND('Riesgos de Gestión'!$AI$33="Baja",'Riesgos de Gestión'!$AK$33="Leve"),CONCATENATE("R6C",'Riesgos de Gestión'!$V$33),"")</f>
        <v/>
      </c>
      <c r="L41" s="60" t="str">
        <f>IF(AND('Riesgos de Gestión'!$AI$34="Baja",'Riesgos de Gestión'!$AK$34="Leve"),CONCATENATE("R6C",'Riesgos de Gestión'!$V$34),"")</f>
        <v/>
      </c>
      <c r="M41" s="60" t="str">
        <f>IF(AND('Riesgos de Gestión'!$AI$35="Baja",'Riesgos de Gestión'!$AK$35="Leve"),CONCATENATE("R6C",'Riesgos de Gestión'!$V$35),"")</f>
        <v/>
      </c>
      <c r="N41" s="60" t="str">
        <f>IF(AND('Riesgos de Gestión'!$AI$36="Baja",'Riesgos de Gestión'!$AK$36="Leve"),CONCATENATE("R6C",'Riesgos de Gestión'!$V$36),"")</f>
        <v/>
      </c>
      <c r="O41" s="61" t="str">
        <f>IF(AND('Riesgos de Gestión'!$AI$37="Baja",'Riesgos de Gestión'!$AK$37="Leve"),CONCATENATE("R6C",'Riesgos de Gestión'!$V$37),"")</f>
        <v/>
      </c>
      <c r="P41" s="50" t="str">
        <f>IF(AND('Riesgos de Gestión'!$AI$32="Baja",'Riesgos de Gestión'!$AK$32="Menor"),CONCATENATE("R6C",'Riesgos de Gestión'!$V$32),"")</f>
        <v/>
      </c>
      <c r="Q41" s="51" t="str">
        <f>IF(AND('Riesgos de Gestión'!$AI$33="Baja",'Riesgos de Gestión'!$AK$33="Menor"),CONCATENATE("R6C",'Riesgos de Gestión'!$V$33),"")</f>
        <v/>
      </c>
      <c r="R41" s="51" t="str">
        <f>IF(AND('Riesgos de Gestión'!$AI$34="Baja",'Riesgos de Gestión'!$AK$34="Menor"),CONCATENATE("R6C",'Riesgos de Gestión'!$V$34),"")</f>
        <v/>
      </c>
      <c r="S41" s="51" t="str">
        <f>IF(AND('Riesgos de Gestión'!$AI$35="Baja",'Riesgos de Gestión'!$AK$35="Menor"),CONCATENATE("R6C",'Riesgos de Gestión'!$V$35),"")</f>
        <v/>
      </c>
      <c r="T41" s="51" t="str">
        <f>IF(AND('Riesgos de Gestión'!$AI$36="Baja",'Riesgos de Gestión'!$AK$36="Menor"),CONCATENATE("R6C",'Riesgos de Gestión'!$V$36),"")</f>
        <v/>
      </c>
      <c r="U41" s="52" t="str">
        <f>IF(AND('Riesgos de Gestión'!$AI$37="Baja",'Riesgos de Gestión'!$AK$37="Menor"),CONCATENATE("R6C",'Riesgos de Gestión'!$V$37),"")</f>
        <v/>
      </c>
      <c r="V41" s="50" t="str">
        <f>IF(AND('Riesgos de Gestión'!$AI$32="Baja",'Riesgos de Gestión'!$AK$32="Moderado"),CONCATENATE("R6C",'Riesgos de Gestión'!$V$32),"")</f>
        <v/>
      </c>
      <c r="W41" s="51" t="str">
        <f>IF(AND('Riesgos de Gestión'!$AI$33="Baja",'Riesgos de Gestión'!$AK$33="Moderado"),CONCATENATE("R6C",'Riesgos de Gestión'!$V$33),"")</f>
        <v/>
      </c>
      <c r="X41" s="51" t="str">
        <f>IF(AND('Riesgos de Gestión'!$AI$34="Baja",'Riesgos de Gestión'!$AK$34="Moderado"),CONCATENATE("R6C",'Riesgos de Gestión'!$V$34),"")</f>
        <v/>
      </c>
      <c r="Y41" s="51" t="str">
        <f>IF(AND('Riesgos de Gestión'!$AI$35="Baja",'Riesgos de Gestión'!$AK$35="Moderado"),CONCATENATE("R6C",'Riesgos de Gestión'!$V$35),"")</f>
        <v/>
      </c>
      <c r="Z41" s="51" t="str">
        <f>IF(AND('Riesgos de Gestión'!$AI$36="Baja",'Riesgos de Gestión'!$AK$36="Moderado"),CONCATENATE("R6C",'Riesgos de Gestión'!$V$36),"")</f>
        <v/>
      </c>
      <c r="AA41" s="52" t="str">
        <f>IF(AND('Riesgos de Gestión'!$AI$37="Baja",'Riesgos de Gestión'!$AK$37="Moderado"),CONCATENATE("R6C",'Riesgos de Gestión'!$V$37),"")</f>
        <v/>
      </c>
      <c r="AB41" s="35" t="str">
        <f>IF(AND('Riesgos de Gestión'!$AI$32="Baja",'Riesgos de Gestión'!$AK$32="Mayor"),CONCATENATE("R6C",'Riesgos de Gestión'!$V$32),"")</f>
        <v/>
      </c>
      <c r="AC41" s="36" t="str">
        <f>IF(AND('Riesgos de Gestión'!$AI$33="Baja",'Riesgos de Gestión'!$AK$33="Mayor"),CONCATENATE("R6C",'Riesgos de Gestión'!$V$33),"")</f>
        <v/>
      </c>
      <c r="AD41" s="36" t="str">
        <f>IF(AND('Riesgos de Gestión'!$AI$34="Baja",'Riesgos de Gestión'!$AK$34="Mayor"),CONCATENATE("R6C",'Riesgos de Gestión'!$V$34),"")</f>
        <v/>
      </c>
      <c r="AE41" s="36" t="str">
        <f>IF(AND('Riesgos de Gestión'!$AI$35="Baja",'Riesgos de Gestión'!$AK$35="Mayor"),CONCATENATE("R6C",'Riesgos de Gestión'!$V$35),"")</f>
        <v/>
      </c>
      <c r="AF41" s="36" t="str">
        <f>IF(AND('Riesgos de Gestión'!$AI$36="Baja",'Riesgos de Gestión'!$AK$36="Mayor"),CONCATENATE("R6C",'Riesgos de Gestión'!$V$36),"")</f>
        <v/>
      </c>
      <c r="AG41" s="37" t="str">
        <f>IF(AND('Riesgos de Gestión'!$AI$37="Baja",'Riesgos de Gestión'!$AK$37="Mayor"),CONCATENATE("R6C",'Riesgos de Gestión'!$V$37),"")</f>
        <v/>
      </c>
      <c r="AH41" s="38" t="str">
        <f>IF(AND('Riesgos de Gestión'!$AI$32="Baja",'Riesgos de Gestión'!$AK$32="Catastrófico"),CONCATENATE("R6C",'Riesgos de Gestión'!$V$32),"")</f>
        <v/>
      </c>
      <c r="AI41" s="39" t="str">
        <f>IF(AND('Riesgos de Gestión'!$AI$33="Baja",'Riesgos de Gestión'!$AK$33="Catastrófico"),CONCATENATE("R6C",'Riesgos de Gestión'!$V$33),"")</f>
        <v/>
      </c>
      <c r="AJ41" s="39" t="str">
        <f>IF(AND('Riesgos de Gestión'!$AI$34="Baja",'Riesgos de Gestión'!$AK$34="Catastrófico"),CONCATENATE("R6C",'Riesgos de Gestión'!$V$34),"")</f>
        <v/>
      </c>
      <c r="AK41" s="39" t="str">
        <f>IF(AND('Riesgos de Gestión'!$AI$35="Baja",'Riesgos de Gestión'!$AK$35="Catastrófico"),CONCATENATE("R6C",'Riesgos de Gestión'!$V$35),"")</f>
        <v/>
      </c>
      <c r="AL41" s="39" t="str">
        <f>IF(AND('Riesgos de Gestión'!$AI$36="Baja",'Riesgos de Gestión'!$AK$36="Catastrófico"),CONCATENATE("R6C",'Riesgos de Gestión'!$V$36),"")</f>
        <v/>
      </c>
      <c r="AM41" s="40" t="str">
        <f>IF(AND('Riesgos de Gestión'!$AI$37="Baja",'Riesgos de Gestión'!$AK$37="Catastrófico"),CONCATENATE("R6C",'Riesgos de Gestión'!$V$37),"")</f>
        <v/>
      </c>
      <c r="AN41" s="66"/>
      <c r="AO41" s="645"/>
      <c r="AP41" s="646"/>
      <c r="AQ41" s="646"/>
      <c r="AR41" s="646"/>
      <c r="AS41" s="646"/>
      <c r="AT41" s="647"/>
      <c r="AU41" s="66"/>
      <c r="AV41" s="66"/>
      <c r="AW41" s="66"/>
      <c r="AX41" s="66"/>
      <c r="AY41" s="66"/>
      <c r="AZ41" s="66"/>
      <c r="BA41" s="66"/>
      <c r="BB41" s="66"/>
      <c r="BC41" s="66"/>
      <c r="BD41" s="66"/>
      <c r="BE41" s="66"/>
      <c r="BF41" s="66"/>
      <c r="BG41" s="66"/>
      <c r="BH41" s="66"/>
      <c r="BI41" s="66"/>
      <c r="BJ41" s="66"/>
      <c r="BK41" s="66"/>
      <c r="BL41" s="66"/>
      <c r="BM41" s="66"/>
      <c r="BN41" s="66"/>
      <c r="BO41" s="66"/>
      <c r="BP41" s="66"/>
      <c r="BQ41" s="66"/>
      <c r="BR41" s="66"/>
      <c r="BS41" s="66"/>
      <c r="BT41" s="66"/>
      <c r="BU41" s="66"/>
      <c r="BV41" s="66"/>
      <c r="BW41" s="66"/>
      <c r="BX41" s="66"/>
    </row>
    <row r="42" spans="1:80" ht="15" customHeight="1" x14ac:dyDescent="0.25">
      <c r="A42" s="66"/>
      <c r="B42" s="526"/>
      <c r="C42" s="526"/>
      <c r="D42" s="527"/>
      <c r="E42" s="625"/>
      <c r="F42" s="624"/>
      <c r="G42" s="624"/>
      <c r="H42" s="624"/>
      <c r="I42" s="624"/>
      <c r="J42" s="59" t="str">
        <f>IF(AND('Riesgos de Gestión'!$AI$38="Baja",'Riesgos de Gestión'!$AK$38="Leve"),CONCATENATE("R7C",'Riesgos de Gestión'!$V$38),"")</f>
        <v/>
      </c>
      <c r="K42" s="60" t="str">
        <f>IF(AND('Riesgos de Gestión'!$AI$39="Baja",'Riesgos de Gestión'!$AK$39="Leve"),CONCATENATE("R7C",'Riesgos de Gestión'!$V$39),"")</f>
        <v/>
      </c>
      <c r="L42" s="60" t="str">
        <f>IF(AND('Riesgos de Gestión'!$AI$40="Baja",'Riesgos de Gestión'!$AK$40="Leve"),CONCATENATE("R7C",'Riesgos de Gestión'!$V$40),"")</f>
        <v/>
      </c>
      <c r="M42" s="60" t="str">
        <f>IF(AND('Riesgos de Gestión'!$AI$41="Baja",'Riesgos de Gestión'!$AK$41="Leve"),CONCATENATE("R7C",'Riesgos de Gestión'!$V$41),"")</f>
        <v/>
      </c>
      <c r="N42" s="60" t="str">
        <f>IF(AND('Riesgos de Gestión'!$AI$42="Baja",'Riesgos de Gestión'!$AK$42="Leve"),CONCATENATE("R7C",'Riesgos de Gestión'!$V$42),"")</f>
        <v/>
      </c>
      <c r="O42" s="61" t="str">
        <f>IF(AND('Riesgos de Gestión'!$AI$43="Baja",'Riesgos de Gestión'!$AK$43="Leve"),CONCATENATE("R7C",'Riesgos de Gestión'!$V$43),"")</f>
        <v/>
      </c>
      <c r="P42" s="50" t="str">
        <f>IF(AND('Riesgos de Gestión'!$AI$38="Baja",'Riesgos de Gestión'!$AK$38="Menor"),CONCATENATE("R7C",'Riesgos de Gestión'!$V$38),"")</f>
        <v/>
      </c>
      <c r="Q42" s="51" t="str">
        <f>IF(AND('Riesgos de Gestión'!$AI$39="Baja",'Riesgos de Gestión'!$AK$39="Menor"),CONCATENATE("R7C",'Riesgos de Gestión'!$V$39),"")</f>
        <v/>
      </c>
      <c r="R42" s="51" t="str">
        <f>IF(AND('Riesgos de Gestión'!$AI$40="Baja",'Riesgos de Gestión'!$AK$40="Menor"),CONCATENATE("R7C",'Riesgos de Gestión'!$V$40),"")</f>
        <v/>
      </c>
      <c r="S42" s="51" t="str">
        <f>IF(AND('Riesgos de Gestión'!$AI$41="Baja",'Riesgos de Gestión'!$AK$41="Menor"),CONCATENATE("R7C",'Riesgos de Gestión'!$V$41),"")</f>
        <v/>
      </c>
      <c r="T42" s="51" t="str">
        <f>IF(AND('Riesgos de Gestión'!$AI$42="Baja",'Riesgos de Gestión'!$AK$42="Menor"),CONCATENATE("R7C",'Riesgos de Gestión'!$V$42),"")</f>
        <v/>
      </c>
      <c r="U42" s="52" t="str">
        <f>IF(AND('Riesgos de Gestión'!$AI$43="Baja",'Riesgos de Gestión'!$AK$43="Menor"),CONCATENATE("R7C",'Riesgos de Gestión'!$V$43),"")</f>
        <v/>
      </c>
      <c r="V42" s="50" t="str">
        <f>IF(AND('Riesgos de Gestión'!$AI$38="Baja",'Riesgos de Gestión'!$AK$38="Moderado"),CONCATENATE("R7C",'Riesgos de Gestión'!$V$38),"")</f>
        <v/>
      </c>
      <c r="W42" s="51" t="str">
        <f>IF(AND('Riesgos de Gestión'!$AI$39="Baja",'Riesgos de Gestión'!$AK$39="Moderado"),CONCATENATE("R7C",'Riesgos de Gestión'!$V$39),"")</f>
        <v/>
      </c>
      <c r="X42" s="51" t="str">
        <f>IF(AND('Riesgos de Gestión'!$AI$40="Baja",'Riesgos de Gestión'!$AK$40="Moderado"),CONCATENATE("R7C",'Riesgos de Gestión'!$V$40),"")</f>
        <v/>
      </c>
      <c r="Y42" s="51" t="str">
        <f>IF(AND('Riesgos de Gestión'!$AI$41="Baja",'Riesgos de Gestión'!$AK$41="Moderado"),CONCATENATE("R7C",'Riesgos de Gestión'!$V$41),"")</f>
        <v/>
      </c>
      <c r="Z42" s="51" t="str">
        <f>IF(AND('Riesgos de Gestión'!$AI$42="Baja",'Riesgos de Gestión'!$AK$42="Moderado"),CONCATENATE("R7C",'Riesgos de Gestión'!$V$42),"")</f>
        <v/>
      </c>
      <c r="AA42" s="52" t="str">
        <f>IF(AND('Riesgos de Gestión'!$AI$43="Baja",'Riesgos de Gestión'!$AK$43="Moderado"),CONCATENATE("R7C",'Riesgos de Gestión'!$V$43),"")</f>
        <v/>
      </c>
      <c r="AB42" s="35" t="str">
        <f>IF(AND('Riesgos de Gestión'!$AI$38="Baja",'Riesgos de Gestión'!$AK$38="Mayor"),CONCATENATE("R7C",'Riesgos de Gestión'!$V$38),"")</f>
        <v/>
      </c>
      <c r="AC42" s="36" t="str">
        <f>IF(AND('Riesgos de Gestión'!$AI$39="Baja",'Riesgos de Gestión'!$AK$39="Mayor"),CONCATENATE("R7C",'Riesgos de Gestión'!$V$39),"")</f>
        <v/>
      </c>
      <c r="AD42" s="36" t="str">
        <f>IF(AND('Riesgos de Gestión'!$AI$40="Baja",'Riesgos de Gestión'!$AK$40="Mayor"),CONCATENATE("R7C",'Riesgos de Gestión'!$V$40),"")</f>
        <v/>
      </c>
      <c r="AE42" s="36" t="str">
        <f>IF(AND('Riesgos de Gestión'!$AI$41="Baja",'Riesgos de Gestión'!$AK$41="Mayor"),CONCATENATE("R7C",'Riesgos de Gestión'!$V$41),"")</f>
        <v/>
      </c>
      <c r="AF42" s="36" t="str">
        <f>IF(AND('Riesgos de Gestión'!$AI$42="Baja",'Riesgos de Gestión'!$AK$42="Mayor"),CONCATENATE("R7C",'Riesgos de Gestión'!$V$42),"")</f>
        <v/>
      </c>
      <c r="AG42" s="37" t="str">
        <f>IF(AND('Riesgos de Gestión'!$AI$43="Baja",'Riesgos de Gestión'!$AK$43="Mayor"),CONCATENATE("R7C",'Riesgos de Gestión'!$V$43),"")</f>
        <v/>
      </c>
      <c r="AH42" s="38" t="str">
        <f>IF(AND('Riesgos de Gestión'!$AI$38="Baja",'Riesgos de Gestión'!$AK$38="Catastrófico"),CONCATENATE("R7C",'Riesgos de Gestión'!$V$38),"")</f>
        <v/>
      </c>
      <c r="AI42" s="39" t="str">
        <f>IF(AND('Riesgos de Gestión'!$AI$39="Baja",'Riesgos de Gestión'!$AK$39="Catastrófico"),CONCATENATE("R7C",'Riesgos de Gestión'!$V$39),"")</f>
        <v/>
      </c>
      <c r="AJ42" s="39" t="str">
        <f>IF(AND('Riesgos de Gestión'!$AI$40="Baja",'Riesgos de Gestión'!$AK$40="Catastrófico"),CONCATENATE("R7C",'Riesgos de Gestión'!$V$40),"")</f>
        <v/>
      </c>
      <c r="AK42" s="39" t="str">
        <f>IF(AND('Riesgos de Gestión'!$AI$41="Baja",'Riesgos de Gestión'!$AK$41="Catastrófico"),CONCATENATE("R7C",'Riesgos de Gestión'!$V$41),"")</f>
        <v/>
      </c>
      <c r="AL42" s="39" t="str">
        <f>IF(AND('Riesgos de Gestión'!$AI$42="Baja",'Riesgos de Gestión'!$AK$42="Catastrófico"),CONCATENATE("R7C",'Riesgos de Gestión'!$V$42),"")</f>
        <v/>
      </c>
      <c r="AM42" s="40" t="str">
        <f>IF(AND('Riesgos de Gestión'!$AI$43="Baja",'Riesgos de Gestión'!$AK$43="Catastrófico"),CONCATENATE("R7C",'Riesgos de Gestión'!$V$43),"")</f>
        <v/>
      </c>
      <c r="AN42" s="66"/>
      <c r="AO42" s="645"/>
      <c r="AP42" s="646"/>
      <c r="AQ42" s="646"/>
      <c r="AR42" s="646"/>
      <c r="AS42" s="646"/>
      <c r="AT42" s="647"/>
      <c r="AU42" s="66"/>
      <c r="AV42" s="66"/>
      <c r="AW42" s="66"/>
      <c r="AX42" s="66"/>
      <c r="AY42" s="66"/>
      <c r="AZ42" s="66"/>
      <c r="BA42" s="66"/>
      <c r="BB42" s="66"/>
      <c r="BC42" s="66"/>
      <c r="BD42" s="66"/>
      <c r="BE42" s="66"/>
      <c r="BF42" s="66"/>
      <c r="BG42" s="66"/>
      <c r="BH42" s="66"/>
      <c r="BI42" s="66"/>
      <c r="BJ42" s="66"/>
      <c r="BK42" s="66"/>
      <c r="BL42" s="66"/>
      <c r="BM42" s="66"/>
      <c r="BN42" s="66"/>
      <c r="BO42" s="66"/>
      <c r="BP42" s="66"/>
      <c r="BQ42" s="66"/>
      <c r="BR42" s="66"/>
      <c r="BS42" s="66"/>
      <c r="BT42" s="66"/>
      <c r="BU42" s="66"/>
      <c r="BV42" s="66"/>
      <c r="BW42" s="66"/>
      <c r="BX42" s="66"/>
    </row>
    <row r="43" spans="1:80" ht="15" customHeight="1" x14ac:dyDescent="0.25">
      <c r="A43" s="66"/>
      <c r="B43" s="526"/>
      <c r="C43" s="526"/>
      <c r="D43" s="527"/>
      <c r="E43" s="625"/>
      <c r="F43" s="624"/>
      <c r="G43" s="624"/>
      <c r="H43" s="624"/>
      <c r="I43" s="624"/>
      <c r="J43" s="59" t="str">
        <f>IF(AND('Riesgos de Gestión'!$AI$44="Baja",'Riesgos de Gestión'!$AK$44="Leve"),CONCATENATE("R8C",'Riesgos de Gestión'!$V$44),"")</f>
        <v/>
      </c>
      <c r="K43" s="60" t="str">
        <f>IF(AND('Riesgos de Gestión'!$AI$45="Baja",'Riesgos de Gestión'!$AK$45="Leve"),CONCATENATE("R8C",'Riesgos de Gestión'!$V$45),"")</f>
        <v/>
      </c>
      <c r="L43" s="60" t="str">
        <f>IF(AND('Riesgos de Gestión'!$AI$46="Baja",'Riesgos de Gestión'!$AK$46="Leve"),CONCATENATE("R8C",'Riesgos de Gestión'!$V$46),"")</f>
        <v/>
      </c>
      <c r="M43" s="60" t="str">
        <f>IF(AND('Riesgos de Gestión'!$AI$47="Baja",'Riesgos de Gestión'!$AK$47="Leve"),CONCATENATE("R8C",'Riesgos de Gestión'!$V$47),"")</f>
        <v/>
      </c>
      <c r="N43" s="60" t="str">
        <f>IF(AND('Riesgos de Gestión'!$AI$48="Baja",'Riesgos de Gestión'!$AK$48="Leve"),CONCATENATE("R8C",'Riesgos de Gestión'!$V$48),"")</f>
        <v/>
      </c>
      <c r="O43" s="61" t="str">
        <f>IF(AND('Riesgos de Gestión'!$AI$49="Baja",'Riesgos de Gestión'!$AK$49="Leve"),CONCATENATE("R8C",'Riesgos de Gestión'!$V$49),"")</f>
        <v/>
      </c>
      <c r="P43" s="50" t="str">
        <f>IF(AND('Riesgos de Gestión'!$AI$44="Baja",'Riesgos de Gestión'!$AK$44="Menor"),CONCATENATE("R8C",'Riesgos de Gestión'!$V$44),"")</f>
        <v/>
      </c>
      <c r="Q43" s="51" t="str">
        <f>IF(AND('Riesgos de Gestión'!$AI$45="Baja",'Riesgos de Gestión'!$AK$45="Menor"),CONCATENATE("R8C",'Riesgos de Gestión'!$V$45),"")</f>
        <v/>
      </c>
      <c r="R43" s="51" t="str">
        <f>IF(AND('Riesgos de Gestión'!$AI$46="Baja",'Riesgos de Gestión'!$AK$46="Menor"),CONCATENATE("R8C",'Riesgos de Gestión'!$V$46),"")</f>
        <v/>
      </c>
      <c r="S43" s="51" t="str">
        <f>IF(AND('Riesgos de Gestión'!$AI$47="Baja",'Riesgos de Gestión'!$AK$47="Menor"),CONCATENATE("R8C",'Riesgos de Gestión'!$V$47),"")</f>
        <v/>
      </c>
      <c r="T43" s="51" t="str">
        <f>IF(AND('Riesgos de Gestión'!$AI$48="Baja",'Riesgos de Gestión'!$AK$48="Menor"),CONCATENATE("R8C",'Riesgos de Gestión'!$V$48),"")</f>
        <v/>
      </c>
      <c r="U43" s="52" t="str">
        <f>IF(AND('Riesgos de Gestión'!$AI$49="Baja",'Riesgos de Gestión'!$AK$49="Menor"),CONCATENATE("R8C",'Riesgos de Gestión'!$V$49),"")</f>
        <v/>
      </c>
      <c r="V43" s="50" t="str">
        <f>IF(AND('Riesgos de Gestión'!$AI$44="Baja",'Riesgos de Gestión'!$AK$44="Moderado"),CONCATENATE("R8C",'Riesgos de Gestión'!$V$44),"")</f>
        <v/>
      </c>
      <c r="W43" s="51" t="str">
        <f>IF(AND('Riesgos de Gestión'!$AI$45="Baja",'Riesgos de Gestión'!$AK$45="Moderado"),CONCATENATE("R8C",'Riesgos de Gestión'!$V$45),"")</f>
        <v/>
      </c>
      <c r="X43" s="51" t="str">
        <f>IF(AND('Riesgos de Gestión'!$AI$46="Baja",'Riesgos de Gestión'!$AK$46="Moderado"),CONCATENATE("R8C",'Riesgos de Gestión'!$V$46),"")</f>
        <v/>
      </c>
      <c r="Y43" s="51" t="str">
        <f>IF(AND('Riesgos de Gestión'!$AI$47="Baja",'Riesgos de Gestión'!$AK$47="Moderado"),CONCATENATE("R8C",'Riesgos de Gestión'!$V$47),"")</f>
        <v/>
      </c>
      <c r="Z43" s="51" t="str">
        <f>IF(AND('Riesgos de Gestión'!$AI$48="Baja",'Riesgos de Gestión'!$AK$48="Moderado"),CONCATENATE("R8C",'Riesgos de Gestión'!$V$48),"")</f>
        <v/>
      </c>
      <c r="AA43" s="52" t="str">
        <f>IF(AND('Riesgos de Gestión'!$AI$49="Baja",'Riesgos de Gestión'!$AK$49="Moderado"),CONCATENATE("R8C",'Riesgos de Gestión'!$V$49),"")</f>
        <v/>
      </c>
      <c r="AB43" s="35" t="str">
        <f>IF(AND('Riesgos de Gestión'!$AI$44="Baja",'Riesgos de Gestión'!$AK$44="Mayor"),CONCATENATE("R8C",'Riesgos de Gestión'!$V$44),"")</f>
        <v/>
      </c>
      <c r="AC43" s="36" t="str">
        <f>IF(AND('Riesgos de Gestión'!$AI$45="Baja",'Riesgos de Gestión'!$AK$45="Mayor"),CONCATENATE("R8C",'Riesgos de Gestión'!$V$45),"")</f>
        <v/>
      </c>
      <c r="AD43" s="36" t="str">
        <f>IF(AND('Riesgos de Gestión'!$AI$46="Baja",'Riesgos de Gestión'!$AK$46="Mayor"),CONCATENATE("R8C",'Riesgos de Gestión'!$V$46),"")</f>
        <v/>
      </c>
      <c r="AE43" s="36" t="str">
        <f>IF(AND('Riesgos de Gestión'!$AI$47="Baja",'Riesgos de Gestión'!$AK$47="Mayor"),CONCATENATE("R8C",'Riesgos de Gestión'!$V$47),"")</f>
        <v/>
      </c>
      <c r="AF43" s="36" t="str">
        <f>IF(AND('Riesgos de Gestión'!$AI$48="Baja",'Riesgos de Gestión'!$AK$48="Mayor"),CONCATENATE("R8C",'Riesgos de Gestión'!$V$48),"")</f>
        <v/>
      </c>
      <c r="AG43" s="37" t="str">
        <f>IF(AND('Riesgos de Gestión'!$AI$49="Baja",'Riesgos de Gestión'!$AK$49="Mayor"),CONCATENATE("R8C",'Riesgos de Gestión'!$V$49),"")</f>
        <v/>
      </c>
      <c r="AH43" s="38" t="str">
        <f>IF(AND('Riesgos de Gestión'!$AI$44="Baja",'Riesgos de Gestión'!$AK$44="Catastrófico"),CONCATENATE("R8C",'Riesgos de Gestión'!$V$44),"")</f>
        <v/>
      </c>
      <c r="AI43" s="39" t="str">
        <f>IF(AND('Riesgos de Gestión'!$AI$45="Baja",'Riesgos de Gestión'!$AK$45="Catastrófico"),CONCATENATE("R8C",'Riesgos de Gestión'!$V$45),"")</f>
        <v/>
      </c>
      <c r="AJ43" s="39" t="str">
        <f>IF(AND('Riesgos de Gestión'!$AI$46="Baja",'Riesgos de Gestión'!$AK$46="Catastrófico"),CONCATENATE("R8C",'Riesgos de Gestión'!$V$46),"")</f>
        <v/>
      </c>
      <c r="AK43" s="39" t="str">
        <f>IF(AND('Riesgos de Gestión'!$AI$47="Baja",'Riesgos de Gestión'!$AK$47="Catastrófico"),CONCATENATE("R8C",'Riesgos de Gestión'!$V$47),"")</f>
        <v/>
      </c>
      <c r="AL43" s="39" t="str">
        <f>IF(AND('Riesgos de Gestión'!$AI$48="Baja",'Riesgos de Gestión'!$AK$48="Catastrófico"),CONCATENATE("R8C",'Riesgos de Gestión'!$V$48),"")</f>
        <v/>
      </c>
      <c r="AM43" s="40" t="str">
        <f>IF(AND('Riesgos de Gestión'!$AI$49="Baja",'Riesgos de Gestión'!$AK$49="Catastrófico"),CONCATENATE("R8C",'Riesgos de Gestión'!$V$49),"")</f>
        <v/>
      </c>
      <c r="AN43" s="66"/>
      <c r="AO43" s="645"/>
      <c r="AP43" s="646"/>
      <c r="AQ43" s="646"/>
      <c r="AR43" s="646"/>
      <c r="AS43" s="646"/>
      <c r="AT43" s="647"/>
      <c r="AU43" s="66"/>
      <c r="AV43" s="66"/>
      <c r="AW43" s="66"/>
      <c r="AX43" s="66"/>
      <c r="AY43" s="66"/>
      <c r="AZ43" s="66"/>
      <c r="BA43" s="66"/>
      <c r="BB43" s="66"/>
      <c r="BC43" s="66"/>
      <c r="BD43" s="66"/>
      <c r="BE43" s="66"/>
      <c r="BF43" s="66"/>
      <c r="BG43" s="66"/>
      <c r="BH43" s="66"/>
      <c r="BI43" s="66"/>
      <c r="BJ43" s="66"/>
      <c r="BK43" s="66"/>
      <c r="BL43" s="66"/>
      <c r="BM43" s="66"/>
      <c r="BN43" s="66"/>
      <c r="BO43" s="66"/>
      <c r="BP43" s="66"/>
      <c r="BQ43" s="66"/>
      <c r="BR43" s="66"/>
      <c r="BS43" s="66"/>
      <c r="BT43" s="66"/>
      <c r="BU43" s="66"/>
      <c r="BV43" s="66"/>
      <c r="BW43" s="66"/>
      <c r="BX43" s="66"/>
    </row>
    <row r="44" spans="1:80" ht="15" customHeight="1" x14ac:dyDescent="0.25">
      <c r="A44" s="66"/>
      <c r="B44" s="526"/>
      <c r="C44" s="526"/>
      <c r="D44" s="527"/>
      <c r="E44" s="625"/>
      <c r="F44" s="624"/>
      <c r="G44" s="624"/>
      <c r="H44" s="624"/>
      <c r="I44" s="624"/>
      <c r="J44" s="59" t="str">
        <f>IF(AND('Riesgos de Gestión'!$AI$50="Baja",'Riesgos de Gestión'!$AK$50="Leve"),CONCATENATE("R9C",'Riesgos de Gestión'!$V$50),"")</f>
        <v/>
      </c>
      <c r="K44" s="60" t="str">
        <f>IF(AND('Riesgos de Gestión'!$AI$51="Baja",'Riesgos de Gestión'!$AK$51="Leve"),CONCATENATE("R9C",'Riesgos de Gestión'!$V$51),"")</f>
        <v/>
      </c>
      <c r="L44" s="60" t="str">
        <f>IF(AND('Riesgos de Gestión'!$AI$52="Baja",'Riesgos de Gestión'!$AK$52="Leve"),CONCATENATE("R9C",'Riesgos de Gestión'!$V$52),"")</f>
        <v/>
      </c>
      <c r="M44" s="60" t="str">
        <f>IF(AND('Riesgos de Gestión'!$AI$53="Baja",'Riesgos de Gestión'!$AK$53="Leve"),CONCATENATE("R9C",'Riesgos de Gestión'!$V$53),"")</f>
        <v/>
      </c>
      <c r="N44" s="60" t="str">
        <f>IF(AND('Riesgos de Gestión'!$AI$54="Baja",'Riesgos de Gestión'!$AK$54="Leve"),CONCATENATE("R9C",'Riesgos de Gestión'!$V$54),"")</f>
        <v/>
      </c>
      <c r="O44" s="61" t="str">
        <f>IF(AND('Riesgos de Gestión'!$AI$55="Baja",'Riesgos de Gestión'!$AK$55="Leve"),CONCATENATE("R9C",'Riesgos de Gestión'!$V$55),"")</f>
        <v/>
      </c>
      <c r="P44" s="50" t="str">
        <f>IF(AND('Riesgos de Gestión'!$AI$50="Baja",'Riesgos de Gestión'!$AK$50="Menor"),CONCATENATE("R9C",'Riesgos de Gestión'!$V$50),"")</f>
        <v/>
      </c>
      <c r="Q44" s="51" t="str">
        <f>IF(AND('Riesgos de Gestión'!$AI$51="Baja",'Riesgos de Gestión'!$AK$51="Menor"),CONCATENATE("R9C",'Riesgos de Gestión'!$V$51),"")</f>
        <v/>
      </c>
      <c r="R44" s="51" t="str">
        <f>IF(AND('Riesgos de Gestión'!$AI$52="Baja",'Riesgos de Gestión'!$AK$52="Menor"),CONCATENATE("R9C",'Riesgos de Gestión'!$V$52),"")</f>
        <v/>
      </c>
      <c r="S44" s="51" t="str">
        <f>IF(AND('Riesgos de Gestión'!$AI$53="Baja",'Riesgos de Gestión'!$AK$53="Menor"),CONCATENATE("R9C",'Riesgos de Gestión'!$V$53),"")</f>
        <v/>
      </c>
      <c r="T44" s="51" t="str">
        <f>IF(AND('Riesgos de Gestión'!$AI$54="Baja",'Riesgos de Gestión'!$AK$54="Menor"),CONCATENATE("R9C",'Riesgos de Gestión'!$V$54),"")</f>
        <v/>
      </c>
      <c r="U44" s="52" t="str">
        <f>IF(AND('Riesgos de Gestión'!$AI$55="Baja",'Riesgos de Gestión'!$AK$55="Menor"),CONCATENATE("R9C",'Riesgos de Gestión'!$V$55),"")</f>
        <v/>
      </c>
      <c r="V44" s="50" t="str">
        <f>IF(AND('Riesgos de Gestión'!$AI$50="Baja",'Riesgos de Gestión'!$AK$50="Moderado"),CONCATENATE("R9C",'Riesgos de Gestión'!$V$50),"")</f>
        <v/>
      </c>
      <c r="W44" s="51" t="str">
        <f>IF(AND('Riesgos de Gestión'!$AI$51="Baja",'Riesgos de Gestión'!$AK$51="Moderado"),CONCATENATE("R9C",'Riesgos de Gestión'!$V$51),"")</f>
        <v/>
      </c>
      <c r="X44" s="51" t="str">
        <f>IF(AND('Riesgos de Gestión'!$AI$52="Baja",'Riesgos de Gestión'!$AK$52="Moderado"),CONCATENATE("R9C",'Riesgos de Gestión'!$V$52),"")</f>
        <v/>
      </c>
      <c r="Y44" s="51" t="str">
        <f>IF(AND('Riesgos de Gestión'!$AI$53="Baja",'Riesgos de Gestión'!$AK$53="Moderado"),CONCATENATE("R9C",'Riesgos de Gestión'!$V$53),"")</f>
        <v/>
      </c>
      <c r="Z44" s="51" t="str">
        <f>IF(AND('Riesgos de Gestión'!$AI$54="Baja",'Riesgos de Gestión'!$AK$54="Moderado"),CONCATENATE("R9C",'Riesgos de Gestión'!$V$54),"")</f>
        <v/>
      </c>
      <c r="AA44" s="52" t="str">
        <f>IF(AND('Riesgos de Gestión'!$AI$55="Baja",'Riesgos de Gestión'!$AK$55="Moderado"),CONCATENATE("R9C",'Riesgos de Gestión'!$V$55),"")</f>
        <v/>
      </c>
      <c r="AB44" s="35" t="str">
        <f>IF(AND('Riesgos de Gestión'!$AI$50="Baja",'Riesgos de Gestión'!$AK$50="Mayor"),CONCATENATE("R9C",'Riesgos de Gestión'!$V$50),"")</f>
        <v/>
      </c>
      <c r="AC44" s="36" t="str">
        <f>IF(AND('Riesgos de Gestión'!$AI$51="Baja",'Riesgos de Gestión'!$AK$51="Mayor"),CONCATENATE("R9C",'Riesgos de Gestión'!$V$51),"")</f>
        <v/>
      </c>
      <c r="AD44" s="36" t="str">
        <f>IF(AND('Riesgos de Gestión'!$AI$52="Baja",'Riesgos de Gestión'!$AK$52="Mayor"),CONCATENATE("R9C",'Riesgos de Gestión'!$V$52),"")</f>
        <v/>
      </c>
      <c r="AE44" s="36" t="str">
        <f>IF(AND('Riesgos de Gestión'!$AI$53="Baja",'Riesgos de Gestión'!$AK$53="Mayor"),CONCATENATE("R9C",'Riesgos de Gestión'!$V$53),"")</f>
        <v/>
      </c>
      <c r="AF44" s="36" t="str">
        <f>IF(AND('Riesgos de Gestión'!$AI$54="Baja",'Riesgos de Gestión'!$AK$54="Mayor"),CONCATENATE("R9C",'Riesgos de Gestión'!$V$54),"")</f>
        <v/>
      </c>
      <c r="AG44" s="37" t="str">
        <f>IF(AND('Riesgos de Gestión'!$AI$55="Baja",'Riesgos de Gestión'!$AK$55="Mayor"),CONCATENATE("R9C",'Riesgos de Gestión'!$V$55),"")</f>
        <v/>
      </c>
      <c r="AH44" s="38" t="str">
        <f>IF(AND('Riesgos de Gestión'!$AI$50="Baja",'Riesgos de Gestión'!$AK$50="Catastrófico"),CONCATENATE("R9C",'Riesgos de Gestión'!$V$50),"")</f>
        <v/>
      </c>
      <c r="AI44" s="39" t="str">
        <f>IF(AND('Riesgos de Gestión'!$AI$51="Baja",'Riesgos de Gestión'!$AK$51="Catastrófico"),CONCATENATE("R9C",'Riesgos de Gestión'!$V$51),"")</f>
        <v/>
      </c>
      <c r="AJ44" s="39" t="str">
        <f>IF(AND('Riesgos de Gestión'!$AI$52="Baja",'Riesgos de Gestión'!$AK$52="Catastrófico"),CONCATENATE("R9C",'Riesgos de Gestión'!$V$52),"")</f>
        <v/>
      </c>
      <c r="AK44" s="39" t="str">
        <f>IF(AND('Riesgos de Gestión'!$AI$53="Baja",'Riesgos de Gestión'!$AK$53="Catastrófico"),CONCATENATE("R9C",'Riesgos de Gestión'!$V$53),"")</f>
        <v/>
      </c>
      <c r="AL44" s="39" t="str">
        <f>IF(AND('Riesgos de Gestión'!$AI$54="Baja",'Riesgos de Gestión'!$AK$54="Catastrófico"),CONCATENATE("R9C",'Riesgos de Gestión'!$V$54),"")</f>
        <v/>
      </c>
      <c r="AM44" s="40" t="str">
        <f>IF(AND('Riesgos de Gestión'!$AI$55="Baja",'Riesgos de Gestión'!$AK$55="Catastrófico"),CONCATENATE("R9C",'Riesgos de Gestión'!$V$55),"")</f>
        <v/>
      </c>
      <c r="AN44" s="66"/>
      <c r="AO44" s="645"/>
      <c r="AP44" s="646"/>
      <c r="AQ44" s="646"/>
      <c r="AR44" s="646"/>
      <c r="AS44" s="646"/>
      <c r="AT44" s="647"/>
      <c r="AU44" s="66"/>
      <c r="AV44" s="66"/>
      <c r="AW44" s="66"/>
      <c r="AX44" s="66"/>
      <c r="AY44" s="66"/>
      <c r="AZ44" s="66"/>
      <c r="BA44" s="66"/>
      <c r="BB44" s="66"/>
      <c r="BC44" s="66"/>
      <c r="BD44" s="66"/>
      <c r="BE44" s="66"/>
      <c r="BF44" s="66"/>
      <c r="BG44" s="66"/>
      <c r="BH44" s="66"/>
      <c r="BI44" s="66"/>
      <c r="BJ44" s="66"/>
      <c r="BK44" s="66"/>
      <c r="BL44" s="66"/>
      <c r="BM44" s="66"/>
      <c r="BN44" s="66"/>
      <c r="BO44" s="66"/>
      <c r="BP44" s="66"/>
      <c r="BQ44" s="66"/>
      <c r="BR44" s="66"/>
      <c r="BS44" s="66"/>
      <c r="BT44" s="66"/>
      <c r="BU44" s="66"/>
      <c r="BV44" s="66"/>
      <c r="BW44" s="66"/>
      <c r="BX44" s="66"/>
    </row>
    <row r="45" spans="1:80" ht="15.75" customHeight="1" thickBot="1" x14ac:dyDescent="0.3">
      <c r="A45" s="66"/>
      <c r="B45" s="526"/>
      <c r="C45" s="526"/>
      <c r="D45" s="527"/>
      <c r="E45" s="626"/>
      <c r="F45" s="627"/>
      <c r="G45" s="627"/>
      <c r="H45" s="627"/>
      <c r="I45" s="627"/>
      <c r="J45" s="62" t="str">
        <f>IF(AND('Riesgos de Gestión'!$AI$56="Baja",'Riesgos de Gestión'!$AK$56="Leve"),CONCATENATE("R10C",'Riesgos de Gestión'!$V$56),"")</f>
        <v/>
      </c>
      <c r="K45" s="63" t="str">
        <f>IF(AND('Riesgos de Gestión'!$AI$57="Baja",'Riesgos de Gestión'!$AK$57="Leve"),CONCATENATE("R10C",'Riesgos de Gestión'!$V$57),"")</f>
        <v/>
      </c>
      <c r="L45" s="63" t="str">
        <f>IF(AND('Riesgos de Gestión'!$AI$58="Baja",'Riesgos de Gestión'!$AK$58="Leve"),CONCATENATE("R10C",'Riesgos de Gestión'!$V$58),"")</f>
        <v/>
      </c>
      <c r="M45" s="63" t="str">
        <f>IF(AND('Riesgos de Gestión'!$AI$59="Baja",'Riesgos de Gestión'!$AK$59="Leve"),CONCATENATE("R10C",'Riesgos de Gestión'!$V$59),"")</f>
        <v/>
      </c>
      <c r="N45" s="63" t="str">
        <f>IF(AND('Riesgos de Gestión'!$AI$60="Baja",'Riesgos de Gestión'!$AK$60="Leve"),CONCATENATE("R10C",'Riesgos de Gestión'!$V$60),"")</f>
        <v/>
      </c>
      <c r="O45" s="64" t="str">
        <f>IF(AND('Riesgos de Gestión'!$AI$61="Baja",'Riesgos de Gestión'!$AK$61="Leve"),CONCATENATE("R10C",'Riesgos de Gestión'!$V$61),"")</f>
        <v/>
      </c>
      <c r="P45" s="50" t="str">
        <f>IF(AND('Riesgos de Gestión'!$AI$56="Baja",'Riesgos de Gestión'!$AK$56="Menor"),CONCATENATE("R10C",'Riesgos de Gestión'!$V$56),"")</f>
        <v/>
      </c>
      <c r="Q45" s="51" t="str">
        <f>IF(AND('Riesgos de Gestión'!$AI$57="Baja",'Riesgos de Gestión'!$AK$57="Menor"),CONCATENATE("R10C",'Riesgos de Gestión'!$V$57),"")</f>
        <v/>
      </c>
      <c r="R45" s="51" t="str">
        <f>IF(AND('Riesgos de Gestión'!$AI$58="Baja",'Riesgos de Gestión'!$AK$58="Menor"),CONCATENATE("R10C",'Riesgos de Gestión'!$V$58),"")</f>
        <v/>
      </c>
      <c r="S45" s="51" t="str">
        <f>IF(AND('Riesgos de Gestión'!$AI$59="Baja",'Riesgos de Gestión'!$AK$59="Menor"),CONCATENATE("R10C",'Riesgos de Gestión'!$V$59),"")</f>
        <v/>
      </c>
      <c r="T45" s="51" t="str">
        <f>IF(AND('Riesgos de Gestión'!$AI$60="Baja",'Riesgos de Gestión'!$AK$60="Menor"),CONCATENATE("R10C",'Riesgos de Gestión'!$V$60),"")</f>
        <v/>
      </c>
      <c r="U45" s="52" t="str">
        <f>IF(AND('Riesgos de Gestión'!$AI$61="Baja",'Riesgos de Gestión'!$AK$61="Menor"),CONCATENATE("R10C",'Riesgos de Gestión'!$V$61),"")</f>
        <v/>
      </c>
      <c r="V45" s="53" t="str">
        <f>IF(AND('Riesgos de Gestión'!$AI$56="Baja",'Riesgos de Gestión'!$AK$56="Moderado"),CONCATENATE("R10C",'Riesgos de Gestión'!$V$56),"")</f>
        <v/>
      </c>
      <c r="W45" s="54" t="str">
        <f>IF(AND('Riesgos de Gestión'!$AI$57="Baja",'Riesgos de Gestión'!$AK$57="Moderado"),CONCATENATE("R10C",'Riesgos de Gestión'!$V$57),"")</f>
        <v/>
      </c>
      <c r="X45" s="54" t="str">
        <f>IF(AND('Riesgos de Gestión'!$AI$58="Baja",'Riesgos de Gestión'!$AK$58="Moderado"),CONCATENATE("R10C",'Riesgos de Gestión'!$V$58),"")</f>
        <v/>
      </c>
      <c r="Y45" s="54" t="str">
        <f>IF(AND('Riesgos de Gestión'!$AI$59="Baja",'Riesgos de Gestión'!$AK$59="Moderado"),CONCATENATE("R10C",'Riesgos de Gestión'!$V$59),"")</f>
        <v/>
      </c>
      <c r="Z45" s="54" t="str">
        <f>IF(AND('Riesgos de Gestión'!$AI$60="Baja",'Riesgos de Gestión'!$AK$60="Moderado"),CONCATENATE("R10C",'Riesgos de Gestión'!$V$60),"")</f>
        <v/>
      </c>
      <c r="AA45" s="55" t="str">
        <f>IF(AND('Riesgos de Gestión'!$AI$61="Baja",'Riesgos de Gestión'!$AK$61="Moderado"),CONCATENATE("R10C",'Riesgos de Gestión'!$V$61),"")</f>
        <v/>
      </c>
      <c r="AB45" s="41" t="str">
        <f>IF(AND('Riesgos de Gestión'!$AI$56="Baja",'Riesgos de Gestión'!$AK$56="Mayor"),CONCATENATE("R10C",'Riesgos de Gestión'!$V$56),"")</f>
        <v/>
      </c>
      <c r="AC45" s="42" t="str">
        <f>IF(AND('Riesgos de Gestión'!$AI$57="Baja",'Riesgos de Gestión'!$AK$57="Mayor"),CONCATENATE("R10C",'Riesgos de Gestión'!$V$57),"")</f>
        <v/>
      </c>
      <c r="AD45" s="42" t="str">
        <f>IF(AND('Riesgos de Gestión'!$AI$58="Baja",'Riesgos de Gestión'!$AK$58="Mayor"),CONCATENATE("R10C",'Riesgos de Gestión'!$V$58),"")</f>
        <v/>
      </c>
      <c r="AE45" s="42" t="str">
        <f>IF(AND('Riesgos de Gestión'!$AI$59="Baja",'Riesgos de Gestión'!$AK$59="Mayor"),CONCATENATE("R10C",'Riesgos de Gestión'!$V$59),"")</f>
        <v/>
      </c>
      <c r="AF45" s="42" t="str">
        <f>IF(AND('Riesgos de Gestión'!$AI$60="Baja",'Riesgos de Gestión'!$AK$60="Mayor"),CONCATENATE("R10C",'Riesgos de Gestión'!$V$60),"")</f>
        <v/>
      </c>
      <c r="AG45" s="43" t="str">
        <f>IF(AND('Riesgos de Gestión'!$AI$61="Baja",'Riesgos de Gestión'!$AK$61="Mayor"),CONCATENATE("R10C",'Riesgos de Gestión'!$V$61),"")</f>
        <v/>
      </c>
      <c r="AH45" s="44" t="str">
        <f>IF(AND('Riesgos de Gestión'!$AI$56="Baja",'Riesgos de Gestión'!$AK$56="Catastrófico"),CONCATENATE("R10C",'Riesgos de Gestión'!$V$56),"")</f>
        <v/>
      </c>
      <c r="AI45" s="45" t="str">
        <f>IF(AND('Riesgos de Gestión'!$AI$57="Baja",'Riesgos de Gestión'!$AK$57="Catastrófico"),CONCATENATE("R10C",'Riesgos de Gestión'!$V$57),"")</f>
        <v/>
      </c>
      <c r="AJ45" s="45" t="str">
        <f>IF(AND('Riesgos de Gestión'!$AI$58="Baja",'Riesgos de Gestión'!$AK$58="Catastrófico"),CONCATENATE("R10C",'Riesgos de Gestión'!$V$58),"")</f>
        <v/>
      </c>
      <c r="AK45" s="45" t="str">
        <f>IF(AND('Riesgos de Gestión'!$AI$59="Baja",'Riesgos de Gestión'!$AK$59="Catastrófico"),CONCATENATE("R10C",'Riesgos de Gestión'!$V$59),"")</f>
        <v/>
      </c>
      <c r="AL45" s="45" t="str">
        <f>IF(AND('Riesgos de Gestión'!$AI$60="Baja",'Riesgos de Gestión'!$AK$60="Catastrófico"),CONCATENATE("R10C",'Riesgos de Gestión'!$V$60),"")</f>
        <v/>
      </c>
      <c r="AM45" s="46" t="str">
        <f>IF(AND('Riesgos de Gestión'!$AI$61="Baja",'Riesgos de Gestión'!$AK$61="Catastrófico"),CONCATENATE("R10C",'Riesgos de Gestión'!$V$61),"")</f>
        <v/>
      </c>
      <c r="AN45" s="66"/>
      <c r="AO45" s="648"/>
      <c r="AP45" s="649"/>
      <c r="AQ45" s="649"/>
      <c r="AR45" s="649"/>
      <c r="AS45" s="649"/>
      <c r="AT45" s="650"/>
    </row>
    <row r="46" spans="1:80" ht="46.5" customHeight="1" x14ac:dyDescent="0.35">
      <c r="A46" s="66"/>
      <c r="B46" s="526"/>
      <c r="C46" s="526"/>
      <c r="D46" s="527"/>
      <c r="E46" s="621" t="s">
        <v>493</v>
      </c>
      <c r="F46" s="622"/>
      <c r="G46" s="622"/>
      <c r="H46" s="622"/>
      <c r="I46" s="639"/>
      <c r="J46" s="56" t="str">
        <f>IF(AND('Riesgos de Gestión'!$AI$13="Muy Baja",'Riesgos de Gestión'!$AK$13="Leve"),CONCATENATE("R1C",'Riesgos de Gestión'!$V$13),"")</f>
        <v/>
      </c>
      <c r="K46" s="57" t="str">
        <f>IF(AND('Riesgos de Gestión'!$AI$14="Muy Baja",'Riesgos de Gestión'!$AK$14="Leve"),CONCATENATE("R1C",'Riesgos de Gestión'!$V$14),"")</f>
        <v/>
      </c>
      <c r="L46" s="57" t="e">
        <f>IF(AND('Riesgos de Gestión'!#REF!="Muy Baja",'Riesgos de Gestión'!#REF!="Leve"),CONCATENATE("R1C",'Riesgos de Gestión'!#REF!),"")</f>
        <v>#REF!</v>
      </c>
      <c r="M46" s="57" t="e">
        <f>IF(AND('Riesgos de Gestión'!#REF!="Muy Baja",'Riesgos de Gestión'!#REF!="Leve"),CONCATENATE("R1C",'Riesgos de Gestión'!#REF!),"")</f>
        <v>#REF!</v>
      </c>
      <c r="N46" s="57" t="e">
        <f>IF(AND('Riesgos de Gestión'!#REF!="Muy Baja",'Riesgos de Gestión'!#REF!="Leve"),CONCATENATE("R1C",'Riesgos de Gestión'!#REF!),"")</f>
        <v>#REF!</v>
      </c>
      <c r="O46" s="58" t="e">
        <f>IF(AND('Riesgos de Gestión'!#REF!="Muy Baja",'Riesgos de Gestión'!#REF!="Leve"),CONCATENATE("R1C",'Riesgos de Gestión'!#REF!),"")</f>
        <v>#REF!</v>
      </c>
      <c r="P46" s="56" t="str">
        <f>IF(AND('Riesgos de Gestión'!$AI$13="Muy Baja",'Riesgos de Gestión'!$AK$13="Menor"),CONCATENATE("R1C",'Riesgos de Gestión'!$V$13),"")</f>
        <v/>
      </c>
      <c r="Q46" s="57" t="str">
        <f>IF(AND('Riesgos de Gestión'!$AI$14="Muy Baja",'Riesgos de Gestión'!$AK$14="Menor"),CONCATENATE("R1C",'Riesgos de Gestión'!$V$14),"")</f>
        <v/>
      </c>
      <c r="R46" s="57" t="e">
        <f>IF(AND('Riesgos de Gestión'!#REF!="Muy Baja",'Riesgos de Gestión'!#REF!="Menor"),CONCATENATE("R1C",'Riesgos de Gestión'!#REF!),"")</f>
        <v>#REF!</v>
      </c>
      <c r="S46" s="57" t="e">
        <f>IF(AND('Riesgos de Gestión'!#REF!="Muy Baja",'Riesgos de Gestión'!#REF!="Menor"),CONCATENATE("R1C",'Riesgos de Gestión'!#REF!),"")</f>
        <v>#REF!</v>
      </c>
      <c r="T46" s="57" t="e">
        <f>IF(AND('Riesgos de Gestión'!#REF!="Muy Baja",'Riesgos de Gestión'!#REF!="Menor"),CONCATENATE("R1C",'Riesgos de Gestión'!#REF!),"")</f>
        <v>#REF!</v>
      </c>
      <c r="U46" s="58" t="e">
        <f>IF(AND('Riesgos de Gestión'!#REF!="Muy Baja",'Riesgos de Gestión'!#REF!="Menor"),CONCATENATE("R1C",'Riesgos de Gestión'!#REF!),"")</f>
        <v>#REF!</v>
      </c>
      <c r="V46" s="47" t="str">
        <f>IF(AND('Riesgos de Gestión'!$AI$13="Muy Baja",'Riesgos de Gestión'!$AK$13="Moderado"),CONCATENATE("R1C",'Riesgos de Gestión'!$V$13),"")</f>
        <v/>
      </c>
      <c r="W46" s="65" t="str">
        <f>IF(AND('Riesgos de Gestión'!$AI$14="Muy Baja",'Riesgos de Gestión'!$AK$14="Moderado"),CONCATENATE("R1C",'Riesgos de Gestión'!$V$14),"")</f>
        <v/>
      </c>
      <c r="X46" s="48" t="e">
        <f>IF(AND('Riesgos de Gestión'!#REF!="Muy Baja",'Riesgos de Gestión'!#REF!="Moderado"),CONCATENATE("R1C",'Riesgos de Gestión'!#REF!),"")</f>
        <v>#REF!</v>
      </c>
      <c r="Y46" s="48" t="e">
        <f>IF(AND('Riesgos de Gestión'!#REF!="Muy Baja",'Riesgos de Gestión'!#REF!="Moderado"),CONCATENATE("R1C",'Riesgos de Gestión'!#REF!),"")</f>
        <v>#REF!</v>
      </c>
      <c r="Z46" s="48" t="e">
        <f>IF(AND('Riesgos de Gestión'!#REF!="Muy Baja",'Riesgos de Gestión'!#REF!="Moderado"),CONCATENATE("R1C",'Riesgos de Gestión'!#REF!),"")</f>
        <v>#REF!</v>
      </c>
      <c r="AA46" s="49" t="e">
        <f>IF(AND('Riesgos de Gestión'!#REF!="Muy Baja",'Riesgos de Gestión'!#REF!="Moderado"),CONCATENATE("R1C",'Riesgos de Gestión'!#REF!),"")</f>
        <v>#REF!</v>
      </c>
      <c r="AB46" s="29" t="str">
        <f>IF(AND('Riesgos de Gestión'!$AI$13="Muy Baja",'Riesgos de Gestión'!$AK$13="Mayor"),CONCATENATE("R1C",'Riesgos de Gestión'!$V$13),"")</f>
        <v/>
      </c>
      <c r="AC46" s="30" t="str">
        <f>IF(AND('Riesgos de Gestión'!$AI$14="Muy Baja",'Riesgos de Gestión'!$AK$14="Mayor"),CONCATENATE("R1C",'Riesgos de Gestión'!$V$14),"")</f>
        <v/>
      </c>
      <c r="AD46" s="30" t="e">
        <f>IF(AND('Riesgos de Gestión'!#REF!="Muy Baja",'Riesgos de Gestión'!#REF!="Mayor"),CONCATENATE("R1C",'Riesgos de Gestión'!#REF!),"")</f>
        <v>#REF!</v>
      </c>
      <c r="AE46" s="30" t="e">
        <f>IF(AND('Riesgos de Gestión'!#REF!="Muy Baja",'Riesgos de Gestión'!#REF!="Mayor"),CONCATENATE("R1C",'Riesgos de Gestión'!#REF!),"")</f>
        <v>#REF!</v>
      </c>
      <c r="AF46" s="30" t="e">
        <f>IF(AND('Riesgos de Gestión'!#REF!="Muy Baja",'Riesgos de Gestión'!#REF!="Mayor"),CONCATENATE("R1C",'Riesgos de Gestión'!#REF!),"")</f>
        <v>#REF!</v>
      </c>
      <c r="AG46" s="31" t="e">
        <f>IF(AND('Riesgos de Gestión'!#REF!="Muy Baja",'Riesgos de Gestión'!#REF!="Mayor"),CONCATENATE("R1C",'Riesgos de Gestión'!#REF!),"")</f>
        <v>#REF!</v>
      </c>
      <c r="AH46" s="32" t="str">
        <f>IF(AND('Riesgos de Gestión'!$AI$13="Muy Baja",'Riesgos de Gestión'!$AK$13="Catastrófico"),CONCATENATE("R1C",'Riesgos de Gestión'!$V$13),"")</f>
        <v/>
      </c>
      <c r="AI46" s="33" t="str">
        <f>IF(AND('Riesgos de Gestión'!$AI$14="Muy Baja",'Riesgos de Gestión'!$AK$14="Catastrófico"),CONCATENATE("R1C",'Riesgos de Gestión'!$V$14),"")</f>
        <v/>
      </c>
      <c r="AJ46" s="33" t="e">
        <f>IF(AND('Riesgos de Gestión'!#REF!="Muy Baja",'Riesgos de Gestión'!#REF!="Catastrófico"),CONCATENATE("R1C",'Riesgos de Gestión'!#REF!),"")</f>
        <v>#REF!</v>
      </c>
      <c r="AK46" s="33" t="e">
        <f>IF(AND('Riesgos de Gestión'!#REF!="Muy Baja",'Riesgos de Gestión'!#REF!="Catastrófico"),CONCATENATE("R1C",'Riesgos de Gestión'!#REF!),"")</f>
        <v>#REF!</v>
      </c>
      <c r="AL46" s="33" t="e">
        <f>IF(AND('Riesgos de Gestión'!#REF!="Muy Baja",'Riesgos de Gestión'!#REF!="Catastrófico"),CONCATENATE("R1C",'Riesgos de Gestión'!#REF!),"")</f>
        <v>#REF!</v>
      </c>
      <c r="AM46" s="34" t="e">
        <f>IF(AND('Riesgos de Gestión'!#REF!="Muy Baja",'Riesgos de Gestión'!#REF!="Catastrófico"),CONCATENATE("R1C",'Riesgos de Gestión'!#REF!),"")</f>
        <v>#REF!</v>
      </c>
      <c r="AN46" s="66"/>
      <c r="AO46" s="66"/>
      <c r="AP46" s="66"/>
      <c r="AQ46" s="66"/>
      <c r="AR46" s="66"/>
      <c r="AS46" s="66"/>
      <c r="AT46" s="66"/>
      <c r="AU46" s="66"/>
      <c r="AV46" s="66"/>
      <c r="AW46" s="66"/>
      <c r="AX46" s="66"/>
      <c r="AY46" s="66"/>
      <c r="AZ46" s="66"/>
      <c r="BA46" s="66"/>
      <c r="BB46" s="66"/>
      <c r="BC46" s="66"/>
      <c r="BD46" s="66"/>
      <c r="BE46" s="66"/>
      <c r="BF46" s="66"/>
      <c r="BG46" s="66"/>
      <c r="BH46" s="66"/>
      <c r="BI46" s="66"/>
      <c r="BJ46" s="66"/>
      <c r="BK46" s="66"/>
      <c r="BL46" s="66"/>
      <c r="BM46" s="66"/>
      <c r="BN46" s="66"/>
      <c r="BO46" s="66"/>
      <c r="BP46" s="66"/>
      <c r="BQ46" s="66"/>
      <c r="BR46" s="66"/>
      <c r="BS46" s="66"/>
      <c r="BT46" s="66"/>
      <c r="BU46" s="66"/>
      <c r="BV46" s="66"/>
      <c r="BW46" s="66"/>
      <c r="BX46" s="66"/>
      <c r="BY46" s="66"/>
      <c r="BZ46" s="66"/>
      <c r="CA46" s="66"/>
      <c r="CB46" s="66"/>
    </row>
    <row r="47" spans="1:80" ht="46.5" customHeight="1" x14ac:dyDescent="0.25">
      <c r="A47" s="66"/>
      <c r="B47" s="526"/>
      <c r="C47" s="526"/>
      <c r="D47" s="527"/>
      <c r="E47" s="623"/>
      <c r="F47" s="624"/>
      <c r="G47" s="624"/>
      <c r="H47" s="624"/>
      <c r="I47" s="640"/>
      <c r="J47" s="59" t="str">
        <f>IF(AND('Riesgos de Gestión'!$AI$15="Muy Baja",'Riesgos de Gestión'!$AK$15="Leve"),CONCATENATE("R2C",'Riesgos de Gestión'!$V$15),"")</f>
        <v/>
      </c>
      <c r="K47" s="60" t="str">
        <f>IF(AND('Riesgos de Gestión'!$AI$16="Muy Baja",'Riesgos de Gestión'!$AK$16="Leve"),CONCATENATE("R2C",'Riesgos de Gestión'!$V$16),"")</f>
        <v/>
      </c>
      <c r="L47" s="60" t="e">
        <f>IF(AND('Riesgos de Gestión'!#REF!="Muy Baja",'Riesgos de Gestión'!#REF!="Leve"),CONCATENATE("R2C",'Riesgos de Gestión'!#REF!),"")</f>
        <v>#REF!</v>
      </c>
      <c r="M47" s="60" t="e">
        <f>IF(AND('Riesgos de Gestión'!#REF!="Muy Baja",'Riesgos de Gestión'!#REF!="Leve"),CONCATENATE("R2C",'Riesgos de Gestión'!#REF!),"")</f>
        <v>#REF!</v>
      </c>
      <c r="N47" s="60" t="e">
        <f>IF(AND('Riesgos de Gestión'!#REF!="Muy Baja",'Riesgos de Gestión'!#REF!="Leve"),CONCATENATE("R2C",'Riesgos de Gestión'!#REF!),"")</f>
        <v>#REF!</v>
      </c>
      <c r="O47" s="61" t="e">
        <f>IF(AND('Riesgos de Gestión'!#REF!="Muy Baja",'Riesgos de Gestión'!#REF!="Leve"),CONCATENATE("R2C",'Riesgos de Gestión'!#REF!),"")</f>
        <v>#REF!</v>
      </c>
      <c r="P47" s="59" t="str">
        <f>IF(AND('Riesgos de Gestión'!$AI$15="Muy Baja",'Riesgos de Gestión'!$AK$15="Menor"),CONCATENATE("R2C",'Riesgos de Gestión'!$V$15),"")</f>
        <v/>
      </c>
      <c r="Q47" s="60" t="str">
        <f>IF(AND('Riesgos de Gestión'!$AI$16="Muy Baja",'Riesgos de Gestión'!$AK$16="Menor"),CONCATENATE("R2C",'Riesgos de Gestión'!$V$16),"")</f>
        <v/>
      </c>
      <c r="R47" s="60" t="e">
        <f>IF(AND('Riesgos de Gestión'!#REF!="Muy Baja",'Riesgos de Gestión'!#REF!="Menor"),CONCATENATE("R2C",'Riesgos de Gestión'!#REF!),"")</f>
        <v>#REF!</v>
      </c>
      <c r="S47" s="60" t="e">
        <f>IF(AND('Riesgos de Gestión'!#REF!="Muy Baja",'Riesgos de Gestión'!#REF!="Menor"),CONCATENATE("R2C",'Riesgos de Gestión'!#REF!),"")</f>
        <v>#REF!</v>
      </c>
      <c r="T47" s="60" t="e">
        <f>IF(AND('Riesgos de Gestión'!#REF!="Muy Baja",'Riesgos de Gestión'!#REF!="Menor"),CONCATENATE("R2C",'Riesgos de Gestión'!#REF!),"")</f>
        <v>#REF!</v>
      </c>
      <c r="U47" s="61" t="e">
        <f>IF(AND('Riesgos de Gestión'!#REF!="Muy Baja",'Riesgos de Gestión'!#REF!="Menor"),CONCATENATE("R2C",'Riesgos de Gestión'!#REF!),"")</f>
        <v>#REF!</v>
      </c>
      <c r="V47" s="50" t="str">
        <f>IF(AND('Riesgos de Gestión'!$AI$15="Muy Baja",'Riesgos de Gestión'!$AK$15="Moderado"),CONCATENATE("R2C",'Riesgos de Gestión'!$V$15),"")</f>
        <v/>
      </c>
      <c r="W47" s="51" t="str">
        <f>IF(AND('Riesgos de Gestión'!$AI$16="Muy Baja",'Riesgos de Gestión'!$AK$16="Moderado"),CONCATENATE("R2C",'Riesgos de Gestión'!$V$16),"")</f>
        <v/>
      </c>
      <c r="X47" s="51" t="e">
        <f>IF(AND('Riesgos de Gestión'!#REF!="Muy Baja",'Riesgos de Gestión'!#REF!="Moderado"),CONCATENATE("R2C",'Riesgos de Gestión'!#REF!),"")</f>
        <v>#REF!</v>
      </c>
      <c r="Y47" s="51" t="e">
        <f>IF(AND('Riesgos de Gestión'!#REF!="Muy Baja",'Riesgos de Gestión'!#REF!="Moderado"),CONCATENATE("R2C",'Riesgos de Gestión'!#REF!),"")</f>
        <v>#REF!</v>
      </c>
      <c r="Z47" s="51" t="e">
        <f>IF(AND('Riesgos de Gestión'!#REF!="Muy Baja",'Riesgos de Gestión'!#REF!="Moderado"),CONCATENATE("R2C",'Riesgos de Gestión'!#REF!),"")</f>
        <v>#REF!</v>
      </c>
      <c r="AA47" s="52" t="e">
        <f>IF(AND('Riesgos de Gestión'!#REF!="Muy Baja",'Riesgos de Gestión'!#REF!="Moderado"),CONCATENATE("R2C",'Riesgos de Gestión'!#REF!),"")</f>
        <v>#REF!</v>
      </c>
      <c r="AB47" s="35" t="str">
        <f>IF(AND('Riesgos de Gestión'!$AI$15="Muy Baja",'Riesgos de Gestión'!$AK$15="Mayor"),CONCATENATE("R2C",'Riesgos de Gestión'!$V$15),"")</f>
        <v/>
      </c>
      <c r="AC47" s="36" t="str">
        <f>IF(AND('Riesgos de Gestión'!$AI$16="Muy Baja",'Riesgos de Gestión'!$AK$16="Mayor"),CONCATENATE("R2C",'Riesgos de Gestión'!$V$16),"")</f>
        <v/>
      </c>
      <c r="AD47" s="36" t="e">
        <f>IF(AND('Riesgos de Gestión'!#REF!="Muy Baja",'Riesgos de Gestión'!#REF!="Mayor"),CONCATENATE("R2C",'Riesgos de Gestión'!#REF!),"")</f>
        <v>#REF!</v>
      </c>
      <c r="AE47" s="36" t="e">
        <f>IF(AND('Riesgos de Gestión'!#REF!="Muy Baja",'Riesgos de Gestión'!#REF!="Mayor"),CONCATENATE("R2C",'Riesgos de Gestión'!#REF!),"")</f>
        <v>#REF!</v>
      </c>
      <c r="AF47" s="36" t="e">
        <f>IF(AND('Riesgos de Gestión'!#REF!="Muy Baja",'Riesgos de Gestión'!#REF!="Mayor"),CONCATENATE("R2C",'Riesgos de Gestión'!#REF!),"")</f>
        <v>#REF!</v>
      </c>
      <c r="AG47" s="37" t="e">
        <f>IF(AND('Riesgos de Gestión'!#REF!="Muy Baja",'Riesgos de Gestión'!#REF!="Mayor"),CONCATENATE("R2C",'Riesgos de Gestión'!#REF!),"")</f>
        <v>#REF!</v>
      </c>
      <c r="AH47" s="38" t="str">
        <f>IF(AND('Riesgos de Gestión'!$AI$15="Muy Baja",'Riesgos de Gestión'!$AK$15="Catastrófico"),CONCATENATE("R2C",'Riesgos de Gestión'!$V$15),"")</f>
        <v/>
      </c>
      <c r="AI47" s="39" t="str">
        <f>IF(AND('Riesgos de Gestión'!$AI$16="Muy Baja",'Riesgos de Gestión'!$AK$16="Catastrófico"),CONCATENATE("R2C",'Riesgos de Gestión'!$V$16),"")</f>
        <v/>
      </c>
      <c r="AJ47" s="39" t="e">
        <f>IF(AND('Riesgos de Gestión'!#REF!="Muy Baja",'Riesgos de Gestión'!#REF!="Catastrófico"),CONCATENATE("R2C",'Riesgos de Gestión'!#REF!),"")</f>
        <v>#REF!</v>
      </c>
      <c r="AK47" s="39" t="e">
        <f>IF(AND('Riesgos de Gestión'!#REF!="Muy Baja",'Riesgos de Gestión'!#REF!="Catastrófico"),CONCATENATE("R2C",'Riesgos de Gestión'!#REF!),"")</f>
        <v>#REF!</v>
      </c>
      <c r="AL47" s="39" t="e">
        <f>IF(AND('Riesgos de Gestión'!#REF!="Muy Baja",'Riesgos de Gestión'!#REF!="Catastrófico"),CONCATENATE("R2C",'Riesgos de Gestión'!#REF!),"")</f>
        <v>#REF!</v>
      </c>
      <c r="AM47" s="40" t="e">
        <f>IF(AND('Riesgos de Gestión'!#REF!="Muy Baja",'Riesgos de Gestión'!#REF!="Catastrófico"),CONCATENATE("R2C",'Riesgos de Gestión'!#REF!),"")</f>
        <v>#REF!</v>
      </c>
      <c r="AN47" s="66"/>
      <c r="AO47" s="66"/>
      <c r="AP47" s="66"/>
      <c r="AQ47" s="66"/>
      <c r="AR47" s="66"/>
      <c r="AS47" s="66"/>
      <c r="AT47" s="66"/>
      <c r="AU47" s="66"/>
      <c r="AV47" s="66"/>
      <c r="AW47" s="66"/>
      <c r="AX47" s="66"/>
      <c r="AY47" s="66"/>
      <c r="AZ47" s="66"/>
      <c r="BA47" s="66"/>
      <c r="BB47" s="66"/>
      <c r="BC47" s="66"/>
      <c r="BD47" s="66"/>
      <c r="BE47" s="66"/>
      <c r="BF47" s="66"/>
      <c r="BG47" s="66"/>
      <c r="BH47" s="66"/>
      <c r="BI47" s="66"/>
      <c r="BJ47" s="66"/>
      <c r="BK47" s="66"/>
      <c r="BL47" s="66"/>
      <c r="BM47" s="66"/>
      <c r="BN47" s="66"/>
      <c r="BO47" s="66"/>
      <c r="BP47" s="66"/>
      <c r="BQ47" s="66"/>
      <c r="BR47" s="66"/>
      <c r="BS47" s="66"/>
      <c r="BT47" s="66"/>
      <c r="BU47" s="66"/>
      <c r="BV47" s="66"/>
      <c r="BW47" s="66"/>
      <c r="BX47" s="66"/>
      <c r="BY47" s="66"/>
      <c r="BZ47" s="66"/>
      <c r="CA47" s="66"/>
      <c r="CB47" s="66"/>
    </row>
    <row r="48" spans="1:80" ht="15" customHeight="1" x14ac:dyDescent="0.25">
      <c r="A48" s="66"/>
      <c r="B48" s="526"/>
      <c r="C48" s="526"/>
      <c r="D48" s="527"/>
      <c r="E48" s="623"/>
      <c r="F48" s="624"/>
      <c r="G48" s="624"/>
      <c r="H48" s="624"/>
      <c r="I48" s="640"/>
      <c r="J48" s="59" t="str">
        <f>IF(AND('Riesgos de Gestión'!$AI$17="Muy Baja",'Riesgos de Gestión'!$AK$17="Leve"),CONCATENATE("R3C",'Riesgos de Gestión'!$V$17),"")</f>
        <v/>
      </c>
      <c r="K48" s="60" t="str">
        <f>IF(AND('Riesgos de Gestión'!$AI$18="Muy Baja",'Riesgos de Gestión'!$AK$18="Leve"),CONCATENATE("R3C",'Riesgos de Gestión'!$V$18),"")</f>
        <v>R3C2</v>
      </c>
      <c r="L48" s="60" t="str">
        <f>IF(AND('Riesgos de Gestión'!$AI$19="Muy Baja",'Riesgos de Gestión'!$AK$19="Leve"),CONCATENATE("R3C",'Riesgos de Gestión'!$V$19),"")</f>
        <v/>
      </c>
      <c r="M48" s="60" t="e">
        <f>IF(AND('Riesgos de Gestión'!#REF!="Muy Baja",'Riesgos de Gestión'!#REF!="Leve"),CONCATENATE("R3C",'Riesgos de Gestión'!#REF!),"")</f>
        <v>#REF!</v>
      </c>
      <c r="N48" s="60" t="e">
        <f>IF(AND('Riesgos de Gestión'!#REF!="Muy Baja",'Riesgos de Gestión'!#REF!="Leve"),CONCATENATE("R3C",'Riesgos de Gestión'!#REF!),"")</f>
        <v>#REF!</v>
      </c>
      <c r="O48" s="61" t="e">
        <f>IF(AND('Riesgos de Gestión'!#REF!="Muy Baja",'Riesgos de Gestión'!#REF!="Leve"),CONCATENATE("R3C",'Riesgos de Gestión'!#REF!),"")</f>
        <v>#REF!</v>
      </c>
      <c r="P48" s="59" t="str">
        <f>IF(AND('Riesgos de Gestión'!$AI$17="Muy Baja",'Riesgos de Gestión'!$AK$17="Menor"),CONCATENATE("R3C",'Riesgos de Gestión'!$V$17),"")</f>
        <v/>
      </c>
      <c r="Q48" s="60" t="str">
        <f>IF(AND('Riesgos de Gestión'!$AI$18="Muy Baja",'Riesgos de Gestión'!$AK$18="Menor"),CONCATENATE("R3C",'Riesgos de Gestión'!$V$18),"")</f>
        <v/>
      </c>
      <c r="R48" s="60" t="str">
        <f>IF(AND('Riesgos de Gestión'!$AI$19="Muy Baja",'Riesgos de Gestión'!$AK$19="Menor"),CONCATENATE("R3C",'Riesgos de Gestión'!$V$19),"")</f>
        <v/>
      </c>
      <c r="S48" s="60" t="e">
        <f>IF(AND('Riesgos de Gestión'!#REF!="Muy Baja",'Riesgos de Gestión'!#REF!="Menor"),CONCATENATE("R3C",'Riesgos de Gestión'!#REF!),"")</f>
        <v>#REF!</v>
      </c>
      <c r="T48" s="60" t="e">
        <f>IF(AND('Riesgos de Gestión'!#REF!="Muy Baja",'Riesgos de Gestión'!#REF!="Menor"),CONCATENATE("R3C",'Riesgos de Gestión'!#REF!),"")</f>
        <v>#REF!</v>
      </c>
      <c r="U48" s="61" t="e">
        <f>IF(AND('Riesgos de Gestión'!#REF!="Muy Baja",'Riesgos de Gestión'!#REF!="Menor"),CONCATENATE("R3C",'Riesgos de Gestión'!#REF!),"")</f>
        <v>#REF!</v>
      </c>
      <c r="V48" s="50" t="str">
        <f>IF(AND('Riesgos de Gestión'!$AI$17="Muy Baja",'Riesgos de Gestión'!$AK$17="Moderado"),CONCATENATE("R3C",'Riesgos de Gestión'!$V$17),"")</f>
        <v/>
      </c>
      <c r="W48" s="51" t="str">
        <f>IF(AND('Riesgos de Gestión'!$AI$18="Muy Baja",'Riesgos de Gestión'!$AK$18="Moderado"),CONCATENATE("R3C",'Riesgos de Gestión'!$V$18),"")</f>
        <v/>
      </c>
      <c r="X48" s="51" t="str">
        <f>IF(AND('Riesgos de Gestión'!$AI$19="Muy Baja",'Riesgos de Gestión'!$AK$19="Moderado"),CONCATENATE("R3C",'Riesgos de Gestión'!$V$19),"")</f>
        <v/>
      </c>
      <c r="Y48" s="51" t="e">
        <f>IF(AND('Riesgos de Gestión'!#REF!="Muy Baja",'Riesgos de Gestión'!#REF!="Moderado"),CONCATENATE("R3C",'Riesgos de Gestión'!#REF!),"")</f>
        <v>#REF!</v>
      </c>
      <c r="Z48" s="51" t="e">
        <f>IF(AND('Riesgos de Gestión'!#REF!="Muy Baja",'Riesgos de Gestión'!#REF!="Moderado"),CONCATENATE("R3C",'Riesgos de Gestión'!#REF!),"")</f>
        <v>#REF!</v>
      </c>
      <c r="AA48" s="52" t="e">
        <f>IF(AND('Riesgos de Gestión'!#REF!="Muy Baja",'Riesgos de Gestión'!#REF!="Moderado"),CONCATENATE("R3C",'Riesgos de Gestión'!#REF!),"")</f>
        <v>#REF!</v>
      </c>
      <c r="AB48" s="35" t="str">
        <f>IF(AND('Riesgos de Gestión'!$AI$17="Muy Baja",'Riesgos de Gestión'!$AK$17="Mayor"),CONCATENATE("R3C",'Riesgos de Gestión'!$V$17),"")</f>
        <v/>
      </c>
      <c r="AC48" s="36" t="str">
        <f>IF(AND('Riesgos de Gestión'!$AI$18="Muy Baja",'Riesgos de Gestión'!$AK$18="Mayor"),CONCATENATE("R3C",'Riesgos de Gestión'!$V$18),"")</f>
        <v/>
      </c>
      <c r="AD48" s="36" t="str">
        <f>IF(AND('Riesgos de Gestión'!$AI$19="Muy Baja",'Riesgos de Gestión'!$AK$19="Mayor"),CONCATENATE("R3C",'Riesgos de Gestión'!$V$19),"")</f>
        <v/>
      </c>
      <c r="AE48" s="36" t="e">
        <f>IF(AND('Riesgos de Gestión'!#REF!="Muy Baja",'Riesgos de Gestión'!#REF!="Mayor"),CONCATENATE("R3C",'Riesgos de Gestión'!#REF!),"")</f>
        <v>#REF!</v>
      </c>
      <c r="AF48" s="36" t="e">
        <f>IF(AND('Riesgos de Gestión'!#REF!="Muy Baja",'Riesgos de Gestión'!#REF!="Mayor"),CONCATENATE("R3C",'Riesgos de Gestión'!#REF!),"")</f>
        <v>#REF!</v>
      </c>
      <c r="AG48" s="37" t="e">
        <f>IF(AND('Riesgos de Gestión'!#REF!="Muy Baja",'Riesgos de Gestión'!#REF!="Mayor"),CONCATENATE("R3C",'Riesgos de Gestión'!#REF!),"")</f>
        <v>#REF!</v>
      </c>
      <c r="AH48" s="38" t="str">
        <f>IF(AND('Riesgos de Gestión'!$AI$17="Muy Baja",'Riesgos de Gestión'!$AK$17="Catastrófico"),CONCATENATE("R3C",'Riesgos de Gestión'!$V$17),"")</f>
        <v/>
      </c>
      <c r="AI48" s="39" t="str">
        <f>IF(AND('Riesgos de Gestión'!$AI$18="Muy Baja",'Riesgos de Gestión'!$AK$18="Catastrófico"),CONCATENATE("R3C",'Riesgos de Gestión'!$V$18),"")</f>
        <v/>
      </c>
      <c r="AJ48" s="39" t="str">
        <f>IF(AND('Riesgos de Gestión'!$AI$19="Muy Baja",'Riesgos de Gestión'!$AK$19="Catastrófico"),CONCATENATE("R3C",'Riesgos de Gestión'!$V$19),"")</f>
        <v/>
      </c>
      <c r="AK48" s="39" t="e">
        <f>IF(AND('Riesgos de Gestión'!#REF!="Muy Baja",'Riesgos de Gestión'!#REF!="Catastrófico"),CONCATENATE("R3C",'Riesgos de Gestión'!#REF!),"")</f>
        <v>#REF!</v>
      </c>
      <c r="AL48" s="39" t="e">
        <f>IF(AND('Riesgos de Gestión'!#REF!="Muy Baja",'Riesgos de Gestión'!#REF!="Catastrófico"),CONCATENATE("R3C",'Riesgos de Gestión'!#REF!),"")</f>
        <v>#REF!</v>
      </c>
      <c r="AM48" s="40" t="e">
        <f>IF(AND('Riesgos de Gestión'!#REF!="Muy Baja",'Riesgos de Gestión'!#REF!="Catastrófico"),CONCATENATE("R3C",'Riesgos de Gestión'!#REF!),"")</f>
        <v>#REF!</v>
      </c>
      <c r="AN48" s="66"/>
      <c r="AO48" s="66"/>
      <c r="AP48" s="66"/>
      <c r="AQ48" s="66"/>
      <c r="AR48" s="66"/>
      <c r="AS48" s="66"/>
      <c r="AT48" s="66"/>
      <c r="AU48" s="66"/>
      <c r="AV48" s="66"/>
      <c r="AW48" s="66"/>
      <c r="AX48" s="66"/>
      <c r="AY48" s="66"/>
      <c r="AZ48" s="66"/>
      <c r="BA48" s="66"/>
      <c r="BB48" s="66"/>
      <c r="BC48" s="66"/>
      <c r="BD48" s="66"/>
      <c r="BE48" s="66"/>
      <c r="BF48" s="66"/>
      <c r="BG48" s="66"/>
      <c r="BH48" s="66"/>
      <c r="BI48" s="66"/>
      <c r="BJ48" s="66"/>
      <c r="BK48" s="66"/>
      <c r="BL48" s="66"/>
      <c r="BM48" s="66"/>
      <c r="BN48" s="66"/>
      <c r="BO48" s="66"/>
      <c r="BP48" s="66"/>
      <c r="BQ48" s="66"/>
      <c r="BR48" s="66"/>
      <c r="BS48" s="66"/>
      <c r="BT48" s="66"/>
      <c r="BU48" s="66"/>
      <c r="BV48" s="66"/>
      <c r="BW48" s="66"/>
      <c r="BX48" s="66"/>
      <c r="BY48" s="66"/>
      <c r="BZ48" s="66"/>
      <c r="CA48" s="66"/>
      <c r="CB48" s="66"/>
    </row>
    <row r="49" spans="1:80" ht="15" customHeight="1" x14ac:dyDescent="0.25">
      <c r="A49" s="66"/>
      <c r="B49" s="526"/>
      <c r="C49" s="526"/>
      <c r="D49" s="527"/>
      <c r="E49" s="625"/>
      <c r="F49" s="624"/>
      <c r="G49" s="624"/>
      <c r="H49" s="624"/>
      <c r="I49" s="640"/>
      <c r="J49" s="59" t="str">
        <f>IF(AND('Riesgos de Gestión'!$AI$20="Muy Baja",'Riesgos de Gestión'!$AK$20="Leve"),CONCATENATE("R4C",'Riesgos de Gestión'!$V$20),"")</f>
        <v/>
      </c>
      <c r="K49" s="60" t="str">
        <f>IF(AND('Riesgos de Gestión'!$AI$21="Muy Baja",'Riesgos de Gestión'!$AK$21="Leve"),CONCATENATE("R4C",'Riesgos de Gestión'!$V$21),"")</f>
        <v/>
      </c>
      <c r="L49" s="60" t="str">
        <f>IF(AND('Riesgos de Gestión'!$AI$22="Muy Baja",'Riesgos de Gestión'!$AK$22="Leve"),CONCATENATE("R4C",'Riesgos de Gestión'!$V$22),"")</f>
        <v/>
      </c>
      <c r="M49" s="60" t="str">
        <f>IF(AND('Riesgos de Gestión'!$AI$23="Muy Baja",'Riesgos de Gestión'!$AK$23="Leve"),CONCATENATE("R4C",'Riesgos de Gestión'!$V$23),"")</f>
        <v/>
      </c>
      <c r="N49" s="60" t="str">
        <f>IF(AND('Riesgos de Gestión'!$AI$24="Muy Baja",'Riesgos de Gestión'!$AK$24="Leve"),CONCATENATE("R4C",'Riesgos de Gestión'!$V$24),"")</f>
        <v/>
      </c>
      <c r="O49" s="61" t="str">
        <f>IF(AND('Riesgos de Gestión'!$AI$25="Muy Baja",'Riesgos de Gestión'!$AK$25="Leve"),CONCATENATE("R4C",'Riesgos de Gestión'!$V$25),"")</f>
        <v/>
      </c>
      <c r="P49" s="59" t="str">
        <f>IF(AND('Riesgos de Gestión'!$AI$20="Muy Baja",'Riesgos de Gestión'!$AK$20="Menor"),CONCATENATE("R4C",'Riesgos de Gestión'!$V$20),"")</f>
        <v/>
      </c>
      <c r="Q49" s="60" t="str">
        <f>IF(AND('Riesgos de Gestión'!$AI$21="Muy Baja",'Riesgos de Gestión'!$AK$21="Menor"),CONCATENATE("R4C",'Riesgos de Gestión'!$V$21),"")</f>
        <v/>
      </c>
      <c r="R49" s="60" t="str">
        <f>IF(AND('Riesgos de Gestión'!$AI$22="Muy Baja",'Riesgos de Gestión'!$AK$22="Menor"),CONCATENATE("R4C",'Riesgos de Gestión'!$V$22),"")</f>
        <v/>
      </c>
      <c r="S49" s="60" t="str">
        <f>IF(AND('Riesgos de Gestión'!$AI$23="Muy Baja",'Riesgos de Gestión'!$AK$23="Menor"),CONCATENATE("R4C",'Riesgos de Gestión'!$V$23),"")</f>
        <v/>
      </c>
      <c r="T49" s="60" t="str">
        <f>IF(AND('Riesgos de Gestión'!$AI$24="Muy Baja",'Riesgos de Gestión'!$AK$24="Menor"),CONCATENATE("R4C",'Riesgos de Gestión'!$V$24),"")</f>
        <v/>
      </c>
      <c r="U49" s="61" t="str">
        <f>IF(AND('Riesgos de Gestión'!$AI$25="Muy Baja",'Riesgos de Gestión'!$AK$25="Menor"),CONCATENATE("R4C",'Riesgos de Gestión'!$V$25),"")</f>
        <v/>
      </c>
      <c r="V49" s="50" t="str">
        <f>IF(AND('Riesgos de Gestión'!$AI$20="Muy Baja",'Riesgos de Gestión'!$AK$20="Moderado"),CONCATENATE("R4C",'Riesgos de Gestión'!$V$20),"")</f>
        <v/>
      </c>
      <c r="W49" s="51" t="str">
        <f>IF(AND('Riesgos de Gestión'!$AI$21="Muy Baja",'Riesgos de Gestión'!$AK$21="Moderado"),CONCATENATE("R4C",'Riesgos de Gestión'!$V$21),"")</f>
        <v/>
      </c>
      <c r="X49" s="51" t="str">
        <f>IF(AND('Riesgos de Gestión'!$AI$22="Muy Baja",'Riesgos de Gestión'!$AK$22="Moderado"),CONCATENATE("R4C",'Riesgos de Gestión'!$V$22),"")</f>
        <v/>
      </c>
      <c r="Y49" s="51" t="str">
        <f>IF(AND('Riesgos de Gestión'!$AI$23="Muy Baja",'Riesgos de Gestión'!$AK$23="Moderado"),CONCATENATE("R4C",'Riesgos de Gestión'!$V$23),"")</f>
        <v/>
      </c>
      <c r="Z49" s="51" t="str">
        <f>IF(AND('Riesgos de Gestión'!$AI$24="Muy Baja",'Riesgos de Gestión'!$AK$24="Moderado"),CONCATENATE("R4C",'Riesgos de Gestión'!$V$24),"")</f>
        <v/>
      </c>
      <c r="AA49" s="52" t="str">
        <f>IF(AND('Riesgos de Gestión'!$AI$25="Muy Baja",'Riesgos de Gestión'!$AK$25="Moderado"),CONCATENATE("R4C",'Riesgos de Gestión'!$V$25),"")</f>
        <v/>
      </c>
      <c r="AB49" s="35" t="str">
        <f>IF(AND('Riesgos de Gestión'!$AI$20="Muy Baja",'Riesgos de Gestión'!$AK$20="Mayor"),CONCATENATE("R4C",'Riesgos de Gestión'!$V$20),"")</f>
        <v/>
      </c>
      <c r="AC49" s="36" t="str">
        <f>IF(AND('Riesgos de Gestión'!$AI$21="Muy Baja",'Riesgos de Gestión'!$AK$21="Mayor"),CONCATENATE("R4C",'Riesgos de Gestión'!$V$21),"")</f>
        <v/>
      </c>
      <c r="AD49" s="36" t="str">
        <f>IF(AND('Riesgos de Gestión'!$AI$22="Muy Baja",'Riesgos de Gestión'!$AK$22="Mayor"),CONCATENATE("R4C",'Riesgos de Gestión'!$V$22),"")</f>
        <v/>
      </c>
      <c r="AE49" s="36" t="str">
        <f>IF(AND('Riesgos de Gestión'!$AI$23="Muy Baja",'Riesgos de Gestión'!$AK$23="Mayor"),CONCATENATE("R4C",'Riesgos de Gestión'!$V$23),"")</f>
        <v/>
      </c>
      <c r="AF49" s="36" t="str">
        <f>IF(AND('Riesgos de Gestión'!$AI$24="Muy Baja",'Riesgos de Gestión'!$AK$24="Mayor"),CONCATENATE("R4C",'Riesgos de Gestión'!$V$24),"")</f>
        <v/>
      </c>
      <c r="AG49" s="37" t="str">
        <f>IF(AND('Riesgos de Gestión'!$AI$25="Muy Baja",'Riesgos de Gestión'!$AK$25="Mayor"),CONCATENATE("R4C",'Riesgos de Gestión'!$V$25),"")</f>
        <v/>
      </c>
      <c r="AH49" s="38" t="str">
        <f>IF(AND('Riesgos de Gestión'!$AI$20="Muy Baja",'Riesgos de Gestión'!$AK$20="Catastrófico"),CONCATENATE("R4C",'Riesgos de Gestión'!$V$20),"")</f>
        <v/>
      </c>
      <c r="AI49" s="39" t="str">
        <f>IF(AND('Riesgos de Gestión'!$AI$21="Muy Baja",'Riesgos de Gestión'!$AK$21="Catastrófico"),CONCATENATE("R4C",'Riesgos de Gestión'!$V$21),"")</f>
        <v/>
      </c>
      <c r="AJ49" s="39" t="str">
        <f>IF(AND('Riesgos de Gestión'!$AI$22="Muy Baja",'Riesgos de Gestión'!$AK$22="Catastrófico"),CONCATENATE("R4C",'Riesgos de Gestión'!$V$22),"")</f>
        <v/>
      </c>
      <c r="AK49" s="39" t="str">
        <f>IF(AND('Riesgos de Gestión'!$AI$23="Muy Baja",'Riesgos de Gestión'!$AK$23="Catastrófico"),CONCATENATE("R4C",'Riesgos de Gestión'!$V$23),"")</f>
        <v/>
      </c>
      <c r="AL49" s="39" t="str">
        <f>IF(AND('Riesgos de Gestión'!$AI$24="Muy Baja",'Riesgos de Gestión'!$AK$24="Catastrófico"),CONCATENATE("R4C",'Riesgos de Gestión'!$V$24),"")</f>
        <v/>
      </c>
      <c r="AM49" s="40" t="str">
        <f>IF(AND('Riesgos de Gestión'!$AI$25="Muy Baja",'Riesgos de Gestión'!$AK$25="Catastrófico"),CONCATENATE("R4C",'Riesgos de Gestión'!$V$25),"")</f>
        <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6"/>
      <c r="BR49" s="66"/>
      <c r="BS49" s="66"/>
      <c r="BT49" s="66"/>
      <c r="BU49" s="66"/>
      <c r="BV49" s="66"/>
      <c r="BW49" s="66"/>
      <c r="BX49" s="66"/>
      <c r="BY49" s="66"/>
      <c r="BZ49" s="66"/>
      <c r="CA49" s="66"/>
      <c r="CB49" s="66"/>
    </row>
    <row r="50" spans="1:80" ht="15" customHeight="1" x14ac:dyDescent="0.25">
      <c r="A50" s="66"/>
      <c r="B50" s="526"/>
      <c r="C50" s="526"/>
      <c r="D50" s="527"/>
      <c r="E50" s="625"/>
      <c r="F50" s="624"/>
      <c r="G50" s="624"/>
      <c r="H50" s="624"/>
      <c r="I50" s="640"/>
      <c r="J50" s="59" t="str">
        <f>IF(AND('Riesgos de Gestión'!$AI$26="Muy Baja",'Riesgos de Gestión'!$AK$26="Leve"),CONCATENATE("R5C",'Riesgos de Gestión'!$V$26),"")</f>
        <v/>
      </c>
      <c r="K50" s="60" t="str">
        <f>IF(AND('Riesgos de Gestión'!$AI$27="Muy Baja",'Riesgos de Gestión'!$AK$27="Leve"),CONCATENATE("R5C",'Riesgos de Gestión'!$V$27),"")</f>
        <v/>
      </c>
      <c r="L50" s="60" t="str">
        <f>IF(AND('Riesgos de Gestión'!$AI$28="Muy Baja",'Riesgos de Gestión'!$AK$28="Leve"),CONCATENATE("R5C",'Riesgos de Gestión'!$V$28),"")</f>
        <v/>
      </c>
      <c r="M50" s="60" t="str">
        <f>IF(AND('Riesgos de Gestión'!$AI$29="Muy Baja",'Riesgos de Gestión'!$AK$29="Leve"),CONCATENATE("R5C",'Riesgos de Gestión'!$V$29),"")</f>
        <v/>
      </c>
      <c r="N50" s="60" t="str">
        <f>IF(AND('Riesgos de Gestión'!$AI$30="Muy Baja",'Riesgos de Gestión'!$AK$30="Leve"),CONCATENATE("R5C",'Riesgos de Gestión'!$V$30),"")</f>
        <v/>
      </c>
      <c r="O50" s="61" t="str">
        <f>IF(AND('Riesgos de Gestión'!$AI$31="Muy Baja",'Riesgos de Gestión'!$AK$31="Leve"),CONCATENATE("R5C",'Riesgos de Gestión'!$V$31),"")</f>
        <v/>
      </c>
      <c r="P50" s="59" t="str">
        <f>IF(AND('Riesgos de Gestión'!$AI$26="Muy Baja",'Riesgos de Gestión'!$AK$26="Menor"),CONCATENATE("R5C",'Riesgos de Gestión'!$V$26),"")</f>
        <v/>
      </c>
      <c r="Q50" s="60" t="str">
        <f>IF(AND('Riesgos de Gestión'!$AI$27="Muy Baja",'Riesgos de Gestión'!$AK$27="Menor"),CONCATENATE("R5C",'Riesgos de Gestión'!$V$27),"")</f>
        <v/>
      </c>
      <c r="R50" s="60" t="str">
        <f>IF(AND('Riesgos de Gestión'!$AI$28="Muy Baja",'Riesgos de Gestión'!$AK$28="Menor"),CONCATENATE("R5C",'Riesgos de Gestión'!$V$28),"")</f>
        <v/>
      </c>
      <c r="S50" s="60" t="str">
        <f>IF(AND('Riesgos de Gestión'!$AI$29="Muy Baja",'Riesgos de Gestión'!$AK$29="Menor"),CONCATENATE("R5C",'Riesgos de Gestión'!$V$29),"")</f>
        <v/>
      </c>
      <c r="T50" s="60" t="str">
        <f>IF(AND('Riesgos de Gestión'!$AI$30="Muy Baja",'Riesgos de Gestión'!$AK$30="Menor"),CONCATENATE("R5C",'Riesgos de Gestión'!$V$30),"")</f>
        <v/>
      </c>
      <c r="U50" s="61" t="str">
        <f>IF(AND('Riesgos de Gestión'!$AI$31="Muy Baja",'Riesgos de Gestión'!$AK$31="Menor"),CONCATENATE("R5C",'Riesgos de Gestión'!$V$31),"")</f>
        <v/>
      </c>
      <c r="V50" s="50" t="str">
        <f>IF(AND('Riesgos de Gestión'!$AI$26="Muy Baja",'Riesgos de Gestión'!$AK$26="Moderado"),CONCATENATE("R5C",'Riesgos de Gestión'!$V$26),"")</f>
        <v/>
      </c>
      <c r="W50" s="51" t="str">
        <f>IF(AND('Riesgos de Gestión'!$AI$27="Muy Baja",'Riesgos de Gestión'!$AK$27="Moderado"),CONCATENATE("R5C",'Riesgos de Gestión'!$V$27),"")</f>
        <v/>
      </c>
      <c r="X50" s="51" t="str">
        <f>IF(AND('Riesgos de Gestión'!$AI$28="Muy Baja",'Riesgos de Gestión'!$AK$28="Moderado"),CONCATENATE("R5C",'Riesgos de Gestión'!$V$28),"")</f>
        <v/>
      </c>
      <c r="Y50" s="51" t="str">
        <f>IF(AND('Riesgos de Gestión'!$AI$29="Muy Baja",'Riesgos de Gestión'!$AK$29="Moderado"),CONCATENATE("R5C",'Riesgos de Gestión'!$V$29),"")</f>
        <v/>
      </c>
      <c r="Z50" s="51" t="str">
        <f>IF(AND('Riesgos de Gestión'!$AI$30="Muy Baja",'Riesgos de Gestión'!$AK$30="Moderado"),CONCATENATE("R5C",'Riesgos de Gestión'!$V$30),"")</f>
        <v/>
      </c>
      <c r="AA50" s="52" t="str">
        <f>IF(AND('Riesgos de Gestión'!$AI$31="Muy Baja",'Riesgos de Gestión'!$AK$31="Moderado"),CONCATENATE("R5C",'Riesgos de Gestión'!$V$31),"")</f>
        <v/>
      </c>
      <c r="AB50" s="35" t="str">
        <f>IF(AND('Riesgos de Gestión'!$AI$26="Muy Baja",'Riesgos de Gestión'!$AK$26="Mayor"),CONCATENATE("R5C",'Riesgos de Gestión'!$V$26),"")</f>
        <v/>
      </c>
      <c r="AC50" s="36" t="str">
        <f>IF(AND('Riesgos de Gestión'!$AI$27="Muy Baja",'Riesgos de Gestión'!$AK$27="Mayor"),CONCATENATE("R5C",'Riesgos de Gestión'!$V$27),"")</f>
        <v/>
      </c>
      <c r="AD50" s="36" t="str">
        <f>IF(AND('Riesgos de Gestión'!$AI$28="Muy Baja",'Riesgos de Gestión'!$AK$28="Mayor"),CONCATENATE("R5C",'Riesgos de Gestión'!$V$28),"")</f>
        <v/>
      </c>
      <c r="AE50" s="36" t="str">
        <f>IF(AND('Riesgos de Gestión'!$AI$29="Muy Baja",'Riesgos de Gestión'!$AK$29="Mayor"),CONCATENATE("R5C",'Riesgos de Gestión'!$V$29),"")</f>
        <v/>
      </c>
      <c r="AF50" s="36" t="str">
        <f>IF(AND('Riesgos de Gestión'!$AI$30="Muy Baja",'Riesgos de Gestión'!$AK$30="Mayor"),CONCATENATE("R5C",'Riesgos de Gestión'!$V$30),"")</f>
        <v/>
      </c>
      <c r="AG50" s="37" t="str">
        <f>IF(AND('Riesgos de Gestión'!$AI$31="Muy Baja",'Riesgos de Gestión'!$AK$31="Mayor"),CONCATENATE("R5C",'Riesgos de Gestión'!$V$31),"")</f>
        <v/>
      </c>
      <c r="AH50" s="38" t="str">
        <f>IF(AND('Riesgos de Gestión'!$AI$26="Muy Baja",'Riesgos de Gestión'!$AK$26="Catastrófico"),CONCATENATE("R5C",'Riesgos de Gestión'!$V$26),"")</f>
        <v/>
      </c>
      <c r="AI50" s="39" t="str">
        <f>IF(AND('Riesgos de Gestión'!$AI$27="Muy Baja",'Riesgos de Gestión'!$AK$27="Catastrófico"),CONCATENATE("R5C",'Riesgos de Gestión'!$V$27),"")</f>
        <v/>
      </c>
      <c r="AJ50" s="39" t="str">
        <f>IF(AND('Riesgos de Gestión'!$AI$28="Muy Baja",'Riesgos de Gestión'!$AK$28="Catastrófico"),CONCATENATE("R5C",'Riesgos de Gestión'!$V$28),"")</f>
        <v/>
      </c>
      <c r="AK50" s="39" t="str">
        <f>IF(AND('Riesgos de Gestión'!$AI$29="Muy Baja",'Riesgos de Gestión'!$AK$29="Catastrófico"),CONCATENATE("R5C",'Riesgos de Gestión'!$V$29),"")</f>
        <v/>
      </c>
      <c r="AL50" s="39" t="str">
        <f>IF(AND('Riesgos de Gestión'!$AI$30="Muy Baja",'Riesgos de Gestión'!$AK$30="Catastrófico"),CONCATENATE("R5C",'Riesgos de Gestión'!$V$30),"")</f>
        <v/>
      </c>
      <c r="AM50" s="40" t="str">
        <f>IF(AND('Riesgos de Gestión'!$AI$31="Muy Baja",'Riesgos de Gestión'!$AK$31="Catastrófico"),CONCATENATE("R5C",'Riesgos de Gestión'!$V$31),"")</f>
        <v/>
      </c>
      <c r="AN50" s="66"/>
      <c r="AO50" s="66"/>
      <c r="AP50" s="66"/>
      <c r="AQ50" s="66"/>
      <c r="AR50" s="66"/>
      <c r="AS50" s="66"/>
      <c r="AT50" s="66"/>
      <c r="AU50" s="66"/>
      <c r="AV50" s="66"/>
      <c r="AW50" s="66"/>
      <c r="AX50" s="66"/>
      <c r="AY50" s="66"/>
      <c r="AZ50" s="66"/>
      <c r="BA50" s="66"/>
      <c r="BB50" s="66"/>
      <c r="BC50" s="66"/>
      <c r="BD50" s="66"/>
      <c r="BE50" s="66"/>
      <c r="BF50" s="66"/>
      <c r="BG50" s="66"/>
      <c r="BH50" s="66"/>
      <c r="BI50" s="66"/>
      <c r="BJ50" s="66"/>
      <c r="BK50" s="66"/>
      <c r="BL50" s="66"/>
      <c r="BM50" s="66"/>
      <c r="BN50" s="66"/>
      <c r="BO50" s="66"/>
      <c r="BP50" s="66"/>
      <c r="BQ50" s="66"/>
      <c r="BR50" s="66"/>
      <c r="BS50" s="66"/>
      <c r="BT50" s="66"/>
      <c r="BU50" s="66"/>
      <c r="BV50" s="66"/>
      <c r="BW50" s="66"/>
      <c r="BX50" s="66"/>
      <c r="BY50" s="66"/>
      <c r="BZ50" s="66"/>
      <c r="CA50" s="66"/>
      <c r="CB50" s="66"/>
    </row>
    <row r="51" spans="1:80" ht="15" customHeight="1" x14ac:dyDescent="0.25">
      <c r="A51" s="66"/>
      <c r="B51" s="526"/>
      <c r="C51" s="526"/>
      <c r="D51" s="527"/>
      <c r="E51" s="625"/>
      <c r="F51" s="624"/>
      <c r="G51" s="624"/>
      <c r="H51" s="624"/>
      <c r="I51" s="640"/>
      <c r="J51" s="59" t="str">
        <f>IF(AND('Riesgos de Gestión'!$AI$32="Muy Baja",'Riesgos de Gestión'!$AK$32="Leve"),CONCATENATE("R6C",'Riesgos de Gestión'!$V$32),"")</f>
        <v/>
      </c>
      <c r="K51" s="60" t="str">
        <f>IF(AND('Riesgos de Gestión'!$AI$33="Muy Baja",'Riesgos de Gestión'!$AK$33="Leve"),CONCATENATE("R6C",'Riesgos de Gestión'!$V$33),"")</f>
        <v/>
      </c>
      <c r="L51" s="60" t="str">
        <f>IF(AND('Riesgos de Gestión'!$AI$34="Muy Baja",'Riesgos de Gestión'!$AK$34="Leve"),CONCATENATE("R6C",'Riesgos de Gestión'!$V$34),"")</f>
        <v/>
      </c>
      <c r="M51" s="60" t="str">
        <f>IF(AND('Riesgos de Gestión'!$AI$35="Muy Baja",'Riesgos de Gestión'!$AK$35="Leve"),CONCATENATE("R6C",'Riesgos de Gestión'!$V$35),"")</f>
        <v/>
      </c>
      <c r="N51" s="60" t="str">
        <f>IF(AND('Riesgos de Gestión'!$AI$36="Muy Baja",'Riesgos de Gestión'!$AK$36="Leve"),CONCATENATE("R6C",'Riesgos de Gestión'!$V$36),"")</f>
        <v/>
      </c>
      <c r="O51" s="61" t="str">
        <f>IF(AND('Riesgos de Gestión'!$AI$37="Muy Baja",'Riesgos de Gestión'!$AK$37="Leve"),CONCATENATE("R6C",'Riesgos de Gestión'!$V$37),"")</f>
        <v/>
      </c>
      <c r="P51" s="59" t="str">
        <f>IF(AND('Riesgos de Gestión'!$AI$32="Muy Baja",'Riesgos de Gestión'!$AK$32="Menor"),CONCATENATE("R6C",'Riesgos de Gestión'!$V$32),"")</f>
        <v/>
      </c>
      <c r="Q51" s="60" t="str">
        <f>IF(AND('Riesgos de Gestión'!$AI$33="Muy Baja",'Riesgos de Gestión'!$AK$33="Menor"),CONCATENATE("R6C",'Riesgos de Gestión'!$V$33),"")</f>
        <v/>
      </c>
      <c r="R51" s="60" t="str">
        <f>IF(AND('Riesgos de Gestión'!$AI$34="Muy Baja",'Riesgos de Gestión'!$AK$34="Menor"),CONCATENATE("R6C",'Riesgos de Gestión'!$V$34),"")</f>
        <v/>
      </c>
      <c r="S51" s="60" t="str">
        <f>IF(AND('Riesgos de Gestión'!$AI$35="Muy Baja",'Riesgos de Gestión'!$AK$35="Menor"),CONCATENATE("R6C",'Riesgos de Gestión'!$V$35),"")</f>
        <v/>
      </c>
      <c r="T51" s="60" t="str">
        <f>IF(AND('Riesgos de Gestión'!$AI$36="Muy Baja",'Riesgos de Gestión'!$AK$36="Menor"),CONCATENATE("R6C",'Riesgos de Gestión'!$V$36),"")</f>
        <v/>
      </c>
      <c r="U51" s="61" t="str">
        <f>IF(AND('Riesgos de Gestión'!$AI$37="Muy Baja",'Riesgos de Gestión'!$AK$37="Menor"),CONCATENATE("R6C",'Riesgos de Gestión'!$V$37),"")</f>
        <v/>
      </c>
      <c r="V51" s="50" t="str">
        <f>IF(AND('Riesgos de Gestión'!$AI$32="Muy Baja",'Riesgos de Gestión'!$AK$32="Moderado"),CONCATENATE("R6C",'Riesgos de Gestión'!$V$32),"")</f>
        <v/>
      </c>
      <c r="W51" s="51" t="str">
        <f>IF(AND('Riesgos de Gestión'!$AI$33="Muy Baja",'Riesgos de Gestión'!$AK$33="Moderado"),CONCATENATE("R6C",'Riesgos de Gestión'!$V$33),"")</f>
        <v/>
      </c>
      <c r="X51" s="51" t="str">
        <f>IF(AND('Riesgos de Gestión'!$AI$34="Muy Baja",'Riesgos de Gestión'!$AK$34="Moderado"),CONCATENATE("R6C",'Riesgos de Gestión'!$V$34),"")</f>
        <v/>
      </c>
      <c r="Y51" s="51" t="str">
        <f>IF(AND('Riesgos de Gestión'!$AI$35="Muy Baja",'Riesgos de Gestión'!$AK$35="Moderado"),CONCATENATE("R6C",'Riesgos de Gestión'!$V$35),"")</f>
        <v/>
      </c>
      <c r="Z51" s="51" t="str">
        <f>IF(AND('Riesgos de Gestión'!$AI$36="Muy Baja",'Riesgos de Gestión'!$AK$36="Moderado"),CONCATENATE("R6C",'Riesgos de Gestión'!$V$36),"")</f>
        <v/>
      </c>
      <c r="AA51" s="52" t="str">
        <f>IF(AND('Riesgos de Gestión'!$AI$37="Muy Baja",'Riesgos de Gestión'!$AK$37="Moderado"),CONCATENATE("R6C",'Riesgos de Gestión'!$V$37),"")</f>
        <v/>
      </c>
      <c r="AB51" s="35" t="str">
        <f>IF(AND('Riesgos de Gestión'!$AI$32="Muy Baja",'Riesgos de Gestión'!$AK$32="Mayor"),CONCATENATE("R6C",'Riesgos de Gestión'!$V$32),"")</f>
        <v/>
      </c>
      <c r="AC51" s="36" t="str">
        <f>IF(AND('Riesgos de Gestión'!$AI$33="Muy Baja",'Riesgos de Gestión'!$AK$33="Mayor"),CONCATENATE("R6C",'Riesgos de Gestión'!$V$33),"")</f>
        <v/>
      </c>
      <c r="AD51" s="36" t="str">
        <f>IF(AND('Riesgos de Gestión'!$AI$34="Muy Baja",'Riesgos de Gestión'!$AK$34="Mayor"),CONCATENATE("R6C",'Riesgos de Gestión'!$V$34),"")</f>
        <v/>
      </c>
      <c r="AE51" s="36" t="str">
        <f>IF(AND('Riesgos de Gestión'!$AI$35="Muy Baja",'Riesgos de Gestión'!$AK$35="Mayor"),CONCATENATE("R6C",'Riesgos de Gestión'!$V$35),"")</f>
        <v/>
      </c>
      <c r="AF51" s="36" t="str">
        <f>IF(AND('Riesgos de Gestión'!$AI$36="Muy Baja",'Riesgos de Gestión'!$AK$36="Mayor"),CONCATENATE("R6C",'Riesgos de Gestión'!$V$36),"")</f>
        <v/>
      </c>
      <c r="AG51" s="37" t="str">
        <f>IF(AND('Riesgos de Gestión'!$AI$37="Muy Baja",'Riesgos de Gestión'!$AK$37="Mayor"),CONCATENATE("R6C",'Riesgos de Gestión'!$V$37),"")</f>
        <v/>
      </c>
      <c r="AH51" s="38" t="str">
        <f>IF(AND('Riesgos de Gestión'!$AI$32="Muy Baja",'Riesgos de Gestión'!$AK$32="Catastrófico"),CONCATENATE("R6C",'Riesgos de Gestión'!$V$32),"")</f>
        <v/>
      </c>
      <c r="AI51" s="39" t="str">
        <f>IF(AND('Riesgos de Gestión'!$AI$33="Muy Baja",'Riesgos de Gestión'!$AK$33="Catastrófico"),CONCATENATE("R6C",'Riesgos de Gestión'!$V$33),"")</f>
        <v/>
      </c>
      <c r="AJ51" s="39" t="str">
        <f>IF(AND('Riesgos de Gestión'!$AI$34="Muy Baja",'Riesgos de Gestión'!$AK$34="Catastrófico"),CONCATENATE("R6C",'Riesgos de Gestión'!$V$34),"")</f>
        <v/>
      </c>
      <c r="AK51" s="39" t="str">
        <f>IF(AND('Riesgos de Gestión'!$AI$35="Muy Baja",'Riesgos de Gestión'!$AK$35="Catastrófico"),CONCATENATE("R6C",'Riesgos de Gestión'!$V$35),"")</f>
        <v/>
      </c>
      <c r="AL51" s="39" t="str">
        <f>IF(AND('Riesgos de Gestión'!$AI$36="Muy Baja",'Riesgos de Gestión'!$AK$36="Catastrófico"),CONCATENATE("R6C",'Riesgos de Gestión'!$V$36),"")</f>
        <v/>
      </c>
      <c r="AM51" s="40" t="str">
        <f>IF(AND('Riesgos de Gestión'!$AI$37="Muy Baja",'Riesgos de Gestión'!$AK$37="Catastrófico"),CONCATENATE("R6C",'Riesgos de Gestión'!$V$37),"")</f>
        <v/>
      </c>
      <c r="AN51" s="66"/>
      <c r="AO51" s="66"/>
      <c r="AP51" s="66"/>
      <c r="AQ51" s="66"/>
      <c r="AR51" s="66"/>
      <c r="AS51" s="66"/>
      <c r="AT51" s="66"/>
      <c r="AU51" s="66"/>
      <c r="AV51" s="66"/>
      <c r="AW51" s="66"/>
      <c r="AX51" s="66"/>
      <c r="AY51" s="66"/>
      <c r="AZ51" s="66"/>
      <c r="BA51" s="66"/>
      <c r="BB51" s="66"/>
      <c r="BC51" s="66"/>
      <c r="BD51" s="66"/>
      <c r="BE51" s="66"/>
      <c r="BF51" s="66"/>
      <c r="BG51" s="66"/>
      <c r="BH51" s="66"/>
      <c r="BI51" s="66"/>
      <c r="BJ51" s="66"/>
      <c r="BK51" s="66"/>
      <c r="BL51" s="66"/>
      <c r="BM51" s="66"/>
      <c r="BN51" s="66"/>
      <c r="BO51" s="66"/>
      <c r="BP51" s="66"/>
      <c r="BQ51" s="66"/>
      <c r="BR51" s="66"/>
      <c r="BS51" s="66"/>
      <c r="BT51" s="66"/>
      <c r="BU51" s="66"/>
      <c r="BV51" s="66"/>
      <c r="BW51" s="66"/>
      <c r="BX51" s="66"/>
      <c r="BY51" s="66"/>
      <c r="BZ51" s="66"/>
      <c r="CA51" s="66"/>
      <c r="CB51" s="66"/>
    </row>
    <row r="52" spans="1:80" ht="15" customHeight="1" x14ac:dyDescent="0.25">
      <c r="A52" s="66"/>
      <c r="B52" s="526"/>
      <c r="C52" s="526"/>
      <c r="D52" s="527"/>
      <c r="E52" s="625"/>
      <c r="F52" s="624"/>
      <c r="G52" s="624"/>
      <c r="H52" s="624"/>
      <c r="I52" s="640"/>
      <c r="J52" s="59" t="str">
        <f>IF(AND('Riesgos de Gestión'!$AI$38="Muy Baja",'Riesgos de Gestión'!$AK$38="Leve"),CONCATENATE("R7C",'Riesgos de Gestión'!$V$38),"")</f>
        <v/>
      </c>
      <c r="K52" s="60" t="str">
        <f>IF(AND('Riesgos de Gestión'!$AI$39="Muy Baja",'Riesgos de Gestión'!$AK$39="Leve"),CONCATENATE("R7C",'Riesgos de Gestión'!$V$39),"")</f>
        <v/>
      </c>
      <c r="L52" s="60" t="str">
        <f>IF(AND('Riesgos de Gestión'!$AI$40="Muy Baja",'Riesgos de Gestión'!$AK$40="Leve"),CONCATENATE("R7C",'Riesgos de Gestión'!$V$40),"")</f>
        <v/>
      </c>
      <c r="M52" s="60" t="str">
        <f>IF(AND('Riesgos de Gestión'!$AI$41="Muy Baja",'Riesgos de Gestión'!$AK$41="Leve"),CONCATENATE("R7C",'Riesgos de Gestión'!$V$41),"")</f>
        <v/>
      </c>
      <c r="N52" s="60" t="str">
        <f>IF(AND('Riesgos de Gestión'!$AI$42="Muy Baja",'Riesgos de Gestión'!$AK$42="Leve"),CONCATENATE("R7C",'Riesgos de Gestión'!$V$42),"")</f>
        <v/>
      </c>
      <c r="O52" s="61" t="str">
        <f>IF(AND('Riesgos de Gestión'!$AI$43="Muy Baja",'Riesgos de Gestión'!$AK$43="Leve"),CONCATENATE("R7C",'Riesgos de Gestión'!$V$43),"")</f>
        <v/>
      </c>
      <c r="P52" s="59" t="str">
        <f>IF(AND('Riesgos de Gestión'!$AI$38="Muy Baja",'Riesgos de Gestión'!$AK$38="Menor"),CONCATENATE("R7C",'Riesgos de Gestión'!$V$38),"")</f>
        <v/>
      </c>
      <c r="Q52" s="60" t="str">
        <f>IF(AND('Riesgos de Gestión'!$AI$39="Muy Baja",'Riesgos de Gestión'!$AK$39="Menor"),CONCATENATE("R7C",'Riesgos de Gestión'!$V$39),"")</f>
        <v/>
      </c>
      <c r="R52" s="60" t="str">
        <f>IF(AND('Riesgos de Gestión'!$AI$40="Muy Baja",'Riesgos de Gestión'!$AK$40="Menor"),CONCATENATE("R7C",'Riesgos de Gestión'!$V$40),"")</f>
        <v/>
      </c>
      <c r="S52" s="60" t="str">
        <f>IF(AND('Riesgos de Gestión'!$AI$41="Muy Baja",'Riesgos de Gestión'!$AK$41="Menor"),CONCATENATE("R7C",'Riesgos de Gestión'!$V$41),"")</f>
        <v/>
      </c>
      <c r="T52" s="60" t="str">
        <f>IF(AND('Riesgos de Gestión'!$AI$42="Muy Baja",'Riesgos de Gestión'!$AK$42="Menor"),CONCATENATE("R7C",'Riesgos de Gestión'!$V$42),"")</f>
        <v/>
      </c>
      <c r="U52" s="61" t="str">
        <f>IF(AND('Riesgos de Gestión'!$AI$43="Muy Baja",'Riesgos de Gestión'!$AK$43="Menor"),CONCATENATE("R7C",'Riesgos de Gestión'!$V$43),"")</f>
        <v/>
      </c>
      <c r="V52" s="50" t="str">
        <f>IF(AND('Riesgos de Gestión'!$AI$38="Muy Baja",'Riesgos de Gestión'!$AK$38="Moderado"),CONCATENATE("R7C",'Riesgos de Gestión'!$V$38),"")</f>
        <v/>
      </c>
      <c r="W52" s="51" t="str">
        <f>IF(AND('Riesgos de Gestión'!$AI$39="Muy Baja",'Riesgos de Gestión'!$AK$39="Moderado"),CONCATENATE("R7C",'Riesgos de Gestión'!$V$39),"")</f>
        <v/>
      </c>
      <c r="X52" s="51" t="str">
        <f>IF(AND('Riesgos de Gestión'!$AI$40="Muy Baja",'Riesgos de Gestión'!$AK$40="Moderado"),CONCATENATE("R7C",'Riesgos de Gestión'!$V$40),"")</f>
        <v/>
      </c>
      <c r="Y52" s="51" t="str">
        <f>IF(AND('Riesgos de Gestión'!$AI$41="Muy Baja",'Riesgos de Gestión'!$AK$41="Moderado"),CONCATENATE("R7C",'Riesgos de Gestión'!$V$41),"")</f>
        <v/>
      </c>
      <c r="Z52" s="51" t="str">
        <f>IF(AND('Riesgos de Gestión'!$AI$42="Muy Baja",'Riesgos de Gestión'!$AK$42="Moderado"),CONCATENATE("R7C",'Riesgos de Gestión'!$V$42),"")</f>
        <v/>
      </c>
      <c r="AA52" s="52" t="str">
        <f>IF(AND('Riesgos de Gestión'!$AI$43="Muy Baja",'Riesgos de Gestión'!$AK$43="Moderado"),CONCATENATE("R7C",'Riesgos de Gestión'!$V$43),"")</f>
        <v/>
      </c>
      <c r="AB52" s="35" t="str">
        <f>IF(AND('Riesgos de Gestión'!$AI$38="Muy Baja",'Riesgos de Gestión'!$AK$38="Mayor"),CONCATENATE("R7C",'Riesgos de Gestión'!$V$38),"")</f>
        <v/>
      </c>
      <c r="AC52" s="36" t="str">
        <f>IF(AND('Riesgos de Gestión'!$AI$39="Muy Baja",'Riesgos de Gestión'!$AK$39="Mayor"),CONCATENATE("R7C",'Riesgos de Gestión'!$V$39),"")</f>
        <v/>
      </c>
      <c r="AD52" s="36" t="str">
        <f>IF(AND('Riesgos de Gestión'!$AI$40="Muy Baja",'Riesgos de Gestión'!$AK$40="Mayor"),CONCATENATE("R7C",'Riesgos de Gestión'!$V$40),"")</f>
        <v/>
      </c>
      <c r="AE52" s="36" t="str">
        <f>IF(AND('Riesgos de Gestión'!$AI$41="Muy Baja",'Riesgos de Gestión'!$AK$41="Mayor"),CONCATENATE("R7C",'Riesgos de Gestión'!$V$41),"")</f>
        <v/>
      </c>
      <c r="AF52" s="36" t="str">
        <f>IF(AND('Riesgos de Gestión'!$AI$42="Muy Baja",'Riesgos de Gestión'!$AK$42="Mayor"),CONCATENATE("R7C",'Riesgos de Gestión'!$V$42),"")</f>
        <v/>
      </c>
      <c r="AG52" s="37" t="str">
        <f>IF(AND('Riesgos de Gestión'!$AI$43="Muy Baja",'Riesgos de Gestión'!$AK$43="Mayor"),CONCATENATE("R7C",'Riesgos de Gestión'!$V$43),"")</f>
        <v/>
      </c>
      <c r="AH52" s="38" t="str">
        <f>IF(AND('Riesgos de Gestión'!$AI$38="Muy Baja",'Riesgos de Gestión'!$AK$38="Catastrófico"),CONCATENATE("R7C",'Riesgos de Gestión'!$V$38),"")</f>
        <v/>
      </c>
      <c r="AI52" s="39" t="str">
        <f>IF(AND('Riesgos de Gestión'!$AI$39="Muy Baja",'Riesgos de Gestión'!$AK$39="Catastrófico"),CONCATENATE("R7C",'Riesgos de Gestión'!$V$39),"")</f>
        <v/>
      </c>
      <c r="AJ52" s="39" t="str">
        <f>IF(AND('Riesgos de Gestión'!$AI$40="Muy Baja",'Riesgos de Gestión'!$AK$40="Catastrófico"),CONCATENATE("R7C",'Riesgos de Gestión'!$V$40),"")</f>
        <v/>
      </c>
      <c r="AK52" s="39" t="str">
        <f>IF(AND('Riesgos de Gestión'!$AI$41="Muy Baja",'Riesgos de Gestión'!$AK$41="Catastrófico"),CONCATENATE("R7C",'Riesgos de Gestión'!$V$41),"")</f>
        <v/>
      </c>
      <c r="AL52" s="39" t="str">
        <f>IF(AND('Riesgos de Gestión'!$AI$42="Muy Baja",'Riesgos de Gestión'!$AK$42="Catastrófico"),CONCATENATE("R7C",'Riesgos de Gestión'!$V$42),"")</f>
        <v/>
      </c>
      <c r="AM52" s="40" t="str">
        <f>IF(AND('Riesgos de Gestión'!$AI$43="Muy Baja",'Riesgos de Gestión'!$AK$43="Catastrófico"),CONCATENATE("R7C",'Riesgos de Gestión'!$V$43),"")</f>
        <v/>
      </c>
      <c r="AN52" s="66"/>
      <c r="AO52" s="66"/>
      <c r="AP52" s="66"/>
      <c r="AQ52" s="66"/>
      <c r="AR52" s="66"/>
      <c r="AS52" s="66"/>
      <c r="AT52" s="66"/>
      <c r="AU52" s="66"/>
      <c r="AV52" s="66"/>
      <c r="AW52" s="66"/>
      <c r="AX52" s="66"/>
      <c r="AY52" s="66"/>
      <c r="AZ52" s="66"/>
      <c r="BA52" s="66"/>
      <c r="BB52" s="66"/>
      <c r="BC52" s="66"/>
      <c r="BD52" s="66"/>
      <c r="BE52" s="66"/>
      <c r="BF52" s="66"/>
      <c r="BG52" s="66"/>
      <c r="BH52" s="66"/>
      <c r="BI52" s="66"/>
      <c r="BJ52" s="66"/>
      <c r="BK52" s="66"/>
      <c r="BL52" s="66"/>
      <c r="BM52" s="66"/>
      <c r="BN52" s="66"/>
      <c r="BO52" s="66"/>
      <c r="BP52" s="66"/>
      <c r="BQ52" s="66"/>
      <c r="BR52" s="66"/>
      <c r="BS52" s="66"/>
      <c r="BT52" s="66"/>
      <c r="BU52" s="66"/>
      <c r="BV52" s="66"/>
      <c r="BW52" s="66"/>
      <c r="BX52" s="66"/>
      <c r="BY52" s="66"/>
      <c r="BZ52" s="66"/>
      <c r="CA52" s="66"/>
      <c r="CB52" s="66"/>
    </row>
    <row r="53" spans="1:80" ht="15" customHeight="1" x14ac:dyDescent="0.25">
      <c r="A53" s="66"/>
      <c r="B53" s="526"/>
      <c r="C53" s="526"/>
      <c r="D53" s="527"/>
      <c r="E53" s="625"/>
      <c r="F53" s="624"/>
      <c r="G53" s="624"/>
      <c r="H53" s="624"/>
      <c r="I53" s="640"/>
      <c r="J53" s="59" t="str">
        <f>IF(AND('Riesgos de Gestión'!$AI$44="Muy Baja",'Riesgos de Gestión'!$AK$44="Leve"),CONCATENATE("R8C",'Riesgos de Gestión'!$V$44),"")</f>
        <v/>
      </c>
      <c r="K53" s="60" t="str">
        <f>IF(AND('Riesgos de Gestión'!$AI$45="Muy Baja",'Riesgos de Gestión'!$AK$45="Leve"),CONCATENATE("R8C",'Riesgos de Gestión'!$V$45),"")</f>
        <v/>
      </c>
      <c r="L53" s="60" t="str">
        <f>IF(AND('Riesgos de Gestión'!$AI$46="Muy Baja",'Riesgos de Gestión'!$AK$46="Leve"),CONCATENATE("R8C",'Riesgos de Gestión'!$V$46),"")</f>
        <v/>
      </c>
      <c r="M53" s="60" t="str">
        <f>IF(AND('Riesgos de Gestión'!$AI$47="Muy Baja",'Riesgos de Gestión'!$AK$47="Leve"),CONCATENATE("R8C",'Riesgos de Gestión'!$V$47),"")</f>
        <v/>
      </c>
      <c r="N53" s="60" t="str">
        <f>IF(AND('Riesgos de Gestión'!$AI$48="Muy Baja",'Riesgos de Gestión'!$AK$48="Leve"),CONCATENATE("R8C",'Riesgos de Gestión'!$V$48),"")</f>
        <v/>
      </c>
      <c r="O53" s="61" t="str">
        <f>IF(AND('Riesgos de Gestión'!$AI$49="Muy Baja",'Riesgos de Gestión'!$AK$49="Leve"),CONCATENATE("R8C",'Riesgos de Gestión'!$V$49),"")</f>
        <v/>
      </c>
      <c r="P53" s="59" t="str">
        <f>IF(AND('Riesgos de Gestión'!$AI$44="Muy Baja",'Riesgos de Gestión'!$AK$44="Menor"),CONCATENATE("R8C",'Riesgos de Gestión'!$V$44),"")</f>
        <v/>
      </c>
      <c r="Q53" s="60" t="str">
        <f>IF(AND('Riesgos de Gestión'!$AI$45="Muy Baja",'Riesgos de Gestión'!$AK$45="Menor"),CONCATENATE("R8C",'Riesgos de Gestión'!$V$45),"")</f>
        <v/>
      </c>
      <c r="R53" s="60" t="str">
        <f>IF(AND('Riesgos de Gestión'!$AI$46="Muy Baja",'Riesgos de Gestión'!$AK$46="Menor"),CONCATENATE("R8C",'Riesgos de Gestión'!$V$46),"")</f>
        <v/>
      </c>
      <c r="S53" s="60" t="str">
        <f>IF(AND('Riesgos de Gestión'!$AI$47="Muy Baja",'Riesgos de Gestión'!$AK$47="Menor"),CONCATENATE("R8C",'Riesgos de Gestión'!$V$47),"")</f>
        <v/>
      </c>
      <c r="T53" s="60" t="str">
        <f>IF(AND('Riesgos de Gestión'!$AI$48="Muy Baja",'Riesgos de Gestión'!$AK$48="Menor"),CONCATENATE("R8C",'Riesgos de Gestión'!$V$48),"")</f>
        <v/>
      </c>
      <c r="U53" s="61" t="str">
        <f>IF(AND('Riesgos de Gestión'!$AI$49="Muy Baja",'Riesgos de Gestión'!$AK$49="Menor"),CONCATENATE("R8C",'Riesgos de Gestión'!$V$49),"")</f>
        <v/>
      </c>
      <c r="V53" s="50" t="str">
        <f>IF(AND('Riesgos de Gestión'!$AI$44="Muy Baja",'Riesgos de Gestión'!$AK$44="Moderado"),CONCATENATE("R8C",'Riesgos de Gestión'!$V$44),"")</f>
        <v/>
      </c>
      <c r="W53" s="51" t="str">
        <f>IF(AND('Riesgos de Gestión'!$AI$45="Muy Baja",'Riesgos de Gestión'!$AK$45="Moderado"),CONCATENATE("R8C",'Riesgos de Gestión'!$V$45),"")</f>
        <v/>
      </c>
      <c r="X53" s="51" t="str">
        <f>IF(AND('Riesgos de Gestión'!$AI$46="Muy Baja",'Riesgos de Gestión'!$AK$46="Moderado"),CONCATENATE("R8C",'Riesgos de Gestión'!$V$46),"")</f>
        <v/>
      </c>
      <c r="Y53" s="51" t="str">
        <f>IF(AND('Riesgos de Gestión'!$AI$47="Muy Baja",'Riesgos de Gestión'!$AK$47="Moderado"),CONCATENATE("R8C",'Riesgos de Gestión'!$V$47),"")</f>
        <v/>
      </c>
      <c r="Z53" s="51" t="str">
        <f>IF(AND('Riesgos de Gestión'!$AI$48="Muy Baja",'Riesgos de Gestión'!$AK$48="Moderado"),CONCATENATE("R8C",'Riesgos de Gestión'!$V$48),"")</f>
        <v/>
      </c>
      <c r="AA53" s="52" t="str">
        <f>IF(AND('Riesgos de Gestión'!$AI$49="Muy Baja",'Riesgos de Gestión'!$AK$49="Moderado"),CONCATENATE("R8C",'Riesgos de Gestión'!$V$49),"")</f>
        <v/>
      </c>
      <c r="AB53" s="35" t="str">
        <f>IF(AND('Riesgos de Gestión'!$AI$44="Muy Baja",'Riesgos de Gestión'!$AK$44="Mayor"),CONCATENATE("R8C",'Riesgos de Gestión'!$V$44),"")</f>
        <v/>
      </c>
      <c r="AC53" s="36" t="str">
        <f>IF(AND('Riesgos de Gestión'!$AI$45="Muy Baja",'Riesgos de Gestión'!$AK$45="Mayor"),CONCATENATE("R8C",'Riesgos de Gestión'!$V$45),"")</f>
        <v/>
      </c>
      <c r="AD53" s="36" t="str">
        <f>IF(AND('Riesgos de Gestión'!$AI$46="Muy Baja",'Riesgos de Gestión'!$AK$46="Mayor"),CONCATENATE("R8C",'Riesgos de Gestión'!$V$46),"")</f>
        <v/>
      </c>
      <c r="AE53" s="36" t="str">
        <f>IF(AND('Riesgos de Gestión'!$AI$47="Muy Baja",'Riesgos de Gestión'!$AK$47="Mayor"),CONCATENATE("R8C",'Riesgos de Gestión'!$V$47),"")</f>
        <v/>
      </c>
      <c r="AF53" s="36" t="str">
        <f>IF(AND('Riesgos de Gestión'!$AI$48="Muy Baja",'Riesgos de Gestión'!$AK$48="Mayor"),CONCATENATE("R8C",'Riesgos de Gestión'!$V$48),"")</f>
        <v/>
      </c>
      <c r="AG53" s="37" t="str">
        <f>IF(AND('Riesgos de Gestión'!$AI$49="Muy Baja",'Riesgos de Gestión'!$AK$49="Mayor"),CONCATENATE("R8C",'Riesgos de Gestión'!$V$49),"")</f>
        <v/>
      </c>
      <c r="AH53" s="38" t="str">
        <f>IF(AND('Riesgos de Gestión'!$AI$44="Muy Baja",'Riesgos de Gestión'!$AK$44="Catastrófico"),CONCATENATE("R8C",'Riesgos de Gestión'!$V$44),"")</f>
        <v/>
      </c>
      <c r="AI53" s="39" t="str">
        <f>IF(AND('Riesgos de Gestión'!$AI$45="Muy Baja",'Riesgos de Gestión'!$AK$45="Catastrófico"),CONCATENATE("R8C",'Riesgos de Gestión'!$V$45),"")</f>
        <v/>
      </c>
      <c r="AJ53" s="39" t="str">
        <f>IF(AND('Riesgos de Gestión'!$AI$46="Muy Baja",'Riesgos de Gestión'!$AK$46="Catastrófico"),CONCATENATE("R8C",'Riesgos de Gestión'!$V$46),"")</f>
        <v/>
      </c>
      <c r="AK53" s="39" t="str">
        <f>IF(AND('Riesgos de Gestión'!$AI$47="Muy Baja",'Riesgos de Gestión'!$AK$47="Catastrófico"),CONCATENATE("R8C",'Riesgos de Gestión'!$V$47),"")</f>
        <v/>
      </c>
      <c r="AL53" s="39" t="str">
        <f>IF(AND('Riesgos de Gestión'!$AI$48="Muy Baja",'Riesgos de Gestión'!$AK$48="Catastrófico"),CONCATENATE("R8C",'Riesgos de Gestión'!$V$48),"")</f>
        <v/>
      </c>
      <c r="AM53" s="40" t="str">
        <f>IF(AND('Riesgos de Gestión'!$AI$49="Muy Baja",'Riesgos de Gestión'!$AK$49="Catastrófico"),CONCATENATE("R8C",'Riesgos de Gestión'!$V$49),"")</f>
        <v/>
      </c>
      <c r="AN53" s="66"/>
      <c r="AO53" s="66"/>
      <c r="AP53" s="66"/>
      <c r="AQ53" s="66"/>
      <c r="AR53" s="66"/>
      <c r="AS53" s="66"/>
      <c r="AT53" s="66"/>
      <c r="AU53" s="66"/>
      <c r="AV53" s="66"/>
      <c r="AW53" s="66"/>
      <c r="AX53" s="66"/>
      <c r="AY53" s="66"/>
      <c r="AZ53" s="66"/>
      <c r="BA53" s="66"/>
      <c r="BB53" s="66"/>
      <c r="BC53" s="66"/>
      <c r="BD53" s="66"/>
      <c r="BE53" s="66"/>
      <c r="BF53" s="66"/>
      <c r="BG53" s="66"/>
      <c r="BH53" s="66"/>
      <c r="BI53" s="66"/>
      <c r="BJ53" s="66"/>
      <c r="BK53" s="66"/>
      <c r="BL53" s="66"/>
      <c r="BM53" s="66"/>
      <c r="BN53" s="66"/>
      <c r="BO53" s="66"/>
      <c r="BP53" s="66"/>
      <c r="BQ53" s="66"/>
      <c r="BR53" s="66"/>
      <c r="BS53" s="66"/>
      <c r="BT53" s="66"/>
      <c r="BU53" s="66"/>
      <c r="BV53" s="66"/>
      <c r="BW53" s="66"/>
      <c r="BX53" s="66"/>
      <c r="BY53" s="66"/>
      <c r="BZ53" s="66"/>
      <c r="CA53" s="66"/>
      <c r="CB53" s="66"/>
    </row>
    <row r="54" spans="1:80" ht="15" customHeight="1" x14ac:dyDescent="0.25">
      <c r="A54" s="66"/>
      <c r="B54" s="526"/>
      <c r="C54" s="526"/>
      <c r="D54" s="527"/>
      <c r="E54" s="625"/>
      <c r="F54" s="624"/>
      <c r="G54" s="624"/>
      <c r="H54" s="624"/>
      <c r="I54" s="640"/>
      <c r="J54" s="59" t="str">
        <f>IF(AND('Riesgos de Gestión'!$AI$50="Muy Baja",'Riesgos de Gestión'!$AK$50="Leve"),CONCATENATE("R9C",'Riesgos de Gestión'!$V$50),"")</f>
        <v/>
      </c>
      <c r="K54" s="60" t="str">
        <f>IF(AND('Riesgos de Gestión'!$AI$51="Muy Baja",'Riesgos de Gestión'!$AK$51="Leve"),CONCATENATE("R9C",'Riesgos de Gestión'!$V$51),"")</f>
        <v/>
      </c>
      <c r="L54" s="60" t="str">
        <f>IF(AND('Riesgos de Gestión'!$AI$52="Muy Baja",'Riesgos de Gestión'!$AK$52="Leve"),CONCATENATE("R9C",'Riesgos de Gestión'!$V$52),"")</f>
        <v/>
      </c>
      <c r="M54" s="60" t="str">
        <f>IF(AND('Riesgos de Gestión'!$AI$53="Muy Baja",'Riesgos de Gestión'!$AK$53="Leve"),CONCATENATE("R9C",'Riesgos de Gestión'!$V$53),"")</f>
        <v/>
      </c>
      <c r="N54" s="60" t="str">
        <f>IF(AND('Riesgos de Gestión'!$AI$54="Muy Baja",'Riesgos de Gestión'!$AK$54="Leve"),CONCATENATE("R9C",'Riesgos de Gestión'!$V$54),"")</f>
        <v/>
      </c>
      <c r="O54" s="61" t="str">
        <f>IF(AND('Riesgos de Gestión'!$AI$55="Muy Baja",'Riesgos de Gestión'!$AK$55="Leve"),CONCATENATE("R9C",'Riesgos de Gestión'!$V$55),"")</f>
        <v/>
      </c>
      <c r="P54" s="59" t="str">
        <f>IF(AND('Riesgos de Gestión'!$AI$50="Muy Baja",'Riesgos de Gestión'!$AK$50="Menor"),CONCATENATE("R9C",'Riesgos de Gestión'!$V$50),"")</f>
        <v/>
      </c>
      <c r="Q54" s="60" t="str">
        <f>IF(AND('Riesgos de Gestión'!$AI$51="Muy Baja",'Riesgos de Gestión'!$AK$51="Menor"),CONCATENATE("R9C",'Riesgos de Gestión'!$V$51),"")</f>
        <v/>
      </c>
      <c r="R54" s="60" t="str">
        <f>IF(AND('Riesgos de Gestión'!$AI$52="Muy Baja",'Riesgos de Gestión'!$AK$52="Menor"),CONCATENATE("R9C",'Riesgos de Gestión'!$V$52),"")</f>
        <v/>
      </c>
      <c r="S54" s="60" t="str">
        <f>IF(AND('Riesgos de Gestión'!$AI$53="Muy Baja",'Riesgos de Gestión'!$AK$53="Menor"),CONCATENATE("R9C",'Riesgos de Gestión'!$V$53),"")</f>
        <v/>
      </c>
      <c r="T54" s="60" t="str">
        <f>IF(AND('Riesgos de Gestión'!$AI$54="Muy Baja",'Riesgos de Gestión'!$AK$54="Menor"),CONCATENATE("R9C",'Riesgos de Gestión'!$V$54),"")</f>
        <v/>
      </c>
      <c r="U54" s="61" t="str">
        <f>IF(AND('Riesgos de Gestión'!$AI$55="Muy Baja",'Riesgos de Gestión'!$AK$55="Menor"),CONCATENATE("R9C",'Riesgos de Gestión'!$V$55),"")</f>
        <v/>
      </c>
      <c r="V54" s="50" t="str">
        <f>IF(AND('Riesgos de Gestión'!$AI$50="Muy Baja",'Riesgos de Gestión'!$AK$50="Moderado"),CONCATENATE("R9C",'Riesgos de Gestión'!$V$50),"")</f>
        <v/>
      </c>
      <c r="W54" s="51" t="str">
        <f>IF(AND('Riesgos de Gestión'!$AI$51="Muy Baja",'Riesgos de Gestión'!$AK$51="Moderado"),CONCATENATE("R9C",'Riesgos de Gestión'!$V$51),"")</f>
        <v/>
      </c>
      <c r="X54" s="51" t="str">
        <f>IF(AND('Riesgos de Gestión'!$AI$52="Muy Baja",'Riesgos de Gestión'!$AK$52="Moderado"),CONCATENATE("R9C",'Riesgos de Gestión'!$V$52),"")</f>
        <v/>
      </c>
      <c r="Y54" s="51" t="str">
        <f>IF(AND('Riesgos de Gestión'!$AI$53="Muy Baja",'Riesgos de Gestión'!$AK$53="Moderado"),CONCATENATE("R9C",'Riesgos de Gestión'!$V$53),"")</f>
        <v/>
      </c>
      <c r="Z54" s="51" t="str">
        <f>IF(AND('Riesgos de Gestión'!$AI$54="Muy Baja",'Riesgos de Gestión'!$AK$54="Moderado"),CONCATENATE("R9C",'Riesgos de Gestión'!$V$54),"")</f>
        <v/>
      </c>
      <c r="AA54" s="52" t="str">
        <f>IF(AND('Riesgos de Gestión'!$AI$55="Muy Baja",'Riesgos de Gestión'!$AK$55="Moderado"),CONCATENATE("R9C",'Riesgos de Gestión'!$V$55),"")</f>
        <v/>
      </c>
      <c r="AB54" s="35" t="str">
        <f>IF(AND('Riesgos de Gestión'!$AI$50="Muy Baja",'Riesgos de Gestión'!$AK$50="Mayor"),CONCATENATE("R9C",'Riesgos de Gestión'!$V$50),"")</f>
        <v/>
      </c>
      <c r="AC54" s="36" t="str">
        <f>IF(AND('Riesgos de Gestión'!$AI$51="Muy Baja",'Riesgos de Gestión'!$AK$51="Mayor"),CONCATENATE("R9C",'Riesgos de Gestión'!$V$51),"")</f>
        <v/>
      </c>
      <c r="AD54" s="36" t="str">
        <f>IF(AND('Riesgos de Gestión'!$AI$52="Muy Baja",'Riesgos de Gestión'!$AK$52="Mayor"),CONCATENATE("R9C",'Riesgos de Gestión'!$V$52),"")</f>
        <v/>
      </c>
      <c r="AE54" s="36" t="str">
        <f>IF(AND('Riesgos de Gestión'!$AI$53="Muy Baja",'Riesgos de Gestión'!$AK$53="Mayor"),CONCATENATE("R9C",'Riesgos de Gestión'!$V$53),"")</f>
        <v/>
      </c>
      <c r="AF54" s="36" t="str">
        <f>IF(AND('Riesgos de Gestión'!$AI$54="Muy Baja",'Riesgos de Gestión'!$AK$54="Mayor"),CONCATENATE("R9C",'Riesgos de Gestión'!$V$54),"")</f>
        <v/>
      </c>
      <c r="AG54" s="37" t="str">
        <f>IF(AND('Riesgos de Gestión'!$AI$55="Muy Baja",'Riesgos de Gestión'!$AK$55="Mayor"),CONCATENATE("R9C",'Riesgos de Gestión'!$V$55),"")</f>
        <v/>
      </c>
      <c r="AH54" s="38" t="str">
        <f>IF(AND('Riesgos de Gestión'!$AI$50="Muy Baja",'Riesgos de Gestión'!$AK$50="Catastrófico"),CONCATENATE("R9C",'Riesgos de Gestión'!$V$50),"")</f>
        <v/>
      </c>
      <c r="AI54" s="39" t="str">
        <f>IF(AND('Riesgos de Gestión'!$AI$51="Muy Baja",'Riesgos de Gestión'!$AK$51="Catastrófico"),CONCATENATE("R9C",'Riesgos de Gestión'!$V$51),"")</f>
        <v/>
      </c>
      <c r="AJ54" s="39" t="str">
        <f>IF(AND('Riesgos de Gestión'!$AI$52="Muy Baja",'Riesgos de Gestión'!$AK$52="Catastrófico"),CONCATENATE("R9C",'Riesgos de Gestión'!$V$52),"")</f>
        <v/>
      </c>
      <c r="AK54" s="39" t="str">
        <f>IF(AND('Riesgos de Gestión'!$AI$53="Muy Baja",'Riesgos de Gestión'!$AK$53="Catastrófico"),CONCATENATE("R9C",'Riesgos de Gestión'!$V$53),"")</f>
        <v/>
      </c>
      <c r="AL54" s="39" t="str">
        <f>IF(AND('Riesgos de Gestión'!$AI$54="Muy Baja",'Riesgos de Gestión'!$AK$54="Catastrófico"),CONCATENATE("R9C",'Riesgos de Gestión'!$V$54),"")</f>
        <v/>
      </c>
      <c r="AM54" s="40" t="str">
        <f>IF(AND('Riesgos de Gestión'!$AI$55="Muy Baja",'Riesgos de Gestión'!$AK$55="Catastrófico"),CONCATENATE("R9C",'Riesgos de Gestión'!$V$55),"")</f>
        <v/>
      </c>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6"/>
      <c r="BS54" s="66"/>
      <c r="BT54" s="66"/>
      <c r="BU54" s="66"/>
      <c r="BV54" s="66"/>
      <c r="BW54" s="66"/>
      <c r="BX54" s="66"/>
      <c r="BY54" s="66"/>
      <c r="BZ54" s="66"/>
      <c r="CA54" s="66"/>
      <c r="CB54" s="66"/>
    </row>
    <row r="55" spans="1:80" ht="15.75" customHeight="1" thickBot="1" x14ac:dyDescent="0.3">
      <c r="A55" s="66"/>
      <c r="B55" s="526"/>
      <c r="C55" s="526"/>
      <c r="D55" s="527"/>
      <c r="E55" s="626"/>
      <c r="F55" s="627"/>
      <c r="G55" s="627"/>
      <c r="H55" s="627"/>
      <c r="I55" s="641"/>
      <c r="J55" s="62" t="str">
        <f>IF(AND('Riesgos de Gestión'!$AI$56="Muy Baja",'Riesgos de Gestión'!$AK$56="Leve"),CONCATENATE("R10C",'Riesgos de Gestión'!$V$56),"")</f>
        <v/>
      </c>
      <c r="K55" s="63" t="str">
        <f>IF(AND('Riesgos de Gestión'!$AI$57="Muy Baja",'Riesgos de Gestión'!$AK$57="Leve"),CONCATENATE("R10C",'Riesgos de Gestión'!$V$57),"")</f>
        <v/>
      </c>
      <c r="L55" s="63" t="str">
        <f>IF(AND('Riesgos de Gestión'!$AI$58="Muy Baja",'Riesgos de Gestión'!$AK$58="Leve"),CONCATENATE("R10C",'Riesgos de Gestión'!$V$58),"")</f>
        <v/>
      </c>
      <c r="M55" s="63" t="str">
        <f>IF(AND('Riesgos de Gestión'!$AI$59="Muy Baja",'Riesgos de Gestión'!$AK$59="Leve"),CONCATENATE("R10C",'Riesgos de Gestión'!$V$59),"")</f>
        <v/>
      </c>
      <c r="N55" s="63" t="str">
        <f>IF(AND('Riesgos de Gestión'!$AI$60="Muy Baja",'Riesgos de Gestión'!$AK$60="Leve"),CONCATENATE("R10C",'Riesgos de Gestión'!$V$60),"")</f>
        <v/>
      </c>
      <c r="O55" s="64" t="str">
        <f>IF(AND('Riesgos de Gestión'!$AI$61="Muy Baja",'Riesgos de Gestión'!$AK$61="Leve"),CONCATENATE("R10C",'Riesgos de Gestión'!$V$61),"")</f>
        <v/>
      </c>
      <c r="P55" s="62" t="str">
        <f>IF(AND('Riesgos de Gestión'!$AI$56="Muy Baja",'Riesgos de Gestión'!$AK$56="Menor"),CONCATENATE("R10C",'Riesgos de Gestión'!$V$56),"")</f>
        <v/>
      </c>
      <c r="Q55" s="63" t="str">
        <f>IF(AND('Riesgos de Gestión'!$AI$57="Muy Baja",'Riesgos de Gestión'!$AK$57="Menor"),CONCATENATE("R10C",'Riesgos de Gestión'!$V$57),"")</f>
        <v/>
      </c>
      <c r="R55" s="63" t="str">
        <f>IF(AND('Riesgos de Gestión'!$AI$58="Muy Baja",'Riesgos de Gestión'!$AK$58="Menor"),CONCATENATE("R10C",'Riesgos de Gestión'!$V$58),"")</f>
        <v/>
      </c>
      <c r="S55" s="63" t="str">
        <f>IF(AND('Riesgos de Gestión'!$AI$59="Muy Baja",'Riesgos de Gestión'!$AK$59="Menor"),CONCATENATE("R10C",'Riesgos de Gestión'!$V$59),"")</f>
        <v/>
      </c>
      <c r="T55" s="63" t="str">
        <f>IF(AND('Riesgos de Gestión'!$AI$60="Muy Baja",'Riesgos de Gestión'!$AK$60="Menor"),CONCATENATE("R10C",'Riesgos de Gestión'!$V$60),"")</f>
        <v/>
      </c>
      <c r="U55" s="64" t="str">
        <f>IF(AND('Riesgos de Gestión'!$AI$61="Muy Baja",'Riesgos de Gestión'!$AK$61="Menor"),CONCATENATE("R10C",'Riesgos de Gestión'!$V$61),"")</f>
        <v/>
      </c>
      <c r="V55" s="53" t="str">
        <f>IF(AND('Riesgos de Gestión'!$AI$56="Muy Baja",'Riesgos de Gestión'!$AK$56="Moderado"),CONCATENATE("R10C",'Riesgos de Gestión'!$V$56),"")</f>
        <v/>
      </c>
      <c r="W55" s="54" t="str">
        <f>IF(AND('Riesgos de Gestión'!$AI$57="Muy Baja",'Riesgos de Gestión'!$AK$57="Moderado"),CONCATENATE("R10C",'Riesgos de Gestión'!$V$57),"")</f>
        <v/>
      </c>
      <c r="X55" s="54" t="str">
        <f>IF(AND('Riesgos de Gestión'!$AI$58="Muy Baja",'Riesgos de Gestión'!$AK$58="Moderado"),CONCATENATE("R10C",'Riesgos de Gestión'!$V$58),"")</f>
        <v/>
      </c>
      <c r="Y55" s="54" t="str">
        <f>IF(AND('Riesgos de Gestión'!$AI$59="Muy Baja",'Riesgos de Gestión'!$AK$59="Moderado"),CONCATENATE("R10C",'Riesgos de Gestión'!$V$59),"")</f>
        <v/>
      </c>
      <c r="Z55" s="54" t="str">
        <f>IF(AND('Riesgos de Gestión'!$AI$60="Muy Baja",'Riesgos de Gestión'!$AK$60="Moderado"),CONCATENATE("R10C",'Riesgos de Gestión'!$V$60),"")</f>
        <v/>
      </c>
      <c r="AA55" s="55" t="str">
        <f>IF(AND('Riesgos de Gestión'!$AI$61="Muy Baja",'Riesgos de Gestión'!$AK$61="Moderado"),CONCATENATE("R10C",'Riesgos de Gestión'!$V$61),"")</f>
        <v/>
      </c>
      <c r="AB55" s="41" t="str">
        <f>IF(AND('Riesgos de Gestión'!$AI$56="Muy Baja",'Riesgos de Gestión'!$AK$56="Mayor"),CONCATENATE("R10C",'Riesgos de Gestión'!$V$56),"")</f>
        <v/>
      </c>
      <c r="AC55" s="42" t="str">
        <f>IF(AND('Riesgos de Gestión'!$AI$57="Muy Baja",'Riesgos de Gestión'!$AK$57="Mayor"),CONCATENATE("R10C",'Riesgos de Gestión'!$V$57),"")</f>
        <v/>
      </c>
      <c r="AD55" s="42" t="str">
        <f>IF(AND('Riesgos de Gestión'!$AI$58="Muy Baja",'Riesgos de Gestión'!$AK$58="Mayor"),CONCATENATE("R10C",'Riesgos de Gestión'!$V$58),"")</f>
        <v/>
      </c>
      <c r="AE55" s="42" t="str">
        <f>IF(AND('Riesgos de Gestión'!$AI$59="Muy Baja",'Riesgos de Gestión'!$AK$59="Mayor"),CONCATENATE("R10C",'Riesgos de Gestión'!$V$59),"")</f>
        <v/>
      </c>
      <c r="AF55" s="42" t="str">
        <f>IF(AND('Riesgos de Gestión'!$AI$60="Muy Baja",'Riesgos de Gestión'!$AK$60="Mayor"),CONCATENATE("R10C",'Riesgos de Gestión'!$V$60),"")</f>
        <v/>
      </c>
      <c r="AG55" s="43" t="str">
        <f>IF(AND('Riesgos de Gestión'!$AI$61="Muy Baja",'Riesgos de Gestión'!$AK$61="Mayor"),CONCATENATE("R10C",'Riesgos de Gestión'!$V$61),"")</f>
        <v/>
      </c>
      <c r="AH55" s="44" t="str">
        <f>IF(AND('Riesgos de Gestión'!$AI$56="Muy Baja",'Riesgos de Gestión'!$AK$56="Catastrófico"),CONCATENATE("R10C",'Riesgos de Gestión'!$V$56),"")</f>
        <v/>
      </c>
      <c r="AI55" s="45" t="str">
        <f>IF(AND('Riesgos de Gestión'!$AI$57="Muy Baja",'Riesgos de Gestión'!$AK$57="Catastrófico"),CONCATENATE("R10C",'Riesgos de Gestión'!$V$57),"")</f>
        <v/>
      </c>
      <c r="AJ55" s="45" t="str">
        <f>IF(AND('Riesgos de Gestión'!$AI$58="Muy Baja",'Riesgos de Gestión'!$AK$58="Catastrófico"),CONCATENATE("R10C",'Riesgos de Gestión'!$V$58),"")</f>
        <v/>
      </c>
      <c r="AK55" s="45" t="str">
        <f>IF(AND('Riesgos de Gestión'!$AI$59="Muy Baja",'Riesgos de Gestión'!$AK$59="Catastrófico"),CONCATENATE("R10C",'Riesgos de Gestión'!$V$59),"")</f>
        <v/>
      </c>
      <c r="AL55" s="45" t="str">
        <f>IF(AND('Riesgos de Gestión'!$AI$60="Muy Baja",'Riesgos de Gestión'!$AK$60="Catastrófico"),CONCATENATE("R10C",'Riesgos de Gestión'!$V$60),"")</f>
        <v/>
      </c>
      <c r="AM55" s="46" t="str">
        <f>IF(AND('Riesgos de Gestión'!$AI$61="Muy Baja",'Riesgos de Gestión'!$AK$61="Catastrófico"),CONCATENATE("R10C",'Riesgos de Gestión'!$V$61),"")</f>
        <v/>
      </c>
      <c r="AN55" s="66"/>
      <c r="AO55" s="66"/>
      <c r="AP55" s="66"/>
      <c r="AQ55" s="66"/>
      <c r="AR55" s="66"/>
      <c r="AS55" s="66"/>
      <c r="AT55" s="66"/>
      <c r="AU55" s="66"/>
      <c r="AV55" s="66"/>
      <c r="AW55" s="66"/>
      <c r="AX55" s="66"/>
      <c r="AY55" s="66"/>
      <c r="AZ55" s="66"/>
      <c r="BA55" s="66"/>
      <c r="BB55" s="66"/>
      <c r="BC55" s="66"/>
      <c r="BD55" s="66"/>
      <c r="BE55" s="66"/>
      <c r="BF55" s="66"/>
      <c r="BG55" s="66"/>
      <c r="BH55" s="66"/>
      <c r="BI55" s="66"/>
      <c r="BJ55" s="66"/>
      <c r="BK55" s="66"/>
      <c r="BL55" s="66"/>
      <c r="BM55" s="66"/>
      <c r="BN55" s="66"/>
      <c r="BO55" s="66"/>
      <c r="BP55" s="66"/>
      <c r="BQ55" s="66"/>
      <c r="BR55" s="66"/>
      <c r="BS55" s="66"/>
      <c r="BT55" s="66"/>
      <c r="BU55" s="66"/>
      <c r="BV55" s="66"/>
      <c r="BW55" s="66"/>
      <c r="BX55" s="66"/>
      <c r="BY55" s="66"/>
      <c r="BZ55" s="66"/>
      <c r="CA55" s="66"/>
      <c r="CB55" s="66"/>
    </row>
    <row r="56" spans="1:80" x14ac:dyDescent="0.25">
      <c r="A56" s="66"/>
      <c r="B56" s="66"/>
      <c r="C56" s="66"/>
      <c r="D56" s="66"/>
      <c r="E56" s="66"/>
      <c r="F56" s="66"/>
      <c r="G56" s="66"/>
      <c r="H56" s="66"/>
      <c r="I56" s="66"/>
      <c r="J56" s="621" t="s">
        <v>494</v>
      </c>
      <c r="K56" s="622"/>
      <c r="L56" s="622"/>
      <c r="M56" s="622"/>
      <c r="N56" s="622"/>
      <c r="O56" s="639"/>
      <c r="P56" s="621" t="s">
        <v>495</v>
      </c>
      <c r="Q56" s="622"/>
      <c r="R56" s="622"/>
      <c r="S56" s="622"/>
      <c r="T56" s="622"/>
      <c r="U56" s="639"/>
      <c r="V56" s="621" t="s">
        <v>496</v>
      </c>
      <c r="W56" s="622"/>
      <c r="X56" s="622"/>
      <c r="Y56" s="622"/>
      <c r="Z56" s="622"/>
      <c r="AA56" s="639"/>
      <c r="AB56" s="621" t="s">
        <v>497</v>
      </c>
      <c r="AC56" s="660"/>
      <c r="AD56" s="622"/>
      <c r="AE56" s="622"/>
      <c r="AF56" s="622"/>
      <c r="AG56" s="639"/>
      <c r="AH56" s="621" t="s">
        <v>498</v>
      </c>
      <c r="AI56" s="622"/>
      <c r="AJ56" s="622"/>
      <c r="AK56" s="622"/>
      <c r="AL56" s="622"/>
      <c r="AM56" s="639"/>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6"/>
      <c r="BR56" s="66"/>
      <c r="BS56" s="66"/>
      <c r="BT56" s="66"/>
      <c r="BU56" s="66"/>
      <c r="BV56" s="66"/>
      <c r="BW56" s="66"/>
      <c r="BX56" s="66"/>
      <c r="BY56" s="66"/>
      <c r="BZ56" s="66"/>
      <c r="CA56" s="66"/>
      <c r="CB56" s="66"/>
    </row>
    <row r="57" spans="1:80" x14ac:dyDescent="0.25">
      <c r="A57" s="66"/>
      <c r="B57" s="66"/>
      <c r="C57" s="66"/>
      <c r="D57" s="66"/>
      <c r="E57" s="66"/>
      <c r="F57" s="66"/>
      <c r="G57" s="66"/>
      <c r="H57" s="66"/>
      <c r="I57" s="66"/>
      <c r="J57" s="625"/>
      <c r="K57" s="624"/>
      <c r="L57" s="624"/>
      <c r="M57" s="624"/>
      <c r="N57" s="624"/>
      <c r="O57" s="640"/>
      <c r="P57" s="625"/>
      <c r="Q57" s="624"/>
      <c r="R57" s="624"/>
      <c r="S57" s="624"/>
      <c r="T57" s="624"/>
      <c r="U57" s="640"/>
      <c r="V57" s="625"/>
      <c r="W57" s="624"/>
      <c r="X57" s="624"/>
      <c r="Y57" s="624"/>
      <c r="Z57" s="624"/>
      <c r="AA57" s="640"/>
      <c r="AB57" s="625"/>
      <c r="AC57" s="624"/>
      <c r="AD57" s="624"/>
      <c r="AE57" s="624"/>
      <c r="AF57" s="624"/>
      <c r="AG57" s="640"/>
      <c r="AH57" s="625"/>
      <c r="AI57" s="624"/>
      <c r="AJ57" s="624"/>
      <c r="AK57" s="624"/>
      <c r="AL57" s="624"/>
      <c r="AM57" s="640"/>
      <c r="AN57" s="66"/>
      <c r="AO57" s="66"/>
      <c r="AP57" s="66"/>
      <c r="AQ57" s="66"/>
      <c r="AR57" s="66"/>
      <c r="AS57" s="66"/>
      <c r="AT57" s="66"/>
      <c r="AU57" s="66"/>
      <c r="AV57" s="66"/>
      <c r="AW57" s="66"/>
      <c r="AX57" s="66"/>
      <c r="AY57" s="66"/>
      <c r="AZ57" s="66"/>
      <c r="BA57" s="66"/>
      <c r="BB57" s="66"/>
      <c r="BC57" s="66"/>
      <c r="BD57" s="66"/>
      <c r="BE57" s="66"/>
      <c r="BF57" s="66"/>
      <c r="BG57" s="66"/>
      <c r="BH57" s="66"/>
      <c r="BI57" s="66"/>
      <c r="BJ57" s="66"/>
      <c r="BK57" s="66"/>
      <c r="BL57" s="66"/>
      <c r="BM57" s="66"/>
      <c r="BN57" s="66"/>
      <c r="BO57" s="66"/>
      <c r="BP57" s="66"/>
      <c r="BQ57" s="66"/>
      <c r="BR57" s="66"/>
      <c r="BS57" s="66"/>
      <c r="BT57" s="66"/>
      <c r="BU57" s="66"/>
      <c r="BV57" s="66"/>
      <c r="BW57" s="66"/>
      <c r="BX57" s="66"/>
      <c r="BY57" s="66"/>
      <c r="BZ57" s="66"/>
      <c r="CA57" s="66"/>
      <c r="CB57" s="66"/>
    </row>
    <row r="58" spans="1:80" x14ac:dyDescent="0.25">
      <c r="A58" s="66"/>
      <c r="B58" s="66"/>
      <c r="C58" s="66"/>
      <c r="D58" s="66"/>
      <c r="E58" s="66"/>
      <c r="F58" s="66"/>
      <c r="G58" s="66"/>
      <c r="H58" s="66"/>
      <c r="I58" s="66"/>
      <c r="J58" s="625"/>
      <c r="K58" s="624"/>
      <c r="L58" s="624"/>
      <c r="M58" s="624"/>
      <c r="N58" s="624"/>
      <c r="O58" s="640"/>
      <c r="P58" s="625"/>
      <c r="Q58" s="624"/>
      <c r="R58" s="624"/>
      <c r="S58" s="624"/>
      <c r="T58" s="624"/>
      <c r="U58" s="640"/>
      <c r="V58" s="625"/>
      <c r="W58" s="624"/>
      <c r="X58" s="624"/>
      <c r="Y58" s="624"/>
      <c r="Z58" s="624"/>
      <c r="AA58" s="640"/>
      <c r="AB58" s="625"/>
      <c r="AC58" s="624"/>
      <c r="AD58" s="624"/>
      <c r="AE58" s="624"/>
      <c r="AF58" s="624"/>
      <c r="AG58" s="640"/>
      <c r="AH58" s="625"/>
      <c r="AI58" s="624"/>
      <c r="AJ58" s="624"/>
      <c r="AK58" s="624"/>
      <c r="AL58" s="624"/>
      <c r="AM58" s="640"/>
      <c r="AN58" s="66"/>
      <c r="AO58" s="66"/>
      <c r="AP58" s="66"/>
      <c r="AQ58" s="66"/>
      <c r="AR58" s="66"/>
      <c r="AS58" s="66"/>
      <c r="AT58" s="66"/>
      <c r="AU58" s="66"/>
      <c r="AV58" s="66"/>
      <c r="AW58" s="66"/>
      <c r="AX58" s="66"/>
      <c r="AY58" s="66"/>
      <c r="AZ58" s="66"/>
      <c r="BA58" s="66"/>
      <c r="BB58" s="66"/>
      <c r="BC58" s="66"/>
      <c r="BD58" s="66"/>
      <c r="BE58" s="66"/>
      <c r="BF58" s="66"/>
      <c r="BG58" s="66"/>
      <c r="BH58" s="66"/>
      <c r="BI58" s="66"/>
      <c r="BJ58" s="66"/>
      <c r="BK58" s="66"/>
      <c r="BL58" s="66"/>
      <c r="BM58" s="66"/>
      <c r="BN58" s="66"/>
      <c r="BO58" s="66"/>
      <c r="BP58" s="66"/>
      <c r="BQ58" s="66"/>
      <c r="BR58" s="66"/>
      <c r="BS58" s="66"/>
      <c r="BT58" s="66"/>
      <c r="BU58" s="66"/>
      <c r="BV58" s="66"/>
      <c r="BW58" s="66"/>
      <c r="BX58" s="66"/>
      <c r="BY58" s="66"/>
      <c r="BZ58" s="66"/>
      <c r="CA58" s="66"/>
      <c r="CB58" s="66"/>
    </row>
    <row r="59" spans="1:80" x14ac:dyDescent="0.25">
      <c r="A59" s="66"/>
      <c r="B59" s="66"/>
      <c r="C59" s="66"/>
      <c r="D59" s="66"/>
      <c r="E59" s="66"/>
      <c r="F59" s="66"/>
      <c r="G59" s="66"/>
      <c r="H59" s="66"/>
      <c r="I59" s="66"/>
      <c r="J59" s="625"/>
      <c r="K59" s="624"/>
      <c r="L59" s="624"/>
      <c r="M59" s="624"/>
      <c r="N59" s="624"/>
      <c r="O59" s="640"/>
      <c r="P59" s="625"/>
      <c r="Q59" s="624"/>
      <c r="R59" s="624"/>
      <c r="S59" s="624"/>
      <c r="T59" s="624"/>
      <c r="U59" s="640"/>
      <c r="V59" s="625"/>
      <c r="W59" s="624"/>
      <c r="X59" s="624"/>
      <c r="Y59" s="624"/>
      <c r="Z59" s="624"/>
      <c r="AA59" s="640"/>
      <c r="AB59" s="625"/>
      <c r="AC59" s="624"/>
      <c r="AD59" s="624"/>
      <c r="AE59" s="624"/>
      <c r="AF59" s="624"/>
      <c r="AG59" s="640"/>
      <c r="AH59" s="625"/>
      <c r="AI59" s="624"/>
      <c r="AJ59" s="624"/>
      <c r="AK59" s="624"/>
      <c r="AL59" s="624"/>
      <c r="AM59" s="640"/>
      <c r="AN59" s="66"/>
      <c r="AO59" s="66"/>
      <c r="AP59" s="66"/>
      <c r="AQ59" s="66"/>
      <c r="AR59" s="66"/>
      <c r="AS59" s="66"/>
      <c r="AT59" s="66"/>
      <c r="AU59" s="66"/>
      <c r="AV59" s="66"/>
      <c r="AW59" s="66"/>
      <c r="AX59" s="66"/>
      <c r="AY59" s="66"/>
      <c r="AZ59" s="66"/>
      <c r="BA59" s="66"/>
      <c r="BB59" s="66"/>
      <c r="BC59" s="66"/>
      <c r="BD59" s="66"/>
      <c r="BE59" s="66"/>
      <c r="BF59" s="66"/>
      <c r="BG59" s="66"/>
      <c r="BH59" s="66"/>
      <c r="BI59" s="66"/>
      <c r="BJ59" s="66"/>
      <c r="BK59" s="66"/>
      <c r="BL59" s="66"/>
      <c r="BM59" s="66"/>
      <c r="BN59" s="66"/>
      <c r="BO59" s="66"/>
      <c r="BP59" s="66"/>
      <c r="BQ59" s="66"/>
      <c r="BR59" s="66"/>
      <c r="BS59" s="66"/>
      <c r="BT59" s="66"/>
      <c r="BU59" s="66"/>
      <c r="BV59" s="66"/>
      <c r="BW59" s="66"/>
      <c r="BX59" s="66"/>
      <c r="BY59" s="66"/>
      <c r="BZ59" s="66"/>
      <c r="CA59" s="66"/>
      <c r="CB59" s="66"/>
    </row>
    <row r="60" spans="1:80" x14ac:dyDescent="0.25">
      <c r="A60" s="66"/>
      <c r="B60" s="66"/>
      <c r="C60" s="66"/>
      <c r="D60" s="66"/>
      <c r="E60" s="66"/>
      <c r="F60" s="66"/>
      <c r="G60" s="66"/>
      <c r="H60" s="66"/>
      <c r="I60" s="66"/>
      <c r="J60" s="625"/>
      <c r="K60" s="624"/>
      <c r="L60" s="624"/>
      <c r="M60" s="624"/>
      <c r="N60" s="624"/>
      <c r="O60" s="640"/>
      <c r="P60" s="625"/>
      <c r="Q60" s="624"/>
      <c r="R60" s="624"/>
      <c r="S60" s="624"/>
      <c r="T60" s="624"/>
      <c r="U60" s="640"/>
      <c r="V60" s="625"/>
      <c r="W60" s="624"/>
      <c r="X60" s="624"/>
      <c r="Y60" s="624"/>
      <c r="Z60" s="624"/>
      <c r="AA60" s="640"/>
      <c r="AB60" s="625"/>
      <c r="AC60" s="624"/>
      <c r="AD60" s="624"/>
      <c r="AE60" s="624"/>
      <c r="AF60" s="624"/>
      <c r="AG60" s="640"/>
      <c r="AH60" s="625"/>
      <c r="AI60" s="624"/>
      <c r="AJ60" s="624"/>
      <c r="AK60" s="624"/>
      <c r="AL60" s="624"/>
      <c r="AM60" s="640"/>
      <c r="AN60" s="66"/>
      <c r="AO60" s="66"/>
      <c r="AP60" s="66"/>
      <c r="AQ60" s="66"/>
      <c r="AR60" s="66"/>
      <c r="AS60" s="66"/>
      <c r="AT60" s="66"/>
      <c r="AU60" s="66"/>
      <c r="AV60" s="66"/>
      <c r="AW60" s="66"/>
      <c r="AX60" s="66"/>
      <c r="AY60" s="66"/>
      <c r="AZ60" s="66"/>
      <c r="BA60" s="66"/>
      <c r="BB60" s="66"/>
      <c r="BC60" s="66"/>
      <c r="BD60" s="66"/>
      <c r="BE60" s="66"/>
      <c r="BF60" s="66"/>
      <c r="BG60" s="66"/>
      <c r="BH60" s="66"/>
      <c r="BI60" s="66"/>
      <c r="BJ60" s="66"/>
      <c r="BK60" s="66"/>
      <c r="BL60" s="66"/>
      <c r="BM60" s="66"/>
      <c r="BN60" s="66"/>
      <c r="BO60" s="66"/>
      <c r="BP60" s="66"/>
      <c r="BQ60" s="66"/>
      <c r="BR60" s="66"/>
      <c r="BS60" s="66"/>
      <c r="BT60" s="66"/>
      <c r="BU60" s="66"/>
      <c r="BV60" s="66"/>
      <c r="BW60" s="66"/>
      <c r="BX60" s="66"/>
      <c r="BY60" s="66"/>
      <c r="BZ60" s="66"/>
      <c r="CA60" s="66"/>
      <c r="CB60" s="66"/>
    </row>
    <row r="61" spans="1:80" ht="15.75" thickBot="1" x14ac:dyDescent="0.3">
      <c r="A61" s="66"/>
      <c r="B61" s="66"/>
      <c r="C61" s="66"/>
      <c r="D61" s="66"/>
      <c r="E61" s="66"/>
      <c r="F61" s="66"/>
      <c r="G61" s="66"/>
      <c r="H61" s="66"/>
      <c r="I61" s="66"/>
      <c r="J61" s="626"/>
      <c r="K61" s="627"/>
      <c r="L61" s="627"/>
      <c r="M61" s="627"/>
      <c r="N61" s="627"/>
      <c r="O61" s="641"/>
      <c r="P61" s="626"/>
      <c r="Q61" s="627"/>
      <c r="R61" s="627"/>
      <c r="S61" s="627"/>
      <c r="T61" s="627"/>
      <c r="U61" s="641"/>
      <c r="V61" s="626"/>
      <c r="W61" s="627"/>
      <c r="X61" s="627"/>
      <c r="Y61" s="627"/>
      <c r="Z61" s="627"/>
      <c r="AA61" s="641"/>
      <c r="AB61" s="626"/>
      <c r="AC61" s="627"/>
      <c r="AD61" s="627"/>
      <c r="AE61" s="627"/>
      <c r="AF61" s="627"/>
      <c r="AG61" s="641"/>
      <c r="AH61" s="626"/>
      <c r="AI61" s="627"/>
      <c r="AJ61" s="627"/>
      <c r="AK61" s="627"/>
      <c r="AL61" s="627"/>
      <c r="AM61" s="641"/>
      <c r="AN61" s="66"/>
      <c r="AO61" s="66"/>
      <c r="AP61" s="66"/>
      <c r="AQ61" s="66"/>
      <c r="AR61" s="66"/>
      <c r="AS61" s="66"/>
      <c r="AT61" s="66"/>
      <c r="AU61" s="66"/>
      <c r="AV61" s="66"/>
      <c r="AW61" s="66"/>
      <c r="AX61" s="66"/>
      <c r="AY61" s="66"/>
      <c r="AZ61" s="66"/>
      <c r="BA61" s="66"/>
      <c r="BB61" s="66"/>
      <c r="BC61" s="66"/>
      <c r="BD61" s="66"/>
      <c r="BE61" s="66"/>
      <c r="BF61" s="66"/>
      <c r="BG61" s="66"/>
      <c r="BH61" s="66"/>
      <c r="BI61" s="66"/>
      <c r="BJ61" s="66"/>
      <c r="BK61" s="66"/>
      <c r="BL61" s="66"/>
      <c r="BM61" s="66"/>
      <c r="BN61" s="66"/>
      <c r="BO61" s="66"/>
      <c r="BP61" s="66"/>
      <c r="BQ61" s="66"/>
      <c r="BR61" s="66"/>
      <c r="BS61" s="66"/>
      <c r="BT61" s="66"/>
      <c r="BU61" s="66"/>
      <c r="BV61" s="66"/>
      <c r="BW61" s="66"/>
      <c r="BX61" s="66"/>
      <c r="BY61" s="66"/>
      <c r="BZ61" s="66"/>
      <c r="CA61" s="66"/>
      <c r="CB61" s="66"/>
    </row>
    <row r="62" spans="1:80" x14ac:dyDescent="0.25">
      <c r="A62" s="66"/>
      <c r="B62" s="66"/>
      <c r="C62" s="66"/>
      <c r="D62" s="66"/>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c r="AY62" s="66"/>
      <c r="AZ62" s="66"/>
      <c r="BA62" s="66"/>
      <c r="BB62" s="66"/>
      <c r="BC62" s="66"/>
      <c r="BD62" s="66"/>
      <c r="BE62" s="66"/>
      <c r="BF62" s="66"/>
      <c r="BG62" s="66"/>
      <c r="BH62" s="66"/>
    </row>
    <row r="63" spans="1:80" ht="15" customHeight="1" x14ac:dyDescent="0.25">
      <c r="A63" s="66"/>
      <c r="B63" s="70"/>
      <c r="C63" s="70"/>
      <c r="D63" s="70"/>
      <c r="E63" s="70"/>
      <c r="F63" s="70"/>
      <c r="G63" s="70"/>
      <c r="H63" s="70"/>
      <c r="I63" s="70"/>
      <c r="J63" s="70"/>
      <c r="K63" s="70"/>
      <c r="L63" s="70"/>
      <c r="M63" s="70"/>
      <c r="N63" s="70"/>
      <c r="O63" s="70"/>
      <c r="P63" s="70"/>
      <c r="Q63" s="70"/>
      <c r="R63" s="70"/>
      <c r="S63" s="70"/>
      <c r="T63" s="70"/>
      <c r="U63" s="70"/>
      <c r="V63" s="70"/>
      <c r="W63" s="70"/>
      <c r="X63" s="70"/>
      <c r="Y63" s="70"/>
      <c r="Z63" s="70"/>
      <c r="AA63" s="70"/>
      <c r="AB63" s="70"/>
      <c r="AC63" s="70"/>
      <c r="AD63" s="70"/>
      <c r="AE63" s="70"/>
      <c r="AF63" s="70"/>
      <c r="AG63" s="70"/>
      <c r="AH63" s="70"/>
      <c r="AI63" s="70"/>
      <c r="AJ63" s="70"/>
      <c r="AK63" s="70"/>
      <c r="AL63" s="70"/>
      <c r="AM63" s="70"/>
      <c r="AN63" s="70"/>
      <c r="AO63" s="70"/>
      <c r="AP63" s="70"/>
      <c r="AQ63" s="70"/>
      <c r="AR63" s="70"/>
      <c r="AS63" s="70"/>
      <c r="AT63" s="70"/>
      <c r="AU63" s="66"/>
      <c r="AV63" s="66"/>
      <c r="AW63" s="66"/>
      <c r="AX63" s="66"/>
      <c r="AY63" s="66"/>
      <c r="AZ63" s="66"/>
      <c r="BA63" s="66"/>
      <c r="BB63" s="66"/>
      <c r="BC63" s="66"/>
      <c r="BD63" s="66"/>
      <c r="BE63" s="66"/>
      <c r="BF63" s="66"/>
      <c r="BG63" s="66"/>
      <c r="BH63" s="66"/>
    </row>
    <row r="64" spans="1:80" ht="15" customHeight="1" x14ac:dyDescent="0.25">
      <c r="A64" s="66"/>
      <c r="B64" s="70"/>
      <c r="C64" s="70"/>
      <c r="D64" s="70"/>
      <c r="E64" s="70"/>
      <c r="F64" s="70"/>
      <c r="G64" s="70"/>
      <c r="H64" s="70"/>
      <c r="I64" s="70"/>
      <c r="J64" s="70"/>
      <c r="K64" s="70"/>
      <c r="L64" s="70"/>
      <c r="M64" s="70"/>
      <c r="N64" s="70"/>
      <c r="O64" s="70"/>
      <c r="P64" s="70"/>
      <c r="Q64" s="70"/>
      <c r="R64" s="70"/>
      <c r="S64" s="70"/>
      <c r="T64" s="70"/>
      <c r="U64" s="70"/>
      <c r="V64" s="70"/>
      <c r="W64" s="70"/>
      <c r="X64" s="70"/>
      <c r="Y64" s="70"/>
      <c r="Z64" s="70"/>
      <c r="AA64" s="70"/>
      <c r="AB64" s="70"/>
      <c r="AC64" s="70"/>
      <c r="AD64" s="70"/>
      <c r="AE64" s="70"/>
      <c r="AF64" s="70"/>
      <c r="AG64" s="70"/>
      <c r="AH64" s="70"/>
      <c r="AI64" s="70"/>
      <c r="AJ64" s="70"/>
      <c r="AK64" s="70"/>
      <c r="AL64" s="70"/>
      <c r="AM64" s="70"/>
      <c r="AN64" s="70"/>
      <c r="AO64" s="70"/>
      <c r="AP64" s="70"/>
      <c r="AQ64" s="70"/>
      <c r="AR64" s="70"/>
      <c r="AS64" s="70"/>
      <c r="AT64" s="70"/>
      <c r="AU64" s="66"/>
      <c r="AV64" s="66"/>
      <c r="AW64" s="66"/>
      <c r="AX64" s="66"/>
      <c r="AY64" s="66"/>
      <c r="AZ64" s="66"/>
      <c r="BA64" s="66"/>
      <c r="BB64" s="66"/>
      <c r="BC64" s="66"/>
      <c r="BD64" s="66"/>
      <c r="BE64" s="66"/>
      <c r="BF64" s="66"/>
      <c r="BG64" s="66"/>
      <c r="BH64" s="66"/>
    </row>
    <row r="65" spans="1:60" x14ac:dyDescent="0.25">
      <c r="A65" s="66"/>
      <c r="B65" s="66"/>
      <c r="C65" s="66"/>
      <c r="D65" s="66"/>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c r="BC65" s="66"/>
      <c r="BD65" s="66"/>
      <c r="BE65" s="66"/>
      <c r="BF65" s="66"/>
      <c r="BG65" s="66"/>
      <c r="BH65" s="66"/>
    </row>
    <row r="66" spans="1:60" x14ac:dyDescent="0.25">
      <c r="A66" s="66"/>
      <c r="B66" s="66"/>
      <c r="C66" s="66"/>
      <c r="D66" s="66"/>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c r="BC66" s="66"/>
      <c r="BD66" s="66"/>
      <c r="BE66" s="66"/>
      <c r="BF66" s="66"/>
      <c r="BG66" s="66"/>
      <c r="BH66" s="66"/>
    </row>
    <row r="67" spans="1:60" x14ac:dyDescent="0.25">
      <c r="A67" s="66"/>
      <c r="B67" s="66"/>
      <c r="C67" s="66"/>
      <c r="D67" s="66"/>
      <c r="E67" s="66"/>
      <c r="F67" s="66"/>
      <c r="G67" s="66"/>
      <c r="H67" s="66"/>
      <c r="I67" s="66"/>
      <c r="J67" s="66"/>
      <c r="K67" s="66"/>
      <c r="L67" s="66"/>
      <c r="M67" s="66"/>
      <c r="N67" s="66"/>
      <c r="O67" s="66"/>
      <c r="P67" s="66"/>
      <c r="Q67" s="66"/>
      <c r="R67" s="66"/>
      <c r="S67" s="66"/>
      <c r="T67" s="66"/>
      <c r="U67" s="66"/>
      <c r="V67" s="66"/>
      <c r="W67" s="66"/>
      <c r="X67" s="66"/>
      <c r="Y67" s="66"/>
      <c r="Z67" s="66"/>
      <c r="AA67" s="66"/>
      <c r="AB67" s="66"/>
      <c r="AC67" s="66"/>
      <c r="AD67" s="66"/>
      <c r="AE67" s="66"/>
      <c r="AF67" s="66"/>
      <c r="AG67" s="66"/>
      <c r="AH67" s="66"/>
      <c r="AI67" s="66"/>
      <c r="AJ67" s="66"/>
      <c r="AK67" s="66"/>
      <c r="AL67" s="66"/>
      <c r="AM67" s="66"/>
      <c r="AN67" s="66"/>
      <c r="AO67" s="66"/>
      <c r="AP67" s="66"/>
      <c r="AQ67" s="66"/>
      <c r="AR67" s="66"/>
      <c r="AS67" s="66"/>
      <c r="AT67" s="66"/>
      <c r="AU67" s="66"/>
      <c r="AV67" s="66"/>
      <c r="AW67" s="66"/>
      <c r="AX67" s="66"/>
      <c r="AY67" s="66"/>
      <c r="AZ67" s="66"/>
      <c r="BA67" s="66"/>
      <c r="BB67" s="66"/>
      <c r="BC67" s="66"/>
      <c r="BD67" s="66"/>
      <c r="BE67" s="66"/>
      <c r="BF67" s="66"/>
      <c r="BG67" s="66"/>
      <c r="BH67" s="66"/>
    </row>
    <row r="68" spans="1:60" x14ac:dyDescent="0.25">
      <c r="A68" s="66"/>
      <c r="B68" s="66"/>
      <c r="C68" s="66"/>
      <c r="D68" s="66"/>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c r="AY68" s="66"/>
      <c r="AZ68" s="66"/>
      <c r="BA68" s="66"/>
      <c r="BB68" s="66"/>
      <c r="BC68" s="66"/>
      <c r="BD68" s="66"/>
      <c r="BE68" s="66"/>
      <c r="BF68" s="66"/>
      <c r="BG68" s="66"/>
      <c r="BH68" s="66"/>
    </row>
    <row r="69" spans="1:60" x14ac:dyDescent="0.25">
      <c r="A69" s="66"/>
      <c r="B69" s="66"/>
      <c r="C69" s="66"/>
      <c r="D69" s="66"/>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c r="BC69" s="66"/>
      <c r="BD69" s="66"/>
      <c r="BE69" s="66"/>
      <c r="BF69" s="66"/>
      <c r="BG69" s="66"/>
      <c r="BH69" s="66"/>
    </row>
    <row r="70" spans="1:60" x14ac:dyDescent="0.25">
      <c r="A70" s="66"/>
      <c r="B70" s="66"/>
      <c r="C70" s="66"/>
      <c r="D70" s="66"/>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c r="BC70" s="66"/>
      <c r="BD70" s="66"/>
      <c r="BE70" s="66"/>
      <c r="BF70" s="66"/>
      <c r="BG70" s="66"/>
      <c r="BH70" s="66"/>
    </row>
    <row r="71" spans="1:60" x14ac:dyDescent="0.25">
      <c r="A71" s="66"/>
      <c r="B71" s="66"/>
      <c r="C71" s="66"/>
      <c r="D71" s="66"/>
      <c r="E71" s="66"/>
      <c r="F71" s="66"/>
      <c r="G71" s="66"/>
      <c r="H71" s="66"/>
      <c r="I71" s="66"/>
      <c r="J71" s="66"/>
      <c r="K71" s="66"/>
      <c r="L71" s="66"/>
      <c r="M71" s="66"/>
      <c r="N71" s="66"/>
      <c r="O71" s="66"/>
      <c r="P71" s="66"/>
      <c r="Q71" s="66"/>
      <c r="R71" s="66"/>
      <c r="S71" s="66"/>
      <c r="T71" s="66"/>
      <c r="U71" s="66"/>
      <c r="V71" s="66"/>
      <c r="W71" s="66"/>
      <c r="X71" s="66"/>
      <c r="Y71" s="66"/>
      <c r="Z71" s="66"/>
      <c r="AA71" s="66"/>
      <c r="AB71" s="66"/>
      <c r="AC71" s="66"/>
      <c r="AD71" s="66"/>
      <c r="AE71" s="66"/>
      <c r="AF71" s="66"/>
      <c r="AG71" s="66"/>
      <c r="AH71" s="66"/>
      <c r="AI71" s="66"/>
      <c r="AJ71" s="66"/>
      <c r="AK71" s="66"/>
      <c r="AL71" s="66"/>
      <c r="AM71" s="66"/>
      <c r="AN71" s="66"/>
      <c r="AO71" s="66"/>
      <c r="AP71" s="66"/>
      <c r="AQ71" s="66"/>
      <c r="AR71" s="66"/>
      <c r="AS71" s="66"/>
      <c r="AT71" s="66"/>
      <c r="AU71" s="66"/>
      <c r="AV71" s="66"/>
      <c r="AW71" s="66"/>
      <c r="AX71" s="66"/>
      <c r="AY71" s="66"/>
      <c r="AZ71" s="66"/>
      <c r="BA71" s="66"/>
      <c r="BB71" s="66"/>
      <c r="BC71" s="66"/>
      <c r="BD71" s="66"/>
      <c r="BE71" s="66"/>
      <c r="BF71" s="66"/>
      <c r="BG71" s="66"/>
      <c r="BH71" s="66"/>
    </row>
    <row r="72" spans="1:60" x14ac:dyDescent="0.25">
      <c r="A72" s="66"/>
      <c r="B72" s="66"/>
      <c r="C72" s="66"/>
      <c r="D72" s="66"/>
      <c r="E72" s="66"/>
      <c r="F72" s="66"/>
      <c r="G72" s="66"/>
      <c r="H72" s="66"/>
      <c r="I72" s="66"/>
      <c r="J72" s="66"/>
      <c r="K72" s="66"/>
      <c r="L72" s="66"/>
      <c r="M72" s="66"/>
      <c r="N72" s="66"/>
      <c r="O72" s="66"/>
      <c r="P72" s="66"/>
      <c r="Q72" s="66"/>
      <c r="R72" s="66"/>
      <c r="S72" s="66"/>
      <c r="T72" s="66"/>
      <c r="U72" s="66"/>
      <c r="V72" s="66"/>
      <c r="W72" s="66"/>
      <c r="X72" s="66"/>
      <c r="Y72" s="66"/>
      <c r="Z72" s="66"/>
      <c r="AA72" s="66"/>
      <c r="AB72" s="66"/>
      <c r="AC72" s="66"/>
      <c r="AD72" s="66"/>
      <c r="AE72" s="66"/>
      <c r="AF72" s="66"/>
      <c r="AG72" s="66"/>
      <c r="AH72" s="66"/>
      <c r="AI72" s="66"/>
      <c r="AJ72" s="66"/>
      <c r="AK72" s="66"/>
      <c r="AL72" s="66"/>
      <c r="AM72" s="66"/>
      <c r="AN72" s="66"/>
      <c r="AO72" s="66"/>
      <c r="AP72" s="66"/>
      <c r="AQ72" s="66"/>
      <c r="AR72" s="66"/>
      <c r="AS72" s="66"/>
      <c r="AT72" s="66"/>
      <c r="AU72" s="66"/>
      <c r="AV72" s="66"/>
      <c r="AW72" s="66"/>
      <c r="AX72" s="66"/>
      <c r="AY72" s="66"/>
      <c r="AZ72" s="66"/>
      <c r="BA72" s="66"/>
      <c r="BB72" s="66"/>
      <c r="BC72" s="66"/>
      <c r="BD72" s="66"/>
      <c r="BE72" s="66"/>
      <c r="BF72" s="66"/>
      <c r="BG72" s="66"/>
      <c r="BH72" s="66"/>
    </row>
    <row r="73" spans="1:60" x14ac:dyDescent="0.25">
      <c r="A73" s="66"/>
      <c r="B73" s="66"/>
      <c r="C73" s="66"/>
      <c r="D73" s="66"/>
      <c r="E73" s="66"/>
      <c r="F73" s="66"/>
      <c r="G73" s="66"/>
      <c r="H73" s="66"/>
      <c r="I73" s="66"/>
      <c r="J73" s="66"/>
      <c r="K73" s="66"/>
      <c r="L73" s="66"/>
      <c r="M73" s="66"/>
      <c r="N73" s="66"/>
      <c r="O73" s="66"/>
      <c r="P73" s="66"/>
      <c r="Q73" s="66"/>
      <c r="R73" s="66"/>
      <c r="S73" s="66"/>
      <c r="T73" s="66"/>
      <c r="U73" s="66"/>
      <c r="V73" s="66"/>
      <c r="W73" s="66"/>
      <c r="X73" s="66"/>
      <c r="Y73" s="66"/>
      <c r="Z73" s="66"/>
      <c r="AA73" s="66"/>
      <c r="AB73" s="66"/>
      <c r="AC73" s="66"/>
      <c r="AD73" s="66"/>
      <c r="AE73" s="66"/>
      <c r="AF73" s="66"/>
      <c r="AG73" s="66"/>
      <c r="AH73" s="66"/>
      <c r="AI73" s="66"/>
      <c r="AJ73" s="66"/>
      <c r="AK73" s="66"/>
      <c r="AL73" s="66"/>
      <c r="AM73" s="66"/>
      <c r="AN73" s="66"/>
      <c r="AO73" s="66"/>
      <c r="AP73" s="66"/>
      <c r="AQ73" s="66"/>
      <c r="AR73" s="66"/>
      <c r="AS73" s="66"/>
      <c r="AT73" s="66"/>
      <c r="AU73" s="66"/>
      <c r="AV73" s="66"/>
      <c r="AW73" s="66"/>
      <c r="AX73" s="66"/>
      <c r="AY73" s="66"/>
      <c r="AZ73" s="66"/>
      <c r="BA73" s="66"/>
      <c r="BB73" s="66"/>
      <c r="BC73" s="66"/>
      <c r="BD73" s="66"/>
      <c r="BE73" s="66"/>
      <c r="BF73" s="66"/>
      <c r="BG73" s="66"/>
      <c r="BH73" s="66"/>
    </row>
    <row r="74" spans="1:60" x14ac:dyDescent="0.25">
      <c r="A74" s="66"/>
      <c r="B74" s="66"/>
      <c r="C74" s="66"/>
      <c r="D74" s="66"/>
      <c r="E74" s="66"/>
      <c r="F74" s="66"/>
      <c r="G74" s="66"/>
      <c r="H74" s="66"/>
      <c r="I74" s="66"/>
      <c r="J74" s="66"/>
      <c r="K74" s="66"/>
      <c r="L74" s="66"/>
      <c r="M74" s="66"/>
      <c r="N74" s="66"/>
      <c r="O74" s="66"/>
      <c r="P74" s="66"/>
      <c r="Q74" s="66"/>
      <c r="R74" s="66"/>
      <c r="S74" s="66"/>
      <c r="T74" s="66"/>
      <c r="U74" s="66"/>
      <c r="V74" s="66"/>
      <c r="W74" s="66"/>
      <c r="X74" s="66"/>
      <c r="Y74" s="66"/>
      <c r="Z74" s="66"/>
      <c r="AA74" s="66"/>
      <c r="AB74" s="66"/>
      <c r="AC74" s="66"/>
      <c r="AD74" s="66"/>
      <c r="AE74" s="66"/>
      <c r="AF74" s="66"/>
      <c r="AG74" s="66"/>
      <c r="AH74" s="66"/>
      <c r="AI74" s="66"/>
      <c r="AJ74" s="66"/>
      <c r="AK74" s="66"/>
      <c r="AL74" s="66"/>
      <c r="AM74" s="66"/>
      <c r="AN74" s="66"/>
      <c r="AO74" s="66"/>
      <c r="AP74" s="66"/>
      <c r="AQ74" s="66"/>
      <c r="AR74" s="66"/>
      <c r="AS74" s="66"/>
      <c r="AT74" s="66"/>
      <c r="AU74" s="66"/>
      <c r="AV74" s="66"/>
      <c r="AW74" s="66"/>
      <c r="AX74" s="66"/>
      <c r="AY74" s="66"/>
      <c r="AZ74" s="66"/>
      <c r="BA74" s="66"/>
      <c r="BB74" s="66"/>
      <c r="BC74" s="66"/>
      <c r="BD74" s="66"/>
      <c r="BE74" s="66"/>
      <c r="BF74" s="66"/>
      <c r="BG74" s="66"/>
      <c r="BH74" s="66"/>
    </row>
    <row r="75" spans="1:60" x14ac:dyDescent="0.25">
      <c r="A75" s="66"/>
      <c r="B75" s="66"/>
      <c r="C75" s="66"/>
      <c r="D75" s="66"/>
      <c r="E75" s="66"/>
      <c r="F75" s="66"/>
      <c r="G75" s="66"/>
      <c r="H75" s="66"/>
      <c r="I75" s="66"/>
      <c r="J75" s="66"/>
      <c r="K75" s="66"/>
      <c r="L75" s="66"/>
      <c r="M75" s="66"/>
      <c r="N75" s="66"/>
      <c r="O75" s="66"/>
      <c r="P75" s="66"/>
      <c r="Q75" s="66"/>
      <c r="R75" s="66"/>
      <c r="S75" s="66"/>
      <c r="T75" s="66"/>
      <c r="U75" s="66"/>
      <c r="V75" s="66"/>
      <c r="W75" s="66"/>
      <c r="X75" s="66"/>
      <c r="Y75" s="66"/>
      <c r="Z75" s="66"/>
      <c r="AA75" s="66"/>
      <c r="AB75" s="66"/>
      <c r="AC75" s="66"/>
      <c r="AD75" s="66"/>
      <c r="AE75" s="66"/>
      <c r="AF75" s="66"/>
      <c r="AG75" s="66"/>
      <c r="AH75" s="66"/>
      <c r="AI75" s="66"/>
      <c r="AJ75" s="66"/>
      <c r="AK75" s="66"/>
      <c r="AL75" s="66"/>
      <c r="AM75" s="66"/>
      <c r="AN75" s="66"/>
      <c r="AO75" s="66"/>
      <c r="AP75" s="66"/>
      <c r="AQ75" s="66"/>
      <c r="AR75" s="66"/>
      <c r="AS75" s="66"/>
      <c r="AT75" s="66"/>
      <c r="AU75" s="66"/>
      <c r="AV75" s="66"/>
      <c r="AW75" s="66"/>
      <c r="AX75" s="66"/>
      <c r="AY75" s="66"/>
      <c r="AZ75" s="66"/>
      <c r="BA75" s="66"/>
      <c r="BB75" s="66"/>
      <c r="BC75" s="66"/>
      <c r="BD75" s="66"/>
      <c r="BE75" s="66"/>
      <c r="BF75" s="66"/>
      <c r="BG75" s="66"/>
      <c r="BH75" s="66"/>
    </row>
    <row r="76" spans="1:60" x14ac:dyDescent="0.25">
      <c r="A76" s="66"/>
      <c r="B76" s="66"/>
      <c r="C76" s="66"/>
      <c r="D76" s="66"/>
      <c r="E76" s="66"/>
      <c r="F76" s="66"/>
      <c r="G76" s="66"/>
      <c r="H76" s="66"/>
      <c r="I76" s="66"/>
      <c r="J76" s="66"/>
      <c r="K76" s="66"/>
      <c r="L76" s="66"/>
      <c r="M76" s="66"/>
      <c r="N76" s="66"/>
      <c r="O76" s="66"/>
      <c r="P76" s="66"/>
      <c r="Q76" s="66"/>
      <c r="R76" s="66"/>
      <c r="S76" s="66"/>
      <c r="T76" s="66"/>
      <c r="U76" s="66"/>
      <c r="V76" s="66"/>
      <c r="W76" s="66"/>
      <c r="X76" s="66"/>
      <c r="Y76" s="66"/>
      <c r="Z76" s="66"/>
      <c r="AA76" s="66"/>
      <c r="AB76" s="66"/>
      <c r="AC76" s="66"/>
      <c r="AD76" s="66"/>
      <c r="AE76" s="66"/>
      <c r="AF76" s="66"/>
      <c r="AG76" s="66"/>
      <c r="AH76" s="66"/>
      <c r="AI76" s="66"/>
      <c r="AJ76" s="66"/>
      <c r="AK76" s="66"/>
      <c r="AL76" s="66"/>
      <c r="AM76" s="66"/>
      <c r="AN76" s="66"/>
      <c r="AO76" s="66"/>
      <c r="AP76" s="66"/>
      <c r="AQ76" s="66"/>
      <c r="AR76" s="66"/>
      <c r="AS76" s="66"/>
      <c r="AT76" s="66"/>
      <c r="AU76" s="66"/>
      <c r="AV76" s="66"/>
      <c r="AW76" s="66"/>
      <c r="AX76" s="66"/>
      <c r="AY76" s="66"/>
      <c r="AZ76" s="66"/>
      <c r="BA76" s="66"/>
      <c r="BB76" s="66"/>
      <c r="BC76" s="66"/>
      <c r="BD76" s="66"/>
      <c r="BE76" s="66"/>
      <c r="BF76" s="66"/>
      <c r="BG76" s="66"/>
      <c r="BH76" s="66"/>
    </row>
    <row r="77" spans="1:60" x14ac:dyDescent="0.25">
      <c r="A77" s="66"/>
      <c r="B77" s="66"/>
      <c r="C77" s="66"/>
      <c r="D77" s="66"/>
      <c r="E77" s="66"/>
      <c r="F77" s="66"/>
      <c r="G77" s="66"/>
      <c r="H77" s="66"/>
      <c r="I77" s="66"/>
      <c r="J77" s="66"/>
      <c r="K77" s="66"/>
      <c r="L77" s="66"/>
      <c r="M77" s="66"/>
      <c r="N77" s="66"/>
      <c r="O77" s="66"/>
      <c r="P77" s="66"/>
      <c r="Q77" s="66"/>
      <c r="R77" s="66"/>
      <c r="S77" s="66"/>
      <c r="T77" s="66"/>
      <c r="U77" s="66"/>
      <c r="V77" s="66"/>
      <c r="W77" s="66"/>
      <c r="X77" s="66"/>
      <c r="Y77" s="66"/>
      <c r="Z77" s="66"/>
      <c r="AA77" s="66"/>
      <c r="AB77" s="66"/>
      <c r="AC77" s="66"/>
      <c r="AD77" s="66"/>
      <c r="AE77" s="66"/>
      <c r="AF77" s="66"/>
      <c r="AG77" s="66"/>
      <c r="AH77" s="66"/>
      <c r="AI77" s="66"/>
      <c r="AJ77" s="66"/>
      <c r="AK77" s="66"/>
      <c r="AL77" s="66"/>
      <c r="AM77" s="66"/>
      <c r="AN77" s="66"/>
      <c r="AO77" s="66"/>
      <c r="AP77" s="66"/>
      <c r="AQ77" s="66"/>
      <c r="AR77" s="66"/>
      <c r="AS77" s="66"/>
      <c r="AT77" s="66"/>
      <c r="AU77" s="66"/>
      <c r="AV77" s="66"/>
      <c r="AW77" s="66"/>
      <c r="AX77" s="66"/>
      <c r="AY77" s="66"/>
      <c r="AZ77" s="66"/>
      <c r="BA77" s="66"/>
      <c r="BB77" s="66"/>
      <c r="BC77" s="66"/>
      <c r="BD77" s="66"/>
      <c r="BE77" s="66"/>
      <c r="BF77" s="66"/>
      <c r="BG77" s="66"/>
      <c r="BH77" s="66"/>
    </row>
    <row r="78" spans="1:60" x14ac:dyDescent="0.25">
      <c r="A78" s="66"/>
      <c r="B78" s="66"/>
      <c r="C78" s="66"/>
      <c r="D78" s="66"/>
      <c r="E78" s="66"/>
      <c r="F78" s="66"/>
      <c r="G78" s="66"/>
      <c r="H78" s="66"/>
      <c r="I78" s="66"/>
      <c r="J78" s="66"/>
      <c r="K78" s="66"/>
      <c r="L78" s="66"/>
      <c r="M78" s="66"/>
      <c r="N78" s="66"/>
      <c r="O78" s="66"/>
      <c r="P78" s="66"/>
      <c r="Q78" s="66"/>
      <c r="R78" s="66"/>
      <c r="S78" s="66"/>
      <c r="T78" s="66"/>
      <c r="U78" s="66"/>
      <c r="V78" s="66"/>
      <c r="W78" s="66"/>
      <c r="X78" s="66"/>
      <c r="Y78" s="66"/>
      <c r="Z78" s="66"/>
      <c r="AA78" s="66"/>
      <c r="AB78" s="66"/>
      <c r="AC78" s="66"/>
      <c r="AD78" s="66"/>
      <c r="AE78" s="66"/>
      <c r="AF78" s="66"/>
      <c r="AG78" s="66"/>
      <c r="AH78" s="66"/>
      <c r="AI78" s="66"/>
      <c r="AJ78" s="66"/>
      <c r="AK78" s="66"/>
      <c r="AL78" s="66"/>
      <c r="AM78" s="66"/>
      <c r="AN78" s="66"/>
      <c r="AO78" s="66"/>
      <c r="AP78" s="66"/>
      <c r="AQ78" s="66"/>
      <c r="AR78" s="66"/>
      <c r="AS78" s="66"/>
      <c r="AT78" s="66"/>
      <c r="AU78" s="66"/>
      <c r="AV78" s="66"/>
      <c r="AW78" s="66"/>
      <c r="AX78" s="66"/>
      <c r="AY78" s="66"/>
      <c r="AZ78" s="66"/>
      <c r="BA78" s="66"/>
      <c r="BB78" s="66"/>
      <c r="BC78" s="66"/>
      <c r="BD78" s="66"/>
      <c r="BE78" s="66"/>
      <c r="BF78" s="66"/>
      <c r="BG78" s="66"/>
      <c r="BH78" s="66"/>
    </row>
    <row r="79" spans="1:60" x14ac:dyDescent="0.25">
      <c r="A79" s="66"/>
      <c r="B79" s="66"/>
      <c r="C79" s="66"/>
      <c r="D79" s="66"/>
      <c r="E79" s="66"/>
      <c r="F79" s="66"/>
      <c r="G79" s="66"/>
      <c r="H79" s="66"/>
      <c r="I79" s="66"/>
      <c r="J79" s="66"/>
      <c r="K79" s="66"/>
      <c r="L79" s="66"/>
      <c r="M79" s="66"/>
      <c r="N79" s="66"/>
      <c r="O79" s="66"/>
      <c r="P79" s="66"/>
      <c r="Q79" s="66"/>
      <c r="R79" s="66"/>
      <c r="S79" s="66"/>
      <c r="T79" s="66"/>
      <c r="U79" s="66"/>
      <c r="V79" s="66"/>
      <c r="W79" s="66"/>
      <c r="X79" s="66"/>
      <c r="Y79" s="66"/>
      <c r="Z79" s="66"/>
      <c r="AA79" s="66"/>
      <c r="AB79" s="66"/>
      <c r="AC79" s="66"/>
      <c r="AD79" s="66"/>
      <c r="AE79" s="66"/>
      <c r="AF79" s="66"/>
      <c r="AG79" s="66"/>
      <c r="AH79" s="66"/>
      <c r="AI79" s="66"/>
      <c r="AJ79" s="66"/>
      <c r="AK79" s="66"/>
      <c r="AL79" s="66"/>
      <c r="AM79" s="66"/>
      <c r="AN79" s="66"/>
      <c r="AO79" s="66"/>
      <c r="AP79" s="66"/>
      <c r="AQ79" s="66"/>
      <c r="AR79" s="66"/>
      <c r="AS79" s="66"/>
      <c r="AT79" s="66"/>
      <c r="AU79" s="66"/>
      <c r="AV79" s="66"/>
      <c r="AW79" s="66"/>
      <c r="AX79" s="66"/>
      <c r="AY79" s="66"/>
      <c r="AZ79" s="66"/>
      <c r="BA79" s="66"/>
      <c r="BB79" s="66"/>
      <c r="BC79" s="66"/>
      <c r="BD79" s="66"/>
      <c r="BE79" s="66"/>
      <c r="BF79" s="66"/>
      <c r="BG79" s="66"/>
      <c r="BH79" s="66"/>
    </row>
    <row r="80" spans="1:60" x14ac:dyDescent="0.25">
      <c r="A80" s="66"/>
      <c r="B80" s="66"/>
      <c r="C80" s="66"/>
      <c r="D80" s="66"/>
      <c r="E80" s="66"/>
      <c r="F80" s="66"/>
      <c r="G80" s="66"/>
      <c r="H80" s="66"/>
      <c r="I80" s="66"/>
      <c r="J80" s="66"/>
      <c r="K80" s="66"/>
      <c r="L80" s="66"/>
      <c r="M80" s="66"/>
      <c r="N80" s="66"/>
      <c r="O80" s="66"/>
      <c r="P80" s="66"/>
      <c r="Q80" s="66"/>
      <c r="R80" s="66"/>
      <c r="S80" s="66"/>
      <c r="T80" s="66"/>
      <c r="U80" s="66"/>
      <c r="V80" s="66"/>
      <c r="W80" s="66"/>
      <c r="X80" s="66"/>
      <c r="Y80" s="66"/>
      <c r="Z80" s="66"/>
      <c r="AA80" s="66"/>
      <c r="AB80" s="66"/>
      <c r="AC80" s="66"/>
      <c r="AD80" s="66"/>
      <c r="AE80" s="66"/>
      <c r="AF80" s="66"/>
      <c r="AG80" s="66"/>
      <c r="AH80" s="66"/>
      <c r="AI80" s="66"/>
      <c r="AJ80" s="66"/>
      <c r="AK80" s="66"/>
      <c r="AL80" s="66"/>
      <c r="AM80" s="66"/>
      <c r="AN80" s="66"/>
      <c r="AO80" s="66"/>
      <c r="AP80" s="66"/>
      <c r="AQ80" s="66"/>
      <c r="AR80" s="66"/>
      <c r="AS80" s="66"/>
      <c r="AT80" s="66"/>
      <c r="AU80" s="66"/>
      <c r="AV80" s="66"/>
      <c r="AW80" s="66"/>
      <c r="AX80" s="66"/>
      <c r="AY80" s="66"/>
      <c r="AZ80" s="66"/>
      <c r="BA80" s="66"/>
      <c r="BB80" s="66"/>
      <c r="BC80" s="66"/>
      <c r="BD80" s="66"/>
      <c r="BE80" s="66"/>
      <c r="BF80" s="66"/>
      <c r="BG80" s="66"/>
      <c r="BH80" s="66"/>
    </row>
    <row r="81" spans="1:60" x14ac:dyDescent="0.25">
      <c r="A81" s="66"/>
      <c r="B81" s="66"/>
      <c r="C81" s="66"/>
      <c r="D81" s="66"/>
      <c r="E81" s="66"/>
      <c r="F81" s="66"/>
      <c r="G81" s="66"/>
      <c r="H81" s="66"/>
      <c r="I81" s="66"/>
      <c r="J81" s="66"/>
      <c r="K81" s="66"/>
      <c r="L81" s="66"/>
      <c r="M81" s="66"/>
      <c r="N81" s="66"/>
      <c r="O81" s="66"/>
      <c r="P81" s="66"/>
      <c r="Q81" s="66"/>
      <c r="R81" s="66"/>
      <c r="S81" s="66"/>
      <c r="T81" s="66"/>
      <c r="U81" s="66"/>
      <c r="V81" s="66"/>
      <c r="W81" s="66"/>
      <c r="X81" s="66"/>
      <c r="Y81" s="66"/>
      <c r="Z81" s="66"/>
      <c r="AA81" s="66"/>
      <c r="AB81" s="66"/>
      <c r="AC81" s="66"/>
      <c r="AD81" s="66"/>
      <c r="AE81" s="66"/>
      <c r="AF81" s="66"/>
      <c r="AG81" s="66"/>
      <c r="AH81" s="66"/>
      <c r="AI81" s="66"/>
      <c r="AJ81" s="66"/>
      <c r="AK81" s="66"/>
      <c r="AL81" s="66"/>
      <c r="AM81" s="66"/>
      <c r="AN81" s="66"/>
      <c r="AO81" s="66"/>
      <c r="AP81" s="66"/>
      <c r="AQ81" s="66"/>
      <c r="AR81" s="66"/>
      <c r="AS81" s="66"/>
      <c r="AT81" s="66"/>
      <c r="AU81" s="66"/>
      <c r="AV81" s="66"/>
      <c r="AW81" s="66"/>
      <c r="AX81" s="66"/>
      <c r="AY81" s="66"/>
      <c r="AZ81" s="66"/>
      <c r="BA81" s="66"/>
      <c r="BB81" s="66"/>
      <c r="BC81" s="66"/>
      <c r="BD81" s="66"/>
      <c r="BE81" s="66"/>
      <c r="BF81" s="66"/>
      <c r="BG81" s="66"/>
      <c r="BH81" s="66"/>
    </row>
    <row r="82" spans="1:60" x14ac:dyDescent="0.25">
      <c r="A82" s="66"/>
      <c r="B82" s="66"/>
      <c r="C82" s="66"/>
      <c r="D82" s="66"/>
      <c r="E82" s="66"/>
      <c r="F82" s="66"/>
      <c r="G82" s="66"/>
      <c r="H82" s="66"/>
      <c r="I82" s="66"/>
      <c r="J82" s="66"/>
      <c r="K82" s="66"/>
      <c r="L82" s="66"/>
      <c r="M82" s="66"/>
      <c r="N82" s="66"/>
      <c r="O82" s="66"/>
      <c r="P82" s="66"/>
      <c r="Q82" s="66"/>
      <c r="R82" s="66"/>
      <c r="S82" s="66"/>
      <c r="T82" s="66"/>
      <c r="U82" s="66"/>
      <c r="V82" s="66"/>
      <c r="W82" s="66"/>
      <c r="X82" s="66"/>
      <c r="Y82" s="66"/>
      <c r="Z82" s="66"/>
      <c r="AA82" s="66"/>
      <c r="AB82" s="66"/>
      <c r="AC82" s="66"/>
      <c r="AD82" s="66"/>
      <c r="AE82" s="66"/>
      <c r="AF82" s="66"/>
      <c r="AG82" s="66"/>
      <c r="AH82" s="66"/>
      <c r="AI82" s="66"/>
      <c r="AJ82" s="66"/>
      <c r="AK82" s="66"/>
      <c r="AL82" s="66"/>
      <c r="AM82" s="66"/>
      <c r="AN82" s="66"/>
      <c r="AO82" s="66"/>
      <c r="AP82" s="66"/>
      <c r="AQ82" s="66"/>
      <c r="AR82" s="66"/>
      <c r="AS82" s="66"/>
      <c r="AT82" s="66"/>
      <c r="AU82" s="66"/>
      <c r="AV82" s="66"/>
      <c r="AW82" s="66"/>
      <c r="AX82" s="66"/>
      <c r="AY82" s="66"/>
      <c r="AZ82" s="66"/>
      <c r="BA82" s="66"/>
      <c r="BB82" s="66"/>
      <c r="BC82" s="66"/>
      <c r="BD82" s="66"/>
      <c r="BE82" s="66"/>
      <c r="BF82" s="66"/>
      <c r="BG82" s="66"/>
      <c r="BH82" s="66"/>
    </row>
    <row r="83" spans="1:60" x14ac:dyDescent="0.25">
      <c r="A83" s="66"/>
      <c r="B83" s="66"/>
      <c r="C83" s="66"/>
      <c r="D83" s="66"/>
      <c r="E83" s="66"/>
      <c r="F83" s="66"/>
      <c r="G83" s="66"/>
      <c r="H83" s="66"/>
      <c r="I83" s="66"/>
      <c r="J83" s="66"/>
      <c r="K83" s="66"/>
      <c r="L83" s="66"/>
      <c r="M83" s="66"/>
      <c r="N83" s="66"/>
      <c r="O83" s="66"/>
      <c r="P83" s="66"/>
      <c r="Q83" s="66"/>
      <c r="R83" s="66"/>
      <c r="S83" s="66"/>
      <c r="T83" s="66"/>
      <c r="U83" s="66"/>
      <c r="V83" s="66"/>
      <c r="W83" s="66"/>
      <c r="X83" s="66"/>
      <c r="Y83" s="66"/>
      <c r="Z83" s="66"/>
      <c r="AA83" s="66"/>
      <c r="AB83" s="66"/>
      <c r="AC83" s="66"/>
      <c r="AD83" s="66"/>
      <c r="AE83" s="66"/>
      <c r="AF83" s="66"/>
      <c r="AG83" s="66"/>
      <c r="AH83" s="66"/>
      <c r="AI83" s="66"/>
      <c r="AJ83" s="66"/>
      <c r="AK83" s="66"/>
      <c r="AL83" s="66"/>
      <c r="AM83" s="66"/>
      <c r="AN83" s="66"/>
      <c r="AO83" s="66"/>
      <c r="AP83" s="66"/>
      <c r="AQ83" s="66"/>
      <c r="AR83" s="66"/>
      <c r="AS83" s="66"/>
      <c r="AT83" s="66"/>
      <c r="AU83" s="66"/>
      <c r="AV83" s="66"/>
      <c r="AW83" s="66"/>
      <c r="AX83" s="66"/>
      <c r="AY83" s="66"/>
      <c r="AZ83" s="66"/>
      <c r="BA83" s="66"/>
      <c r="BB83" s="66"/>
      <c r="BC83" s="66"/>
      <c r="BD83" s="66"/>
      <c r="BE83" s="66"/>
      <c r="BF83" s="66"/>
      <c r="BG83" s="66"/>
      <c r="BH83" s="66"/>
    </row>
    <row r="84" spans="1:60" x14ac:dyDescent="0.25">
      <c r="A84" s="66"/>
      <c r="B84" s="66"/>
      <c r="C84" s="66"/>
      <c r="D84" s="66"/>
      <c r="E84" s="66"/>
      <c r="F84" s="66"/>
      <c r="G84" s="66"/>
      <c r="H84" s="66"/>
      <c r="I84" s="66"/>
      <c r="J84" s="66"/>
      <c r="K84" s="66"/>
      <c r="L84" s="66"/>
      <c r="M84" s="66"/>
      <c r="N84" s="66"/>
      <c r="O84" s="66"/>
      <c r="P84" s="66"/>
      <c r="Q84" s="66"/>
      <c r="R84" s="66"/>
      <c r="S84" s="66"/>
      <c r="T84" s="66"/>
      <c r="U84" s="66"/>
      <c r="V84" s="66"/>
      <c r="W84" s="66"/>
      <c r="X84" s="66"/>
      <c r="Y84" s="66"/>
      <c r="Z84" s="66"/>
      <c r="AA84" s="66"/>
      <c r="AB84" s="66"/>
      <c r="AC84" s="66"/>
      <c r="AD84" s="66"/>
      <c r="AE84" s="66"/>
      <c r="AF84" s="66"/>
      <c r="AG84" s="66"/>
      <c r="AH84" s="66"/>
      <c r="AI84" s="66"/>
      <c r="AJ84" s="66"/>
      <c r="AK84" s="66"/>
      <c r="AL84" s="66"/>
      <c r="AM84" s="66"/>
      <c r="AN84" s="66"/>
      <c r="AO84" s="66"/>
      <c r="AP84" s="66"/>
      <c r="AQ84" s="66"/>
      <c r="AR84" s="66"/>
      <c r="AS84" s="66"/>
      <c r="AT84" s="66"/>
      <c r="AU84" s="66"/>
      <c r="AV84" s="66"/>
      <c r="AW84" s="66"/>
      <c r="AX84" s="66"/>
      <c r="AY84" s="66"/>
      <c r="AZ84" s="66"/>
      <c r="BA84" s="66"/>
      <c r="BB84" s="66"/>
      <c r="BC84" s="66"/>
      <c r="BD84" s="66"/>
      <c r="BE84" s="66"/>
      <c r="BF84" s="66"/>
      <c r="BG84" s="66"/>
      <c r="BH84" s="66"/>
    </row>
    <row r="85" spans="1:60" x14ac:dyDescent="0.25">
      <c r="A85" s="66"/>
      <c r="B85" s="66"/>
      <c r="C85" s="66"/>
      <c r="D85" s="66"/>
      <c r="E85" s="66"/>
      <c r="F85" s="66"/>
      <c r="G85" s="66"/>
      <c r="H85" s="66"/>
      <c r="I85" s="66"/>
      <c r="J85" s="66"/>
      <c r="K85" s="66"/>
      <c r="L85" s="66"/>
      <c r="M85" s="66"/>
      <c r="N85" s="66"/>
      <c r="O85" s="66"/>
      <c r="P85" s="66"/>
      <c r="Q85" s="66"/>
      <c r="R85" s="66"/>
      <c r="S85" s="66"/>
      <c r="T85" s="66"/>
      <c r="U85" s="66"/>
      <c r="V85" s="66"/>
      <c r="W85" s="66"/>
      <c r="X85" s="66"/>
      <c r="Y85" s="66"/>
      <c r="Z85" s="66"/>
      <c r="AA85" s="66"/>
      <c r="AB85" s="66"/>
      <c r="AC85" s="66"/>
      <c r="AD85" s="66"/>
      <c r="AE85" s="66"/>
      <c r="AF85" s="66"/>
      <c r="AG85" s="66"/>
      <c r="AH85" s="66"/>
      <c r="AI85" s="66"/>
      <c r="AJ85" s="66"/>
      <c r="AK85" s="66"/>
      <c r="AL85" s="66"/>
      <c r="AM85" s="66"/>
      <c r="AN85" s="66"/>
      <c r="AO85" s="66"/>
      <c r="AP85" s="66"/>
      <c r="AQ85" s="66"/>
      <c r="AR85" s="66"/>
      <c r="AS85" s="66"/>
      <c r="AT85" s="66"/>
      <c r="AU85" s="66"/>
      <c r="AV85" s="66"/>
      <c r="AW85" s="66"/>
      <c r="AX85" s="66"/>
      <c r="AY85" s="66"/>
      <c r="AZ85" s="66"/>
      <c r="BA85" s="66"/>
      <c r="BB85" s="66"/>
      <c r="BC85" s="66"/>
      <c r="BD85" s="66"/>
      <c r="BE85" s="66"/>
      <c r="BF85" s="66"/>
      <c r="BG85" s="66"/>
      <c r="BH85" s="66"/>
    </row>
    <row r="86" spans="1:60" x14ac:dyDescent="0.25">
      <c r="A86" s="66"/>
      <c r="B86" s="66"/>
      <c r="C86" s="66"/>
      <c r="D86" s="66"/>
      <c r="E86" s="66"/>
      <c r="F86" s="66"/>
      <c r="G86" s="66"/>
      <c r="H86" s="66"/>
      <c r="I86" s="66"/>
      <c r="J86" s="66"/>
      <c r="K86" s="66"/>
      <c r="L86" s="66"/>
      <c r="M86" s="66"/>
      <c r="N86" s="66"/>
      <c r="O86" s="66"/>
      <c r="P86" s="66"/>
      <c r="Q86" s="66"/>
      <c r="R86" s="66"/>
      <c r="S86" s="66"/>
      <c r="T86" s="66"/>
      <c r="U86" s="66"/>
      <c r="V86" s="66"/>
      <c r="W86" s="66"/>
      <c r="X86" s="66"/>
      <c r="Y86" s="66"/>
      <c r="Z86" s="66"/>
      <c r="AA86" s="66"/>
      <c r="AB86" s="66"/>
      <c r="AC86" s="66"/>
      <c r="AD86" s="66"/>
      <c r="AE86" s="66"/>
      <c r="AF86" s="66"/>
      <c r="AG86" s="66"/>
      <c r="AH86" s="66"/>
      <c r="AI86" s="66"/>
      <c r="AJ86" s="66"/>
      <c r="AK86" s="66"/>
      <c r="AL86" s="66"/>
      <c r="AM86" s="66"/>
      <c r="AN86" s="66"/>
      <c r="AO86" s="66"/>
      <c r="AP86" s="66"/>
      <c r="AQ86" s="66"/>
      <c r="AR86" s="66"/>
      <c r="AS86" s="66"/>
      <c r="AT86" s="66"/>
      <c r="AU86" s="66"/>
      <c r="AV86" s="66"/>
      <c r="AW86" s="66"/>
      <c r="AX86" s="66"/>
      <c r="AY86" s="66"/>
      <c r="AZ86" s="66"/>
      <c r="BA86" s="66"/>
      <c r="BB86" s="66"/>
      <c r="BC86" s="66"/>
      <c r="BD86" s="66"/>
      <c r="BE86" s="66"/>
      <c r="BF86" s="66"/>
      <c r="BG86" s="66"/>
      <c r="BH86" s="66"/>
    </row>
    <row r="87" spans="1:60" x14ac:dyDescent="0.25">
      <c r="A87" s="66"/>
      <c r="B87" s="66"/>
      <c r="C87" s="66"/>
      <c r="D87" s="66"/>
      <c r="E87" s="66"/>
      <c r="F87" s="66"/>
      <c r="G87" s="66"/>
      <c r="H87" s="66"/>
      <c r="I87" s="66"/>
      <c r="J87" s="66"/>
      <c r="K87" s="66"/>
      <c r="L87" s="66"/>
      <c r="M87" s="66"/>
      <c r="N87" s="66"/>
      <c r="O87" s="66"/>
      <c r="P87" s="66"/>
      <c r="Q87" s="66"/>
      <c r="R87" s="66"/>
      <c r="S87" s="66"/>
      <c r="T87" s="66"/>
      <c r="U87" s="66"/>
      <c r="V87" s="66"/>
      <c r="W87" s="66"/>
      <c r="X87" s="66"/>
      <c r="Y87" s="66"/>
      <c r="Z87" s="66"/>
      <c r="AA87" s="66"/>
      <c r="AB87" s="66"/>
      <c r="AC87" s="66"/>
      <c r="AD87" s="66"/>
      <c r="AE87" s="66"/>
      <c r="AF87" s="66"/>
      <c r="AG87" s="66"/>
      <c r="AH87" s="66"/>
      <c r="AI87" s="66"/>
      <c r="AJ87" s="66"/>
      <c r="AK87" s="66"/>
      <c r="AL87" s="66"/>
      <c r="AM87" s="66"/>
      <c r="AN87" s="66"/>
      <c r="AO87" s="66"/>
      <c r="AP87" s="66"/>
      <c r="AQ87" s="66"/>
      <c r="AR87" s="66"/>
      <c r="AS87" s="66"/>
      <c r="AT87" s="66"/>
      <c r="AU87" s="66"/>
      <c r="AV87" s="66"/>
      <c r="AW87" s="66"/>
      <c r="AX87" s="66"/>
      <c r="AY87" s="66"/>
      <c r="AZ87" s="66"/>
      <c r="BA87" s="66"/>
      <c r="BB87" s="66"/>
      <c r="BC87" s="66"/>
      <c r="BD87" s="66"/>
      <c r="BE87" s="66"/>
      <c r="BF87" s="66"/>
      <c r="BG87" s="66"/>
      <c r="BH87" s="66"/>
    </row>
    <row r="88" spans="1:60" x14ac:dyDescent="0.25">
      <c r="A88" s="66"/>
      <c r="B88" s="66"/>
      <c r="C88" s="66"/>
      <c r="D88" s="66"/>
      <c r="E88" s="66"/>
      <c r="F88" s="66"/>
      <c r="G88" s="66"/>
      <c r="H88" s="66"/>
      <c r="I88" s="66"/>
      <c r="J88" s="66"/>
      <c r="K88" s="66"/>
      <c r="L88" s="66"/>
      <c r="M88" s="66"/>
      <c r="N88" s="66"/>
      <c r="O88" s="66"/>
      <c r="P88" s="66"/>
      <c r="Q88" s="66"/>
      <c r="R88" s="66"/>
      <c r="S88" s="66"/>
      <c r="T88" s="66"/>
      <c r="U88" s="66"/>
      <c r="V88" s="66"/>
      <c r="W88" s="66"/>
      <c r="X88" s="66"/>
      <c r="Y88" s="66"/>
      <c r="Z88" s="66"/>
      <c r="AA88" s="66"/>
      <c r="AB88" s="66"/>
      <c r="AC88" s="66"/>
      <c r="AD88" s="66"/>
      <c r="AE88" s="66"/>
      <c r="AF88" s="66"/>
      <c r="AG88" s="66"/>
      <c r="AH88" s="66"/>
      <c r="AI88" s="66"/>
      <c r="AJ88" s="66"/>
      <c r="AK88" s="66"/>
      <c r="AL88" s="66"/>
      <c r="AM88" s="66"/>
      <c r="AN88" s="66"/>
      <c r="AO88" s="66"/>
      <c r="AP88" s="66"/>
      <c r="AQ88" s="66"/>
      <c r="AR88" s="66"/>
      <c r="AS88" s="66"/>
      <c r="AT88" s="66"/>
      <c r="AU88" s="66"/>
      <c r="AV88" s="66"/>
      <c r="AW88" s="66"/>
      <c r="AX88" s="66"/>
      <c r="AY88" s="66"/>
      <c r="AZ88" s="66"/>
      <c r="BA88" s="66"/>
      <c r="BB88" s="66"/>
      <c r="BC88" s="66"/>
      <c r="BD88" s="66"/>
      <c r="BE88" s="66"/>
      <c r="BF88" s="66"/>
      <c r="BG88" s="66"/>
      <c r="BH88" s="66"/>
    </row>
    <row r="89" spans="1:60" x14ac:dyDescent="0.25">
      <c r="A89" s="66"/>
      <c r="B89" s="66"/>
      <c r="C89" s="66"/>
      <c r="D89" s="66"/>
      <c r="E89" s="66"/>
      <c r="F89" s="66"/>
      <c r="G89" s="66"/>
      <c r="H89" s="66"/>
      <c r="I89" s="66"/>
      <c r="J89" s="66"/>
      <c r="K89" s="66"/>
      <c r="L89" s="66"/>
      <c r="M89" s="66"/>
      <c r="N89" s="66"/>
      <c r="O89" s="66"/>
      <c r="P89" s="66"/>
      <c r="Q89" s="66"/>
      <c r="R89" s="66"/>
      <c r="S89" s="66"/>
      <c r="T89" s="66"/>
      <c r="U89" s="66"/>
      <c r="V89" s="66"/>
      <c r="W89" s="66"/>
      <c r="X89" s="66"/>
      <c r="Y89" s="66"/>
      <c r="Z89" s="66"/>
      <c r="AA89" s="66"/>
      <c r="AB89" s="66"/>
      <c r="AC89" s="66"/>
      <c r="AD89" s="66"/>
      <c r="AE89" s="66"/>
      <c r="AF89" s="66"/>
      <c r="AG89" s="66"/>
      <c r="AH89" s="66"/>
      <c r="AI89" s="66"/>
      <c r="AJ89" s="66"/>
      <c r="AK89" s="66"/>
      <c r="AL89" s="66"/>
      <c r="AM89" s="66"/>
      <c r="AN89" s="66"/>
      <c r="AO89" s="66"/>
      <c r="AP89" s="66"/>
      <c r="AQ89" s="66"/>
      <c r="AR89" s="66"/>
      <c r="AS89" s="66"/>
      <c r="AT89" s="66"/>
      <c r="AU89" s="66"/>
      <c r="AV89" s="66"/>
      <c r="AW89" s="66"/>
      <c r="AX89" s="66"/>
      <c r="AY89" s="66"/>
      <c r="AZ89" s="66"/>
      <c r="BA89" s="66"/>
      <c r="BB89" s="66"/>
      <c r="BC89" s="66"/>
      <c r="BD89" s="66"/>
      <c r="BE89" s="66"/>
      <c r="BF89" s="66"/>
      <c r="BG89" s="66"/>
      <c r="BH89" s="66"/>
    </row>
    <row r="90" spans="1:60" x14ac:dyDescent="0.25">
      <c r="A90" s="66"/>
      <c r="B90" s="66"/>
      <c r="C90" s="66"/>
      <c r="D90" s="66"/>
      <c r="E90" s="66"/>
      <c r="F90" s="66"/>
      <c r="G90" s="66"/>
      <c r="H90" s="66"/>
      <c r="I90" s="66"/>
      <c r="J90" s="66"/>
      <c r="K90" s="66"/>
      <c r="L90" s="66"/>
      <c r="M90" s="66"/>
      <c r="N90" s="66"/>
      <c r="O90" s="66"/>
      <c r="P90" s="66"/>
      <c r="Q90" s="66"/>
      <c r="R90" s="66"/>
      <c r="S90" s="66"/>
      <c r="T90" s="66"/>
      <c r="U90" s="66"/>
      <c r="V90" s="66"/>
      <c r="W90" s="66"/>
      <c r="X90" s="66"/>
      <c r="Y90" s="66"/>
      <c r="Z90" s="66"/>
      <c r="AA90" s="66"/>
      <c r="AB90" s="66"/>
      <c r="AC90" s="66"/>
      <c r="AD90" s="66"/>
      <c r="AE90" s="66"/>
      <c r="AF90" s="66"/>
      <c r="AG90" s="66"/>
      <c r="AH90" s="66"/>
      <c r="AI90" s="66"/>
      <c r="AJ90" s="66"/>
      <c r="AK90" s="66"/>
      <c r="AL90" s="66"/>
      <c r="AM90" s="66"/>
      <c r="AN90" s="66"/>
      <c r="AO90" s="66"/>
      <c r="AP90" s="66"/>
      <c r="AQ90" s="66"/>
      <c r="AR90" s="66"/>
      <c r="AS90" s="66"/>
      <c r="AT90" s="66"/>
      <c r="AU90" s="66"/>
      <c r="AV90" s="66"/>
      <c r="AW90" s="66"/>
      <c r="AX90" s="66"/>
      <c r="AY90" s="66"/>
      <c r="AZ90" s="66"/>
      <c r="BA90" s="66"/>
      <c r="BB90" s="66"/>
      <c r="BC90" s="66"/>
      <c r="BD90" s="66"/>
      <c r="BE90" s="66"/>
      <c r="BF90" s="66"/>
      <c r="BG90" s="66"/>
      <c r="BH90" s="66"/>
    </row>
    <row r="91" spans="1:60" x14ac:dyDescent="0.25">
      <c r="A91" s="66"/>
      <c r="B91" s="66"/>
      <c r="C91" s="66"/>
      <c r="D91" s="66"/>
      <c r="E91" s="66"/>
      <c r="F91" s="66"/>
      <c r="G91" s="66"/>
      <c r="H91" s="66"/>
      <c r="I91" s="66"/>
      <c r="J91" s="66"/>
      <c r="K91" s="66"/>
      <c r="L91" s="66"/>
      <c r="M91" s="66"/>
      <c r="N91" s="66"/>
      <c r="O91" s="66"/>
      <c r="P91" s="66"/>
      <c r="Q91" s="66"/>
      <c r="R91" s="66"/>
      <c r="S91" s="66"/>
      <c r="T91" s="66"/>
      <c r="U91" s="66"/>
      <c r="V91" s="66"/>
      <c r="W91" s="66"/>
      <c r="X91" s="66"/>
      <c r="Y91" s="66"/>
      <c r="Z91" s="66"/>
      <c r="AA91" s="66"/>
      <c r="AB91" s="66"/>
      <c r="AC91" s="66"/>
      <c r="AD91" s="66"/>
      <c r="AE91" s="66"/>
      <c r="AF91" s="66"/>
      <c r="AG91" s="66"/>
      <c r="AH91" s="66"/>
      <c r="AI91" s="66"/>
      <c r="AJ91" s="66"/>
      <c r="AK91" s="66"/>
      <c r="AL91" s="66"/>
      <c r="AM91" s="66"/>
      <c r="AN91" s="66"/>
      <c r="AO91" s="66"/>
      <c r="AP91" s="66"/>
      <c r="AQ91" s="66"/>
      <c r="AR91" s="66"/>
      <c r="AS91" s="66"/>
      <c r="AT91" s="66"/>
      <c r="AU91" s="66"/>
      <c r="AV91" s="66"/>
      <c r="AW91" s="66"/>
      <c r="AX91" s="66"/>
      <c r="AY91" s="66"/>
      <c r="AZ91" s="66"/>
      <c r="BA91" s="66"/>
      <c r="BB91" s="66"/>
      <c r="BC91" s="66"/>
      <c r="BD91" s="66"/>
      <c r="BE91" s="66"/>
      <c r="BF91" s="66"/>
      <c r="BG91" s="66"/>
      <c r="BH91" s="66"/>
    </row>
    <row r="92" spans="1:60" x14ac:dyDescent="0.25">
      <c r="A92" s="66"/>
      <c r="B92" s="66"/>
      <c r="C92" s="66"/>
      <c r="D92" s="66"/>
      <c r="E92" s="66"/>
      <c r="F92" s="66"/>
      <c r="G92" s="66"/>
      <c r="H92" s="66"/>
      <c r="I92" s="66"/>
      <c r="J92" s="66"/>
      <c r="K92" s="66"/>
      <c r="L92" s="66"/>
      <c r="M92" s="66"/>
      <c r="N92" s="66"/>
      <c r="O92" s="66"/>
      <c r="P92" s="66"/>
      <c r="Q92" s="66"/>
      <c r="R92" s="66"/>
      <c r="S92" s="66"/>
      <c r="T92" s="66"/>
      <c r="U92" s="66"/>
      <c r="V92" s="66"/>
      <c r="W92" s="66"/>
      <c r="X92" s="66"/>
      <c r="Y92" s="66"/>
      <c r="Z92" s="66"/>
      <c r="AA92" s="66"/>
      <c r="AB92" s="66"/>
      <c r="AC92" s="66"/>
      <c r="AD92" s="66"/>
      <c r="AE92" s="66"/>
      <c r="AF92" s="66"/>
      <c r="AG92" s="66"/>
      <c r="AH92" s="66"/>
      <c r="AI92" s="66"/>
      <c r="AJ92" s="66"/>
      <c r="AK92" s="66"/>
      <c r="AL92" s="66"/>
      <c r="AM92" s="66"/>
      <c r="AN92" s="66"/>
      <c r="AO92" s="66"/>
      <c r="AP92" s="66"/>
      <c r="AQ92" s="66"/>
      <c r="AR92" s="66"/>
      <c r="AS92" s="66"/>
      <c r="AT92" s="66"/>
      <c r="AU92" s="66"/>
      <c r="AV92" s="66"/>
      <c r="AW92" s="66"/>
      <c r="AX92" s="66"/>
      <c r="AY92" s="66"/>
      <c r="AZ92" s="66"/>
      <c r="BA92" s="66"/>
      <c r="BB92" s="66"/>
      <c r="BC92" s="66"/>
      <c r="BD92" s="66"/>
      <c r="BE92" s="66"/>
      <c r="BF92" s="66"/>
      <c r="BG92" s="66"/>
      <c r="BH92" s="66"/>
    </row>
    <row r="93" spans="1:60" x14ac:dyDescent="0.25">
      <c r="A93" s="66"/>
      <c r="B93" s="66"/>
      <c r="C93" s="66"/>
      <c r="D93" s="66"/>
      <c r="E93" s="66"/>
      <c r="F93" s="66"/>
      <c r="G93" s="66"/>
      <c r="H93" s="66"/>
      <c r="I93" s="66"/>
      <c r="J93" s="66"/>
      <c r="K93" s="66"/>
      <c r="L93" s="66"/>
      <c r="M93" s="66"/>
      <c r="N93" s="66"/>
      <c r="O93" s="66"/>
      <c r="P93" s="66"/>
      <c r="Q93" s="66"/>
      <c r="R93" s="66"/>
      <c r="S93" s="66"/>
      <c r="T93" s="66"/>
      <c r="U93" s="66"/>
      <c r="V93" s="66"/>
      <c r="W93" s="66"/>
      <c r="X93" s="66"/>
      <c r="Y93" s="66"/>
      <c r="Z93" s="66"/>
      <c r="AA93" s="66"/>
      <c r="AB93" s="66"/>
      <c r="AC93" s="66"/>
      <c r="AD93" s="66"/>
      <c r="AE93" s="66"/>
      <c r="AF93" s="66"/>
      <c r="AG93" s="66"/>
      <c r="AH93" s="66"/>
      <c r="AI93" s="66"/>
      <c r="AJ93" s="66"/>
      <c r="AK93" s="66"/>
      <c r="AL93" s="66"/>
      <c r="AM93" s="66"/>
      <c r="AN93" s="66"/>
      <c r="AO93" s="66"/>
      <c r="AP93" s="66"/>
      <c r="AQ93" s="66"/>
      <c r="AR93" s="66"/>
      <c r="AS93" s="66"/>
      <c r="AT93" s="66"/>
      <c r="AU93" s="66"/>
      <c r="AV93" s="66"/>
      <c r="AW93" s="66"/>
      <c r="AX93" s="66"/>
      <c r="AY93" s="66"/>
      <c r="AZ93" s="66"/>
      <c r="BA93" s="66"/>
      <c r="BB93" s="66"/>
      <c r="BC93" s="66"/>
      <c r="BD93" s="66"/>
      <c r="BE93" s="66"/>
      <c r="BF93" s="66"/>
      <c r="BG93" s="66"/>
      <c r="BH93" s="66"/>
    </row>
    <row r="94" spans="1:60" x14ac:dyDescent="0.25">
      <c r="A94" s="66"/>
      <c r="B94" s="66"/>
      <c r="C94" s="66"/>
      <c r="D94" s="66"/>
      <c r="E94" s="66"/>
      <c r="F94" s="66"/>
      <c r="G94" s="66"/>
      <c r="H94" s="66"/>
      <c r="I94" s="66"/>
      <c r="J94" s="66"/>
      <c r="K94" s="66"/>
      <c r="L94" s="66"/>
      <c r="M94" s="66"/>
      <c r="N94" s="66"/>
      <c r="O94" s="66"/>
      <c r="P94" s="66"/>
      <c r="Q94" s="66"/>
      <c r="R94" s="66"/>
      <c r="S94" s="66"/>
      <c r="T94" s="66"/>
      <c r="U94" s="66"/>
      <c r="V94" s="66"/>
      <c r="W94" s="66"/>
      <c r="X94" s="66"/>
      <c r="Y94" s="66"/>
      <c r="Z94" s="66"/>
      <c r="AA94" s="66"/>
      <c r="AB94" s="66"/>
      <c r="AC94" s="66"/>
      <c r="AD94" s="66"/>
      <c r="AE94" s="66"/>
      <c r="AF94" s="66"/>
      <c r="AG94" s="66"/>
      <c r="AH94" s="66"/>
      <c r="AI94" s="66"/>
      <c r="AJ94" s="66"/>
      <c r="AK94" s="66"/>
      <c r="AL94" s="66"/>
      <c r="AM94" s="66"/>
      <c r="AN94" s="66"/>
      <c r="AO94" s="66"/>
      <c r="AP94" s="66"/>
      <c r="AQ94" s="66"/>
      <c r="AR94" s="66"/>
      <c r="AS94" s="66"/>
      <c r="AT94" s="66"/>
      <c r="AU94" s="66"/>
      <c r="AV94" s="66"/>
      <c r="AW94" s="66"/>
      <c r="AX94" s="66"/>
      <c r="AY94" s="66"/>
      <c r="AZ94" s="66"/>
      <c r="BA94" s="66"/>
      <c r="BB94" s="66"/>
      <c r="BC94" s="66"/>
      <c r="BD94" s="66"/>
      <c r="BE94" s="66"/>
      <c r="BF94" s="66"/>
      <c r="BG94" s="66"/>
      <c r="BH94" s="66"/>
    </row>
    <row r="95" spans="1:60" x14ac:dyDescent="0.25">
      <c r="A95" s="66"/>
      <c r="B95" s="66"/>
      <c r="C95" s="66"/>
      <c r="D95" s="66"/>
      <c r="E95" s="66"/>
      <c r="F95" s="66"/>
      <c r="G95" s="66"/>
      <c r="H95" s="66"/>
      <c r="I95" s="66"/>
      <c r="J95" s="66"/>
      <c r="K95" s="66"/>
      <c r="L95" s="66"/>
      <c r="M95" s="66"/>
      <c r="N95" s="66"/>
      <c r="O95" s="66"/>
      <c r="P95" s="66"/>
      <c r="Q95" s="66"/>
      <c r="R95" s="66"/>
      <c r="S95" s="66"/>
      <c r="T95" s="66"/>
      <c r="U95" s="66"/>
      <c r="V95" s="66"/>
      <c r="W95" s="66"/>
      <c r="X95" s="66"/>
      <c r="Y95" s="66"/>
      <c r="Z95" s="66"/>
      <c r="AA95" s="66"/>
      <c r="AB95" s="66"/>
      <c r="AC95" s="66"/>
      <c r="AD95" s="66"/>
      <c r="AE95" s="66"/>
      <c r="AF95" s="66"/>
      <c r="AG95" s="66"/>
      <c r="AH95" s="66"/>
      <c r="AI95" s="66"/>
      <c r="AJ95" s="66"/>
      <c r="AK95" s="66"/>
      <c r="AL95" s="66"/>
      <c r="AM95" s="66"/>
      <c r="AN95" s="66"/>
      <c r="AO95" s="66"/>
      <c r="AP95" s="66"/>
      <c r="AQ95" s="66"/>
      <c r="AR95" s="66"/>
      <c r="AS95" s="66"/>
      <c r="AT95" s="66"/>
      <c r="AU95" s="66"/>
      <c r="AV95" s="66"/>
      <c r="AW95" s="66"/>
      <c r="AX95" s="66"/>
      <c r="AY95" s="66"/>
      <c r="AZ95" s="66"/>
      <c r="BA95" s="66"/>
      <c r="BB95" s="66"/>
      <c r="BC95" s="66"/>
      <c r="BD95" s="66"/>
      <c r="BE95" s="66"/>
      <c r="BF95" s="66"/>
      <c r="BG95" s="66"/>
      <c r="BH95" s="66"/>
    </row>
    <row r="96" spans="1:60" x14ac:dyDescent="0.25">
      <c r="A96" s="66"/>
      <c r="B96" s="66"/>
      <c r="C96" s="66"/>
      <c r="D96" s="66"/>
      <c r="E96" s="66"/>
      <c r="F96" s="66"/>
      <c r="G96" s="66"/>
      <c r="H96" s="66"/>
      <c r="I96" s="66"/>
      <c r="J96" s="66"/>
      <c r="K96" s="66"/>
      <c r="L96" s="66"/>
      <c r="M96" s="66"/>
      <c r="N96" s="66"/>
      <c r="O96" s="66"/>
      <c r="P96" s="66"/>
      <c r="Q96" s="66"/>
      <c r="R96" s="66"/>
      <c r="S96" s="66"/>
      <c r="T96" s="66"/>
      <c r="U96" s="66"/>
      <c r="V96" s="66"/>
      <c r="W96" s="66"/>
      <c r="X96" s="66"/>
      <c r="Y96" s="66"/>
      <c r="Z96" s="66"/>
      <c r="AA96" s="66"/>
      <c r="AB96" s="66"/>
      <c r="AC96" s="66"/>
      <c r="AD96" s="66"/>
      <c r="AE96" s="66"/>
      <c r="AF96" s="66"/>
      <c r="AG96" s="66"/>
      <c r="AH96" s="66"/>
      <c r="AI96" s="66"/>
      <c r="AJ96" s="66"/>
      <c r="AK96" s="66"/>
      <c r="AL96" s="66"/>
      <c r="AM96" s="66"/>
      <c r="AN96" s="66"/>
      <c r="AO96" s="66"/>
      <c r="AP96" s="66"/>
      <c r="AQ96" s="66"/>
      <c r="AR96" s="66"/>
      <c r="AS96" s="66"/>
      <c r="AT96" s="66"/>
      <c r="AU96" s="66"/>
      <c r="AV96" s="66"/>
      <c r="AW96" s="66"/>
      <c r="AX96" s="66"/>
      <c r="AY96" s="66"/>
      <c r="AZ96" s="66"/>
      <c r="BA96" s="66"/>
      <c r="BB96" s="66"/>
      <c r="BC96" s="66"/>
      <c r="BD96" s="66"/>
      <c r="BE96" s="66"/>
      <c r="BF96" s="66"/>
      <c r="BG96" s="66"/>
      <c r="BH96" s="66"/>
    </row>
    <row r="97" spans="1:60" x14ac:dyDescent="0.25">
      <c r="A97" s="66"/>
      <c r="B97" s="66"/>
      <c r="C97" s="66"/>
      <c r="D97" s="66"/>
      <c r="E97" s="66"/>
      <c r="F97" s="66"/>
      <c r="G97" s="66"/>
      <c r="H97" s="66"/>
      <c r="I97" s="66"/>
      <c r="J97" s="66"/>
      <c r="K97" s="66"/>
      <c r="L97" s="66"/>
      <c r="M97" s="66"/>
      <c r="N97" s="66"/>
      <c r="O97" s="66"/>
      <c r="P97" s="66"/>
      <c r="Q97" s="66"/>
      <c r="R97" s="66"/>
      <c r="S97" s="66"/>
      <c r="T97" s="66"/>
      <c r="U97" s="66"/>
      <c r="V97" s="66"/>
      <c r="W97" s="66"/>
      <c r="X97" s="66"/>
      <c r="Y97" s="66"/>
      <c r="Z97" s="66"/>
      <c r="AA97" s="66"/>
      <c r="AB97" s="66"/>
      <c r="AC97" s="66"/>
      <c r="AD97" s="66"/>
      <c r="AE97" s="66"/>
      <c r="AF97" s="66"/>
      <c r="AG97" s="66"/>
      <c r="AH97" s="66"/>
      <c r="AI97" s="66"/>
      <c r="AJ97" s="66"/>
      <c r="AK97" s="66"/>
      <c r="AL97" s="66"/>
      <c r="AM97" s="66"/>
      <c r="AN97" s="66"/>
      <c r="AO97" s="66"/>
      <c r="AP97" s="66"/>
      <c r="AQ97" s="66"/>
      <c r="AR97" s="66"/>
      <c r="AS97" s="66"/>
      <c r="AT97" s="66"/>
      <c r="AU97" s="66"/>
      <c r="AV97" s="66"/>
      <c r="AW97" s="66"/>
      <c r="AX97" s="66"/>
      <c r="AY97" s="66"/>
      <c r="AZ97" s="66"/>
      <c r="BA97" s="66"/>
      <c r="BB97" s="66"/>
      <c r="BC97" s="66"/>
      <c r="BD97" s="66"/>
      <c r="BE97" s="66"/>
      <c r="BF97" s="66"/>
      <c r="BG97" s="66"/>
      <c r="BH97" s="66"/>
    </row>
    <row r="98" spans="1:60" x14ac:dyDescent="0.25">
      <c r="A98" s="66"/>
      <c r="B98" s="66"/>
      <c r="C98" s="66"/>
      <c r="D98" s="66"/>
      <c r="E98" s="66"/>
      <c r="F98" s="66"/>
      <c r="G98" s="66"/>
      <c r="H98" s="66"/>
      <c r="I98" s="66"/>
      <c r="J98" s="66"/>
      <c r="K98" s="66"/>
      <c r="L98" s="66"/>
      <c r="M98" s="66"/>
      <c r="N98" s="66"/>
      <c r="O98" s="66"/>
      <c r="P98" s="66"/>
      <c r="Q98" s="66"/>
      <c r="R98" s="66"/>
      <c r="S98" s="66"/>
      <c r="T98" s="66"/>
      <c r="U98" s="66"/>
      <c r="V98" s="66"/>
      <c r="W98" s="66"/>
      <c r="X98" s="66"/>
      <c r="Y98" s="66"/>
      <c r="Z98" s="66"/>
      <c r="AA98" s="66"/>
      <c r="AB98" s="66"/>
      <c r="AC98" s="66"/>
      <c r="AD98" s="66"/>
      <c r="AE98" s="66"/>
      <c r="AF98" s="66"/>
      <c r="AG98" s="66"/>
      <c r="AH98" s="66"/>
      <c r="AI98" s="66"/>
      <c r="AJ98" s="66"/>
      <c r="AK98" s="66"/>
      <c r="AL98" s="66"/>
      <c r="AM98" s="66"/>
      <c r="AN98" s="66"/>
      <c r="AO98" s="66"/>
      <c r="AP98" s="66"/>
      <c r="AQ98" s="66"/>
      <c r="AR98" s="66"/>
      <c r="AS98" s="66"/>
      <c r="AT98" s="66"/>
      <c r="AU98" s="66"/>
      <c r="AV98" s="66"/>
      <c r="AW98" s="66"/>
      <c r="AX98" s="66"/>
      <c r="AY98" s="66"/>
      <c r="AZ98" s="66"/>
      <c r="BA98" s="66"/>
      <c r="BB98" s="66"/>
      <c r="BC98" s="66"/>
      <c r="BD98" s="66"/>
      <c r="BE98" s="66"/>
      <c r="BF98" s="66"/>
      <c r="BG98" s="66"/>
      <c r="BH98" s="66"/>
    </row>
    <row r="99" spans="1:60" x14ac:dyDescent="0.25">
      <c r="A99" s="66"/>
      <c r="B99" s="66"/>
      <c r="C99" s="66"/>
      <c r="D99" s="66"/>
      <c r="E99" s="66"/>
      <c r="F99" s="66"/>
      <c r="G99" s="66"/>
      <c r="H99" s="66"/>
      <c r="I99" s="66"/>
      <c r="J99" s="66"/>
      <c r="K99" s="66"/>
      <c r="L99" s="66"/>
      <c r="M99" s="66"/>
      <c r="N99" s="66"/>
      <c r="O99" s="66"/>
      <c r="P99" s="66"/>
      <c r="Q99" s="66"/>
      <c r="R99" s="66"/>
      <c r="S99" s="66"/>
      <c r="T99" s="66"/>
      <c r="U99" s="66"/>
      <c r="V99" s="66"/>
      <c r="W99" s="66"/>
      <c r="X99" s="66"/>
      <c r="Y99" s="66"/>
      <c r="Z99" s="66"/>
      <c r="AA99" s="66"/>
      <c r="AB99" s="66"/>
      <c r="AC99" s="66"/>
      <c r="AD99" s="66"/>
      <c r="AE99" s="66"/>
      <c r="AF99" s="66"/>
      <c r="AG99" s="66"/>
      <c r="AH99" s="66"/>
      <c r="AI99" s="66"/>
      <c r="AJ99" s="66"/>
      <c r="AK99" s="66"/>
      <c r="AL99" s="66"/>
      <c r="AM99" s="66"/>
      <c r="AN99" s="66"/>
      <c r="AO99" s="66"/>
      <c r="AP99" s="66"/>
      <c r="AQ99" s="66"/>
      <c r="AR99" s="66"/>
      <c r="AS99" s="66"/>
      <c r="AT99" s="66"/>
      <c r="AU99" s="66"/>
      <c r="AV99" s="66"/>
      <c r="AW99" s="66"/>
      <c r="AX99" s="66"/>
      <c r="AY99" s="66"/>
      <c r="AZ99" s="66"/>
      <c r="BA99" s="66"/>
      <c r="BB99" s="66"/>
      <c r="BC99" s="66"/>
      <c r="BD99" s="66"/>
      <c r="BE99" s="66"/>
      <c r="BF99" s="66"/>
      <c r="BG99" s="66"/>
      <c r="BH99" s="66"/>
    </row>
    <row r="100" spans="1:60" x14ac:dyDescent="0.25">
      <c r="A100" s="66"/>
      <c r="B100" s="66"/>
      <c r="C100" s="66"/>
      <c r="D100" s="66"/>
      <c r="E100" s="66"/>
      <c r="F100" s="66"/>
      <c r="G100" s="66"/>
      <c r="H100" s="66"/>
      <c r="I100" s="66"/>
      <c r="J100" s="66"/>
      <c r="K100" s="66"/>
      <c r="L100" s="66"/>
      <c r="M100" s="66"/>
      <c r="N100" s="66"/>
      <c r="O100" s="66"/>
      <c r="P100" s="66"/>
      <c r="Q100" s="66"/>
      <c r="R100" s="66"/>
      <c r="S100" s="66"/>
      <c r="T100" s="66"/>
      <c r="U100" s="66"/>
      <c r="V100" s="66"/>
      <c r="W100" s="66"/>
      <c r="X100" s="66"/>
      <c r="Y100" s="66"/>
      <c r="Z100" s="66"/>
      <c r="AA100" s="66"/>
      <c r="AB100" s="66"/>
      <c r="AC100" s="66"/>
      <c r="AD100" s="66"/>
      <c r="AE100" s="66"/>
      <c r="AF100" s="66"/>
      <c r="AG100" s="66"/>
      <c r="AH100" s="66"/>
      <c r="AI100" s="66"/>
      <c r="AJ100" s="66"/>
      <c r="AK100" s="66"/>
      <c r="AL100" s="66"/>
      <c r="AM100" s="66"/>
      <c r="AN100" s="66"/>
      <c r="AO100" s="66"/>
      <c r="AP100" s="66"/>
      <c r="AQ100" s="66"/>
      <c r="AR100" s="66"/>
      <c r="AS100" s="66"/>
      <c r="AT100" s="66"/>
      <c r="AU100" s="66"/>
      <c r="AV100" s="66"/>
      <c r="AW100" s="66"/>
      <c r="AX100" s="66"/>
      <c r="AY100" s="66"/>
      <c r="AZ100" s="66"/>
      <c r="BA100" s="66"/>
      <c r="BB100" s="66"/>
      <c r="BC100" s="66"/>
      <c r="BD100" s="66"/>
      <c r="BE100" s="66"/>
      <c r="BF100" s="66"/>
      <c r="BG100" s="66"/>
      <c r="BH100" s="66"/>
    </row>
    <row r="101" spans="1:60" x14ac:dyDescent="0.25">
      <c r="A101" s="66"/>
      <c r="B101" s="66"/>
      <c r="C101" s="66"/>
      <c r="D101" s="66"/>
      <c r="E101" s="66"/>
      <c r="F101" s="66"/>
      <c r="G101" s="66"/>
      <c r="H101" s="66"/>
      <c r="I101" s="66"/>
      <c r="J101" s="66"/>
      <c r="K101" s="66"/>
      <c r="L101" s="66"/>
      <c r="M101" s="66"/>
      <c r="N101" s="66"/>
      <c r="O101" s="66"/>
      <c r="P101" s="66"/>
      <c r="Q101" s="66"/>
      <c r="R101" s="66"/>
      <c r="S101" s="66"/>
      <c r="T101" s="66"/>
      <c r="U101" s="66"/>
      <c r="V101" s="66"/>
      <c r="W101" s="66"/>
      <c r="X101" s="66"/>
      <c r="Y101" s="66"/>
      <c r="Z101" s="66"/>
      <c r="AA101" s="66"/>
      <c r="AB101" s="66"/>
      <c r="AC101" s="66"/>
      <c r="AD101" s="66"/>
      <c r="AE101" s="66"/>
      <c r="AF101" s="66"/>
      <c r="AG101" s="66"/>
      <c r="AH101" s="66"/>
      <c r="AI101" s="66"/>
      <c r="AJ101" s="66"/>
      <c r="AK101" s="66"/>
      <c r="AL101" s="66"/>
      <c r="AM101" s="66"/>
      <c r="AN101" s="66"/>
      <c r="AO101" s="66"/>
      <c r="AP101" s="66"/>
      <c r="AQ101" s="66"/>
      <c r="AR101" s="66"/>
      <c r="AS101" s="66"/>
      <c r="AT101" s="66"/>
      <c r="AU101" s="66"/>
      <c r="AV101" s="66"/>
      <c r="AW101" s="66"/>
      <c r="AX101" s="66"/>
      <c r="AY101" s="66"/>
      <c r="AZ101" s="66"/>
      <c r="BA101" s="66"/>
      <c r="BB101" s="66"/>
      <c r="BC101" s="66"/>
      <c r="BD101" s="66"/>
      <c r="BE101" s="66"/>
      <c r="BF101" s="66"/>
      <c r="BG101" s="66"/>
      <c r="BH101" s="66"/>
    </row>
    <row r="102" spans="1:60" x14ac:dyDescent="0.25">
      <c r="A102" s="66"/>
      <c r="B102" s="66"/>
      <c r="C102" s="66"/>
      <c r="D102" s="66"/>
      <c r="E102" s="66"/>
      <c r="F102" s="66"/>
      <c r="G102" s="66"/>
      <c r="H102" s="66"/>
      <c r="I102" s="66"/>
      <c r="J102" s="66"/>
      <c r="K102" s="66"/>
      <c r="L102" s="66"/>
      <c r="M102" s="66"/>
      <c r="N102" s="66"/>
      <c r="O102" s="66"/>
      <c r="P102" s="66"/>
      <c r="Q102" s="66"/>
      <c r="R102" s="66"/>
      <c r="S102" s="66"/>
      <c r="T102" s="66"/>
      <c r="U102" s="66"/>
      <c r="V102" s="66"/>
      <c r="W102" s="66"/>
      <c r="X102" s="66"/>
      <c r="Y102" s="66"/>
      <c r="Z102" s="66"/>
      <c r="AA102" s="66"/>
      <c r="AB102" s="66"/>
      <c r="AC102" s="66"/>
      <c r="AD102" s="66"/>
      <c r="AE102" s="66"/>
      <c r="AF102" s="66"/>
      <c r="AG102" s="66"/>
      <c r="AH102" s="66"/>
      <c r="AI102" s="66"/>
      <c r="AJ102" s="66"/>
      <c r="AK102" s="66"/>
      <c r="AL102" s="66"/>
      <c r="AM102" s="66"/>
      <c r="AN102" s="66"/>
      <c r="AO102" s="66"/>
      <c r="AP102" s="66"/>
      <c r="AQ102" s="66"/>
      <c r="AR102" s="66"/>
      <c r="AS102" s="66"/>
      <c r="AT102" s="66"/>
      <c r="AU102" s="66"/>
      <c r="AV102" s="66"/>
      <c r="AW102" s="66"/>
      <c r="AX102" s="66"/>
      <c r="AY102" s="66"/>
      <c r="AZ102" s="66"/>
      <c r="BA102" s="66"/>
      <c r="BB102" s="66"/>
      <c r="BC102" s="66"/>
      <c r="BD102" s="66"/>
      <c r="BE102" s="66"/>
      <c r="BF102" s="66"/>
      <c r="BG102" s="66"/>
      <c r="BH102" s="66"/>
    </row>
    <row r="103" spans="1:60" x14ac:dyDescent="0.25">
      <c r="A103" s="66"/>
      <c r="B103" s="66"/>
      <c r="C103" s="66"/>
      <c r="D103" s="66"/>
      <c r="E103" s="66"/>
      <c r="F103" s="66"/>
      <c r="G103" s="66"/>
      <c r="H103" s="66"/>
      <c r="I103" s="66"/>
      <c r="J103" s="66"/>
      <c r="K103" s="66"/>
      <c r="L103" s="66"/>
      <c r="M103" s="66"/>
      <c r="N103" s="66"/>
      <c r="O103" s="66"/>
      <c r="P103" s="66"/>
      <c r="Q103" s="66"/>
      <c r="R103" s="66"/>
      <c r="S103" s="66"/>
      <c r="T103" s="66"/>
      <c r="U103" s="66"/>
      <c r="V103" s="66"/>
      <c r="W103" s="66"/>
      <c r="X103" s="66"/>
      <c r="Y103" s="66"/>
      <c r="Z103" s="66"/>
      <c r="AA103" s="66"/>
      <c r="AB103" s="66"/>
      <c r="AC103" s="66"/>
      <c r="AD103" s="66"/>
      <c r="AE103" s="66"/>
      <c r="AF103" s="66"/>
      <c r="AG103" s="66"/>
      <c r="AH103" s="66"/>
      <c r="AI103" s="66"/>
      <c r="AJ103" s="66"/>
      <c r="AK103" s="66"/>
      <c r="AL103" s="66"/>
      <c r="AM103" s="66"/>
      <c r="AN103" s="66"/>
      <c r="AO103" s="66"/>
      <c r="AP103" s="66"/>
      <c r="AQ103" s="66"/>
      <c r="AR103" s="66"/>
      <c r="AS103" s="66"/>
      <c r="AT103" s="66"/>
      <c r="AU103" s="66"/>
      <c r="AV103" s="66"/>
      <c r="AW103" s="66"/>
      <c r="AX103" s="66"/>
      <c r="AY103" s="66"/>
      <c r="AZ103" s="66"/>
      <c r="BA103" s="66"/>
      <c r="BB103" s="66"/>
      <c r="BC103" s="66"/>
      <c r="BD103" s="66"/>
      <c r="BE103" s="66"/>
      <c r="BF103" s="66"/>
      <c r="BG103" s="66"/>
      <c r="BH103" s="66"/>
    </row>
    <row r="104" spans="1:60" x14ac:dyDescent="0.25">
      <c r="A104" s="66"/>
      <c r="B104" s="66"/>
      <c r="C104" s="66"/>
      <c r="D104" s="66"/>
      <c r="E104" s="66"/>
      <c r="F104" s="66"/>
      <c r="G104" s="66"/>
      <c r="H104" s="66"/>
      <c r="I104" s="66"/>
      <c r="J104" s="66"/>
      <c r="K104" s="66"/>
      <c r="L104" s="66"/>
      <c r="M104" s="66"/>
      <c r="N104" s="66"/>
      <c r="O104" s="66"/>
      <c r="P104" s="66"/>
      <c r="Q104" s="66"/>
      <c r="R104" s="66"/>
      <c r="S104" s="66"/>
      <c r="T104" s="66"/>
      <c r="U104" s="66"/>
      <c r="V104" s="66"/>
      <c r="W104" s="66"/>
      <c r="X104" s="66"/>
      <c r="Y104" s="66"/>
      <c r="Z104" s="66"/>
      <c r="AA104" s="66"/>
      <c r="AB104" s="66"/>
      <c r="AC104" s="66"/>
      <c r="AD104" s="66"/>
      <c r="AE104" s="66"/>
      <c r="AF104" s="66"/>
      <c r="AG104" s="66"/>
      <c r="AH104" s="66"/>
      <c r="AI104" s="66"/>
      <c r="AJ104" s="66"/>
      <c r="AK104" s="66"/>
      <c r="AL104" s="66"/>
      <c r="AM104" s="66"/>
      <c r="AN104" s="66"/>
      <c r="AO104" s="66"/>
      <c r="AP104" s="66"/>
      <c r="AQ104" s="66"/>
      <c r="AR104" s="66"/>
      <c r="AS104" s="66"/>
      <c r="AT104" s="66"/>
      <c r="AU104" s="66"/>
      <c r="AV104" s="66"/>
      <c r="AW104" s="66"/>
      <c r="AX104" s="66"/>
      <c r="AY104" s="66"/>
      <c r="AZ104" s="66"/>
      <c r="BA104" s="66"/>
      <c r="BB104" s="66"/>
      <c r="BC104" s="66"/>
      <c r="BD104" s="66"/>
      <c r="BE104" s="66"/>
      <c r="BF104" s="66"/>
      <c r="BG104" s="66"/>
      <c r="BH104" s="66"/>
    </row>
    <row r="105" spans="1:60" x14ac:dyDescent="0.25">
      <c r="A105" s="66"/>
      <c r="B105" s="66"/>
      <c r="C105" s="66"/>
      <c r="D105" s="66"/>
      <c r="E105" s="66"/>
      <c r="F105" s="66"/>
      <c r="G105" s="66"/>
      <c r="H105" s="66"/>
      <c r="I105" s="66"/>
      <c r="J105" s="66"/>
      <c r="K105" s="66"/>
      <c r="L105" s="66"/>
      <c r="M105" s="66"/>
      <c r="N105" s="66"/>
      <c r="O105" s="66"/>
      <c r="P105" s="66"/>
      <c r="Q105" s="66"/>
      <c r="R105" s="66"/>
      <c r="S105" s="66"/>
      <c r="T105" s="66"/>
      <c r="U105" s="66"/>
      <c r="V105" s="66"/>
      <c r="W105" s="66"/>
      <c r="X105" s="66"/>
      <c r="Y105" s="66"/>
      <c r="Z105" s="66"/>
      <c r="AA105" s="66"/>
      <c r="AB105" s="66"/>
      <c r="AC105" s="66"/>
      <c r="AD105" s="66"/>
      <c r="AE105" s="66"/>
      <c r="AF105" s="66"/>
      <c r="AG105" s="66"/>
      <c r="AH105" s="66"/>
      <c r="AI105" s="66"/>
      <c r="AJ105" s="66"/>
      <c r="AK105" s="66"/>
      <c r="AL105" s="66"/>
      <c r="AM105" s="66"/>
      <c r="AN105" s="66"/>
      <c r="AO105" s="66"/>
      <c r="AP105" s="66"/>
      <c r="AQ105" s="66"/>
      <c r="AR105" s="66"/>
      <c r="AS105" s="66"/>
      <c r="AT105" s="66"/>
      <c r="AU105" s="66"/>
      <c r="AV105" s="66"/>
      <c r="AW105" s="66"/>
      <c r="AX105" s="66"/>
      <c r="AY105" s="66"/>
      <c r="AZ105" s="66"/>
      <c r="BA105" s="66"/>
      <c r="BB105" s="66"/>
      <c r="BC105" s="66"/>
      <c r="BD105" s="66"/>
      <c r="BE105" s="66"/>
      <c r="BF105" s="66"/>
      <c r="BG105" s="66"/>
      <c r="BH105" s="66"/>
    </row>
    <row r="106" spans="1:60" x14ac:dyDescent="0.25">
      <c r="A106" s="66"/>
      <c r="B106" s="66"/>
      <c r="C106" s="66"/>
      <c r="D106" s="66"/>
      <c r="E106" s="66"/>
      <c r="F106" s="66"/>
      <c r="G106" s="66"/>
      <c r="H106" s="66"/>
      <c r="I106" s="66"/>
      <c r="J106" s="66"/>
      <c r="K106" s="66"/>
      <c r="L106" s="66"/>
      <c r="M106" s="66"/>
      <c r="N106" s="66"/>
      <c r="O106" s="66"/>
      <c r="P106" s="66"/>
      <c r="Q106" s="66"/>
      <c r="R106" s="66"/>
      <c r="S106" s="66"/>
      <c r="T106" s="66"/>
      <c r="U106" s="66"/>
      <c r="V106" s="66"/>
      <c r="W106" s="66"/>
      <c r="X106" s="66"/>
      <c r="Y106" s="66"/>
      <c r="Z106" s="66"/>
      <c r="AA106" s="66"/>
      <c r="AB106" s="66"/>
      <c r="AC106" s="66"/>
      <c r="AD106" s="66"/>
      <c r="AE106" s="66"/>
      <c r="AF106" s="66"/>
      <c r="AG106" s="66"/>
      <c r="AH106" s="66"/>
      <c r="AI106" s="66"/>
      <c r="AJ106" s="66"/>
      <c r="AK106" s="66"/>
      <c r="AL106" s="66"/>
      <c r="AM106" s="66"/>
      <c r="AN106" s="66"/>
      <c r="AO106" s="66"/>
      <c r="AP106" s="66"/>
      <c r="AQ106" s="66"/>
      <c r="AR106" s="66"/>
      <c r="AS106" s="66"/>
      <c r="AT106" s="66"/>
      <c r="AU106" s="66"/>
      <c r="AV106" s="66"/>
      <c r="AW106" s="66"/>
      <c r="AX106" s="66"/>
      <c r="AY106" s="66"/>
      <c r="AZ106" s="66"/>
      <c r="BA106" s="66"/>
      <c r="BB106" s="66"/>
      <c r="BC106" s="66"/>
      <c r="BD106" s="66"/>
      <c r="BE106" s="66"/>
      <c r="BF106" s="66"/>
      <c r="BG106" s="66"/>
      <c r="BH106" s="66"/>
    </row>
    <row r="107" spans="1:60" x14ac:dyDescent="0.25">
      <c r="A107" s="66"/>
      <c r="B107" s="66"/>
      <c r="C107" s="66"/>
      <c r="D107" s="66"/>
      <c r="E107" s="66"/>
      <c r="F107" s="66"/>
      <c r="G107" s="66"/>
      <c r="H107" s="66"/>
      <c r="I107" s="66"/>
      <c r="J107" s="66"/>
      <c r="K107" s="66"/>
      <c r="L107" s="66"/>
      <c r="M107" s="66"/>
      <c r="N107" s="66"/>
      <c r="O107" s="66"/>
      <c r="P107" s="66"/>
      <c r="Q107" s="66"/>
      <c r="R107" s="66"/>
      <c r="S107" s="66"/>
      <c r="T107" s="66"/>
      <c r="U107" s="66"/>
      <c r="V107" s="66"/>
      <c r="W107" s="66"/>
      <c r="X107" s="66"/>
      <c r="Y107" s="66"/>
      <c r="Z107" s="66"/>
      <c r="AA107" s="66"/>
      <c r="AB107" s="66"/>
      <c r="AC107" s="66"/>
      <c r="AD107" s="66"/>
      <c r="AE107" s="66"/>
      <c r="AF107" s="66"/>
      <c r="AG107" s="66"/>
      <c r="AH107" s="66"/>
      <c r="AI107" s="66"/>
      <c r="AJ107" s="66"/>
      <c r="AK107" s="66"/>
      <c r="AL107" s="66"/>
      <c r="AM107" s="66"/>
      <c r="AN107" s="66"/>
      <c r="AO107" s="66"/>
      <c r="AP107" s="66"/>
      <c r="AQ107" s="66"/>
      <c r="AR107" s="66"/>
      <c r="AS107" s="66"/>
      <c r="AT107" s="66"/>
      <c r="AU107" s="66"/>
      <c r="AV107" s="66"/>
      <c r="AW107" s="66"/>
      <c r="AX107" s="66"/>
      <c r="AY107" s="66"/>
      <c r="AZ107" s="66"/>
      <c r="BA107" s="66"/>
      <c r="BB107" s="66"/>
      <c r="BC107" s="66"/>
      <c r="BD107" s="66"/>
      <c r="BE107" s="66"/>
      <c r="BF107" s="66"/>
      <c r="BG107" s="66"/>
      <c r="BH107" s="66"/>
    </row>
    <row r="108" spans="1:60" x14ac:dyDescent="0.25">
      <c r="A108" s="66"/>
      <c r="B108" s="66"/>
      <c r="C108" s="66"/>
      <c r="D108" s="66"/>
      <c r="E108" s="66"/>
      <c r="F108" s="66"/>
      <c r="G108" s="66"/>
      <c r="H108" s="66"/>
      <c r="I108" s="66"/>
      <c r="J108" s="66"/>
      <c r="K108" s="66"/>
      <c r="L108" s="66"/>
      <c r="M108" s="66"/>
      <c r="N108" s="66"/>
      <c r="O108" s="66"/>
      <c r="P108" s="66"/>
      <c r="Q108" s="66"/>
      <c r="R108" s="66"/>
      <c r="S108" s="66"/>
      <c r="T108" s="66"/>
      <c r="U108" s="66"/>
      <c r="V108" s="66"/>
      <c r="W108" s="66"/>
      <c r="X108" s="66"/>
      <c r="Y108" s="66"/>
      <c r="Z108" s="66"/>
      <c r="AA108" s="66"/>
      <c r="AB108" s="66"/>
      <c r="AC108" s="66"/>
      <c r="AD108" s="66"/>
      <c r="AE108" s="66"/>
      <c r="AF108" s="66"/>
      <c r="AG108" s="66"/>
      <c r="AH108" s="66"/>
      <c r="AI108" s="66"/>
      <c r="AJ108" s="66"/>
      <c r="AK108" s="66"/>
      <c r="AL108" s="66"/>
      <c r="AM108" s="66"/>
      <c r="AN108" s="66"/>
      <c r="AO108" s="66"/>
      <c r="AP108" s="66"/>
      <c r="AQ108" s="66"/>
      <c r="AR108" s="66"/>
      <c r="AS108" s="66"/>
      <c r="AT108" s="66"/>
      <c r="AU108" s="66"/>
      <c r="AV108" s="66"/>
      <c r="AW108" s="66"/>
      <c r="AX108" s="66"/>
      <c r="AY108" s="66"/>
      <c r="AZ108" s="66"/>
      <c r="BA108" s="66"/>
      <c r="BB108" s="66"/>
      <c r="BC108" s="66"/>
      <c r="BD108" s="66"/>
      <c r="BE108" s="66"/>
      <c r="BF108" s="66"/>
      <c r="BG108" s="66"/>
      <c r="BH108" s="66"/>
    </row>
    <row r="109" spans="1:60" x14ac:dyDescent="0.25">
      <c r="A109" s="66"/>
      <c r="B109" s="66"/>
      <c r="C109" s="66"/>
      <c r="D109" s="66"/>
      <c r="E109" s="66"/>
      <c r="F109" s="66"/>
      <c r="G109" s="66"/>
      <c r="H109" s="66"/>
      <c r="I109" s="66"/>
      <c r="J109" s="66"/>
      <c r="K109" s="66"/>
      <c r="L109" s="66"/>
      <c r="M109" s="66"/>
      <c r="N109" s="66"/>
      <c r="O109" s="66"/>
      <c r="P109" s="66"/>
      <c r="Q109" s="66"/>
      <c r="R109" s="66"/>
      <c r="S109" s="66"/>
      <c r="T109" s="66"/>
      <c r="U109" s="66"/>
      <c r="V109" s="66"/>
      <c r="W109" s="66"/>
      <c r="X109" s="66"/>
      <c r="Y109" s="66"/>
      <c r="Z109" s="66"/>
      <c r="AA109" s="66"/>
      <c r="AB109" s="66"/>
      <c r="AC109" s="66"/>
      <c r="AD109" s="66"/>
      <c r="AE109" s="66"/>
      <c r="AF109" s="66"/>
      <c r="AG109" s="66"/>
      <c r="AH109" s="66"/>
      <c r="AI109" s="66"/>
      <c r="AJ109" s="66"/>
      <c r="AK109" s="66"/>
      <c r="AL109" s="66"/>
      <c r="AM109" s="66"/>
      <c r="AN109" s="66"/>
      <c r="AO109" s="66"/>
      <c r="AP109" s="66"/>
      <c r="AQ109" s="66"/>
      <c r="AR109" s="66"/>
      <c r="AS109" s="66"/>
      <c r="AT109" s="66"/>
      <c r="AU109" s="66"/>
      <c r="AV109" s="66"/>
      <c r="AW109" s="66"/>
      <c r="AX109" s="66"/>
      <c r="AY109" s="66"/>
      <c r="AZ109" s="66"/>
      <c r="BA109" s="66"/>
      <c r="BB109" s="66"/>
      <c r="BC109" s="66"/>
      <c r="BD109" s="66"/>
      <c r="BE109" s="66"/>
      <c r="BF109" s="66"/>
      <c r="BG109" s="66"/>
      <c r="BH109" s="66"/>
    </row>
    <row r="110" spans="1:60" x14ac:dyDescent="0.25">
      <c r="A110" s="66"/>
      <c r="B110" s="66"/>
      <c r="C110" s="66"/>
      <c r="D110" s="66"/>
      <c r="E110" s="66"/>
      <c r="F110" s="66"/>
      <c r="G110" s="66"/>
      <c r="H110" s="66"/>
      <c r="I110" s="66"/>
      <c r="J110" s="66"/>
      <c r="K110" s="66"/>
      <c r="L110" s="66"/>
      <c r="M110" s="66"/>
      <c r="N110" s="66"/>
      <c r="O110" s="66"/>
      <c r="P110" s="66"/>
      <c r="Q110" s="66"/>
      <c r="R110" s="66"/>
      <c r="S110" s="66"/>
      <c r="T110" s="66"/>
      <c r="U110" s="66"/>
      <c r="V110" s="66"/>
      <c r="W110" s="66"/>
      <c r="X110" s="66"/>
      <c r="Y110" s="66"/>
      <c r="Z110" s="66"/>
      <c r="AA110" s="66"/>
      <c r="AB110" s="66"/>
      <c r="AC110" s="66"/>
      <c r="AD110" s="66"/>
      <c r="AE110" s="66"/>
      <c r="AF110" s="66"/>
      <c r="AG110" s="66"/>
      <c r="AH110" s="66"/>
      <c r="AI110" s="66"/>
      <c r="AJ110" s="66"/>
      <c r="AK110" s="66"/>
      <c r="AL110" s="66"/>
      <c r="AM110" s="66"/>
      <c r="AN110" s="66"/>
      <c r="AO110" s="66"/>
      <c r="AP110" s="66"/>
      <c r="AQ110" s="66"/>
      <c r="AR110" s="66"/>
      <c r="AS110" s="66"/>
      <c r="AT110" s="66"/>
      <c r="AU110" s="66"/>
      <c r="AV110" s="66"/>
      <c r="AW110" s="66"/>
      <c r="AX110" s="66"/>
      <c r="AY110" s="66"/>
      <c r="AZ110" s="66"/>
      <c r="BA110" s="66"/>
      <c r="BB110" s="66"/>
      <c r="BC110" s="66"/>
      <c r="BD110" s="66"/>
      <c r="BE110" s="66"/>
      <c r="BF110" s="66"/>
      <c r="BG110" s="66"/>
      <c r="BH110" s="66"/>
    </row>
    <row r="111" spans="1:60" x14ac:dyDescent="0.25">
      <c r="A111" s="66"/>
      <c r="B111" s="66"/>
      <c r="C111" s="66"/>
      <c r="D111" s="66"/>
      <c r="E111" s="66"/>
      <c r="F111" s="66"/>
      <c r="G111" s="66"/>
      <c r="H111" s="66"/>
      <c r="I111" s="66"/>
      <c r="J111" s="66"/>
      <c r="K111" s="66"/>
      <c r="L111" s="66"/>
      <c r="M111" s="66"/>
      <c r="N111" s="66"/>
      <c r="O111" s="66"/>
      <c r="P111" s="66"/>
      <c r="Q111" s="66"/>
      <c r="R111" s="66"/>
      <c r="S111" s="66"/>
      <c r="T111" s="66"/>
      <c r="U111" s="66"/>
      <c r="V111" s="66"/>
      <c r="W111" s="66"/>
      <c r="X111" s="66"/>
      <c r="Y111" s="66"/>
      <c r="Z111" s="66"/>
      <c r="AA111" s="66"/>
      <c r="AB111" s="66"/>
      <c r="AC111" s="66"/>
      <c r="AD111" s="66"/>
      <c r="AE111" s="66"/>
      <c r="AF111" s="66"/>
      <c r="AG111" s="66"/>
      <c r="AH111" s="66"/>
      <c r="AI111" s="66"/>
      <c r="AJ111" s="66"/>
      <c r="AK111" s="66"/>
      <c r="AL111" s="66"/>
      <c r="AM111" s="66"/>
      <c r="AN111" s="66"/>
      <c r="AO111" s="66"/>
      <c r="AP111" s="66"/>
      <c r="AQ111" s="66"/>
      <c r="AR111" s="66"/>
      <c r="AS111" s="66"/>
      <c r="AT111" s="66"/>
      <c r="AU111" s="66"/>
      <c r="AV111" s="66"/>
      <c r="AW111" s="66"/>
      <c r="AX111" s="66"/>
      <c r="AY111" s="66"/>
      <c r="AZ111" s="66"/>
      <c r="BA111" s="66"/>
      <c r="BB111" s="66"/>
      <c r="BC111" s="66"/>
      <c r="BD111" s="66"/>
      <c r="BE111" s="66"/>
      <c r="BF111" s="66"/>
      <c r="BG111" s="66"/>
      <c r="BH111" s="66"/>
    </row>
    <row r="112" spans="1:60" x14ac:dyDescent="0.25">
      <c r="A112" s="66"/>
      <c r="B112" s="66"/>
      <c r="C112" s="66"/>
      <c r="D112" s="66"/>
      <c r="E112" s="66"/>
      <c r="F112" s="66"/>
      <c r="G112" s="66"/>
      <c r="H112" s="66"/>
      <c r="I112" s="66"/>
      <c r="J112" s="66"/>
      <c r="K112" s="66"/>
      <c r="L112" s="66"/>
      <c r="M112" s="66"/>
      <c r="N112" s="66"/>
      <c r="O112" s="66"/>
      <c r="P112" s="66"/>
      <c r="Q112" s="66"/>
      <c r="R112" s="66"/>
      <c r="S112" s="66"/>
      <c r="T112" s="66"/>
      <c r="U112" s="66"/>
      <c r="V112" s="66"/>
      <c r="W112" s="66"/>
      <c r="X112" s="66"/>
      <c r="Y112" s="66"/>
      <c r="Z112" s="66"/>
      <c r="AA112" s="66"/>
      <c r="AB112" s="66"/>
      <c r="AC112" s="66"/>
      <c r="AD112" s="66"/>
      <c r="AE112" s="66"/>
      <c r="AF112" s="66"/>
      <c r="AG112" s="66"/>
      <c r="AH112" s="66"/>
      <c r="AI112" s="66"/>
      <c r="AJ112" s="66"/>
      <c r="AK112" s="66"/>
      <c r="AL112" s="66"/>
      <c r="AM112" s="66"/>
      <c r="AN112" s="66"/>
      <c r="AO112" s="66"/>
      <c r="AP112" s="66"/>
      <c r="AQ112" s="66"/>
      <c r="AR112" s="66"/>
      <c r="AS112" s="66"/>
      <c r="AT112" s="66"/>
      <c r="AU112" s="66"/>
      <c r="AV112" s="66"/>
      <c r="AW112" s="66"/>
      <c r="AX112" s="66"/>
      <c r="AY112" s="66"/>
      <c r="AZ112" s="66"/>
      <c r="BA112" s="66"/>
      <c r="BB112" s="66"/>
      <c r="BC112" s="66"/>
      <c r="BD112" s="66"/>
      <c r="BE112" s="66"/>
      <c r="BF112" s="66"/>
      <c r="BG112" s="66"/>
      <c r="BH112" s="66"/>
    </row>
    <row r="113" spans="1:60" x14ac:dyDescent="0.25">
      <c r="A113" s="66"/>
      <c r="B113" s="66"/>
      <c r="C113" s="66"/>
      <c r="D113" s="66"/>
      <c r="E113" s="66"/>
      <c r="F113" s="66"/>
      <c r="G113" s="66"/>
      <c r="H113" s="66"/>
      <c r="I113" s="66"/>
      <c r="J113" s="66"/>
      <c r="K113" s="66"/>
      <c r="L113" s="66"/>
      <c r="M113" s="66"/>
      <c r="N113" s="66"/>
      <c r="O113" s="66"/>
      <c r="P113" s="66"/>
      <c r="Q113" s="66"/>
      <c r="R113" s="66"/>
      <c r="S113" s="66"/>
      <c r="T113" s="66"/>
      <c r="U113" s="66"/>
      <c r="V113" s="66"/>
      <c r="W113" s="66"/>
      <c r="X113" s="66"/>
      <c r="Y113" s="66"/>
      <c r="Z113" s="66"/>
      <c r="AA113" s="66"/>
      <c r="AB113" s="66"/>
      <c r="AC113" s="66"/>
      <c r="AD113" s="66"/>
      <c r="AE113" s="66"/>
      <c r="AF113" s="66"/>
      <c r="AG113" s="66"/>
      <c r="AH113" s="66"/>
      <c r="AI113" s="66"/>
      <c r="AJ113" s="66"/>
      <c r="AK113" s="66"/>
      <c r="AL113" s="66"/>
      <c r="AM113" s="66"/>
      <c r="AN113" s="66"/>
      <c r="AO113" s="66"/>
      <c r="AP113" s="66"/>
      <c r="AQ113" s="66"/>
      <c r="AR113" s="66"/>
      <c r="AS113" s="66"/>
      <c r="AT113" s="66"/>
      <c r="AU113" s="66"/>
      <c r="AV113" s="66"/>
      <c r="AW113" s="66"/>
      <c r="AX113" s="66"/>
      <c r="AY113" s="66"/>
      <c r="AZ113" s="66"/>
      <c r="BA113" s="66"/>
      <c r="BB113" s="66"/>
      <c r="BC113" s="66"/>
      <c r="BD113" s="66"/>
      <c r="BE113" s="66"/>
      <c r="BF113" s="66"/>
      <c r="BG113" s="66"/>
      <c r="BH113" s="66"/>
    </row>
    <row r="114" spans="1:60" x14ac:dyDescent="0.25">
      <c r="A114" s="66"/>
      <c r="B114" s="66"/>
      <c r="C114" s="66"/>
      <c r="D114" s="66"/>
      <c r="E114" s="66"/>
      <c r="F114" s="66"/>
      <c r="G114" s="66"/>
      <c r="H114" s="66"/>
      <c r="I114" s="66"/>
      <c r="J114" s="66"/>
      <c r="K114" s="66"/>
      <c r="L114" s="66"/>
      <c r="M114" s="66"/>
      <c r="N114" s="66"/>
      <c r="O114" s="66"/>
      <c r="P114" s="66"/>
      <c r="Q114" s="66"/>
      <c r="R114" s="66"/>
      <c r="S114" s="66"/>
      <c r="T114" s="66"/>
      <c r="U114" s="66"/>
      <c r="V114" s="66"/>
      <c r="W114" s="66"/>
      <c r="X114" s="66"/>
      <c r="Y114" s="66"/>
      <c r="Z114" s="66"/>
      <c r="AA114" s="66"/>
      <c r="AB114" s="66"/>
      <c r="AC114" s="66"/>
      <c r="AD114" s="66"/>
      <c r="AE114" s="66"/>
      <c r="AF114" s="66"/>
      <c r="AG114" s="66"/>
      <c r="AH114" s="66"/>
      <c r="AI114" s="66"/>
      <c r="AJ114" s="66"/>
      <c r="AK114" s="66"/>
      <c r="AL114" s="66"/>
      <c r="AM114" s="66"/>
      <c r="AN114" s="66"/>
      <c r="AO114" s="66"/>
      <c r="AP114" s="66"/>
      <c r="AQ114" s="66"/>
      <c r="AR114" s="66"/>
      <c r="AS114" s="66"/>
      <c r="AT114" s="66"/>
      <c r="AU114" s="66"/>
      <c r="AV114" s="66"/>
      <c r="AW114" s="66"/>
      <c r="AX114" s="66"/>
      <c r="AY114" s="66"/>
      <c r="AZ114" s="66"/>
      <c r="BA114" s="66"/>
      <c r="BB114" s="66"/>
      <c r="BC114" s="66"/>
      <c r="BD114" s="66"/>
      <c r="BE114" s="66"/>
      <c r="BF114" s="66"/>
      <c r="BG114" s="66"/>
      <c r="BH114" s="66"/>
    </row>
    <row r="115" spans="1:60" x14ac:dyDescent="0.25">
      <c r="A115" s="66"/>
      <c r="B115" s="66"/>
      <c r="C115" s="66"/>
      <c r="D115" s="66"/>
      <c r="E115" s="66"/>
      <c r="F115" s="66"/>
      <c r="G115" s="66"/>
      <c r="H115" s="66"/>
      <c r="I115" s="66"/>
      <c r="J115" s="66"/>
      <c r="K115" s="66"/>
      <c r="L115" s="66"/>
      <c r="M115" s="66"/>
      <c r="N115" s="66"/>
      <c r="O115" s="66"/>
      <c r="P115" s="66"/>
      <c r="Q115" s="66"/>
      <c r="R115" s="66"/>
      <c r="S115" s="66"/>
      <c r="T115" s="66"/>
      <c r="U115" s="66"/>
      <c r="V115" s="66"/>
      <c r="W115" s="66"/>
      <c r="X115" s="66"/>
      <c r="Y115" s="66"/>
      <c r="Z115" s="66"/>
      <c r="AA115" s="66"/>
      <c r="AB115" s="66"/>
      <c r="AC115" s="66"/>
      <c r="AD115" s="66"/>
      <c r="AE115" s="66"/>
      <c r="AF115" s="66"/>
      <c r="AG115" s="66"/>
      <c r="AH115" s="66"/>
      <c r="AI115" s="66"/>
      <c r="AJ115" s="66"/>
      <c r="AK115" s="66"/>
      <c r="AL115" s="66"/>
      <c r="AM115" s="66"/>
      <c r="AN115" s="66"/>
      <c r="AO115" s="66"/>
      <c r="AP115" s="66"/>
      <c r="AQ115" s="66"/>
      <c r="AR115" s="66"/>
      <c r="AS115" s="66"/>
      <c r="AT115" s="66"/>
      <c r="AU115" s="66"/>
      <c r="AV115" s="66"/>
      <c r="AW115" s="66"/>
      <c r="AX115" s="66"/>
      <c r="AY115" s="66"/>
      <c r="AZ115" s="66"/>
      <c r="BA115" s="66"/>
      <c r="BB115" s="66"/>
      <c r="BC115" s="66"/>
      <c r="BD115" s="66"/>
      <c r="BE115" s="66"/>
      <c r="BF115" s="66"/>
      <c r="BG115" s="66"/>
      <c r="BH115" s="66"/>
    </row>
    <row r="116" spans="1:60" x14ac:dyDescent="0.25">
      <c r="A116" s="66"/>
      <c r="B116" s="66"/>
      <c r="C116" s="66"/>
      <c r="D116" s="66"/>
      <c r="E116" s="66"/>
      <c r="F116" s="66"/>
      <c r="G116" s="66"/>
      <c r="H116" s="66"/>
      <c r="I116" s="66"/>
      <c r="J116" s="66"/>
      <c r="K116" s="66"/>
      <c r="L116" s="66"/>
      <c r="M116" s="66"/>
      <c r="N116" s="66"/>
      <c r="O116" s="66"/>
      <c r="P116" s="66"/>
      <c r="Q116" s="66"/>
      <c r="R116" s="66"/>
      <c r="S116" s="66"/>
      <c r="T116" s="66"/>
      <c r="U116" s="66"/>
      <c r="V116" s="66"/>
      <c r="W116" s="66"/>
      <c r="X116" s="66"/>
      <c r="Y116" s="66"/>
      <c r="Z116" s="66"/>
      <c r="AA116" s="66"/>
      <c r="AB116" s="66"/>
      <c r="AC116" s="66"/>
      <c r="AD116" s="66"/>
      <c r="AE116" s="66"/>
      <c r="AF116" s="66"/>
      <c r="AG116" s="66"/>
      <c r="AH116" s="66"/>
      <c r="AI116" s="66"/>
      <c r="AJ116" s="66"/>
      <c r="AK116" s="66"/>
      <c r="AL116" s="66"/>
      <c r="AM116" s="66"/>
      <c r="AN116" s="66"/>
      <c r="AO116" s="66"/>
      <c r="AP116" s="66"/>
      <c r="AQ116" s="66"/>
      <c r="AR116" s="66"/>
      <c r="AS116" s="66"/>
      <c r="AT116" s="66"/>
      <c r="AU116" s="66"/>
      <c r="AV116" s="66"/>
      <c r="AW116" s="66"/>
      <c r="AX116" s="66"/>
      <c r="AY116" s="66"/>
      <c r="AZ116" s="66"/>
      <c r="BA116" s="66"/>
      <c r="BB116" s="66"/>
      <c r="BC116" s="66"/>
      <c r="BD116" s="66"/>
      <c r="BE116" s="66"/>
      <c r="BF116" s="66"/>
      <c r="BG116" s="66"/>
      <c r="BH116" s="66"/>
    </row>
    <row r="117" spans="1:60" x14ac:dyDescent="0.25">
      <c r="A117" s="66"/>
      <c r="B117" s="66"/>
      <c r="C117" s="66"/>
      <c r="D117" s="66"/>
      <c r="E117" s="66"/>
      <c r="F117" s="66"/>
      <c r="G117" s="66"/>
      <c r="H117" s="66"/>
      <c r="I117" s="66"/>
      <c r="J117" s="66"/>
      <c r="K117" s="66"/>
      <c r="L117" s="66"/>
      <c r="M117" s="66"/>
      <c r="N117" s="66"/>
      <c r="O117" s="66"/>
      <c r="P117" s="66"/>
      <c r="Q117" s="66"/>
      <c r="R117" s="66"/>
      <c r="S117" s="66"/>
      <c r="T117" s="66"/>
      <c r="U117" s="66"/>
      <c r="V117" s="66"/>
      <c r="W117" s="66"/>
      <c r="X117" s="66"/>
      <c r="Y117" s="66"/>
      <c r="Z117" s="66"/>
      <c r="AA117" s="66"/>
      <c r="AB117" s="66"/>
      <c r="AC117" s="66"/>
      <c r="AD117" s="66"/>
      <c r="AE117" s="66"/>
      <c r="AF117" s="66"/>
      <c r="AG117" s="66"/>
      <c r="AH117" s="66"/>
      <c r="AI117" s="66"/>
      <c r="AJ117" s="66"/>
      <c r="AK117" s="66"/>
      <c r="AL117" s="66"/>
      <c r="AM117" s="66"/>
      <c r="AN117" s="66"/>
      <c r="AO117" s="66"/>
      <c r="AP117" s="66"/>
      <c r="AQ117" s="66"/>
      <c r="AR117" s="66"/>
      <c r="AS117" s="66"/>
      <c r="AT117" s="66"/>
      <c r="AU117" s="66"/>
      <c r="AV117" s="66"/>
      <c r="AW117" s="66"/>
      <c r="AX117" s="66"/>
      <c r="AY117" s="66"/>
      <c r="AZ117" s="66"/>
      <c r="BA117" s="66"/>
      <c r="BB117" s="66"/>
      <c r="BC117" s="66"/>
      <c r="BD117" s="66"/>
      <c r="BE117" s="66"/>
      <c r="BF117" s="66"/>
      <c r="BG117" s="66"/>
      <c r="BH117" s="66"/>
    </row>
    <row r="118" spans="1:60" x14ac:dyDescent="0.25">
      <c r="A118" s="66"/>
      <c r="B118" s="66"/>
      <c r="C118" s="66"/>
      <c r="D118" s="66"/>
      <c r="E118" s="66"/>
      <c r="F118" s="66"/>
      <c r="G118" s="66"/>
      <c r="H118" s="66"/>
      <c r="I118" s="66"/>
      <c r="J118" s="66"/>
      <c r="K118" s="66"/>
      <c r="L118" s="66"/>
      <c r="M118" s="66"/>
      <c r="N118" s="66"/>
      <c r="O118" s="66"/>
      <c r="P118" s="66"/>
      <c r="Q118" s="66"/>
      <c r="R118" s="66"/>
      <c r="S118" s="66"/>
      <c r="T118" s="66"/>
      <c r="U118" s="66"/>
      <c r="V118" s="66"/>
      <c r="W118" s="66"/>
      <c r="X118" s="66"/>
      <c r="Y118" s="66"/>
      <c r="Z118" s="66"/>
      <c r="AA118" s="66"/>
      <c r="AB118" s="66"/>
      <c r="AC118" s="66"/>
      <c r="AD118" s="66"/>
      <c r="AE118" s="66"/>
      <c r="AF118" s="66"/>
      <c r="AG118" s="66"/>
      <c r="AH118" s="66"/>
      <c r="AI118" s="66"/>
      <c r="AJ118" s="66"/>
      <c r="AK118" s="66"/>
      <c r="AL118" s="66"/>
      <c r="AM118" s="66"/>
      <c r="AN118" s="66"/>
      <c r="AO118" s="66"/>
      <c r="AP118" s="66"/>
      <c r="AQ118" s="66"/>
      <c r="AR118" s="66"/>
      <c r="AS118" s="66"/>
      <c r="AT118" s="66"/>
      <c r="AU118" s="66"/>
      <c r="AV118" s="66"/>
      <c r="AW118" s="66"/>
      <c r="AX118" s="66"/>
      <c r="AY118" s="66"/>
      <c r="AZ118" s="66"/>
      <c r="BA118" s="66"/>
      <c r="BB118" s="66"/>
      <c r="BC118" s="66"/>
      <c r="BD118" s="66"/>
      <c r="BE118" s="66"/>
      <c r="BF118" s="66"/>
      <c r="BG118" s="66"/>
      <c r="BH118" s="66"/>
    </row>
    <row r="119" spans="1:60" x14ac:dyDescent="0.25">
      <c r="A119" s="66"/>
      <c r="B119" s="66"/>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c r="AZ119" s="66"/>
      <c r="BA119" s="66"/>
      <c r="BB119" s="66"/>
      <c r="BC119" s="66"/>
      <c r="BD119" s="66"/>
      <c r="BE119" s="66"/>
      <c r="BF119" s="66"/>
      <c r="BG119" s="66"/>
      <c r="BH119" s="66"/>
    </row>
    <row r="120" spans="1:60" x14ac:dyDescent="0.25">
      <c r="A120" s="66"/>
      <c r="B120" s="66"/>
      <c r="C120" s="66"/>
      <c r="D120" s="66"/>
      <c r="E120" s="66"/>
      <c r="F120" s="66"/>
      <c r="G120" s="66"/>
      <c r="H120" s="66"/>
      <c r="I120" s="66"/>
      <c r="J120" s="66"/>
      <c r="K120" s="66"/>
      <c r="L120" s="66"/>
      <c r="M120" s="66"/>
      <c r="N120" s="66"/>
      <c r="O120" s="66"/>
      <c r="P120" s="66"/>
      <c r="Q120" s="66"/>
      <c r="R120" s="66"/>
      <c r="S120" s="66"/>
      <c r="T120" s="66"/>
      <c r="U120" s="66"/>
      <c r="V120" s="66"/>
      <c r="W120" s="66"/>
      <c r="X120" s="66"/>
      <c r="Y120" s="66"/>
      <c r="Z120" s="66"/>
      <c r="AA120" s="66"/>
      <c r="AB120" s="66"/>
      <c r="AC120" s="66"/>
      <c r="AD120" s="66"/>
      <c r="AE120" s="66"/>
      <c r="AF120" s="66"/>
      <c r="AG120" s="66"/>
      <c r="AH120" s="66"/>
      <c r="AI120" s="66"/>
      <c r="AJ120" s="66"/>
      <c r="AK120" s="66"/>
      <c r="AL120" s="66"/>
      <c r="AM120" s="66"/>
      <c r="AN120" s="66"/>
      <c r="AO120" s="66"/>
      <c r="AP120" s="66"/>
      <c r="AQ120" s="66"/>
      <c r="AR120" s="66"/>
      <c r="AS120" s="66"/>
      <c r="AT120" s="66"/>
      <c r="AU120" s="66"/>
      <c r="AV120" s="66"/>
      <c r="AW120" s="66"/>
      <c r="AX120" s="66"/>
      <c r="AY120" s="66"/>
      <c r="AZ120" s="66"/>
      <c r="BA120" s="66"/>
      <c r="BB120" s="66"/>
      <c r="BC120" s="66"/>
      <c r="BD120" s="66"/>
      <c r="BE120" s="66"/>
      <c r="BF120" s="66"/>
      <c r="BG120" s="66"/>
      <c r="BH120" s="66"/>
    </row>
    <row r="121" spans="1:60" x14ac:dyDescent="0.25">
      <c r="A121" s="66"/>
      <c r="B121" s="66"/>
      <c r="C121" s="66"/>
      <c r="D121" s="66"/>
      <c r="E121" s="66"/>
      <c r="F121" s="66"/>
      <c r="G121" s="66"/>
      <c r="H121" s="66"/>
      <c r="I121" s="66"/>
      <c r="J121" s="66"/>
      <c r="K121" s="66"/>
      <c r="L121" s="66"/>
      <c r="M121" s="66"/>
      <c r="N121" s="66"/>
      <c r="O121" s="66"/>
      <c r="P121" s="66"/>
      <c r="Q121" s="66"/>
      <c r="R121" s="66"/>
      <c r="S121" s="66"/>
      <c r="T121" s="66"/>
      <c r="U121" s="66"/>
      <c r="V121" s="66"/>
      <c r="W121" s="66"/>
      <c r="X121" s="66"/>
      <c r="Y121" s="66"/>
      <c r="Z121" s="66"/>
      <c r="AA121" s="66"/>
      <c r="AB121" s="66"/>
      <c r="AC121" s="66"/>
      <c r="AD121" s="66"/>
      <c r="AE121" s="66"/>
      <c r="AF121" s="66"/>
      <c r="AG121" s="66"/>
      <c r="AH121" s="66"/>
      <c r="AI121" s="66"/>
      <c r="AJ121" s="66"/>
      <c r="AK121" s="66"/>
      <c r="AL121" s="66"/>
      <c r="AM121" s="66"/>
      <c r="AN121" s="66"/>
      <c r="AO121" s="66"/>
      <c r="AP121" s="66"/>
      <c r="AQ121" s="66"/>
      <c r="AR121" s="66"/>
      <c r="AS121" s="66"/>
      <c r="AT121" s="66"/>
      <c r="AU121" s="66"/>
      <c r="AV121" s="66"/>
      <c r="AW121" s="66"/>
      <c r="AX121" s="66"/>
      <c r="AY121" s="66"/>
      <c r="AZ121" s="66"/>
      <c r="BA121" s="66"/>
      <c r="BB121" s="66"/>
      <c r="BC121" s="66"/>
      <c r="BD121" s="66"/>
      <c r="BE121" s="66"/>
      <c r="BF121" s="66"/>
      <c r="BG121" s="66"/>
      <c r="BH121" s="66"/>
    </row>
    <row r="122" spans="1:60" x14ac:dyDescent="0.25">
      <c r="A122" s="66"/>
      <c r="B122" s="66"/>
      <c r="C122" s="66"/>
      <c r="D122" s="66"/>
      <c r="E122" s="66"/>
      <c r="F122" s="66"/>
      <c r="G122" s="66"/>
      <c r="H122" s="66"/>
      <c r="I122" s="66"/>
      <c r="J122" s="66"/>
      <c r="K122" s="66"/>
      <c r="L122" s="66"/>
      <c r="M122" s="66"/>
      <c r="N122" s="66"/>
      <c r="O122" s="66"/>
      <c r="P122" s="66"/>
      <c r="Q122" s="66"/>
      <c r="R122" s="66"/>
      <c r="S122" s="66"/>
      <c r="T122" s="66"/>
      <c r="U122" s="66"/>
      <c r="V122" s="66"/>
      <c r="W122" s="66"/>
      <c r="X122" s="66"/>
      <c r="Y122" s="66"/>
      <c r="Z122" s="66"/>
      <c r="AA122" s="66"/>
      <c r="AB122" s="66"/>
      <c r="AC122" s="66"/>
      <c r="AD122" s="66"/>
      <c r="AE122" s="66"/>
      <c r="AF122" s="66"/>
      <c r="AG122" s="66"/>
      <c r="AH122" s="66"/>
      <c r="AI122" s="66"/>
      <c r="AJ122" s="66"/>
      <c r="AK122" s="66"/>
      <c r="AL122" s="66"/>
      <c r="AM122" s="66"/>
      <c r="AN122" s="66"/>
      <c r="AO122" s="66"/>
      <c r="AP122" s="66"/>
      <c r="AQ122" s="66"/>
      <c r="AR122" s="66"/>
      <c r="AS122" s="66"/>
      <c r="AT122" s="66"/>
      <c r="AU122" s="66"/>
      <c r="AV122" s="66"/>
      <c r="AW122" s="66"/>
      <c r="AX122" s="66"/>
      <c r="AY122" s="66"/>
      <c r="AZ122" s="66"/>
      <c r="BA122" s="66"/>
      <c r="BB122" s="66"/>
      <c r="BC122" s="66"/>
      <c r="BD122" s="66"/>
      <c r="BE122" s="66"/>
      <c r="BF122" s="66"/>
      <c r="BG122" s="66"/>
      <c r="BH122" s="66"/>
    </row>
    <row r="123" spans="1:60" x14ac:dyDescent="0.25">
      <c r="A123" s="66"/>
      <c r="B123" s="66"/>
      <c r="C123" s="66"/>
      <c r="D123" s="66"/>
      <c r="E123" s="66"/>
      <c r="F123" s="66"/>
      <c r="G123" s="66"/>
      <c r="H123" s="66"/>
      <c r="I123" s="66"/>
      <c r="J123" s="66"/>
      <c r="K123" s="66"/>
      <c r="L123" s="66"/>
      <c r="M123" s="66"/>
      <c r="N123" s="66"/>
      <c r="O123" s="66"/>
      <c r="P123" s="66"/>
      <c r="Q123" s="66"/>
      <c r="R123" s="66"/>
      <c r="S123" s="66"/>
      <c r="T123" s="66"/>
      <c r="U123" s="66"/>
      <c r="V123" s="66"/>
      <c r="W123" s="66"/>
      <c r="X123" s="66"/>
      <c r="Y123" s="66"/>
      <c r="Z123" s="66"/>
      <c r="AA123" s="66"/>
      <c r="AB123" s="66"/>
      <c r="AC123" s="66"/>
      <c r="AD123" s="66"/>
      <c r="AE123" s="66"/>
      <c r="AF123" s="66"/>
      <c r="AG123" s="66"/>
      <c r="AH123" s="66"/>
      <c r="AI123" s="66"/>
      <c r="AJ123" s="66"/>
      <c r="AK123" s="66"/>
      <c r="AL123" s="66"/>
      <c r="AM123" s="66"/>
      <c r="AN123" s="66"/>
      <c r="AO123" s="66"/>
      <c r="AP123" s="66"/>
      <c r="AQ123" s="66"/>
      <c r="AR123" s="66"/>
      <c r="AS123" s="66"/>
      <c r="AT123" s="66"/>
      <c r="AU123" s="66"/>
      <c r="AV123" s="66"/>
      <c r="AW123" s="66"/>
      <c r="AX123" s="66"/>
      <c r="AY123" s="66"/>
      <c r="AZ123" s="66"/>
      <c r="BA123" s="66"/>
      <c r="BB123" s="66"/>
      <c r="BC123" s="66"/>
      <c r="BD123" s="66"/>
      <c r="BE123" s="66"/>
      <c r="BF123" s="66"/>
      <c r="BG123" s="66"/>
      <c r="BH123" s="66"/>
    </row>
    <row r="124" spans="1:60" x14ac:dyDescent="0.25">
      <c r="A124" s="66"/>
      <c r="B124" s="66"/>
      <c r="C124" s="66"/>
      <c r="D124" s="66"/>
      <c r="E124" s="66"/>
      <c r="F124" s="66"/>
      <c r="G124" s="66"/>
      <c r="H124" s="66"/>
      <c r="I124" s="66"/>
      <c r="J124" s="66"/>
      <c r="K124" s="66"/>
      <c r="L124" s="66"/>
      <c r="M124" s="66"/>
      <c r="N124" s="66"/>
      <c r="O124" s="66"/>
      <c r="P124" s="66"/>
      <c r="Q124" s="66"/>
      <c r="R124" s="66"/>
      <c r="S124" s="66"/>
      <c r="T124" s="66"/>
      <c r="U124" s="66"/>
      <c r="V124" s="66"/>
      <c r="W124" s="66"/>
      <c r="X124" s="66"/>
      <c r="Y124" s="66"/>
      <c r="Z124" s="66"/>
      <c r="AA124" s="66"/>
      <c r="AB124" s="66"/>
      <c r="AC124" s="66"/>
      <c r="AD124" s="66"/>
      <c r="AE124" s="66"/>
      <c r="AF124" s="66"/>
      <c r="AG124" s="66"/>
      <c r="AH124" s="66"/>
      <c r="AI124" s="66"/>
      <c r="AJ124" s="66"/>
      <c r="AK124" s="66"/>
      <c r="AL124" s="66"/>
      <c r="AM124" s="66"/>
      <c r="AN124" s="66"/>
      <c r="AO124" s="66"/>
      <c r="AP124" s="66"/>
      <c r="AQ124" s="66"/>
      <c r="AR124" s="66"/>
      <c r="AS124" s="66"/>
      <c r="AT124" s="66"/>
      <c r="AU124" s="66"/>
      <c r="AV124" s="66"/>
      <c r="AW124" s="66"/>
      <c r="AX124" s="66"/>
      <c r="AY124" s="66"/>
      <c r="AZ124" s="66"/>
      <c r="BA124" s="66"/>
      <c r="BB124" s="66"/>
      <c r="BC124" s="66"/>
      <c r="BD124" s="66"/>
      <c r="BE124" s="66"/>
      <c r="BF124" s="66"/>
      <c r="BG124" s="66"/>
      <c r="BH124" s="66"/>
    </row>
    <row r="125" spans="1:60" x14ac:dyDescent="0.25">
      <c r="A125" s="66"/>
      <c r="B125" s="66"/>
      <c r="C125" s="66"/>
      <c r="D125" s="66"/>
      <c r="E125" s="66"/>
      <c r="F125" s="66"/>
      <c r="G125" s="66"/>
      <c r="H125" s="66"/>
      <c r="I125" s="66"/>
      <c r="J125" s="66"/>
      <c r="K125" s="66"/>
      <c r="L125" s="66"/>
      <c r="M125" s="66"/>
      <c r="N125" s="66"/>
      <c r="O125" s="66"/>
      <c r="P125" s="66"/>
      <c r="Q125" s="66"/>
      <c r="R125" s="66"/>
      <c r="S125" s="66"/>
      <c r="T125" s="66"/>
      <c r="U125" s="66"/>
      <c r="V125" s="66"/>
      <c r="W125" s="66"/>
      <c r="X125" s="66"/>
      <c r="Y125" s="66"/>
      <c r="Z125" s="66"/>
      <c r="AA125" s="66"/>
      <c r="AB125" s="66"/>
      <c r="AC125" s="66"/>
      <c r="AD125" s="66"/>
      <c r="AE125" s="66"/>
      <c r="AF125" s="66"/>
      <c r="AG125" s="66"/>
      <c r="AH125" s="66"/>
      <c r="AI125" s="66"/>
      <c r="AJ125" s="66"/>
      <c r="AK125" s="66"/>
      <c r="AL125" s="66"/>
      <c r="AM125" s="66"/>
      <c r="AN125" s="66"/>
      <c r="AO125" s="66"/>
      <c r="AP125" s="66"/>
      <c r="AQ125" s="66"/>
      <c r="AR125" s="66"/>
      <c r="AS125" s="66"/>
      <c r="AT125" s="66"/>
      <c r="AU125" s="66"/>
      <c r="AV125" s="66"/>
      <c r="AW125" s="66"/>
      <c r="AX125" s="66"/>
      <c r="AY125" s="66"/>
      <c r="AZ125" s="66"/>
      <c r="BA125" s="66"/>
      <c r="BB125" s="66"/>
      <c r="BC125" s="66"/>
      <c r="BD125" s="66"/>
      <c r="BE125" s="66"/>
      <c r="BF125" s="66"/>
      <c r="BG125" s="66"/>
      <c r="BH125" s="66"/>
    </row>
    <row r="126" spans="1:60" x14ac:dyDescent="0.25">
      <c r="A126" s="66"/>
      <c r="B126" s="66"/>
      <c r="C126" s="66"/>
      <c r="D126" s="66"/>
      <c r="E126" s="66"/>
      <c r="F126" s="66"/>
      <c r="G126" s="66"/>
      <c r="H126" s="66"/>
      <c r="I126" s="66"/>
      <c r="J126" s="66"/>
      <c r="K126" s="66"/>
      <c r="L126" s="66"/>
      <c r="M126" s="66"/>
      <c r="N126" s="66"/>
      <c r="O126" s="66"/>
      <c r="P126" s="66"/>
      <c r="Q126" s="66"/>
      <c r="R126" s="66"/>
      <c r="S126" s="66"/>
      <c r="T126" s="66"/>
      <c r="U126" s="66"/>
      <c r="V126" s="66"/>
      <c r="W126" s="66"/>
      <c r="X126" s="66"/>
      <c r="Y126" s="66"/>
      <c r="Z126" s="66"/>
      <c r="AA126" s="66"/>
      <c r="AB126" s="66"/>
      <c r="AC126" s="66"/>
      <c r="AD126" s="66"/>
      <c r="AE126" s="66"/>
      <c r="AF126" s="66"/>
      <c r="AG126" s="66"/>
      <c r="AH126" s="66"/>
      <c r="AI126" s="66"/>
      <c r="AJ126" s="66"/>
      <c r="AK126" s="66"/>
      <c r="AL126" s="66"/>
      <c r="AM126" s="66"/>
      <c r="AN126" s="66"/>
      <c r="AO126" s="66"/>
      <c r="AP126" s="66"/>
      <c r="AQ126" s="66"/>
      <c r="AR126" s="66"/>
      <c r="AS126" s="66"/>
      <c r="AT126" s="66"/>
      <c r="AU126" s="66"/>
      <c r="AV126" s="66"/>
      <c r="AW126" s="66"/>
      <c r="AX126" s="66"/>
      <c r="AY126" s="66"/>
      <c r="AZ126" s="66"/>
      <c r="BA126" s="66"/>
      <c r="BB126" s="66"/>
      <c r="BC126" s="66"/>
      <c r="BD126" s="66"/>
      <c r="BE126" s="66"/>
      <c r="BF126" s="66"/>
      <c r="BG126" s="66"/>
      <c r="BH126" s="66"/>
    </row>
    <row r="127" spans="1:60" x14ac:dyDescent="0.25">
      <c r="A127" s="66"/>
      <c r="B127" s="66"/>
      <c r="C127" s="66"/>
      <c r="D127" s="66"/>
      <c r="E127" s="66"/>
      <c r="F127" s="66"/>
      <c r="G127" s="66"/>
      <c r="H127" s="66"/>
      <c r="I127" s="66"/>
      <c r="J127" s="66"/>
      <c r="K127" s="66"/>
      <c r="L127" s="66"/>
      <c r="M127" s="66"/>
      <c r="N127" s="66"/>
      <c r="O127" s="66"/>
      <c r="P127" s="66"/>
      <c r="Q127" s="66"/>
      <c r="R127" s="66"/>
      <c r="S127" s="66"/>
      <c r="T127" s="66"/>
      <c r="U127" s="66"/>
      <c r="V127" s="66"/>
      <c r="W127" s="66"/>
      <c r="X127" s="66"/>
      <c r="Y127" s="66"/>
      <c r="Z127" s="66"/>
      <c r="AA127" s="66"/>
      <c r="AB127" s="66"/>
      <c r="AC127" s="66"/>
      <c r="AD127" s="66"/>
      <c r="AE127" s="66"/>
      <c r="AF127" s="66"/>
      <c r="AG127" s="66"/>
      <c r="AH127" s="66"/>
      <c r="AI127" s="66"/>
      <c r="AJ127" s="66"/>
      <c r="AK127" s="66"/>
      <c r="AL127" s="66"/>
      <c r="AM127" s="66"/>
      <c r="AN127" s="66"/>
      <c r="AO127" s="66"/>
      <c r="AP127" s="66"/>
      <c r="AQ127" s="66"/>
      <c r="AR127" s="66"/>
      <c r="AS127" s="66"/>
      <c r="AT127" s="66"/>
      <c r="AU127" s="66"/>
      <c r="AV127" s="66"/>
      <c r="AW127" s="66"/>
      <c r="AX127" s="66"/>
      <c r="AY127" s="66"/>
      <c r="AZ127" s="66"/>
      <c r="BA127" s="66"/>
      <c r="BB127" s="66"/>
      <c r="BC127" s="66"/>
      <c r="BD127" s="66"/>
      <c r="BE127" s="66"/>
      <c r="BF127" s="66"/>
      <c r="BG127" s="66"/>
      <c r="BH127" s="66"/>
    </row>
    <row r="128" spans="1:60" x14ac:dyDescent="0.25">
      <c r="A128" s="66"/>
      <c r="B128" s="66"/>
      <c r="C128" s="66"/>
      <c r="D128" s="66"/>
      <c r="E128" s="66"/>
      <c r="F128" s="66"/>
      <c r="G128" s="66"/>
      <c r="H128" s="66"/>
      <c r="I128" s="66"/>
      <c r="J128" s="66"/>
      <c r="K128" s="66"/>
      <c r="L128" s="66"/>
      <c r="M128" s="66"/>
      <c r="N128" s="66"/>
      <c r="O128" s="66"/>
      <c r="P128" s="66"/>
      <c r="Q128" s="66"/>
      <c r="R128" s="66"/>
      <c r="S128" s="66"/>
      <c r="T128" s="66"/>
      <c r="U128" s="66"/>
      <c r="V128" s="66"/>
      <c r="W128" s="66"/>
      <c r="X128" s="66"/>
      <c r="Y128" s="66"/>
      <c r="Z128" s="66"/>
      <c r="AA128" s="66"/>
      <c r="AB128" s="66"/>
      <c r="AC128" s="66"/>
      <c r="AD128" s="66"/>
      <c r="AE128" s="66"/>
      <c r="AF128" s="66"/>
      <c r="AG128" s="66"/>
      <c r="AH128" s="66"/>
      <c r="AI128" s="66"/>
      <c r="AJ128" s="66"/>
      <c r="AK128" s="66"/>
      <c r="AL128" s="66"/>
      <c r="AM128" s="66"/>
      <c r="AN128" s="66"/>
      <c r="AO128" s="66"/>
      <c r="AP128" s="66"/>
      <c r="AQ128" s="66"/>
      <c r="AR128" s="66"/>
      <c r="AS128" s="66"/>
      <c r="AT128" s="66"/>
      <c r="AU128" s="66"/>
      <c r="AV128" s="66"/>
      <c r="AW128" s="66"/>
      <c r="AX128" s="66"/>
      <c r="AY128" s="66"/>
      <c r="AZ128" s="66"/>
      <c r="BA128" s="66"/>
      <c r="BB128" s="66"/>
      <c r="BC128" s="66"/>
      <c r="BD128" s="66"/>
      <c r="BE128" s="66"/>
      <c r="BF128" s="66"/>
      <c r="BG128" s="66"/>
      <c r="BH128" s="66"/>
    </row>
    <row r="129" spans="1:60" x14ac:dyDescent="0.25">
      <c r="A129" s="66"/>
      <c r="B129" s="66"/>
      <c r="C129" s="66"/>
      <c r="D129" s="66"/>
      <c r="E129" s="66"/>
      <c r="F129" s="66"/>
      <c r="G129" s="66"/>
      <c r="H129" s="66"/>
      <c r="I129" s="66"/>
      <c r="J129" s="66"/>
      <c r="K129" s="66"/>
      <c r="L129" s="66"/>
      <c r="M129" s="66"/>
      <c r="N129" s="66"/>
      <c r="O129" s="66"/>
      <c r="P129" s="66"/>
      <c r="Q129" s="66"/>
      <c r="R129" s="66"/>
      <c r="S129" s="66"/>
      <c r="T129" s="66"/>
      <c r="U129" s="66"/>
      <c r="V129" s="66"/>
      <c r="W129" s="66"/>
      <c r="X129" s="66"/>
      <c r="Y129" s="66"/>
      <c r="Z129" s="66"/>
      <c r="AA129" s="66"/>
      <c r="AB129" s="66"/>
      <c r="AC129" s="66"/>
      <c r="AD129" s="66"/>
      <c r="AE129" s="66"/>
      <c r="AF129" s="66"/>
      <c r="AG129" s="66"/>
      <c r="AH129" s="66"/>
      <c r="AI129" s="66"/>
      <c r="AJ129" s="66"/>
      <c r="AK129" s="66"/>
      <c r="AL129" s="66"/>
      <c r="AM129" s="66"/>
      <c r="AN129" s="66"/>
      <c r="AO129" s="66"/>
      <c r="AP129" s="66"/>
      <c r="AQ129" s="66"/>
      <c r="AR129" s="66"/>
      <c r="AS129" s="66"/>
      <c r="AT129" s="66"/>
      <c r="AU129" s="66"/>
      <c r="AV129" s="66"/>
      <c r="AW129" s="66"/>
      <c r="AX129" s="66"/>
      <c r="AY129" s="66"/>
      <c r="AZ129" s="66"/>
      <c r="BA129" s="66"/>
      <c r="BB129" s="66"/>
      <c r="BC129" s="66"/>
      <c r="BD129" s="66"/>
      <c r="BE129" s="66"/>
      <c r="BF129" s="66"/>
      <c r="BG129" s="66"/>
      <c r="BH129" s="66"/>
    </row>
    <row r="130" spans="1:60" x14ac:dyDescent="0.25">
      <c r="A130" s="66"/>
      <c r="B130" s="66"/>
      <c r="C130" s="66"/>
      <c r="D130" s="66"/>
      <c r="E130" s="66"/>
      <c r="F130" s="66"/>
      <c r="G130" s="66"/>
      <c r="H130" s="66"/>
      <c r="I130" s="66"/>
      <c r="J130" s="66"/>
      <c r="K130" s="66"/>
      <c r="L130" s="66"/>
      <c r="M130" s="66"/>
      <c r="N130" s="66"/>
      <c r="O130" s="66"/>
      <c r="P130" s="66"/>
      <c r="Q130" s="66"/>
      <c r="R130" s="66"/>
      <c r="S130" s="66"/>
      <c r="T130" s="66"/>
      <c r="U130" s="66"/>
      <c r="V130" s="66"/>
      <c r="W130" s="66"/>
      <c r="X130" s="66"/>
      <c r="Y130" s="66"/>
      <c r="Z130" s="66"/>
      <c r="AA130" s="66"/>
      <c r="AB130" s="66"/>
      <c r="AC130" s="66"/>
      <c r="AD130" s="66"/>
      <c r="AE130" s="66"/>
      <c r="AF130" s="66"/>
      <c r="AG130" s="66"/>
      <c r="AH130" s="66"/>
      <c r="AI130" s="66"/>
      <c r="AJ130" s="66"/>
      <c r="AK130" s="66"/>
      <c r="AL130" s="66"/>
      <c r="AM130" s="66"/>
      <c r="AN130" s="66"/>
      <c r="AO130" s="66"/>
      <c r="AP130" s="66"/>
      <c r="AQ130" s="66"/>
      <c r="AR130" s="66"/>
      <c r="AS130" s="66"/>
      <c r="AT130" s="66"/>
      <c r="AU130" s="66"/>
      <c r="AV130" s="66"/>
      <c r="AW130" s="66"/>
      <c r="AX130" s="66"/>
      <c r="AY130" s="66"/>
      <c r="AZ130" s="66"/>
      <c r="BA130" s="66"/>
      <c r="BB130" s="66"/>
      <c r="BC130" s="66"/>
      <c r="BD130" s="66"/>
      <c r="BE130" s="66"/>
      <c r="BF130" s="66"/>
      <c r="BG130" s="66"/>
      <c r="BH130" s="66"/>
    </row>
    <row r="131" spans="1:60" x14ac:dyDescent="0.25">
      <c r="A131" s="66"/>
      <c r="B131" s="66"/>
      <c r="C131" s="66"/>
      <c r="D131" s="66"/>
      <c r="E131" s="66"/>
      <c r="F131" s="66"/>
      <c r="G131" s="66"/>
      <c r="H131" s="66"/>
      <c r="I131" s="66"/>
      <c r="J131" s="66"/>
      <c r="K131" s="66"/>
      <c r="L131" s="66"/>
      <c r="M131" s="66"/>
      <c r="N131" s="66"/>
      <c r="O131" s="66"/>
      <c r="P131" s="66"/>
      <c r="Q131" s="66"/>
      <c r="R131" s="66"/>
      <c r="S131" s="66"/>
      <c r="T131" s="66"/>
      <c r="U131" s="66"/>
      <c r="V131" s="66"/>
      <c r="W131" s="66"/>
      <c r="X131" s="66"/>
      <c r="Y131" s="66"/>
      <c r="Z131" s="66"/>
      <c r="AA131" s="66"/>
      <c r="AB131" s="66"/>
      <c r="AC131" s="66"/>
      <c r="AD131" s="66"/>
      <c r="AE131" s="66"/>
      <c r="AF131" s="66"/>
      <c r="AG131" s="66"/>
      <c r="AH131" s="66"/>
      <c r="AI131" s="66"/>
      <c r="AJ131" s="66"/>
      <c r="AK131" s="66"/>
      <c r="AL131" s="66"/>
      <c r="AM131" s="66"/>
      <c r="AN131" s="66"/>
      <c r="AO131" s="66"/>
      <c r="AP131" s="66"/>
      <c r="AQ131" s="66"/>
      <c r="AR131" s="66"/>
      <c r="AS131" s="66"/>
      <c r="AT131" s="66"/>
      <c r="AU131" s="66"/>
      <c r="AV131" s="66"/>
      <c r="AW131" s="66"/>
      <c r="AX131" s="66"/>
      <c r="AY131" s="66"/>
      <c r="AZ131" s="66"/>
      <c r="BA131" s="66"/>
      <c r="BB131" s="66"/>
      <c r="BC131" s="66"/>
      <c r="BD131" s="66"/>
      <c r="BE131" s="66"/>
      <c r="BF131" s="66"/>
      <c r="BG131" s="66"/>
      <c r="BH131" s="66"/>
    </row>
    <row r="132" spans="1:60" x14ac:dyDescent="0.25">
      <c r="A132" s="66"/>
      <c r="B132" s="66"/>
      <c r="C132" s="66"/>
      <c r="D132" s="66"/>
      <c r="E132" s="66"/>
      <c r="F132" s="66"/>
      <c r="G132" s="66"/>
      <c r="H132" s="66"/>
      <c r="I132" s="66"/>
      <c r="J132" s="66"/>
      <c r="K132" s="66"/>
      <c r="L132" s="66"/>
      <c r="M132" s="66"/>
      <c r="N132" s="66"/>
      <c r="O132" s="66"/>
      <c r="P132" s="66"/>
      <c r="Q132" s="66"/>
      <c r="R132" s="66"/>
      <c r="S132" s="66"/>
      <c r="T132" s="66"/>
      <c r="U132" s="66"/>
      <c r="V132" s="66"/>
      <c r="W132" s="66"/>
      <c r="X132" s="66"/>
      <c r="Y132" s="66"/>
      <c r="Z132" s="66"/>
      <c r="AA132" s="66"/>
      <c r="AB132" s="66"/>
      <c r="AC132" s="66"/>
      <c r="AD132" s="66"/>
      <c r="AE132" s="66"/>
      <c r="AF132" s="66"/>
      <c r="AG132" s="66"/>
      <c r="AH132" s="66"/>
      <c r="AI132" s="66"/>
      <c r="AJ132" s="66"/>
      <c r="AK132" s="66"/>
      <c r="AL132" s="66"/>
      <c r="AM132" s="66"/>
      <c r="AN132" s="66"/>
      <c r="AO132" s="66"/>
      <c r="AP132" s="66"/>
      <c r="AQ132" s="66"/>
      <c r="AR132" s="66"/>
      <c r="AS132" s="66"/>
      <c r="AT132" s="66"/>
      <c r="AU132" s="66"/>
      <c r="AV132" s="66"/>
      <c r="AW132" s="66"/>
      <c r="AX132" s="66"/>
      <c r="AY132" s="66"/>
      <c r="AZ132" s="66"/>
      <c r="BA132" s="66"/>
      <c r="BB132" s="66"/>
      <c r="BC132" s="66"/>
      <c r="BD132" s="66"/>
      <c r="BE132" s="66"/>
      <c r="BF132" s="66"/>
      <c r="BG132" s="66"/>
      <c r="BH132" s="66"/>
    </row>
    <row r="133" spans="1:60" x14ac:dyDescent="0.25">
      <c r="A133" s="66"/>
      <c r="B133" s="66"/>
      <c r="C133" s="66"/>
      <c r="D133" s="66"/>
      <c r="E133" s="66"/>
      <c r="F133" s="66"/>
      <c r="G133" s="66"/>
      <c r="H133" s="66"/>
      <c r="I133" s="66"/>
      <c r="J133" s="66"/>
      <c r="K133" s="66"/>
      <c r="L133" s="66"/>
      <c r="M133" s="66"/>
      <c r="N133" s="66"/>
      <c r="O133" s="66"/>
      <c r="P133" s="66"/>
      <c r="Q133" s="66"/>
      <c r="R133" s="66"/>
      <c r="S133" s="66"/>
      <c r="T133" s="66"/>
      <c r="U133" s="66"/>
      <c r="V133" s="66"/>
      <c r="W133" s="66"/>
      <c r="X133" s="66"/>
      <c r="Y133" s="66"/>
      <c r="Z133" s="66"/>
      <c r="AA133" s="66"/>
      <c r="AB133" s="66"/>
      <c r="AC133" s="66"/>
      <c r="AD133" s="66"/>
      <c r="AE133" s="66"/>
      <c r="AF133" s="66"/>
      <c r="AG133" s="66"/>
      <c r="AH133" s="66"/>
      <c r="AI133" s="66"/>
      <c r="AJ133" s="66"/>
      <c r="AK133" s="66"/>
      <c r="AL133" s="66"/>
      <c r="AM133" s="66"/>
      <c r="AN133" s="66"/>
      <c r="AO133" s="66"/>
      <c r="AP133" s="66"/>
      <c r="AQ133" s="66"/>
      <c r="AR133" s="66"/>
      <c r="AS133" s="66"/>
      <c r="AT133" s="66"/>
      <c r="AU133" s="66"/>
      <c r="AV133" s="66"/>
      <c r="AW133" s="66"/>
      <c r="AX133" s="66"/>
      <c r="AY133" s="66"/>
      <c r="AZ133" s="66"/>
      <c r="BA133" s="66"/>
      <c r="BB133" s="66"/>
      <c r="BC133" s="66"/>
      <c r="BD133" s="66"/>
      <c r="BE133" s="66"/>
      <c r="BF133" s="66"/>
      <c r="BG133" s="66"/>
      <c r="BH133" s="66"/>
    </row>
    <row r="134" spans="1:60" x14ac:dyDescent="0.25">
      <c r="A134" s="66"/>
      <c r="B134" s="66"/>
      <c r="C134" s="66"/>
      <c r="D134" s="66"/>
      <c r="E134" s="66"/>
      <c r="F134" s="66"/>
      <c r="G134" s="66"/>
      <c r="H134" s="66"/>
      <c r="I134" s="66"/>
      <c r="J134" s="66"/>
      <c r="K134" s="66"/>
      <c r="L134" s="66"/>
      <c r="M134" s="66"/>
      <c r="N134" s="66"/>
      <c r="O134" s="66"/>
      <c r="P134" s="66"/>
      <c r="Q134" s="66"/>
      <c r="R134" s="66"/>
      <c r="S134" s="66"/>
      <c r="T134" s="66"/>
      <c r="U134" s="66"/>
      <c r="V134" s="66"/>
      <c r="W134" s="66"/>
      <c r="X134" s="66"/>
      <c r="Y134" s="66"/>
      <c r="Z134" s="66"/>
      <c r="AA134" s="66"/>
      <c r="AB134" s="66"/>
      <c r="AC134" s="66"/>
      <c r="AD134" s="66"/>
      <c r="AE134" s="66"/>
      <c r="AF134" s="66"/>
      <c r="AG134" s="66"/>
      <c r="AH134" s="66"/>
      <c r="AI134" s="66"/>
      <c r="AJ134" s="66"/>
      <c r="AK134" s="66"/>
      <c r="AL134" s="66"/>
      <c r="AM134" s="66"/>
      <c r="AN134" s="66"/>
      <c r="AO134" s="66"/>
      <c r="AP134" s="66"/>
      <c r="AQ134" s="66"/>
      <c r="AR134" s="66"/>
      <c r="AS134" s="66"/>
      <c r="AT134" s="66"/>
      <c r="AU134" s="66"/>
      <c r="AV134" s="66"/>
      <c r="AW134" s="66"/>
      <c r="AX134" s="66"/>
      <c r="AY134" s="66"/>
      <c r="AZ134" s="66"/>
      <c r="BA134" s="66"/>
      <c r="BB134" s="66"/>
      <c r="BC134" s="66"/>
      <c r="BD134" s="66"/>
      <c r="BE134" s="66"/>
      <c r="BF134" s="66"/>
      <c r="BG134" s="66"/>
      <c r="BH134" s="66"/>
    </row>
    <row r="135" spans="1:60" x14ac:dyDescent="0.25">
      <c r="A135" s="66"/>
      <c r="B135" s="66"/>
      <c r="C135" s="66"/>
      <c r="D135" s="66"/>
      <c r="E135" s="66"/>
      <c r="F135" s="66"/>
      <c r="G135" s="66"/>
      <c r="H135" s="66"/>
      <c r="I135" s="66"/>
      <c r="J135" s="66"/>
      <c r="K135" s="66"/>
      <c r="L135" s="66"/>
      <c r="M135" s="66"/>
      <c r="N135" s="66"/>
      <c r="O135" s="66"/>
      <c r="P135" s="66"/>
      <c r="Q135" s="66"/>
      <c r="R135" s="66"/>
      <c r="S135" s="66"/>
      <c r="T135" s="66"/>
      <c r="U135" s="66"/>
      <c r="V135" s="66"/>
      <c r="W135" s="66"/>
      <c r="X135" s="66"/>
      <c r="Y135" s="66"/>
      <c r="Z135" s="66"/>
      <c r="AA135" s="66"/>
      <c r="AB135" s="66"/>
      <c r="AC135" s="66"/>
      <c r="AD135" s="66"/>
      <c r="AE135" s="66"/>
      <c r="AF135" s="66"/>
      <c r="AG135" s="66"/>
      <c r="AH135" s="66"/>
      <c r="AI135" s="66"/>
      <c r="AJ135" s="66"/>
      <c r="AK135" s="66"/>
      <c r="AL135" s="66"/>
      <c r="AM135" s="66"/>
      <c r="AN135" s="66"/>
      <c r="AO135" s="66"/>
      <c r="AP135" s="66"/>
      <c r="AQ135" s="66"/>
      <c r="AR135" s="66"/>
      <c r="AS135" s="66"/>
      <c r="AT135" s="66"/>
      <c r="AU135" s="66"/>
      <c r="AV135" s="66"/>
      <c r="AW135" s="66"/>
      <c r="AX135" s="66"/>
      <c r="AY135" s="66"/>
      <c r="AZ135" s="66"/>
      <c r="BA135" s="66"/>
      <c r="BB135" s="66"/>
      <c r="BC135" s="66"/>
      <c r="BD135" s="66"/>
      <c r="BE135" s="66"/>
      <c r="BF135" s="66"/>
      <c r="BG135" s="66"/>
      <c r="BH135" s="66"/>
    </row>
    <row r="136" spans="1:60" x14ac:dyDescent="0.25">
      <c r="A136" s="66"/>
      <c r="B136" s="66"/>
      <c r="C136" s="66"/>
      <c r="D136" s="66"/>
      <c r="E136" s="66"/>
      <c r="F136" s="66"/>
      <c r="G136" s="66"/>
      <c r="H136" s="66"/>
      <c r="I136" s="66"/>
      <c r="J136" s="66"/>
      <c r="K136" s="66"/>
      <c r="L136" s="66"/>
      <c r="M136" s="66"/>
      <c r="N136" s="66"/>
      <c r="O136" s="66"/>
      <c r="P136" s="66"/>
      <c r="Q136" s="66"/>
      <c r="R136" s="66"/>
      <c r="S136" s="66"/>
      <c r="T136" s="66"/>
      <c r="U136" s="66"/>
      <c r="V136" s="66"/>
      <c r="W136" s="66"/>
      <c r="X136" s="66"/>
      <c r="Y136" s="66"/>
      <c r="Z136" s="66"/>
      <c r="AA136" s="66"/>
      <c r="AB136" s="66"/>
      <c r="AC136" s="66"/>
      <c r="AD136" s="66"/>
      <c r="AE136" s="66"/>
      <c r="AF136" s="66"/>
      <c r="AG136" s="66"/>
      <c r="AH136" s="66"/>
      <c r="AI136" s="66"/>
      <c r="AJ136" s="66"/>
      <c r="AK136" s="66"/>
      <c r="AL136" s="66"/>
      <c r="AM136" s="66"/>
      <c r="AN136" s="66"/>
      <c r="AO136" s="66"/>
      <c r="AP136" s="66"/>
      <c r="AQ136" s="66"/>
      <c r="AR136" s="66"/>
      <c r="AS136" s="66"/>
      <c r="AT136" s="66"/>
      <c r="AU136" s="66"/>
      <c r="AV136" s="66"/>
      <c r="AW136" s="66"/>
      <c r="AX136" s="66"/>
      <c r="AY136" s="66"/>
      <c r="AZ136" s="66"/>
      <c r="BA136" s="66"/>
      <c r="BB136" s="66"/>
      <c r="BC136" s="66"/>
      <c r="BD136" s="66"/>
      <c r="BE136" s="66"/>
      <c r="BF136" s="66"/>
      <c r="BG136" s="66"/>
      <c r="BH136" s="66"/>
    </row>
    <row r="137" spans="1:60" x14ac:dyDescent="0.25">
      <c r="A137" s="66"/>
      <c r="B137" s="66"/>
      <c r="C137" s="66"/>
      <c r="D137" s="66"/>
      <c r="E137" s="66"/>
      <c r="F137" s="66"/>
      <c r="G137" s="66"/>
      <c r="H137" s="66"/>
      <c r="I137" s="66"/>
      <c r="J137" s="66"/>
      <c r="K137" s="66"/>
      <c r="L137" s="66"/>
      <c r="M137" s="66"/>
      <c r="N137" s="66"/>
      <c r="O137" s="66"/>
      <c r="P137" s="66"/>
      <c r="Q137" s="66"/>
      <c r="R137" s="66"/>
      <c r="S137" s="66"/>
      <c r="T137" s="66"/>
      <c r="U137" s="66"/>
      <c r="V137" s="66"/>
      <c r="W137" s="66"/>
      <c r="X137" s="66"/>
      <c r="Y137" s="66"/>
      <c r="Z137" s="66"/>
      <c r="AA137" s="66"/>
      <c r="AB137" s="66"/>
      <c r="AC137" s="66"/>
      <c r="AD137" s="66"/>
      <c r="AE137" s="66"/>
      <c r="AF137" s="66"/>
      <c r="AG137" s="66"/>
      <c r="AH137" s="66"/>
      <c r="AI137" s="66"/>
      <c r="AJ137" s="66"/>
      <c r="AK137" s="66"/>
      <c r="AL137" s="66"/>
      <c r="AM137" s="66"/>
      <c r="AN137" s="66"/>
      <c r="AO137" s="66"/>
      <c r="AP137" s="66"/>
      <c r="AQ137" s="66"/>
      <c r="AR137" s="66"/>
      <c r="AS137" s="66"/>
      <c r="AT137" s="66"/>
      <c r="AU137" s="66"/>
      <c r="AV137" s="66"/>
      <c r="AW137" s="66"/>
      <c r="AX137" s="66"/>
      <c r="AY137" s="66"/>
      <c r="AZ137" s="66"/>
      <c r="BA137" s="66"/>
      <c r="BB137" s="66"/>
      <c r="BC137" s="66"/>
      <c r="BD137" s="66"/>
      <c r="BE137" s="66"/>
      <c r="BF137" s="66"/>
      <c r="BG137" s="66"/>
      <c r="BH137" s="66"/>
    </row>
    <row r="138" spans="1:60" x14ac:dyDescent="0.25">
      <c r="A138" s="66"/>
      <c r="B138" s="66"/>
      <c r="C138" s="66"/>
      <c r="D138" s="66"/>
      <c r="E138" s="66"/>
      <c r="F138" s="66"/>
      <c r="G138" s="66"/>
      <c r="H138" s="66"/>
      <c r="I138" s="66"/>
      <c r="J138" s="66"/>
      <c r="K138" s="66"/>
      <c r="L138" s="66"/>
      <c r="M138" s="66"/>
      <c r="N138" s="66"/>
      <c r="O138" s="66"/>
      <c r="P138" s="66"/>
      <c r="Q138" s="66"/>
      <c r="R138" s="66"/>
      <c r="S138" s="66"/>
      <c r="T138" s="66"/>
      <c r="U138" s="66"/>
      <c r="V138" s="66"/>
      <c r="W138" s="66"/>
      <c r="X138" s="66"/>
      <c r="Y138" s="66"/>
      <c r="Z138" s="66"/>
      <c r="AA138" s="66"/>
      <c r="AB138" s="66"/>
      <c r="AC138" s="66"/>
      <c r="AD138" s="66"/>
      <c r="AE138" s="66"/>
      <c r="AF138" s="66"/>
      <c r="AG138" s="66"/>
      <c r="AH138" s="66"/>
      <c r="AI138" s="66"/>
      <c r="AJ138" s="66"/>
      <c r="AK138" s="66"/>
      <c r="AL138" s="66"/>
      <c r="AM138" s="66"/>
      <c r="AN138" s="66"/>
      <c r="AO138" s="66"/>
      <c r="AP138" s="66"/>
      <c r="AQ138" s="66"/>
      <c r="AR138" s="66"/>
      <c r="AS138" s="66"/>
      <c r="AT138" s="66"/>
      <c r="AU138" s="66"/>
      <c r="AV138" s="66"/>
      <c r="AW138" s="66"/>
      <c r="AX138" s="66"/>
      <c r="AY138" s="66"/>
      <c r="AZ138" s="66"/>
      <c r="BA138" s="66"/>
      <c r="BB138" s="66"/>
      <c r="BC138" s="66"/>
      <c r="BD138" s="66"/>
      <c r="BE138" s="66"/>
      <c r="BF138" s="66"/>
      <c r="BG138" s="66"/>
      <c r="BH138" s="66"/>
    </row>
    <row r="139" spans="1:60" x14ac:dyDescent="0.25">
      <c r="A139" s="66"/>
      <c r="B139" s="66"/>
      <c r="C139" s="66"/>
      <c r="D139" s="66"/>
      <c r="E139" s="66"/>
      <c r="F139" s="66"/>
      <c r="G139" s="66"/>
      <c r="H139" s="66"/>
      <c r="I139" s="66"/>
      <c r="J139" s="66"/>
      <c r="K139" s="66"/>
      <c r="L139" s="66"/>
      <c r="M139" s="66"/>
      <c r="N139" s="66"/>
      <c r="O139" s="66"/>
      <c r="P139" s="66"/>
      <c r="Q139" s="66"/>
      <c r="R139" s="66"/>
      <c r="S139" s="66"/>
      <c r="T139" s="66"/>
      <c r="U139" s="66"/>
      <c r="V139" s="66"/>
      <c r="W139" s="66"/>
      <c r="X139" s="66"/>
      <c r="Y139" s="66"/>
      <c r="Z139" s="66"/>
      <c r="AA139" s="66"/>
      <c r="AB139" s="66"/>
      <c r="AC139" s="66"/>
      <c r="AD139" s="66"/>
      <c r="AE139" s="66"/>
      <c r="AF139" s="66"/>
      <c r="AG139" s="66"/>
      <c r="AH139" s="66"/>
      <c r="AI139" s="66"/>
      <c r="AJ139" s="66"/>
      <c r="AK139" s="66"/>
      <c r="AL139" s="66"/>
      <c r="AM139" s="66"/>
      <c r="AN139" s="66"/>
      <c r="AO139" s="66"/>
      <c r="AP139" s="66"/>
      <c r="AQ139" s="66"/>
      <c r="AR139" s="66"/>
      <c r="AS139" s="66"/>
      <c r="AT139" s="66"/>
      <c r="AU139" s="66"/>
      <c r="AV139" s="66"/>
      <c r="AW139" s="66"/>
      <c r="AX139" s="66"/>
      <c r="AY139" s="66"/>
      <c r="AZ139" s="66"/>
      <c r="BA139" s="66"/>
      <c r="BB139" s="66"/>
      <c r="BC139" s="66"/>
      <c r="BD139" s="66"/>
      <c r="BE139" s="66"/>
      <c r="BF139" s="66"/>
      <c r="BG139" s="66"/>
      <c r="BH139" s="66"/>
    </row>
    <row r="140" spans="1:60" x14ac:dyDescent="0.25">
      <c r="A140" s="66"/>
      <c r="B140" s="66"/>
      <c r="C140" s="66"/>
      <c r="D140" s="66"/>
      <c r="E140" s="66"/>
      <c r="F140" s="66"/>
      <c r="G140" s="66"/>
      <c r="H140" s="66"/>
      <c r="I140" s="66"/>
      <c r="J140" s="66"/>
      <c r="K140" s="66"/>
      <c r="L140" s="66"/>
      <c r="M140" s="66"/>
      <c r="N140" s="66"/>
      <c r="O140" s="66"/>
      <c r="P140" s="66"/>
      <c r="Q140" s="66"/>
      <c r="R140" s="66"/>
      <c r="S140" s="66"/>
      <c r="T140" s="66"/>
      <c r="U140" s="66"/>
      <c r="V140" s="66"/>
      <c r="W140" s="66"/>
      <c r="X140" s="66"/>
      <c r="Y140" s="66"/>
      <c r="Z140" s="66"/>
      <c r="AA140" s="66"/>
      <c r="AB140" s="66"/>
      <c r="AC140" s="66"/>
      <c r="AD140" s="66"/>
      <c r="AE140" s="66"/>
      <c r="AF140" s="66"/>
      <c r="AG140" s="66"/>
      <c r="AH140" s="66"/>
      <c r="AI140" s="66"/>
      <c r="AJ140" s="66"/>
      <c r="AK140" s="66"/>
      <c r="AL140" s="66"/>
      <c r="AM140" s="66"/>
      <c r="AN140" s="66"/>
      <c r="AO140" s="66"/>
      <c r="AP140" s="66"/>
      <c r="AQ140" s="66"/>
      <c r="AR140" s="66"/>
      <c r="AS140" s="66"/>
      <c r="AT140" s="66"/>
      <c r="AU140" s="66"/>
      <c r="AV140" s="66"/>
      <c r="AW140" s="66"/>
      <c r="AX140" s="66"/>
      <c r="AY140" s="66"/>
      <c r="AZ140" s="66"/>
      <c r="BA140" s="66"/>
      <c r="BB140" s="66"/>
      <c r="BC140" s="66"/>
      <c r="BD140" s="66"/>
      <c r="BE140" s="66"/>
      <c r="BF140" s="66"/>
      <c r="BG140" s="66"/>
      <c r="BH140" s="66"/>
    </row>
    <row r="141" spans="1:60" x14ac:dyDescent="0.25">
      <c r="A141" s="66"/>
      <c r="B141" s="66"/>
      <c r="C141" s="66"/>
      <c r="D141" s="66"/>
      <c r="E141" s="66"/>
      <c r="F141" s="66"/>
      <c r="G141" s="66"/>
      <c r="H141" s="66"/>
      <c r="I141" s="66"/>
      <c r="J141" s="66"/>
      <c r="K141" s="66"/>
      <c r="L141" s="66"/>
      <c r="M141" s="66"/>
      <c r="N141" s="66"/>
      <c r="O141" s="66"/>
      <c r="P141" s="66"/>
      <c r="Q141" s="66"/>
      <c r="R141" s="66"/>
      <c r="S141" s="66"/>
      <c r="T141" s="66"/>
      <c r="U141" s="66"/>
      <c r="V141" s="66"/>
      <c r="W141" s="66"/>
      <c r="X141" s="66"/>
      <c r="Y141" s="66"/>
      <c r="Z141" s="66"/>
      <c r="AA141" s="66"/>
      <c r="AB141" s="66"/>
      <c r="AC141" s="66"/>
      <c r="AD141" s="66"/>
      <c r="AE141" s="66"/>
      <c r="AF141" s="66"/>
      <c r="AG141" s="66"/>
      <c r="AH141" s="66"/>
      <c r="AI141" s="66"/>
      <c r="AJ141" s="66"/>
      <c r="AK141" s="66"/>
      <c r="AL141" s="66"/>
      <c r="AM141" s="66"/>
      <c r="AN141" s="66"/>
      <c r="AO141" s="66"/>
      <c r="AP141" s="66"/>
      <c r="AQ141" s="66"/>
      <c r="AR141" s="66"/>
      <c r="AS141" s="66"/>
      <c r="AT141" s="66"/>
      <c r="AU141" s="66"/>
      <c r="AV141" s="66"/>
      <c r="AW141" s="66"/>
      <c r="AX141" s="66"/>
      <c r="AY141" s="66"/>
      <c r="AZ141" s="66"/>
      <c r="BA141" s="66"/>
      <c r="BB141" s="66"/>
      <c r="BC141" s="66"/>
      <c r="BD141" s="66"/>
      <c r="BE141" s="66"/>
      <c r="BF141" s="66"/>
      <c r="BG141" s="66"/>
      <c r="BH141" s="66"/>
    </row>
    <row r="142" spans="1:60" x14ac:dyDescent="0.25">
      <c r="A142" s="66"/>
      <c r="B142" s="66"/>
      <c r="C142" s="66"/>
      <c r="D142" s="66"/>
      <c r="E142" s="66"/>
      <c r="F142" s="66"/>
      <c r="G142" s="66"/>
      <c r="H142" s="66"/>
      <c r="I142" s="66"/>
      <c r="J142" s="66"/>
      <c r="K142" s="66"/>
      <c r="L142" s="66"/>
      <c r="M142" s="66"/>
      <c r="N142" s="66"/>
      <c r="O142" s="66"/>
      <c r="P142" s="66"/>
      <c r="Q142" s="66"/>
      <c r="R142" s="66"/>
      <c r="S142" s="66"/>
      <c r="T142" s="66"/>
      <c r="U142" s="66"/>
      <c r="V142" s="66"/>
      <c r="W142" s="66"/>
      <c r="X142" s="66"/>
      <c r="Y142" s="66"/>
      <c r="Z142" s="66"/>
      <c r="AA142" s="66"/>
      <c r="AB142" s="66"/>
      <c r="AC142" s="66"/>
      <c r="AD142" s="66"/>
      <c r="AE142" s="66"/>
      <c r="AF142" s="66"/>
      <c r="AG142" s="66"/>
      <c r="AH142" s="66"/>
      <c r="AI142" s="66"/>
      <c r="AJ142" s="66"/>
      <c r="AK142" s="66"/>
      <c r="AL142" s="66"/>
      <c r="AM142" s="66"/>
      <c r="AN142" s="66"/>
      <c r="AO142" s="66"/>
      <c r="AP142" s="66"/>
      <c r="AQ142" s="66"/>
      <c r="AR142" s="66"/>
      <c r="AS142" s="66"/>
      <c r="AT142" s="66"/>
      <c r="AU142" s="66"/>
      <c r="AV142" s="66"/>
      <c r="AW142" s="66"/>
      <c r="AX142" s="66"/>
      <c r="AY142" s="66"/>
      <c r="AZ142" s="66"/>
      <c r="BA142" s="66"/>
      <c r="BB142" s="66"/>
      <c r="BC142" s="66"/>
      <c r="BD142" s="66"/>
      <c r="BE142" s="66"/>
      <c r="BF142" s="66"/>
      <c r="BG142" s="66"/>
      <c r="BH142" s="66"/>
    </row>
    <row r="143" spans="1:60" x14ac:dyDescent="0.25">
      <c r="A143" s="66"/>
      <c r="B143" s="66"/>
      <c r="C143" s="66"/>
      <c r="D143" s="66"/>
      <c r="E143" s="66"/>
      <c r="F143" s="66"/>
      <c r="G143" s="66"/>
      <c r="H143" s="66"/>
      <c r="I143" s="66"/>
      <c r="J143" s="66"/>
      <c r="K143" s="66"/>
      <c r="L143" s="66"/>
      <c r="M143" s="66"/>
      <c r="N143" s="66"/>
      <c r="O143" s="66"/>
      <c r="P143" s="66"/>
      <c r="Q143" s="66"/>
      <c r="R143" s="66"/>
      <c r="S143" s="66"/>
      <c r="T143" s="66"/>
      <c r="U143" s="66"/>
      <c r="V143" s="66"/>
      <c r="W143" s="66"/>
      <c r="X143" s="66"/>
      <c r="Y143" s="66"/>
      <c r="Z143" s="66"/>
      <c r="AA143" s="66"/>
      <c r="AB143" s="66"/>
      <c r="AC143" s="66"/>
      <c r="AD143" s="66"/>
      <c r="AE143" s="66"/>
      <c r="AF143" s="66"/>
      <c r="AG143" s="66"/>
      <c r="AH143" s="66"/>
      <c r="AI143" s="66"/>
      <c r="AJ143" s="66"/>
      <c r="AK143" s="66"/>
      <c r="AL143" s="66"/>
      <c r="AM143" s="66"/>
      <c r="AN143" s="66"/>
      <c r="AO143" s="66"/>
      <c r="AP143" s="66"/>
      <c r="AQ143" s="66"/>
      <c r="AR143" s="66"/>
      <c r="AS143" s="66"/>
      <c r="AT143" s="66"/>
      <c r="AU143" s="66"/>
      <c r="AV143" s="66"/>
      <c r="AW143" s="66"/>
      <c r="AX143" s="66"/>
      <c r="AY143" s="66"/>
      <c r="AZ143" s="66"/>
      <c r="BA143" s="66"/>
      <c r="BB143" s="66"/>
      <c r="BC143" s="66"/>
      <c r="BD143" s="66"/>
      <c r="BE143" s="66"/>
      <c r="BF143" s="66"/>
      <c r="BG143" s="66"/>
      <c r="BH143" s="66"/>
    </row>
    <row r="144" spans="1:60" x14ac:dyDescent="0.25">
      <c r="A144" s="66"/>
      <c r="B144" s="66"/>
      <c r="C144" s="66"/>
      <c r="D144" s="66"/>
      <c r="E144" s="66"/>
      <c r="F144" s="66"/>
      <c r="G144" s="66"/>
      <c r="H144" s="66"/>
      <c r="I144" s="66"/>
      <c r="J144" s="66"/>
      <c r="K144" s="66"/>
      <c r="L144" s="66"/>
      <c r="M144" s="66"/>
      <c r="N144" s="66"/>
      <c r="O144" s="66"/>
      <c r="P144" s="66"/>
      <c r="Q144" s="66"/>
      <c r="R144" s="66"/>
      <c r="S144" s="66"/>
      <c r="T144" s="66"/>
      <c r="U144" s="66"/>
      <c r="V144" s="66"/>
      <c r="W144" s="66"/>
      <c r="X144" s="66"/>
      <c r="Y144" s="66"/>
      <c r="Z144" s="66"/>
      <c r="AA144" s="66"/>
      <c r="AB144" s="66"/>
      <c r="AC144" s="66"/>
      <c r="AD144" s="66"/>
      <c r="AE144" s="66"/>
      <c r="AF144" s="66"/>
      <c r="AG144" s="66"/>
      <c r="AH144" s="66"/>
      <c r="AI144" s="66"/>
      <c r="AJ144" s="66"/>
      <c r="AK144" s="66"/>
      <c r="AL144" s="66"/>
      <c r="AM144" s="66"/>
      <c r="AN144" s="66"/>
      <c r="AO144" s="66"/>
      <c r="AP144" s="66"/>
      <c r="AQ144" s="66"/>
      <c r="AR144" s="66"/>
      <c r="AS144" s="66"/>
      <c r="AT144" s="66"/>
      <c r="AU144" s="66"/>
      <c r="AV144" s="66"/>
      <c r="AW144" s="66"/>
      <c r="AX144" s="66"/>
      <c r="AY144" s="66"/>
      <c r="AZ144" s="66"/>
      <c r="BA144" s="66"/>
      <c r="BB144" s="66"/>
      <c r="BC144" s="66"/>
      <c r="BD144" s="66"/>
      <c r="BE144" s="66"/>
      <c r="BF144" s="66"/>
      <c r="BG144" s="66"/>
      <c r="BH144" s="66"/>
    </row>
    <row r="145" spans="1:60" x14ac:dyDescent="0.25">
      <c r="A145" s="66"/>
      <c r="B145" s="66"/>
      <c r="C145" s="66"/>
      <c r="D145" s="66"/>
      <c r="E145" s="66"/>
      <c r="F145" s="66"/>
      <c r="G145" s="66"/>
      <c r="H145" s="66"/>
      <c r="I145" s="66"/>
      <c r="J145" s="66"/>
      <c r="K145" s="66"/>
      <c r="L145" s="66"/>
      <c r="M145" s="66"/>
      <c r="N145" s="66"/>
      <c r="O145" s="66"/>
      <c r="P145" s="66"/>
      <c r="Q145" s="66"/>
      <c r="R145" s="66"/>
      <c r="S145" s="66"/>
      <c r="T145" s="66"/>
      <c r="U145" s="66"/>
      <c r="V145" s="66"/>
      <c r="W145" s="66"/>
      <c r="X145" s="66"/>
      <c r="Y145" s="66"/>
      <c r="Z145" s="66"/>
      <c r="AA145" s="66"/>
      <c r="AB145" s="66"/>
      <c r="AC145" s="66"/>
      <c r="AD145" s="66"/>
      <c r="AE145" s="66"/>
      <c r="AF145" s="66"/>
      <c r="AG145" s="66"/>
      <c r="AH145" s="66"/>
      <c r="AI145" s="66"/>
      <c r="AJ145" s="66"/>
      <c r="AK145" s="66"/>
      <c r="AL145" s="66"/>
      <c r="AM145" s="66"/>
      <c r="AN145" s="66"/>
      <c r="AO145" s="66"/>
      <c r="AP145" s="66"/>
      <c r="AQ145" s="66"/>
      <c r="AR145" s="66"/>
      <c r="AS145" s="66"/>
      <c r="AT145" s="66"/>
      <c r="AU145" s="66"/>
      <c r="AV145" s="66"/>
      <c r="AW145" s="66"/>
      <c r="AX145" s="66"/>
      <c r="AY145" s="66"/>
      <c r="AZ145" s="66"/>
      <c r="BA145" s="66"/>
      <c r="BB145" s="66"/>
      <c r="BC145" s="66"/>
      <c r="BD145" s="66"/>
      <c r="BE145" s="66"/>
      <c r="BF145" s="66"/>
      <c r="BG145" s="66"/>
      <c r="BH145" s="66"/>
    </row>
    <row r="146" spans="1:60" x14ac:dyDescent="0.25">
      <c r="A146" s="66"/>
      <c r="B146" s="66"/>
      <c r="C146" s="66"/>
      <c r="D146" s="66"/>
      <c r="E146" s="66"/>
      <c r="F146" s="66"/>
      <c r="G146" s="66"/>
      <c r="H146" s="66"/>
      <c r="I146" s="66"/>
      <c r="J146" s="66"/>
      <c r="K146" s="66"/>
      <c r="L146" s="66"/>
      <c r="M146" s="66"/>
      <c r="N146" s="66"/>
      <c r="O146" s="66"/>
      <c r="P146" s="66"/>
      <c r="Q146" s="66"/>
      <c r="R146" s="66"/>
      <c r="S146" s="66"/>
      <c r="T146" s="66"/>
      <c r="U146" s="66"/>
      <c r="V146" s="66"/>
      <c r="W146" s="66"/>
      <c r="X146" s="66"/>
      <c r="Y146" s="66"/>
      <c r="Z146" s="66"/>
      <c r="AA146" s="66"/>
      <c r="AB146" s="66"/>
      <c r="AC146" s="66"/>
      <c r="AD146" s="66"/>
      <c r="AE146" s="66"/>
      <c r="AF146" s="66"/>
      <c r="AG146" s="66"/>
      <c r="AH146" s="66"/>
      <c r="AI146" s="66"/>
      <c r="AJ146" s="66"/>
      <c r="AK146" s="66"/>
      <c r="AL146" s="66"/>
      <c r="AM146" s="66"/>
      <c r="AN146" s="66"/>
      <c r="AO146" s="66"/>
      <c r="AP146" s="66"/>
      <c r="AQ146" s="66"/>
      <c r="AR146" s="66"/>
      <c r="AS146" s="66"/>
      <c r="AT146" s="66"/>
      <c r="AU146" s="66"/>
      <c r="AV146" s="66"/>
      <c r="AW146" s="66"/>
      <c r="AX146" s="66"/>
      <c r="AY146" s="66"/>
      <c r="AZ146" s="66"/>
      <c r="BA146" s="66"/>
      <c r="BB146" s="66"/>
      <c r="BC146" s="66"/>
      <c r="BD146" s="66"/>
      <c r="BE146" s="66"/>
      <c r="BF146" s="66"/>
      <c r="BG146" s="66"/>
      <c r="BH146" s="66"/>
    </row>
    <row r="147" spans="1:60" x14ac:dyDescent="0.25">
      <c r="A147" s="66"/>
      <c r="B147" s="66"/>
      <c r="C147" s="66"/>
      <c r="D147" s="66"/>
      <c r="E147" s="66"/>
      <c r="F147" s="66"/>
      <c r="G147" s="66"/>
      <c r="H147" s="66"/>
      <c r="I147" s="66"/>
      <c r="J147" s="66"/>
      <c r="K147" s="66"/>
      <c r="L147" s="66"/>
      <c r="M147" s="66"/>
      <c r="N147" s="66"/>
      <c r="O147" s="66"/>
      <c r="P147" s="66"/>
      <c r="Q147" s="66"/>
      <c r="R147" s="66"/>
      <c r="S147" s="66"/>
      <c r="T147" s="66"/>
      <c r="U147" s="66"/>
      <c r="V147" s="66"/>
      <c r="W147" s="66"/>
      <c r="X147" s="66"/>
      <c r="Y147" s="66"/>
      <c r="Z147" s="66"/>
      <c r="AA147" s="66"/>
      <c r="AB147" s="66"/>
      <c r="AC147" s="66"/>
      <c r="AD147" s="66"/>
      <c r="AE147" s="66"/>
      <c r="AF147" s="66"/>
      <c r="AG147" s="66"/>
      <c r="AH147" s="66"/>
      <c r="AI147" s="66"/>
      <c r="AJ147" s="66"/>
      <c r="AK147" s="66"/>
      <c r="AL147" s="66"/>
      <c r="AM147" s="66"/>
      <c r="AN147" s="66"/>
      <c r="AO147" s="66"/>
      <c r="AP147" s="66"/>
      <c r="AQ147" s="66"/>
      <c r="AR147" s="66"/>
      <c r="AS147" s="66"/>
      <c r="AT147" s="66"/>
      <c r="AU147" s="66"/>
      <c r="AV147" s="66"/>
      <c r="AW147" s="66"/>
      <c r="AX147" s="66"/>
      <c r="AY147" s="66"/>
      <c r="AZ147" s="66"/>
      <c r="BA147" s="66"/>
      <c r="BB147" s="66"/>
      <c r="BC147" s="66"/>
      <c r="BD147" s="66"/>
      <c r="BE147" s="66"/>
      <c r="BF147" s="66"/>
      <c r="BG147" s="66"/>
      <c r="BH147" s="66"/>
    </row>
    <row r="148" spans="1:60" x14ac:dyDescent="0.25">
      <c r="A148" s="66"/>
      <c r="B148" s="66"/>
      <c r="C148" s="66"/>
      <c r="D148" s="66"/>
      <c r="E148" s="66"/>
      <c r="F148" s="66"/>
      <c r="G148" s="66"/>
      <c r="H148" s="66"/>
      <c r="I148" s="66"/>
      <c r="J148" s="66"/>
      <c r="K148" s="66"/>
      <c r="L148" s="66"/>
      <c r="M148" s="66"/>
      <c r="N148" s="66"/>
      <c r="O148" s="66"/>
      <c r="P148" s="66"/>
      <c r="Q148" s="66"/>
      <c r="R148" s="66"/>
      <c r="S148" s="66"/>
      <c r="T148" s="66"/>
      <c r="U148" s="66"/>
      <c r="V148" s="66"/>
      <c r="W148" s="66"/>
      <c r="X148" s="66"/>
      <c r="Y148" s="66"/>
      <c r="Z148" s="66"/>
      <c r="AA148" s="66"/>
      <c r="AB148" s="66"/>
      <c r="AC148" s="66"/>
      <c r="AD148" s="66"/>
      <c r="AE148" s="66"/>
      <c r="AF148" s="66"/>
      <c r="AG148" s="66"/>
      <c r="AH148" s="66"/>
      <c r="AI148" s="66"/>
      <c r="AJ148" s="66"/>
      <c r="AK148" s="66"/>
      <c r="AL148" s="66"/>
      <c r="AM148" s="66"/>
      <c r="AN148" s="66"/>
      <c r="AO148" s="66"/>
      <c r="AP148" s="66"/>
      <c r="AQ148" s="66"/>
      <c r="AR148" s="66"/>
      <c r="AS148" s="66"/>
      <c r="AT148" s="66"/>
      <c r="AU148" s="66"/>
      <c r="AV148" s="66"/>
      <c r="AW148" s="66"/>
      <c r="AX148" s="66"/>
      <c r="AY148" s="66"/>
      <c r="AZ148" s="66"/>
      <c r="BA148" s="66"/>
      <c r="BB148" s="66"/>
      <c r="BC148" s="66"/>
      <c r="BD148" s="66"/>
      <c r="BE148" s="66"/>
      <c r="BF148" s="66"/>
      <c r="BG148" s="66"/>
      <c r="BH148" s="66"/>
    </row>
    <row r="149" spans="1:60" x14ac:dyDescent="0.25">
      <c r="A149" s="66"/>
      <c r="B149" s="66"/>
      <c r="C149" s="66"/>
      <c r="D149" s="66"/>
      <c r="E149" s="66"/>
      <c r="F149" s="66"/>
      <c r="G149" s="66"/>
      <c r="H149" s="66"/>
      <c r="I149" s="66"/>
      <c r="J149" s="66"/>
      <c r="K149" s="66"/>
      <c r="L149" s="66"/>
      <c r="M149" s="66"/>
      <c r="N149" s="66"/>
      <c r="O149" s="66"/>
      <c r="P149" s="66"/>
      <c r="Q149" s="66"/>
      <c r="R149" s="66"/>
      <c r="S149" s="66"/>
      <c r="T149" s="66"/>
      <c r="U149" s="66"/>
      <c r="V149" s="66"/>
      <c r="W149" s="66"/>
      <c r="X149" s="66"/>
      <c r="Y149" s="66"/>
      <c r="Z149" s="66"/>
      <c r="AA149" s="66"/>
      <c r="AB149" s="66"/>
      <c r="AC149" s="66"/>
      <c r="AD149" s="66"/>
      <c r="AE149" s="66"/>
      <c r="AF149" s="66"/>
      <c r="AG149" s="66"/>
      <c r="AH149" s="66"/>
      <c r="AI149" s="66"/>
      <c r="AJ149" s="66"/>
      <c r="AK149" s="66"/>
      <c r="AL149" s="66"/>
      <c r="AM149" s="66"/>
      <c r="AN149" s="66"/>
      <c r="AO149" s="66"/>
      <c r="AP149" s="66"/>
      <c r="AQ149" s="66"/>
      <c r="AR149" s="66"/>
      <c r="AS149" s="66"/>
      <c r="AT149" s="66"/>
      <c r="AU149" s="66"/>
      <c r="AV149" s="66"/>
      <c r="AW149" s="66"/>
      <c r="AX149" s="66"/>
      <c r="AY149" s="66"/>
      <c r="AZ149" s="66"/>
      <c r="BA149" s="66"/>
      <c r="BB149" s="66"/>
      <c r="BC149" s="66"/>
      <c r="BD149" s="66"/>
      <c r="BE149" s="66"/>
      <c r="BF149" s="66"/>
      <c r="BG149" s="66"/>
      <c r="BH149" s="66"/>
    </row>
    <row r="150" spans="1:60" x14ac:dyDescent="0.25">
      <c r="A150" s="66"/>
      <c r="B150" s="66"/>
      <c r="C150" s="66"/>
      <c r="D150" s="66"/>
      <c r="E150" s="66"/>
      <c r="F150" s="66"/>
      <c r="G150" s="66"/>
      <c r="H150" s="66"/>
      <c r="I150" s="66"/>
      <c r="J150" s="66"/>
      <c r="K150" s="66"/>
      <c r="L150" s="66"/>
      <c r="M150" s="66"/>
      <c r="N150" s="66"/>
      <c r="O150" s="66"/>
      <c r="P150" s="66"/>
      <c r="Q150" s="66"/>
      <c r="R150" s="66"/>
      <c r="S150" s="66"/>
      <c r="T150" s="66"/>
      <c r="U150" s="66"/>
      <c r="V150" s="66"/>
      <c r="W150" s="66"/>
      <c r="X150" s="66"/>
      <c r="Y150" s="66"/>
      <c r="Z150" s="66"/>
      <c r="AA150" s="66"/>
      <c r="AB150" s="66"/>
      <c r="AC150" s="66"/>
      <c r="AD150" s="66"/>
      <c r="AE150" s="66"/>
      <c r="AF150" s="66"/>
      <c r="AG150" s="66"/>
      <c r="AH150" s="66"/>
      <c r="AI150" s="66"/>
      <c r="AJ150" s="66"/>
      <c r="AK150" s="66"/>
      <c r="AL150" s="66"/>
      <c r="AM150" s="66"/>
      <c r="AN150" s="66"/>
      <c r="AO150" s="66"/>
      <c r="AP150" s="66"/>
      <c r="AQ150" s="66"/>
      <c r="AR150" s="66"/>
      <c r="AS150" s="66"/>
      <c r="AT150" s="66"/>
      <c r="AU150" s="66"/>
      <c r="AV150" s="66"/>
      <c r="AW150" s="66"/>
      <c r="AX150" s="66"/>
      <c r="AY150" s="66"/>
      <c r="AZ150" s="66"/>
      <c r="BA150" s="66"/>
      <c r="BB150" s="66"/>
      <c r="BC150" s="66"/>
      <c r="BD150" s="66"/>
      <c r="BE150" s="66"/>
      <c r="BF150" s="66"/>
      <c r="BG150" s="66"/>
      <c r="BH150" s="66"/>
    </row>
    <row r="151" spans="1:60" x14ac:dyDescent="0.25">
      <c r="A151" s="66"/>
      <c r="B151" s="66"/>
      <c r="C151" s="66"/>
      <c r="D151" s="66"/>
      <c r="E151" s="66"/>
      <c r="F151" s="66"/>
      <c r="G151" s="66"/>
      <c r="H151" s="66"/>
      <c r="I151" s="66"/>
      <c r="J151" s="66"/>
      <c r="K151" s="66"/>
      <c r="L151" s="66"/>
      <c r="M151" s="66"/>
      <c r="N151" s="66"/>
      <c r="O151" s="66"/>
      <c r="P151" s="66"/>
      <c r="Q151" s="66"/>
      <c r="R151" s="66"/>
      <c r="S151" s="66"/>
      <c r="T151" s="66"/>
      <c r="U151" s="66"/>
      <c r="V151" s="66"/>
      <c r="W151" s="66"/>
      <c r="X151" s="66"/>
      <c r="Y151" s="66"/>
      <c r="Z151" s="66"/>
      <c r="AA151" s="66"/>
      <c r="AB151" s="66"/>
      <c r="AC151" s="66"/>
      <c r="AD151" s="66"/>
      <c r="AE151" s="66"/>
      <c r="AF151" s="66"/>
      <c r="AG151" s="66"/>
      <c r="AH151" s="66"/>
      <c r="AI151" s="66"/>
      <c r="AJ151" s="66"/>
      <c r="AK151" s="66"/>
      <c r="AL151" s="66"/>
      <c r="AM151" s="66"/>
      <c r="AN151" s="66"/>
      <c r="AO151" s="66"/>
      <c r="AP151" s="66"/>
      <c r="AQ151" s="66"/>
      <c r="AR151" s="66"/>
      <c r="AS151" s="66"/>
      <c r="AT151" s="66"/>
      <c r="AU151" s="66"/>
      <c r="AV151" s="66"/>
      <c r="AW151" s="66"/>
      <c r="AX151" s="66"/>
      <c r="AY151" s="66"/>
      <c r="AZ151" s="66"/>
      <c r="BA151" s="66"/>
      <c r="BB151" s="66"/>
      <c r="BC151" s="66"/>
      <c r="BD151" s="66"/>
      <c r="BE151" s="66"/>
      <c r="BF151" s="66"/>
      <c r="BG151" s="66"/>
      <c r="BH151" s="66"/>
    </row>
    <row r="152" spans="1:60" x14ac:dyDescent="0.25">
      <c r="A152" s="66"/>
      <c r="B152" s="66"/>
      <c r="C152" s="66"/>
      <c r="D152" s="66"/>
      <c r="E152" s="66"/>
      <c r="F152" s="66"/>
      <c r="G152" s="66"/>
      <c r="H152" s="66"/>
      <c r="I152" s="66"/>
      <c r="J152" s="66"/>
      <c r="K152" s="66"/>
      <c r="L152" s="66"/>
      <c r="M152" s="66"/>
      <c r="N152" s="66"/>
      <c r="O152" s="66"/>
      <c r="P152" s="66"/>
      <c r="Q152" s="66"/>
      <c r="R152" s="66"/>
      <c r="S152" s="66"/>
      <c r="T152" s="66"/>
      <c r="U152" s="66"/>
      <c r="V152" s="66"/>
      <c r="W152" s="66"/>
      <c r="X152" s="66"/>
      <c r="Y152" s="66"/>
      <c r="Z152" s="66"/>
      <c r="AA152" s="66"/>
      <c r="AB152" s="66"/>
      <c r="AC152" s="66"/>
      <c r="AD152" s="66"/>
      <c r="AE152" s="66"/>
      <c r="AF152" s="66"/>
      <c r="AG152" s="66"/>
      <c r="AH152" s="66"/>
      <c r="AI152" s="66"/>
      <c r="AJ152" s="66"/>
      <c r="AK152" s="66"/>
      <c r="AL152" s="66"/>
      <c r="AM152" s="66"/>
      <c r="AN152" s="66"/>
      <c r="AO152" s="66"/>
      <c r="AP152" s="66"/>
      <c r="AQ152" s="66"/>
      <c r="AR152" s="66"/>
      <c r="AS152" s="66"/>
      <c r="AT152" s="66"/>
      <c r="AU152" s="66"/>
      <c r="AV152" s="66"/>
      <c r="AW152" s="66"/>
      <c r="AX152" s="66"/>
      <c r="AY152" s="66"/>
      <c r="AZ152" s="66"/>
      <c r="BA152" s="66"/>
      <c r="BB152" s="66"/>
      <c r="BC152" s="66"/>
      <c r="BD152" s="66"/>
      <c r="BE152" s="66"/>
      <c r="BF152" s="66"/>
      <c r="BG152" s="66"/>
      <c r="BH152" s="66"/>
    </row>
    <row r="153" spans="1:60" x14ac:dyDescent="0.25">
      <c r="A153" s="66"/>
      <c r="B153" s="66"/>
      <c r="C153" s="66"/>
      <c r="D153" s="66"/>
      <c r="E153" s="66"/>
      <c r="F153" s="66"/>
      <c r="G153" s="66"/>
      <c r="H153" s="66"/>
      <c r="I153" s="66"/>
      <c r="J153" s="66"/>
      <c r="K153" s="66"/>
      <c r="L153" s="66"/>
      <c r="M153" s="66"/>
      <c r="N153" s="66"/>
      <c r="O153" s="66"/>
      <c r="P153" s="66"/>
      <c r="Q153" s="66"/>
      <c r="R153" s="66"/>
      <c r="S153" s="66"/>
      <c r="T153" s="66"/>
      <c r="U153" s="66"/>
      <c r="V153" s="66"/>
      <c r="W153" s="66"/>
      <c r="X153" s="66"/>
      <c r="Y153" s="66"/>
      <c r="Z153" s="66"/>
      <c r="AA153" s="66"/>
      <c r="AB153" s="66"/>
      <c r="AC153" s="66"/>
      <c r="AD153" s="66"/>
      <c r="AE153" s="66"/>
      <c r="AF153" s="66"/>
      <c r="AG153" s="66"/>
      <c r="AH153" s="66"/>
      <c r="AI153" s="66"/>
      <c r="AJ153" s="66"/>
      <c r="AK153" s="66"/>
      <c r="AL153" s="66"/>
      <c r="AM153" s="66"/>
      <c r="AN153" s="66"/>
      <c r="AO153" s="66"/>
      <c r="AP153" s="66"/>
      <c r="AQ153" s="66"/>
      <c r="AR153" s="66"/>
      <c r="AS153" s="66"/>
      <c r="AT153" s="66"/>
      <c r="AU153" s="66"/>
      <c r="AV153" s="66"/>
      <c r="AW153" s="66"/>
      <c r="AX153" s="66"/>
      <c r="AY153" s="66"/>
      <c r="AZ153" s="66"/>
      <c r="BA153" s="66"/>
      <c r="BB153" s="66"/>
      <c r="BC153" s="66"/>
      <c r="BD153" s="66"/>
      <c r="BE153" s="66"/>
      <c r="BF153" s="66"/>
      <c r="BG153" s="66"/>
      <c r="BH153" s="66"/>
    </row>
    <row r="154" spans="1:60" x14ac:dyDescent="0.25">
      <c r="A154" s="66"/>
      <c r="B154" s="66"/>
      <c r="C154" s="66"/>
      <c r="D154" s="66"/>
      <c r="E154" s="66"/>
      <c r="F154" s="66"/>
      <c r="G154" s="66"/>
      <c r="H154" s="66"/>
      <c r="I154" s="66"/>
      <c r="J154" s="66"/>
      <c r="K154" s="66"/>
      <c r="L154" s="66"/>
      <c r="M154" s="66"/>
      <c r="N154" s="66"/>
      <c r="O154" s="66"/>
      <c r="P154" s="66"/>
      <c r="Q154" s="66"/>
      <c r="R154" s="66"/>
      <c r="S154" s="66"/>
      <c r="T154" s="66"/>
      <c r="U154" s="66"/>
      <c r="V154" s="66"/>
      <c r="W154" s="66"/>
      <c r="X154" s="66"/>
      <c r="Y154" s="66"/>
      <c r="Z154" s="66"/>
      <c r="AA154" s="66"/>
      <c r="AB154" s="66"/>
      <c r="AC154" s="66"/>
      <c r="AD154" s="66"/>
      <c r="AE154" s="66"/>
      <c r="AF154" s="66"/>
      <c r="AG154" s="66"/>
      <c r="AH154" s="66"/>
      <c r="AI154" s="66"/>
      <c r="AJ154" s="66"/>
      <c r="AK154" s="66"/>
      <c r="AL154" s="66"/>
      <c r="AM154" s="66"/>
      <c r="AN154" s="66"/>
      <c r="AO154" s="66"/>
      <c r="AP154" s="66"/>
      <c r="AQ154" s="66"/>
      <c r="AR154" s="66"/>
      <c r="AS154" s="66"/>
      <c r="AT154" s="66"/>
      <c r="AU154" s="66"/>
      <c r="AV154" s="66"/>
      <c r="AW154" s="66"/>
      <c r="AX154" s="66"/>
      <c r="AY154" s="66"/>
      <c r="AZ154" s="66"/>
      <c r="BA154" s="66"/>
      <c r="BB154" s="66"/>
      <c r="BC154" s="66"/>
      <c r="BD154" s="66"/>
      <c r="BE154" s="66"/>
      <c r="BF154" s="66"/>
      <c r="BG154" s="66"/>
      <c r="BH154" s="66"/>
    </row>
    <row r="155" spans="1:60" x14ac:dyDescent="0.25">
      <c r="A155" s="66"/>
      <c r="B155" s="66"/>
      <c r="C155" s="66"/>
      <c r="D155" s="66"/>
      <c r="E155" s="66"/>
      <c r="F155" s="66"/>
      <c r="G155" s="66"/>
      <c r="H155" s="66"/>
      <c r="I155" s="66"/>
      <c r="J155" s="66"/>
      <c r="K155" s="66"/>
      <c r="L155" s="66"/>
      <c r="M155" s="66"/>
      <c r="N155" s="66"/>
      <c r="O155" s="66"/>
      <c r="P155" s="66"/>
      <c r="Q155" s="66"/>
      <c r="R155" s="66"/>
      <c r="S155" s="66"/>
      <c r="T155" s="66"/>
      <c r="U155" s="66"/>
      <c r="V155" s="66"/>
      <c r="W155" s="66"/>
      <c r="X155" s="66"/>
      <c r="Y155" s="66"/>
      <c r="Z155" s="66"/>
      <c r="AA155" s="66"/>
      <c r="AB155" s="66"/>
      <c r="AC155" s="66"/>
      <c r="AD155" s="66"/>
      <c r="AE155" s="66"/>
      <c r="AF155" s="66"/>
      <c r="AG155" s="66"/>
      <c r="AH155" s="66"/>
      <c r="AI155" s="66"/>
      <c r="AJ155" s="66"/>
      <c r="AK155" s="66"/>
      <c r="AL155" s="66"/>
      <c r="AM155" s="66"/>
      <c r="AN155" s="66"/>
      <c r="AO155" s="66"/>
      <c r="AP155" s="66"/>
      <c r="AQ155" s="66"/>
      <c r="AR155" s="66"/>
      <c r="AS155" s="66"/>
      <c r="AT155" s="66"/>
      <c r="AU155" s="66"/>
      <c r="AV155" s="66"/>
      <c r="AW155" s="66"/>
      <c r="AX155" s="66"/>
      <c r="AY155" s="66"/>
      <c r="AZ155" s="66"/>
      <c r="BA155" s="66"/>
      <c r="BB155" s="66"/>
      <c r="BC155" s="66"/>
      <c r="BD155" s="66"/>
      <c r="BE155" s="66"/>
      <c r="BF155" s="66"/>
      <c r="BG155" s="66"/>
      <c r="BH155" s="66"/>
    </row>
    <row r="156" spans="1:60" x14ac:dyDescent="0.25">
      <c r="A156" s="66"/>
      <c r="B156" s="66"/>
      <c r="C156" s="66"/>
      <c r="D156" s="66"/>
      <c r="E156" s="66"/>
      <c r="F156" s="66"/>
      <c r="G156" s="66"/>
      <c r="H156" s="66"/>
      <c r="I156" s="66"/>
      <c r="J156" s="66"/>
      <c r="K156" s="66"/>
      <c r="L156" s="66"/>
      <c r="M156" s="66"/>
      <c r="N156" s="66"/>
      <c r="O156" s="66"/>
      <c r="P156" s="66"/>
      <c r="Q156" s="66"/>
      <c r="R156" s="66"/>
      <c r="S156" s="66"/>
      <c r="T156" s="66"/>
      <c r="U156" s="66"/>
      <c r="V156" s="66"/>
      <c r="W156" s="66"/>
      <c r="X156" s="66"/>
      <c r="Y156" s="66"/>
      <c r="Z156" s="66"/>
      <c r="AA156" s="66"/>
      <c r="AB156" s="66"/>
      <c r="AC156" s="66"/>
      <c r="AD156" s="66"/>
      <c r="AE156" s="66"/>
      <c r="AF156" s="66"/>
      <c r="AG156" s="66"/>
      <c r="AH156" s="66"/>
      <c r="AI156" s="66"/>
      <c r="AJ156" s="66"/>
      <c r="AK156" s="66"/>
      <c r="AL156" s="66"/>
      <c r="AM156" s="66"/>
      <c r="AN156" s="66"/>
      <c r="AO156" s="66"/>
      <c r="AP156" s="66"/>
      <c r="AQ156" s="66"/>
      <c r="AR156" s="66"/>
      <c r="AS156" s="66"/>
      <c r="AT156" s="66"/>
      <c r="AU156" s="66"/>
      <c r="AV156" s="66"/>
      <c r="AW156" s="66"/>
      <c r="AX156" s="66"/>
      <c r="AY156" s="66"/>
      <c r="AZ156" s="66"/>
      <c r="BA156" s="66"/>
      <c r="BB156" s="66"/>
      <c r="BC156" s="66"/>
      <c r="BD156" s="66"/>
      <c r="BE156" s="66"/>
      <c r="BF156" s="66"/>
      <c r="BG156" s="66"/>
      <c r="BH156" s="66"/>
    </row>
    <row r="157" spans="1:60" x14ac:dyDescent="0.25">
      <c r="A157" s="66"/>
      <c r="B157" s="66"/>
      <c r="C157" s="66"/>
      <c r="D157" s="66"/>
      <c r="E157" s="66"/>
      <c r="F157" s="66"/>
      <c r="G157" s="66"/>
      <c r="H157" s="66"/>
      <c r="I157" s="66"/>
      <c r="J157" s="66"/>
      <c r="K157" s="66"/>
      <c r="L157" s="66"/>
      <c r="M157" s="66"/>
      <c r="N157" s="66"/>
      <c r="O157" s="66"/>
      <c r="P157" s="66"/>
      <c r="Q157" s="66"/>
      <c r="R157" s="66"/>
      <c r="S157" s="66"/>
      <c r="T157" s="66"/>
      <c r="U157" s="66"/>
      <c r="V157" s="66"/>
      <c r="W157" s="66"/>
      <c r="X157" s="66"/>
      <c r="Y157" s="66"/>
      <c r="Z157" s="66"/>
      <c r="AA157" s="66"/>
      <c r="AB157" s="66"/>
      <c r="AC157" s="66"/>
      <c r="AD157" s="66"/>
      <c r="AE157" s="66"/>
      <c r="AF157" s="66"/>
      <c r="AG157" s="66"/>
      <c r="AH157" s="66"/>
      <c r="AI157" s="66"/>
      <c r="AJ157" s="66"/>
      <c r="AK157" s="66"/>
      <c r="AL157" s="66"/>
      <c r="AM157" s="66"/>
      <c r="AN157" s="66"/>
      <c r="AO157" s="66"/>
      <c r="AP157" s="66"/>
      <c r="AQ157" s="66"/>
      <c r="AR157" s="66"/>
      <c r="AS157" s="66"/>
      <c r="AT157" s="66"/>
      <c r="AU157" s="66"/>
      <c r="AV157" s="66"/>
      <c r="AW157" s="66"/>
      <c r="AX157" s="66"/>
      <c r="AY157" s="66"/>
      <c r="AZ157" s="66"/>
      <c r="BA157" s="66"/>
      <c r="BB157" s="66"/>
      <c r="BC157" s="66"/>
      <c r="BD157" s="66"/>
      <c r="BE157" s="66"/>
      <c r="BF157" s="66"/>
      <c r="BG157" s="66"/>
      <c r="BH157" s="66"/>
    </row>
    <row r="158" spans="1:60" x14ac:dyDescent="0.25">
      <c r="A158" s="66"/>
      <c r="B158" s="66"/>
      <c r="C158" s="66"/>
      <c r="D158" s="66"/>
      <c r="E158" s="66"/>
      <c r="F158" s="66"/>
      <c r="G158" s="66"/>
      <c r="H158" s="66"/>
      <c r="I158" s="66"/>
      <c r="J158" s="66"/>
      <c r="K158" s="66"/>
      <c r="L158" s="66"/>
      <c r="M158" s="66"/>
      <c r="N158" s="66"/>
      <c r="O158" s="66"/>
      <c r="P158" s="66"/>
      <c r="Q158" s="66"/>
      <c r="R158" s="66"/>
      <c r="S158" s="66"/>
      <c r="T158" s="66"/>
      <c r="U158" s="66"/>
      <c r="V158" s="66"/>
      <c r="W158" s="66"/>
      <c r="X158" s="66"/>
      <c r="Y158" s="66"/>
      <c r="Z158" s="66"/>
      <c r="AA158" s="66"/>
      <c r="AB158" s="66"/>
      <c r="AC158" s="66"/>
      <c r="AD158" s="66"/>
      <c r="AE158" s="66"/>
      <c r="AF158" s="66"/>
      <c r="AG158" s="66"/>
      <c r="AH158" s="66"/>
      <c r="AI158" s="66"/>
      <c r="AJ158" s="66"/>
      <c r="AK158" s="66"/>
      <c r="AL158" s="66"/>
      <c r="AM158" s="66"/>
      <c r="AN158" s="66"/>
      <c r="AO158" s="66"/>
      <c r="AP158" s="66"/>
      <c r="AQ158" s="66"/>
      <c r="AR158" s="66"/>
      <c r="AS158" s="66"/>
      <c r="AT158" s="66"/>
      <c r="AU158" s="66"/>
      <c r="AV158" s="66"/>
      <c r="AW158" s="66"/>
      <c r="AX158" s="66"/>
      <c r="AY158" s="66"/>
      <c r="AZ158" s="66"/>
      <c r="BA158" s="66"/>
      <c r="BB158" s="66"/>
      <c r="BC158" s="66"/>
      <c r="BD158" s="66"/>
      <c r="BE158" s="66"/>
      <c r="BF158" s="66"/>
      <c r="BG158" s="66"/>
      <c r="BH158" s="66"/>
    </row>
    <row r="159" spans="1:60" x14ac:dyDescent="0.25">
      <c r="A159" s="66"/>
      <c r="B159" s="66"/>
      <c r="C159" s="66"/>
      <c r="D159" s="66"/>
      <c r="E159" s="66"/>
      <c r="F159" s="66"/>
      <c r="G159" s="66"/>
      <c r="H159" s="66"/>
      <c r="I159" s="66"/>
      <c r="J159" s="66"/>
      <c r="K159" s="66"/>
      <c r="L159" s="66"/>
      <c r="M159" s="66"/>
      <c r="N159" s="66"/>
      <c r="O159" s="66"/>
      <c r="P159" s="66"/>
      <c r="Q159" s="66"/>
      <c r="R159" s="66"/>
      <c r="S159" s="66"/>
      <c r="T159" s="66"/>
      <c r="U159" s="66"/>
      <c r="V159" s="66"/>
      <c r="W159" s="66"/>
      <c r="X159" s="66"/>
      <c r="Y159" s="66"/>
      <c r="Z159" s="66"/>
      <c r="AA159" s="66"/>
      <c r="AB159" s="66"/>
      <c r="AC159" s="66"/>
      <c r="AD159" s="66"/>
      <c r="AE159" s="66"/>
      <c r="AF159" s="66"/>
      <c r="AG159" s="66"/>
      <c r="AH159" s="66"/>
      <c r="AI159" s="66"/>
      <c r="AJ159" s="66"/>
      <c r="AK159" s="66"/>
      <c r="AL159" s="66"/>
      <c r="AM159" s="66"/>
      <c r="AN159" s="66"/>
      <c r="AO159" s="66"/>
      <c r="AP159" s="66"/>
      <c r="AQ159" s="66"/>
      <c r="AR159" s="66"/>
      <c r="AS159" s="66"/>
      <c r="AT159" s="66"/>
      <c r="AU159" s="66"/>
      <c r="AV159" s="66"/>
      <c r="AW159" s="66"/>
      <c r="AX159" s="66"/>
      <c r="AY159" s="66"/>
      <c r="AZ159" s="66"/>
      <c r="BA159" s="66"/>
      <c r="BB159" s="66"/>
      <c r="BC159" s="66"/>
      <c r="BD159" s="66"/>
      <c r="BE159" s="66"/>
      <c r="BF159" s="66"/>
      <c r="BG159" s="66"/>
      <c r="BH159" s="66"/>
    </row>
    <row r="160" spans="1:60" x14ac:dyDescent="0.25">
      <c r="A160" s="66"/>
      <c r="B160" s="66"/>
      <c r="C160" s="66"/>
      <c r="D160" s="66"/>
      <c r="E160" s="66"/>
      <c r="F160" s="66"/>
      <c r="G160" s="66"/>
      <c r="H160" s="66"/>
      <c r="I160" s="66"/>
      <c r="J160" s="66"/>
      <c r="K160" s="66"/>
      <c r="L160" s="66"/>
      <c r="M160" s="66"/>
      <c r="N160" s="66"/>
      <c r="O160" s="66"/>
      <c r="P160" s="66"/>
      <c r="Q160" s="66"/>
      <c r="R160" s="66"/>
      <c r="S160" s="66"/>
      <c r="T160" s="66"/>
      <c r="U160" s="66"/>
      <c r="V160" s="66"/>
      <c r="W160" s="66"/>
      <c r="X160" s="66"/>
      <c r="Y160" s="66"/>
      <c r="Z160" s="66"/>
      <c r="AA160" s="66"/>
      <c r="AB160" s="66"/>
      <c r="AC160" s="66"/>
      <c r="AD160" s="66"/>
      <c r="AE160" s="66"/>
      <c r="AF160" s="66"/>
      <c r="AG160" s="66"/>
      <c r="AH160" s="66"/>
      <c r="AI160" s="66"/>
      <c r="AJ160" s="66"/>
      <c r="AK160" s="66"/>
      <c r="AL160" s="66"/>
      <c r="AM160" s="66"/>
      <c r="AN160" s="66"/>
      <c r="AO160" s="66"/>
      <c r="AP160" s="66"/>
      <c r="AQ160" s="66"/>
      <c r="AR160" s="66"/>
      <c r="AS160" s="66"/>
      <c r="AT160" s="66"/>
      <c r="AU160" s="66"/>
      <c r="AV160" s="66"/>
      <c r="AW160" s="66"/>
      <c r="AX160" s="66"/>
      <c r="AY160" s="66"/>
      <c r="AZ160" s="66"/>
      <c r="BA160" s="66"/>
      <c r="BB160" s="66"/>
      <c r="BC160" s="66"/>
      <c r="BD160" s="66"/>
      <c r="BE160" s="66"/>
      <c r="BF160" s="66"/>
      <c r="BG160" s="66"/>
      <c r="BH160" s="66"/>
    </row>
    <row r="161" spans="1:60" x14ac:dyDescent="0.25">
      <c r="A161" s="66"/>
      <c r="B161" s="66"/>
      <c r="C161" s="66"/>
      <c r="D161" s="66"/>
      <c r="E161" s="66"/>
      <c r="F161" s="66"/>
      <c r="G161" s="66"/>
      <c r="H161" s="66"/>
      <c r="I161" s="66"/>
      <c r="J161" s="66"/>
      <c r="K161" s="66"/>
      <c r="L161" s="66"/>
      <c r="M161" s="66"/>
      <c r="N161" s="66"/>
      <c r="O161" s="66"/>
      <c r="P161" s="66"/>
      <c r="Q161" s="66"/>
      <c r="R161" s="66"/>
      <c r="S161" s="66"/>
      <c r="T161" s="66"/>
      <c r="U161" s="66"/>
      <c r="V161" s="66"/>
      <c r="W161" s="66"/>
      <c r="X161" s="66"/>
      <c r="Y161" s="66"/>
      <c r="Z161" s="66"/>
      <c r="AA161" s="66"/>
      <c r="AB161" s="66"/>
      <c r="AC161" s="66"/>
      <c r="AD161" s="66"/>
      <c r="AE161" s="66"/>
      <c r="AF161" s="66"/>
      <c r="AG161" s="66"/>
      <c r="AH161" s="66"/>
      <c r="AI161" s="66"/>
      <c r="AJ161" s="66"/>
      <c r="AK161" s="66"/>
      <c r="AL161" s="66"/>
      <c r="AM161" s="66"/>
      <c r="AN161" s="66"/>
      <c r="AO161" s="66"/>
      <c r="AP161" s="66"/>
      <c r="AQ161" s="66"/>
      <c r="AR161" s="66"/>
      <c r="AS161" s="66"/>
      <c r="AT161" s="66"/>
      <c r="AU161" s="66"/>
      <c r="AV161" s="66"/>
      <c r="AW161" s="66"/>
      <c r="AX161" s="66"/>
      <c r="AY161" s="66"/>
      <c r="AZ161" s="66"/>
      <c r="BA161" s="66"/>
      <c r="BB161" s="66"/>
      <c r="BC161" s="66"/>
      <c r="BD161" s="66"/>
      <c r="BE161" s="66"/>
      <c r="BF161" s="66"/>
      <c r="BG161" s="66"/>
      <c r="BH161" s="66"/>
    </row>
    <row r="162" spans="1:60" x14ac:dyDescent="0.25">
      <c r="A162" s="66"/>
      <c r="B162" s="66"/>
      <c r="C162" s="66"/>
      <c r="D162" s="66"/>
      <c r="E162" s="66"/>
      <c r="F162" s="66"/>
      <c r="G162" s="66"/>
      <c r="H162" s="66"/>
      <c r="I162" s="66"/>
      <c r="J162" s="66"/>
      <c r="K162" s="66"/>
      <c r="L162" s="66"/>
      <c r="M162" s="66"/>
      <c r="N162" s="66"/>
      <c r="O162" s="66"/>
      <c r="P162" s="66"/>
      <c r="Q162" s="66"/>
      <c r="R162" s="66"/>
      <c r="S162" s="66"/>
      <c r="T162" s="66"/>
      <c r="U162" s="66"/>
      <c r="V162" s="66"/>
      <c r="W162" s="66"/>
      <c r="X162" s="66"/>
      <c r="Y162" s="66"/>
      <c r="Z162" s="66"/>
      <c r="AA162" s="66"/>
      <c r="AB162" s="66"/>
      <c r="AC162" s="66"/>
      <c r="AD162" s="66"/>
      <c r="AE162" s="66"/>
      <c r="AF162" s="66"/>
      <c r="AG162" s="66"/>
      <c r="AH162" s="66"/>
      <c r="AI162" s="66"/>
      <c r="AJ162" s="66"/>
      <c r="AK162" s="66"/>
      <c r="AL162" s="66"/>
      <c r="AM162" s="66"/>
      <c r="AN162" s="66"/>
      <c r="AO162" s="66"/>
      <c r="AP162" s="66"/>
      <c r="AQ162" s="66"/>
      <c r="AR162" s="66"/>
      <c r="AS162" s="66"/>
      <c r="AT162" s="66"/>
      <c r="AU162" s="66"/>
      <c r="AV162" s="66"/>
      <c r="AW162" s="66"/>
      <c r="AX162" s="66"/>
      <c r="AY162" s="66"/>
      <c r="AZ162" s="66"/>
      <c r="BA162" s="66"/>
      <c r="BB162" s="66"/>
      <c r="BC162" s="66"/>
      <c r="BD162" s="66"/>
      <c r="BE162" s="66"/>
      <c r="BF162" s="66"/>
      <c r="BG162" s="66"/>
      <c r="BH162" s="66"/>
    </row>
    <row r="163" spans="1:60" x14ac:dyDescent="0.25">
      <c r="A163" s="66"/>
      <c r="B163" s="66"/>
      <c r="C163" s="66"/>
      <c r="D163" s="66"/>
      <c r="E163" s="66"/>
      <c r="F163" s="66"/>
      <c r="G163" s="66"/>
      <c r="H163" s="66"/>
      <c r="I163" s="66"/>
      <c r="J163" s="66"/>
      <c r="K163" s="66"/>
      <c r="L163" s="66"/>
      <c r="M163" s="66"/>
      <c r="N163" s="66"/>
      <c r="O163" s="66"/>
      <c r="P163" s="66"/>
      <c r="Q163" s="66"/>
      <c r="R163" s="66"/>
      <c r="S163" s="66"/>
      <c r="T163" s="66"/>
      <c r="U163" s="66"/>
      <c r="V163" s="66"/>
      <c r="W163" s="66"/>
      <c r="X163" s="66"/>
      <c r="Y163" s="66"/>
      <c r="Z163" s="66"/>
      <c r="AA163" s="66"/>
      <c r="AB163" s="66"/>
      <c r="AC163" s="66"/>
      <c r="AD163" s="66"/>
      <c r="AE163" s="66"/>
      <c r="AF163" s="66"/>
      <c r="AG163" s="66"/>
      <c r="AH163" s="66"/>
      <c r="AI163" s="66"/>
      <c r="AJ163" s="66"/>
      <c r="AK163" s="66"/>
      <c r="AL163" s="66"/>
      <c r="AM163" s="66"/>
      <c r="AN163" s="66"/>
      <c r="AO163" s="66"/>
      <c r="AP163" s="66"/>
      <c r="AQ163" s="66"/>
      <c r="AR163" s="66"/>
      <c r="AS163" s="66"/>
      <c r="AT163" s="66"/>
      <c r="AU163" s="66"/>
      <c r="AV163" s="66"/>
      <c r="AW163" s="66"/>
      <c r="AX163" s="66"/>
      <c r="AY163" s="66"/>
      <c r="AZ163" s="66"/>
      <c r="BA163" s="66"/>
      <c r="BB163" s="66"/>
      <c r="BC163" s="66"/>
      <c r="BD163" s="66"/>
      <c r="BE163" s="66"/>
      <c r="BF163" s="66"/>
      <c r="BG163" s="66"/>
      <c r="BH163" s="66"/>
    </row>
    <row r="164" spans="1:60" x14ac:dyDescent="0.25">
      <c r="A164" s="66"/>
      <c r="B164" s="66"/>
      <c r="C164" s="66"/>
      <c r="D164" s="66"/>
      <c r="E164" s="66"/>
      <c r="F164" s="66"/>
      <c r="G164" s="66"/>
      <c r="H164" s="66"/>
      <c r="I164" s="66"/>
      <c r="J164" s="66"/>
      <c r="K164" s="66"/>
      <c r="L164" s="66"/>
      <c r="M164" s="66"/>
      <c r="N164" s="66"/>
      <c r="O164" s="66"/>
      <c r="P164" s="66"/>
      <c r="Q164" s="66"/>
      <c r="R164" s="66"/>
      <c r="S164" s="66"/>
      <c r="T164" s="66"/>
      <c r="U164" s="66"/>
      <c r="V164" s="66"/>
      <c r="W164" s="66"/>
      <c r="X164" s="66"/>
      <c r="Y164" s="66"/>
      <c r="Z164" s="66"/>
      <c r="AA164" s="66"/>
      <c r="AB164" s="66"/>
      <c r="AC164" s="66"/>
      <c r="AD164" s="66"/>
      <c r="AE164" s="66"/>
      <c r="AF164" s="66"/>
      <c r="AG164" s="66"/>
      <c r="AH164" s="66"/>
      <c r="AI164" s="66"/>
      <c r="AJ164" s="66"/>
      <c r="AK164" s="66"/>
      <c r="AL164" s="66"/>
      <c r="AM164" s="66"/>
      <c r="AN164" s="66"/>
      <c r="AO164" s="66"/>
      <c r="AP164" s="66"/>
      <c r="AQ164" s="66"/>
      <c r="AR164" s="66"/>
      <c r="AS164" s="66"/>
      <c r="AT164" s="66"/>
      <c r="AU164" s="66"/>
      <c r="AV164" s="66"/>
      <c r="AW164" s="66"/>
      <c r="AX164" s="66"/>
      <c r="AY164" s="66"/>
      <c r="AZ164" s="66"/>
      <c r="BA164" s="66"/>
      <c r="BB164" s="66"/>
      <c r="BC164" s="66"/>
      <c r="BD164" s="66"/>
      <c r="BE164" s="66"/>
      <c r="BF164" s="66"/>
      <c r="BG164" s="66"/>
      <c r="BH164" s="66"/>
    </row>
    <row r="165" spans="1:60" x14ac:dyDescent="0.25">
      <c r="A165" s="66"/>
      <c r="B165" s="66"/>
      <c r="C165" s="66"/>
      <c r="D165" s="66"/>
      <c r="E165" s="66"/>
      <c r="F165" s="66"/>
      <c r="G165" s="66"/>
      <c r="H165" s="66"/>
      <c r="I165" s="66"/>
      <c r="J165" s="66"/>
      <c r="K165" s="66"/>
      <c r="L165" s="66"/>
      <c r="M165" s="66"/>
      <c r="N165" s="66"/>
      <c r="O165" s="66"/>
      <c r="P165" s="66"/>
      <c r="Q165" s="66"/>
      <c r="R165" s="66"/>
      <c r="S165" s="66"/>
      <c r="T165" s="66"/>
      <c r="U165" s="66"/>
      <c r="V165" s="66"/>
      <c r="W165" s="66"/>
      <c r="X165" s="66"/>
      <c r="Y165" s="66"/>
      <c r="Z165" s="66"/>
      <c r="AA165" s="66"/>
      <c r="AB165" s="66"/>
      <c r="AC165" s="66"/>
      <c r="AD165" s="66"/>
      <c r="AE165" s="66"/>
      <c r="AF165" s="66"/>
      <c r="AG165" s="66"/>
      <c r="AH165" s="66"/>
      <c r="AI165" s="66"/>
      <c r="AJ165" s="66"/>
      <c r="AK165" s="66"/>
      <c r="AL165" s="66"/>
      <c r="AM165" s="66"/>
      <c r="AN165" s="66"/>
      <c r="AO165" s="66"/>
      <c r="AP165" s="66"/>
      <c r="AQ165" s="66"/>
      <c r="AR165" s="66"/>
      <c r="AS165" s="66"/>
      <c r="AT165" s="66"/>
      <c r="AU165" s="66"/>
      <c r="AV165" s="66"/>
      <c r="AW165" s="66"/>
      <c r="AX165" s="66"/>
      <c r="AY165" s="66"/>
      <c r="AZ165" s="66"/>
      <c r="BA165" s="66"/>
      <c r="BB165" s="66"/>
      <c r="BC165" s="66"/>
      <c r="BD165" s="66"/>
      <c r="BE165" s="66"/>
      <c r="BF165" s="66"/>
      <c r="BG165" s="66"/>
      <c r="BH165" s="66"/>
    </row>
    <row r="166" spans="1:60" x14ac:dyDescent="0.25">
      <c r="A166" s="66"/>
      <c r="B166" s="66"/>
      <c r="C166" s="66"/>
      <c r="D166" s="66"/>
      <c r="E166" s="66"/>
      <c r="F166" s="66"/>
      <c r="G166" s="66"/>
      <c r="H166" s="66"/>
      <c r="I166" s="66"/>
      <c r="J166" s="66"/>
      <c r="K166" s="66"/>
      <c r="L166" s="66"/>
      <c r="M166" s="66"/>
      <c r="N166" s="66"/>
      <c r="O166" s="66"/>
      <c r="P166" s="66"/>
      <c r="Q166" s="66"/>
      <c r="R166" s="66"/>
      <c r="S166" s="66"/>
      <c r="T166" s="66"/>
      <c r="U166" s="66"/>
      <c r="V166" s="66"/>
      <c r="W166" s="66"/>
      <c r="X166" s="66"/>
      <c r="Y166" s="66"/>
      <c r="Z166" s="66"/>
      <c r="AA166" s="66"/>
      <c r="AB166" s="66"/>
      <c r="AC166" s="66"/>
      <c r="AD166" s="66"/>
      <c r="AE166" s="66"/>
      <c r="AF166" s="66"/>
      <c r="AG166" s="66"/>
      <c r="AH166" s="66"/>
      <c r="AI166" s="66"/>
      <c r="AJ166" s="66"/>
      <c r="AK166" s="66"/>
      <c r="AL166" s="66"/>
      <c r="AM166" s="66"/>
      <c r="AN166" s="66"/>
      <c r="AO166" s="66"/>
      <c r="AP166" s="66"/>
      <c r="AQ166" s="66"/>
      <c r="AR166" s="66"/>
      <c r="AS166" s="66"/>
      <c r="AT166" s="66"/>
      <c r="AU166" s="66"/>
      <c r="AV166" s="66"/>
      <c r="AW166" s="66"/>
      <c r="AX166" s="66"/>
      <c r="AY166" s="66"/>
      <c r="AZ166" s="66"/>
      <c r="BA166" s="66"/>
      <c r="BB166" s="66"/>
      <c r="BC166" s="66"/>
      <c r="BD166" s="66"/>
      <c r="BE166" s="66"/>
      <c r="BF166" s="66"/>
      <c r="BG166" s="66"/>
      <c r="BH166" s="66"/>
    </row>
    <row r="167" spans="1:60" x14ac:dyDescent="0.25">
      <c r="A167" s="66"/>
      <c r="B167" s="66"/>
      <c r="C167" s="66"/>
      <c r="D167" s="66"/>
      <c r="E167" s="66"/>
      <c r="F167" s="66"/>
      <c r="G167" s="66"/>
      <c r="H167" s="66"/>
      <c r="I167" s="66"/>
      <c r="J167" s="66"/>
      <c r="K167" s="66"/>
      <c r="L167" s="66"/>
      <c r="M167" s="66"/>
      <c r="N167" s="66"/>
      <c r="O167" s="66"/>
      <c r="P167" s="66"/>
      <c r="Q167" s="66"/>
      <c r="R167" s="66"/>
      <c r="S167" s="66"/>
      <c r="T167" s="66"/>
      <c r="U167" s="66"/>
      <c r="V167" s="66"/>
      <c r="W167" s="66"/>
      <c r="X167" s="66"/>
      <c r="Y167" s="66"/>
      <c r="Z167" s="66"/>
      <c r="AA167" s="66"/>
      <c r="AB167" s="66"/>
      <c r="AC167" s="66"/>
      <c r="AD167" s="66"/>
      <c r="AE167" s="66"/>
      <c r="AF167" s="66"/>
      <c r="AG167" s="66"/>
      <c r="AH167" s="66"/>
      <c r="AI167" s="66"/>
      <c r="AJ167" s="66"/>
      <c r="AK167" s="66"/>
      <c r="AL167" s="66"/>
      <c r="AM167" s="66"/>
      <c r="AN167" s="66"/>
      <c r="AO167" s="66"/>
      <c r="AP167" s="66"/>
      <c r="AQ167" s="66"/>
      <c r="AR167" s="66"/>
      <c r="AS167" s="66"/>
      <c r="AT167" s="66"/>
      <c r="AU167" s="66"/>
      <c r="AV167" s="66"/>
      <c r="AW167" s="66"/>
      <c r="AX167" s="66"/>
      <c r="AY167" s="66"/>
      <c r="AZ167" s="66"/>
      <c r="BA167" s="66"/>
      <c r="BB167" s="66"/>
      <c r="BC167" s="66"/>
      <c r="BD167" s="66"/>
      <c r="BE167" s="66"/>
      <c r="BF167" s="66"/>
      <c r="BG167" s="66"/>
      <c r="BH167" s="66"/>
    </row>
    <row r="168" spans="1:60" x14ac:dyDescent="0.25">
      <c r="A168" s="66"/>
      <c r="B168" s="66"/>
      <c r="C168" s="66"/>
      <c r="D168" s="66"/>
      <c r="E168" s="66"/>
      <c r="F168" s="66"/>
      <c r="G168" s="66"/>
      <c r="H168" s="66"/>
      <c r="I168" s="66"/>
      <c r="J168" s="66"/>
      <c r="K168" s="66"/>
      <c r="L168" s="66"/>
      <c r="M168" s="66"/>
      <c r="N168" s="66"/>
      <c r="O168" s="66"/>
      <c r="P168" s="66"/>
      <c r="Q168" s="66"/>
      <c r="R168" s="66"/>
      <c r="S168" s="66"/>
      <c r="T168" s="66"/>
      <c r="U168" s="66"/>
      <c r="V168" s="66"/>
      <c r="W168" s="66"/>
      <c r="X168" s="66"/>
      <c r="Y168" s="66"/>
      <c r="Z168" s="66"/>
      <c r="AA168" s="66"/>
      <c r="AB168" s="66"/>
      <c r="AC168" s="66"/>
      <c r="AD168" s="66"/>
      <c r="AE168" s="66"/>
      <c r="AF168" s="66"/>
      <c r="AG168" s="66"/>
      <c r="AH168" s="66"/>
      <c r="AI168" s="66"/>
      <c r="AJ168" s="66"/>
      <c r="AK168" s="66"/>
      <c r="AL168" s="66"/>
      <c r="AM168" s="66"/>
      <c r="AN168" s="66"/>
      <c r="AO168" s="66"/>
      <c r="AP168" s="66"/>
      <c r="AQ168" s="66"/>
      <c r="AR168" s="66"/>
      <c r="AS168" s="66"/>
      <c r="AT168" s="66"/>
      <c r="AU168" s="66"/>
      <c r="AV168" s="66"/>
      <c r="AW168" s="66"/>
      <c r="AX168" s="66"/>
      <c r="AY168" s="66"/>
      <c r="AZ168" s="66"/>
      <c r="BA168" s="66"/>
      <c r="BB168" s="66"/>
      <c r="BC168" s="66"/>
      <c r="BD168" s="66"/>
      <c r="BE168" s="66"/>
      <c r="BF168" s="66"/>
      <c r="BG168" s="66"/>
      <c r="BH168" s="66"/>
    </row>
    <row r="169" spans="1:60" x14ac:dyDescent="0.25">
      <c r="A169" s="66"/>
      <c r="B169" s="66"/>
      <c r="C169" s="66"/>
      <c r="D169" s="66"/>
      <c r="E169" s="66"/>
      <c r="F169" s="66"/>
      <c r="G169" s="66"/>
      <c r="H169" s="66"/>
      <c r="I169" s="66"/>
      <c r="J169" s="66"/>
      <c r="K169" s="66"/>
      <c r="L169" s="66"/>
      <c r="M169" s="66"/>
      <c r="N169" s="66"/>
      <c r="O169" s="66"/>
      <c r="P169" s="66"/>
      <c r="Q169" s="66"/>
      <c r="R169" s="66"/>
      <c r="S169" s="66"/>
      <c r="T169" s="66"/>
      <c r="U169" s="66"/>
      <c r="V169" s="66"/>
      <c r="W169" s="66"/>
      <c r="X169" s="66"/>
      <c r="Y169" s="66"/>
      <c r="Z169" s="66"/>
      <c r="AA169" s="66"/>
      <c r="AB169" s="66"/>
      <c r="AC169" s="66"/>
      <c r="AD169" s="66"/>
      <c r="AE169" s="66"/>
      <c r="AF169" s="66"/>
      <c r="AG169" s="66"/>
      <c r="AH169" s="66"/>
      <c r="AI169" s="66"/>
      <c r="AJ169" s="66"/>
      <c r="AK169" s="66"/>
      <c r="AL169" s="66"/>
      <c r="AM169" s="66"/>
      <c r="AN169" s="66"/>
      <c r="AO169" s="66"/>
      <c r="AP169" s="66"/>
      <c r="AQ169" s="66"/>
      <c r="AR169" s="66"/>
      <c r="AS169" s="66"/>
      <c r="AT169" s="66"/>
      <c r="AU169" s="66"/>
      <c r="AV169" s="66"/>
      <c r="AW169" s="66"/>
      <c r="AX169" s="66"/>
      <c r="AY169" s="66"/>
      <c r="AZ169" s="66"/>
      <c r="BA169" s="66"/>
      <c r="BB169" s="66"/>
      <c r="BC169" s="66"/>
      <c r="BD169" s="66"/>
      <c r="BE169" s="66"/>
      <c r="BF169" s="66"/>
      <c r="BG169" s="66"/>
      <c r="BH169" s="66"/>
    </row>
    <row r="170" spans="1:60" x14ac:dyDescent="0.25">
      <c r="A170" s="66"/>
      <c r="B170" s="66"/>
      <c r="C170" s="66"/>
      <c r="D170" s="66"/>
      <c r="E170" s="66"/>
      <c r="F170" s="66"/>
      <c r="G170" s="66"/>
      <c r="H170" s="66"/>
      <c r="I170" s="66"/>
      <c r="J170" s="66"/>
      <c r="K170" s="66"/>
      <c r="L170" s="66"/>
      <c r="M170" s="66"/>
      <c r="N170" s="66"/>
      <c r="O170" s="66"/>
      <c r="P170" s="66"/>
      <c r="Q170" s="66"/>
      <c r="R170" s="66"/>
      <c r="S170" s="66"/>
      <c r="T170" s="66"/>
      <c r="U170" s="66"/>
      <c r="V170" s="66"/>
      <c r="W170" s="66"/>
      <c r="X170" s="66"/>
      <c r="Y170" s="66"/>
      <c r="Z170" s="66"/>
      <c r="AA170" s="66"/>
      <c r="AB170" s="66"/>
      <c r="AC170" s="66"/>
      <c r="AD170" s="66"/>
      <c r="AE170" s="66"/>
      <c r="AF170" s="66"/>
      <c r="AG170" s="66"/>
      <c r="AH170" s="66"/>
      <c r="AI170" s="66"/>
      <c r="AJ170" s="66"/>
      <c r="AK170" s="66"/>
      <c r="AL170" s="66"/>
      <c r="AM170" s="66"/>
      <c r="AN170" s="66"/>
      <c r="AO170" s="66"/>
      <c r="AP170" s="66"/>
      <c r="AQ170" s="66"/>
      <c r="AR170" s="66"/>
      <c r="AS170" s="66"/>
      <c r="AT170" s="66"/>
      <c r="AU170" s="66"/>
      <c r="AV170" s="66"/>
      <c r="AW170" s="66"/>
      <c r="AX170" s="66"/>
      <c r="AY170" s="66"/>
      <c r="AZ170" s="66"/>
      <c r="BA170" s="66"/>
      <c r="BB170" s="66"/>
      <c r="BC170" s="66"/>
      <c r="BD170" s="66"/>
      <c r="BE170" s="66"/>
      <c r="BF170" s="66"/>
      <c r="BG170" s="66"/>
      <c r="BH170" s="66"/>
    </row>
    <row r="171" spans="1:60" x14ac:dyDescent="0.25">
      <c r="A171" s="66"/>
      <c r="B171" s="66"/>
      <c r="C171" s="66"/>
      <c r="D171" s="66"/>
      <c r="E171" s="66"/>
      <c r="F171" s="66"/>
      <c r="G171" s="66"/>
      <c r="H171" s="66"/>
      <c r="I171" s="66"/>
      <c r="J171" s="66"/>
      <c r="K171" s="66"/>
      <c r="L171" s="66"/>
      <c r="M171" s="66"/>
      <c r="N171" s="66"/>
      <c r="O171" s="66"/>
      <c r="P171" s="66"/>
      <c r="Q171" s="66"/>
      <c r="R171" s="66"/>
      <c r="S171" s="66"/>
      <c r="T171" s="66"/>
      <c r="U171" s="66"/>
      <c r="V171" s="66"/>
      <c r="W171" s="66"/>
      <c r="X171" s="66"/>
      <c r="Y171" s="66"/>
      <c r="Z171" s="66"/>
      <c r="AA171" s="66"/>
      <c r="AB171" s="66"/>
      <c r="AC171" s="66"/>
      <c r="AD171" s="66"/>
      <c r="AE171" s="66"/>
      <c r="AF171" s="66"/>
      <c r="AG171" s="66"/>
      <c r="AH171" s="66"/>
      <c r="AI171" s="66"/>
      <c r="AJ171" s="66"/>
      <c r="AK171" s="66"/>
      <c r="AL171" s="66"/>
      <c r="AM171" s="66"/>
      <c r="AN171" s="66"/>
      <c r="AO171" s="66"/>
      <c r="AP171" s="66"/>
      <c r="AQ171" s="66"/>
      <c r="AR171" s="66"/>
      <c r="AS171" s="66"/>
      <c r="AT171" s="66"/>
      <c r="AU171" s="66"/>
      <c r="AV171" s="66"/>
      <c r="AW171" s="66"/>
      <c r="AX171" s="66"/>
      <c r="AY171" s="66"/>
      <c r="AZ171" s="66"/>
      <c r="BA171" s="66"/>
      <c r="BB171" s="66"/>
      <c r="BC171" s="66"/>
      <c r="BD171" s="66"/>
      <c r="BE171" s="66"/>
      <c r="BF171" s="66"/>
      <c r="BG171" s="66"/>
      <c r="BH171" s="66"/>
    </row>
    <row r="172" spans="1:60" x14ac:dyDescent="0.25">
      <c r="A172" s="66"/>
      <c r="B172" s="66"/>
      <c r="C172" s="66"/>
      <c r="D172" s="66"/>
      <c r="E172" s="66"/>
      <c r="F172" s="66"/>
      <c r="G172" s="66"/>
      <c r="H172" s="66"/>
      <c r="I172" s="66"/>
      <c r="J172" s="66"/>
      <c r="K172" s="66"/>
      <c r="L172" s="66"/>
      <c r="M172" s="66"/>
      <c r="N172" s="66"/>
      <c r="O172" s="66"/>
      <c r="P172" s="66"/>
      <c r="Q172" s="66"/>
      <c r="R172" s="66"/>
      <c r="S172" s="66"/>
      <c r="T172" s="66"/>
      <c r="U172" s="66"/>
      <c r="V172" s="66"/>
      <c r="W172" s="66"/>
      <c r="X172" s="66"/>
      <c r="Y172" s="66"/>
      <c r="Z172" s="66"/>
      <c r="AA172" s="66"/>
      <c r="AB172" s="66"/>
      <c r="AC172" s="66"/>
      <c r="AD172" s="66"/>
      <c r="AE172" s="66"/>
      <c r="AF172" s="66"/>
      <c r="AG172" s="66"/>
      <c r="AH172" s="66"/>
      <c r="AI172" s="66"/>
      <c r="AJ172" s="66"/>
      <c r="AK172" s="66"/>
      <c r="AL172" s="66"/>
      <c r="AM172" s="66"/>
      <c r="AN172" s="66"/>
      <c r="AO172" s="66"/>
      <c r="AP172" s="66"/>
      <c r="AQ172" s="66"/>
      <c r="AR172" s="66"/>
      <c r="AS172" s="66"/>
      <c r="AT172" s="66"/>
      <c r="AU172" s="66"/>
      <c r="AV172" s="66"/>
      <c r="AW172" s="66"/>
      <c r="AX172" s="66"/>
      <c r="AY172" s="66"/>
      <c r="AZ172" s="66"/>
      <c r="BA172" s="66"/>
      <c r="BB172" s="66"/>
      <c r="BC172" s="66"/>
      <c r="BD172" s="66"/>
      <c r="BE172" s="66"/>
      <c r="BF172" s="66"/>
      <c r="BG172" s="66"/>
      <c r="BH172" s="66"/>
    </row>
    <row r="173" spans="1:60" x14ac:dyDescent="0.25">
      <c r="A173" s="66"/>
      <c r="B173" s="66"/>
      <c r="C173" s="66"/>
      <c r="D173" s="66"/>
      <c r="E173" s="66"/>
      <c r="F173" s="66"/>
      <c r="G173" s="66"/>
      <c r="H173" s="66"/>
      <c r="I173" s="66"/>
      <c r="J173" s="66"/>
      <c r="K173" s="66"/>
      <c r="L173" s="66"/>
      <c r="M173" s="66"/>
      <c r="N173" s="66"/>
      <c r="O173" s="66"/>
      <c r="P173" s="66"/>
      <c r="Q173" s="66"/>
      <c r="R173" s="66"/>
      <c r="S173" s="66"/>
      <c r="T173" s="66"/>
      <c r="U173" s="66"/>
      <c r="V173" s="66"/>
      <c r="W173" s="66"/>
      <c r="X173" s="66"/>
      <c r="Y173" s="66"/>
      <c r="Z173" s="66"/>
      <c r="AA173" s="66"/>
      <c r="AB173" s="66"/>
      <c r="AC173" s="66"/>
      <c r="AD173" s="66"/>
      <c r="AE173" s="66"/>
      <c r="AF173" s="66"/>
      <c r="AG173" s="66"/>
      <c r="AH173" s="66"/>
      <c r="AI173" s="66"/>
      <c r="AJ173" s="66"/>
      <c r="AK173" s="66"/>
      <c r="AL173" s="66"/>
      <c r="AM173" s="66"/>
      <c r="AN173" s="66"/>
      <c r="AO173" s="66"/>
      <c r="AP173" s="66"/>
      <c r="AQ173" s="66"/>
      <c r="AR173" s="66"/>
      <c r="AS173" s="66"/>
      <c r="AT173" s="66"/>
      <c r="AU173" s="66"/>
      <c r="AV173" s="66"/>
      <c r="AW173" s="66"/>
      <c r="AX173" s="66"/>
      <c r="AY173" s="66"/>
      <c r="AZ173" s="66"/>
      <c r="BA173" s="66"/>
      <c r="BB173" s="66"/>
      <c r="BC173" s="66"/>
      <c r="BD173" s="66"/>
      <c r="BE173" s="66"/>
      <c r="BF173" s="66"/>
      <c r="BG173" s="66"/>
      <c r="BH173" s="66"/>
    </row>
    <row r="174" spans="1:60" x14ac:dyDescent="0.25">
      <c r="A174" s="66"/>
      <c r="B174" s="66"/>
      <c r="C174" s="66"/>
      <c r="D174" s="66"/>
      <c r="E174" s="66"/>
      <c r="F174" s="66"/>
      <c r="G174" s="66"/>
      <c r="H174" s="66"/>
      <c r="I174" s="66"/>
      <c r="J174" s="66"/>
      <c r="K174" s="66"/>
      <c r="L174" s="66"/>
      <c r="M174" s="66"/>
      <c r="N174" s="66"/>
      <c r="O174" s="66"/>
      <c r="P174" s="66"/>
      <c r="Q174" s="66"/>
      <c r="R174" s="66"/>
      <c r="S174" s="66"/>
      <c r="T174" s="66"/>
      <c r="U174" s="66"/>
      <c r="V174" s="66"/>
      <c r="W174" s="66"/>
      <c r="X174" s="66"/>
      <c r="Y174" s="66"/>
      <c r="Z174" s="66"/>
      <c r="AA174" s="66"/>
      <c r="AB174" s="66"/>
      <c r="AC174" s="66"/>
      <c r="AD174" s="66"/>
      <c r="AE174" s="66"/>
      <c r="AF174" s="66"/>
      <c r="AG174" s="66"/>
      <c r="AH174" s="66"/>
      <c r="AI174" s="66"/>
      <c r="AJ174" s="66"/>
      <c r="AK174" s="66"/>
      <c r="AL174" s="66"/>
      <c r="AM174" s="66"/>
      <c r="AN174" s="66"/>
      <c r="AO174" s="66"/>
      <c r="AP174" s="66"/>
      <c r="AQ174" s="66"/>
      <c r="AR174" s="66"/>
      <c r="AS174" s="66"/>
      <c r="AT174" s="66"/>
      <c r="AU174" s="66"/>
      <c r="AV174" s="66"/>
      <c r="AW174" s="66"/>
      <c r="AX174" s="66"/>
      <c r="AY174" s="66"/>
      <c r="AZ174" s="66"/>
      <c r="BA174" s="66"/>
      <c r="BB174" s="66"/>
      <c r="BC174" s="66"/>
      <c r="BD174" s="66"/>
      <c r="BE174" s="66"/>
      <c r="BF174" s="66"/>
      <c r="BG174" s="66"/>
      <c r="BH174" s="66"/>
    </row>
    <row r="175" spans="1:60" x14ac:dyDescent="0.25">
      <c r="A175" s="66"/>
      <c r="B175" s="66"/>
      <c r="C175" s="66"/>
      <c r="D175" s="66"/>
      <c r="E175" s="66"/>
      <c r="F175" s="66"/>
      <c r="G175" s="66"/>
      <c r="H175" s="66"/>
      <c r="I175" s="66"/>
      <c r="J175" s="66"/>
      <c r="K175" s="66"/>
      <c r="L175" s="66"/>
      <c r="M175" s="66"/>
      <c r="N175" s="66"/>
      <c r="O175" s="66"/>
      <c r="P175" s="66"/>
      <c r="Q175" s="66"/>
      <c r="R175" s="66"/>
      <c r="S175" s="66"/>
      <c r="T175" s="66"/>
      <c r="U175" s="66"/>
      <c r="V175" s="66"/>
      <c r="W175" s="66"/>
      <c r="X175" s="66"/>
      <c r="Y175" s="66"/>
      <c r="Z175" s="66"/>
      <c r="AA175" s="66"/>
      <c r="AB175" s="66"/>
      <c r="AC175" s="66"/>
      <c r="AD175" s="66"/>
      <c r="AE175" s="66"/>
      <c r="AF175" s="66"/>
      <c r="AG175" s="66"/>
      <c r="AH175" s="66"/>
      <c r="AI175" s="66"/>
      <c r="AJ175" s="66"/>
      <c r="AK175" s="66"/>
      <c r="AL175" s="66"/>
      <c r="AM175" s="66"/>
      <c r="AN175" s="66"/>
      <c r="AO175" s="66"/>
      <c r="AP175" s="66"/>
      <c r="AQ175" s="66"/>
      <c r="AR175" s="66"/>
      <c r="AS175" s="66"/>
      <c r="AT175" s="66"/>
      <c r="AU175" s="66"/>
      <c r="AV175" s="66"/>
      <c r="AW175" s="66"/>
      <c r="AX175" s="66"/>
      <c r="AY175" s="66"/>
      <c r="AZ175" s="66"/>
      <c r="BA175" s="66"/>
      <c r="BB175" s="66"/>
      <c r="BC175" s="66"/>
      <c r="BD175" s="66"/>
      <c r="BE175" s="66"/>
      <c r="BF175" s="66"/>
      <c r="BG175" s="66"/>
      <c r="BH175" s="66"/>
    </row>
    <row r="176" spans="1:60" x14ac:dyDescent="0.25">
      <c r="A176" s="66"/>
      <c r="B176" s="66"/>
      <c r="C176" s="66"/>
      <c r="D176" s="66"/>
      <c r="E176" s="66"/>
      <c r="F176" s="66"/>
      <c r="G176" s="66"/>
      <c r="H176" s="66"/>
      <c r="I176" s="66"/>
      <c r="J176" s="66"/>
      <c r="K176" s="66"/>
      <c r="L176" s="66"/>
      <c r="M176" s="66"/>
      <c r="N176" s="66"/>
      <c r="O176" s="66"/>
      <c r="P176" s="66"/>
      <c r="Q176" s="66"/>
      <c r="R176" s="66"/>
      <c r="S176" s="66"/>
      <c r="T176" s="66"/>
      <c r="U176" s="66"/>
      <c r="V176" s="66"/>
      <c r="W176" s="66"/>
      <c r="X176" s="66"/>
      <c r="Y176" s="66"/>
      <c r="Z176" s="66"/>
      <c r="AA176" s="66"/>
      <c r="AB176" s="66"/>
      <c r="AC176" s="66"/>
      <c r="AD176" s="66"/>
      <c r="AE176" s="66"/>
      <c r="AF176" s="66"/>
      <c r="AG176" s="66"/>
      <c r="AH176" s="66"/>
      <c r="AI176" s="66"/>
      <c r="AJ176" s="66"/>
      <c r="AK176" s="66"/>
      <c r="AL176" s="66"/>
      <c r="AM176" s="66"/>
      <c r="AN176" s="66"/>
      <c r="AO176" s="66"/>
      <c r="AP176" s="66"/>
      <c r="AQ176" s="66"/>
      <c r="AR176" s="66"/>
      <c r="AS176" s="66"/>
      <c r="AT176" s="66"/>
      <c r="AU176" s="66"/>
      <c r="AV176" s="66"/>
      <c r="AW176" s="66"/>
      <c r="AX176" s="66"/>
      <c r="AY176" s="66"/>
      <c r="AZ176" s="66"/>
      <c r="BA176" s="66"/>
      <c r="BB176" s="66"/>
      <c r="BC176" s="66"/>
      <c r="BD176" s="66"/>
      <c r="BE176" s="66"/>
      <c r="BF176" s="66"/>
      <c r="BG176" s="66"/>
      <c r="BH176" s="66"/>
    </row>
    <row r="177" spans="1:60" x14ac:dyDescent="0.25">
      <c r="A177" s="66"/>
      <c r="B177" s="66"/>
      <c r="C177" s="66"/>
      <c r="D177" s="66"/>
      <c r="E177" s="66"/>
      <c r="F177" s="66"/>
      <c r="G177" s="66"/>
      <c r="H177" s="66"/>
      <c r="I177" s="66"/>
      <c r="J177" s="66"/>
      <c r="K177" s="66"/>
      <c r="L177" s="66"/>
      <c r="M177" s="66"/>
      <c r="N177" s="66"/>
      <c r="O177" s="66"/>
      <c r="P177" s="66"/>
      <c r="Q177" s="66"/>
      <c r="R177" s="66"/>
      <c r="S177" s="66"/>
      <c r="T177" s="66"/>
      <c r="U177" s="66"/>
      <c r="V177" s="66"/>
      <c r="W177" s="66"/>
      <c r="X177" s="66"/>
      <c r="Y177" s="66"/>
      <c r="Z177" s="66"/>
      <c r="AA177" s="66"/>
      <c r="AB177" s="66"/>
      <c r="AC177" s="66"/>
      <c r="AD177" s="66"/>
      <c r="AE177" s="66"/>
      <c r="AF177" s="66"/>
      <c r="AG177" s="66"/>
      <c r="AH177" s="66"/>
      <c r="AI177" s="66"/>
      <c r="AJ177" s="66"/>
      <c r="AK177" s="66"/>
      <c r="AL177" s="66"/>
      <c r="AM177" s="66"/>
      <c r="AN177" s="66"/>
      <c r="AO177" s="66"/>
      <c r="AP177" s="66"/>
      <c r="AQ177" s="66"/>
      <c r="AR177" s="66"/>
      <c r="AS177" s="66"/>
      <c r="AT177" s="66"/>
      <c r="AU177" s="66"/>
      <c r="AV177" s="66"/>
      <c r="AW177" s="66"/>
      <c r="AX177" s="66"/>
      <c r="AY177" s="66"/>
      <c r="AZ177" s="66"/>
      <c r="BA177" s="66"/>
      <c r="BB177" s="66"/>
      <c r="BC177" s="66"/>
      <c r="BD177" s="66"/>
      <c r="BE177" s="66"/>
      <c r="BF177" s="66"/>
      <c r="BG177" s="66"/>
      <c r="BH177" s="66"/>
    </row>
    <row r="178" spans="1:60" x14ac:dyDescent="0.25">
      <c r="A178" s="66"/>
      <c r="B178" s="66"/>
      <c r="C178" s="66"/>
      <c r="D178" s="66"/>
      <c r="E178" s="66"/>
      <c r="F178" s="66"/>
      <c r="G178" s="66"/>
      <c r="H178" s="66"/>
      <c r="I178" s="66"/>
      <c r="J178" s="66"/>
      <c r="K178" s="66"/>
      <c r="L178" s="66"/>
      <c r="M178" s="66"/>
      <c r="N178" s="66"/>
      <c r="O178" s="66"/>
      <c r="P178" s="66"/>
      <c r="Q178" s="66"/>
      <c r="R178" s="66"/>
      <c r="S178" s="66"/>
      <c r="T178" s="66"/>
      <c r="U178" s="66"/>
      <c r="V178" s="66"/>
      <c r="W178" s="66"/>
      <c r="X178" s="66"/>
      <c r="Y178" s="66"/>
      <c r="Z178" s="66"/>
      <c r="AA178" s="66"/>
      <c r="AB178" s="66"/>
      <c r="AC178" s="66"/>
      <c r="AD178" s="66"/>
      <c r="AE178" s="66"/>
      <c r="AF178" s="66"/>
      <c r="AG178" s="66"/>
      <c r="AH178" s="66"/>
      <c r="AI178" s="66"/>
      <c r="AJ178" s="66"/>
      <c r="AK178" s="66"/>
      <c r="AL178" s="66"/>
      <c r="AM178" s="66"/>
      <c r="AN178" s="66"/>
      <c r="AO178" s="66"/>
      <c r="AP178" s="66"/>
      <c r="AQ178" s="66"/>
      <c r="AR178" s="66"/>
      <c r="AS178" s="66"/>
      <c r="AT178" s="66"/>
      <c r="AU178" s="66"/>
      <c r="AV178" s="66"/>
      <c r="AW178" s="66"/>
      <c r="AX178" s="66"/>
      <c r="AY178" s="66"/>
      <c r="AZ178" s="66"/>
      <c r="BA178" s="66"/>
      <c r="BB178" s="66"/>
      <c r="BC178" s="66"/>
      <c r="BD178" s="66"/>
      <c r="BE178" s="66"/>
      <c r="BF178" s="66"/>
      <c r="BG178" s="66"/>
      <c r="BH178" s="66"/>
    </row>
    <row r="179" spans="1:60" x14ac:dyDescent="0.25">
      <c r="A179" s="66"/>
      <c r="B179" s="66"/>
      <c r="C179" s="66"/>
      <c r="D179" s="66"/>
      <c r="E179" s="66"/>
      <c r="F179" s="66"/>
      <c r="G179" s="66"/>
      <c r="H179" s="66"/>
      <c r="I179" s="66"/>
      <c r="J179" s="66"/>
      <c r="K179" s="66"/>
      <c r="L179" s="66"/>
      <c r="M179" s="66"/>
      <c r="N179" s="66"/>
      <c r="O179" s="66"/>
      <c r="P179" s="66"/>
      <c r="Q179" s="66"/>
      <c r="R179" s="66"/>
      <c r="S179" s="66"/>
      <c r="T179" s="66"/>
      <c r="U179" s="66"/>
      <c r="V179" s="66"/>
      <c r="W179" s="66"/>
      <c r="X179" s="66"/>
      <c r="Y179" s="66"/>
      <c r="Z179" s="66"/>
      <c r="AA179" s="66"/>
      <c r="AB179" s="66"/>
      <c r="AC179" s="66"/>
      <c r="AD179" s="66"/>
      <c r="AE179" s="66"/>
      <c r="AF179" s="66"/>
      <c r="AG179" s="66"/>
      <c r="AH179" s="66"/>
      <c r="AI179" s="66"/>
      <c r="AJ179" s="66"/>
      <c r="AK179" s="66"/>
      <c r="AL179" s="66"/>
      <c r="AM179" s="66"/>
      <c r="AN179" s="66"/>
      <c r="AO179" s="66"/>
      <c r="AP179" s="66"/>
      <c r="AQ179" s="66"/>
      <c r="AR179" s="66"/>
      <c r="AS179" s="66"/>
      <c r="AT179" s="66"/>
      <c r="AU179" s="66"/>
      <c r="AV179" s="66"/>
      <c r="AW179" s="66"/>
      <c r="AX179" s="66"/>
      <c r="AY179" s="66"/>
      <c r="AZ179" s="66"/>
      <c r="BA179" s="66"/>
      <c r="BB179" s="66"/>
      <c r="BC179" s="66"/>
      <c r="BD179" s="66"/>
      <c r="BE179" s="66"/>
      <c r="BF179" s="66"/>
      <c r="BG179" s="66"/>
      <c r="BH179" s="66"/>
    </row>
    <row r="180" spans="1:60" x14ac:dyDescent="0.25">
      <c r="A180" s="66"/>
      <c r="B180" s="66"/>
      <c r="C180" s="66"/>
      <c r="D180" s="66"/>
      <c r="E180" s="66"/>
      <c r="F180" s="66"/>
      <c r="G180" s="66"/>
      <c r="H180" s="66"/>
      <c r="I180" s="66"/>
      <c r="J180" s="66"/>
      <c r="K180" s="66"/>
      <c r="L180" s="66"/>
      <c r="M180" s="66"/>
      <c r="N180" s="66"/>
      <c r="O180" s="66"/>
      <c r="P180" s="66"/>
      <c r="Q180" s="66"/>
      <c r="R180" s="66"/>
      <c r="S180" s="66"/>
      <c r="T180" s="66"/>
      <c r="U180" s="66"/>
      <c r="V180" s="66"/>
      <c r="W180" s="66"/>
      <c r="X180" s="66"/>
      <c r="Y180" s="66"/>
      <c r="Z180" s="66"/>
      <c r="AA180" s="66"/>
      <c r="AB180" s="66"/>
      <c r="AC180" s="66"/>
      <c r="AD180" s="66"/>
      <c r="AE180" s="66"/>
      <c r="AF180" s="66"/>
      <c r="AG180" s="66"/>
      <c r="AH180" s="66"/>
      <c r="AI180" s="66"/>
      <c r="AJ180" s="66"/>
      <c r="AK180" s="66"/>
      <c r="AL180" s="66"/>
      <c r="AM180" s="66"/>
      <c r="AN180" s="66"/>
      <c r="AO180" s="66"/>
      <c r="AP180" s="66"/>
      <c r="AQ180" s="66"/>
      <c r="AR180" s="66"/>
      <c r="AS180" s="66"/>
      <c r="AT180" s="66"/>
      <c r="AU180" s="66"/>
      <c r="AV180" s="66"/>
      <c r="AW180" s="66"/>
      <c r="AX180" s="66"/>
      <c r="AY180" s="66"/>
      <c r="AZ180" s="66"/>
      <c r="BA180" s="66"/>
      <c r="BB180" s="66"/>
      <c r="BC180" s="66"/>
      <c r="BD180" s="66"/>
      <c r="BE180" s="66"/>
      <c r="BF180" s="66"/>
      <c r="BG180" s="66"/>
      <c r="BH180" s="66"/>
    </row>
    <row r="181" spans="1:60" x14ac:dyDescent="0.25">
      <c r="A181" s="66"/>
      <c r="B181" s="66"/>
      <c r="C181" s="66"/>
      <c r="D181" s="66"/>
      <c r="E181" s="66"/>
      <c r="F181" s="66"/>
      <c r="G181" s="66"/>
      <c r="H181" s="66"/>
      <c r="I181" s="66"/>
      <c r="J181" s="66"/>
      <c r="K181" s="66"/>
      <c r="L181" s="66"/>
      <c r="M181" s="66"/>
      <c r="N181" s="66"/>
      <c r="O181" s="66"/>
      <c r="P181" s="66"/>
      <c r="Q181" s="66"/>
      <c r="R181" s="66"/>
      <c r="S181" s="66"/>
      <c r="T181" s="66"/>
      <c r="U181" s="66"/>
      <c r="V181" s="66"/>
      <c r="W181" s="66"/>
      <c r="X181" s="66"/>
      <c r="Y181" s="66"/>
      <c r="Z181" s="66"/>
      <c r="AA181" s="66"/>
      <c r="AB181" s="66"/>
      <c r="AC181" s="66"/>
      <c r="AD181" s="66"/>
      <c r="AE181" s="66"/>
      <c r="AF181" s="66"/>
      <c r="AG181" s="66"/>
      <c r="AH181" s="66"/>
      <c r="AI181" s="66"/>
      <c r="AJ181" s="66"/>
      <c r="AK181" s="66"/>
      <c r="AL181" s="66"/>
      <c r="AM181" s="66"/>
      <c r="AN181" s="66"/>
      <c r="AO181" s="66"/>
      <c r="AP181" s="66"/>
      <c r="AQ181" s="66"/>
      <c r="AR181" s="66"/>
      <c r="AS181" s="66"/>
      <c r="AT181" s="66"/>
      <c r="AU181" s="66"/>
      <c r="AV181" s="66"/>
      <c r="AW181" s="66"/>
      <c r="AX181" s="66"/>
      <c r="AY181" s="66"/>
      <c r="AZ181" s="66"/>
      <c r="BA181" s="66"/>
      <c r="BB181" s="66"/>
      <c r="BC181" s="66"/>
      <c r="BD181" s="66"/>
      <c r="BE181" s="66"/>
      <c r="BF181" s="66"/>
      <c r="BG181" s="66"/>
      <c r="BH181" s="66"/>
    </row>
    <row r="182" spans="1:60" x14ac:dyDescent="0.25">
      <c r="A182" s="66"/>
      <c r="B182" s="66"/>
      <c r="C182" s="66"/>
      <c r="D182" s="66"/>
      <c r="E182" s="66"/>
      <c r="F182" s="66"/>
      <c r="G182" s="66"/>
      <c r="H182" s="66"/>
      <c r="I182" s="66"/>
      <c r="J182" s="66"/>
      <c r="K182" s="66"/>
      <c r="L182" s="66"/>
      <c r="M182" s="66"/>
      <c r="N182" s="66"/>
      <c r="O182" s="66"/>
      <c r="P182" s="66"/>
      <c r="Q182" s="66"/>
      <c r="R182" s="66"/>
      <c r="S182" s="66"/>
      <c r="T182" s="66"/>
      <c r="U182" s="66"/>
      <c r="V182" s="66"/>
      <c r="W182" s="66"/>
      <c r="X182" s="66"/>
      <c r="Y182" s="66"/>
      <c r="Z182" s="66"/>
      <c r="AA182" s="66"/>
      <c r="AB182" s="66"/>
      <c r="AC182" s="66"/>
      <c r="AD182" s="66"/>
      <c r="AE182" s="66"/>
      <c r="AF182" s="66"/>
      <c r="AG182" s="66"/>
      <c r="AH182" s="66"/>
      <c r="AI182" s="66"/>
      <c r="AJ182" s="66"/>
      <c r="AK182" s="66"/>
      <c r="AL182" s="66"/>
      <c r="AM182" s="66"/>
      <c r="AN182" s="66"/>
      <c r="AO182" s="66"/>
      <c r="AP182" s="66"/>
      <c r="AQ182" s="66"/>
      <c r="AR182" s="66"/>
      <c r="AS182" s="66"/>
      <c r="AT182" s="66"/>
      <c r="AU182" s="66"/>
      <c r="AV182" s="66"/>
      <c r="AW182" s="66"/>
      <c r="AX182" s="66"/>
      <c r="AY182" s="66"/>
      <c r="AZ182" s="66"/>
      <c r="BA182" s="66"/>
      <c r="BB182" s="66"/>
      <c r="BC182" s="66"/>
      <c r="BD182" s="66"/>
      <c r="BE182" s="66"/>
      <c r="BF182" s="66"/>
      <c r="BG182" s="66"/>
      <c r="BH182" s="66"/>
    </row>
    <row r="183" spans="1:60" x14ac:dyDescent="0.25">
      <c r="A183" s="66"/>
      <c r="B183" s="66"/>
      <c r="C183" s="66"/>
      <c r="D183" s="66"/>
      <c r="E183" s="66"/>
      <c r="F183" s="66"/>
      <c r="G183" s="66"/>
      <c r="H183" s="66"/>
      <c r="I183" s="66"/>
      <c r="J183" s="66"/>
      <c r="K183" s="66"/>
      <c r="L183" s="66"/>
      <c r="M183" s="66"/>
      <c r="N183" s="66"/>
      <c r="O183" s="66"/>
      <c r="P183" s="66"/>
      <c r="Q183" s="66"/>
      <c r="R183" s="66"/>
      <c r="S183" s="66"/>
      <c r="T183" s="66"/>
      <c r="U183" s="66"/>
      <c r="V183" s="66"/>
      <c r="W183" s="66"/>
      <c r="X183" s="66"/>
      <c r="Y183" s="66"/>
      <c r="Z183" s="66"/>
      <c r="AA183" s="66"/>
      <c r="AB183" s="66"/>
      <c r="AC183" s="66"/>
      <c r="AD183" s="66"/>
      <c r="AE183" s="66"/>
      <c r="AF183" s="66"/>
      <c r="AG183" s="66"/>
      <c r="AH183" s="66"/>
      <c r="AI183" s="66"/>
      <c r="AJ183" s="66"/>
      <c r="AK183" s="66"/>
      <c r="AL183" s="66"/>
      <c r="AM183" s="66"/>
      <c r="AN183" s="66"/>
      <c r="AO183" s="66"/>
      <c r="AP183" s="66"/>
      <c r="AQ183" s="66"/>
      <c r="AR183" s="66"/>
      <c r="AS183" s="66"/>
      <c r="AT183" s="66"/>
      <c r="AU183" s="66"/>
      <c r="AV183" s="66"/>
      <c r="AW183" s="66"/>
      <c r="AX183" s="66"/>
      <c r="AY183" s="66"/>
      <c r="AZ183" s="66"/>
      <c r="BA183" s="66"/>
      <c r="BB183" s="66"/>
      <c r="BC183" s="66"/>
      <c r="BD183" s="66"/>
      <c r="BE183" s="66"/>
      <c r="BF183" s="66"/>
      <c r="BG183" s="66"/>
      <c r="BH183" s="66"/>
    </row>
    <row r="184" spans="1:60" x14ac:dyDescent="0.25">
      <c r="A184" s="66"/>
      <c r="B184" s="66"/>
      <c r="C184" s="66"/>
      <c r="D184" s="66"/>
      <c r="E184" s="66"/>
      <c r="F184" s="66"/>
      <c r="G184" s="66"/>
      <c r="H184" s="66"/>
      <c r="I184" s="66"/>
      <c r="J184" s="66"/>
      <c r="K184" s="66"/>
      <c r="L184" s="66"/>
      <c r="M184" s="66"/>
      <c r="N184" s="66"/>
      <c r="O184" s="66"/>
      <c r="P184" s="66"/>
      <c r="Q184" s="66"/>
      <c r="R184" s="66"/>
      <c r="S184" s="66"/>
      <c r="T184" s="66"/>
      <c r="U184" s="66"/>
      <c r="V184" s="66"/>
      <c r="W184" s="66"/>
      <c r="X184" s="66"/>
      <c r="Y184" s="66"/>
      <c r="Z184" s="66"/>
      <c r="AA184" s="66"/>
      <c r="AB184" s="66"/>
      <c r="AC184" s="66"/>
      <c r="AD184" s="66"/>
      <c r="AE184" s="66"/>
      <c r="AF184" s="66"/>
      <c r="AG184" s="66"/>
      <c r="AH184" s="66"/>
      <c r="AI184" s="66"/>
      <c r="AJ184" s="66"/>
      <c r="AK184" s="66"/>
      <c r="AL184" s="66"/>
      <c r="AM184" s="66"/>
      <c r="AN184" s="66"/>
      <c r="AO184" s="66"/>
      <c r="AP184" s="66"/>
      <c r="AQ184" s="66"/>
      <c r="AR184" s="66"/>
      <c r="AS184" s="66"/>
      <c r="AT184" s="66"/>
      <c r="AU184" s="66"/>
      <c r="AV184" s="66"/>
      <c r="AW184" s="66"/>
      <c r="AX184" s="66"/>
      <c r="AY184" s="66"/>
      <c r="AZ184" s="66"/>
      <c r="BA184" s="66"/>
      <c r="BB184" s="66"/>
      <c r="BC184" s="66"/>
      <c r="BD184" s="66"/>
      <c r="BE184" s="66"/>
      <c r="BF184" s="66"/>
      <c r="BG184" s="66"/>
      <c r="BH184" s="66"/>
    </row>
    <row r="185" spans="1:60" x14ac:dyDescent="0.25">
      <c r="A185" s="66"/>
      <c r="B185" s="66"/>
      <c r="C185" s="66"/>
      <c r="D185" s="66"/>
      <c r="E185" s="66"/>
      <c r="F185" s="66"/>
      <c r="G185" s="66"/>
      <c r="H185" s="66"/>
      <c r="I185" s="66"/>
      <c r="J185" s="66"/>
      <c r="K185" s="66"/>
      <c r="L185" s="66"/>
      <c r="M185" s="66"/>
      <c r="N185" s="66"/>
      <c r="O185" s="66"/>
      <c r="P185" s="66"/>
      <c r="Q185" s="66"/>
      <c r="R185" s="66"/>
      <c r="S185" s="66"/>
      <c r="T185" s="66"/>
      <c r="U185" s="66"/>
      <c r="V185" s="66"/>
      <c r="W185" s="66"/>
      <c r="X185" s="66"/>
      <c r="Y185" s="66"/>
      <c r="Z185" s="66"/>
      <c r="AA185" s="66"/>
      <c r="AB185" s="66"/>
      <c r="AC185" s="66"/>
      <c r="AD185" s="66"/>
      <c r="AE185" s="66"/>
      <c r="AF185" s="66"/>
      <c r="AG185" s="66"/>
      <c r="AH185" s="66"/>
      <c r="AI185" s="66"/>
      <c r="AJ185" s="66"/>
      <c r="AK185" s="66"/>
      <c r="AL185" s="66"/>
      <c r="AM185" s="66"/>
      <c r="AN185" s="66"/>
      <c r="AO185" s="66"/>
      <c r="AP185" s="66"/>
      <c r="AQ185" s="66"/>
      <c r="AR185" s="66"/>
      <c r="AS185" s="66"/>
      <c r="AT185" s="66"/>
      <c r="AU185" s="66"/>
      <c r="AV185" s="66"/>
      <c r="AW185" s="66"/>
      <c r="AX185" s="66"/>
      <c r="AY185" s="66"/>
      <c r="AZ185" s="66"/>
      <c r="BA185" s="66"/>
      <c r="BB185" s="66"/>
      <c r="BC185" s="66"/>
      <c r="BD185" s="66"/>
      <c r="BE185" s="66"/>
      <c r="BF185" s="66"/>
      <c r="BG185" s="66"/>
      <c r="BH185" s="66"/>
    </row>
    <row r="186" spans="1:60" x14ac:dyDescent="0.25">
      <c r="A186" s="66"/>
      <c r="B186" s="66"/>
      <c r="C186" s="66"/>
      <c r="D186" s="66"/>
      <c r="E186" s="66"/>
      <c r="F186" s="66"/>
      <c r="G186" s="66"/>
      <c r="H186" s="66"/>
      <c r="I186" s="66"/>
      <c r="J186" s="66"/>
      <c r="K186" s="66"/>
      <c r="L186" s="66"/>
      <c r="M186" s="66"/>
      <c r="N186" s="66"/>
      <c r="O186" s="66"/>
      <c r="P186" s="66"/>
      <c r="Q186" s="66"/>
      <c r="R186" s="66"/>
      <c r="S186" s="66"/>
      <c r="T186" s="66"/>
      <c r="U186" s="66"/>
      <c r="V186" s="66"/>
      <c r="W186" s="66"/>
      <c r="X186" s="66"/>
      <c r="Y186" s="66"/>
      <c r="Z186" s="66"/>
      <c r="AA186" s="66"/>
      <c r="AB186" s="66"/>
      <c r="AC186" s="66"/>
      <c r="AD186" s="66"/>
      <c r="AE186" s="66"/>
      <c r="AF186" s="66"/>
      <c r="AG186" s="66"/>
      <c r="AH186" s="66"/>
      <c r="AI186" s="66"/>
      <c r="AJ186" s="66"/>
      <c r="AK186" s="66"/>
      <c r="AL186" s="66"/>
      <c r="AM186" s="66"/>
      <c r="AN186" s="66"/>
      <c r="AO186" s="66"/>
      <c r="AP186" s="66"/>
      <c r="AQ186" s="66"/>
      <c r="AR186" s="66"/>
      <c r="AS186" s="66"/>
      <c r="AT186" s="66"/>
      <c r="AU186" s="66"/>
      <c r="AV186" s="66"/>
      <c r="AW186" s="66"/>
      <c r="AX186" s="66"/>
      <c r="AY186" s="66"/>
      <c r="AZ186" s="66"/>
      <c r="BA186" s="66"/>
      <c r="BB186" s="66"/>
      <c r="BC186" s="66"/>
      <c r="BD186" s="66"/>
      <c r="BE186" s="66"/>
      <c r="BF186" s="66"/>
      <c r="BG186" s="66"/>
      <c r="BH186" s="66"/>
    </row>
    <row r="187" spans="1:60" x14ac:dyDescent="0.25">
      <c r="A187" s="66"/>
      <c r="B187" s="66"/>
      <c r="C187" s="66"/>
      <c r="D187" s="66"/>
      <c r="E187" s="66"/>
      <c r="F187" s="66"/>
      <c r="G187" s="66"/>
      <c r="H187" s="66"/>
      <c r="I187" s="66"/>
      <c r="J187" s="66"/>
      <c r="K187" s="66"/>
      <c r="L187" s="66"/>
      <c r="M187" s="66"/>
      <c r="N187" s="66"/>
      <c r="O187" s="66"/>
      <c r="P187" s="66"/>
      <c r="Q187" s="66"/>
      <c r="R187" s="66"/>
      <c r="S187" s="66"/>
      <c r="T187" s="66"/>
      <c r="U187" s="66"/>
      <c r="V187" s="66"/>
      <c r="W187" s="66"/>
      <c r="X187" s="66"/>
      <c r="Y187" s="66"/>
      <c r="Z187" s="66"/>
      <c r="AA187" s="66"/>
      <c r="AB187" s="66"/>
      <c r="AC187" s="66"/>
      <c r="AD187" s="66"/>
      <c r="AE187" s="66"/>
      <c r="AF187" s="66"/>
      <c r="AG187" s="66"/>
      <c r="AH187" s="66"/>
      <c r="AI187" s="66"/>
      <c r="AJ187" s="66"/>
      <c r="AK187" s="66"/>
      <c r="AL187" s="66"/>
      <c r="AM187" s="66"/>
      <c r="AN187" s="66"/>
      <c r="AO187" s="66"/>
      <c r="AP187" s="66"/>
      <c r="AQ187" s="66"/>
      <c r="AR187" s="66"/>
      <c r="AS187" s="66"/>
      <c r="AT187" s="66"/>
      <c r="AU187" s="66"/>
      <c r="AV187" s="66"/>
      <c r="AW187" s="66"/>
      <c r="AX187" s="66"/>
      <c r="AY187" s="66"/>
      <c r="AZ187" s="66"/>
      <c r="BA187" s="66"/>
      <c r="BB187" s="66"/>
      <c r="BC187" s="66"/>
      <c r="BD187" s="66"/>
      <c r="BE187" s="66"/>
      <c r="BF187" s="66"/>
      <c r="BG187" s="66"/>
      <c r="BH187" s="66"/>
    </row>
    <row r="188" spans="1:60" x14ac:dyDescent="0.25">
      <c r="A188" s="66"/>
      <c r="B188" s="66"/>
      <c r="C188" s="66"/>
      <c r="D188" s="66"/>
      <c r="E188" s="66"/>
      <c r="F188" s="66"/>
      <c r="G188" s="66"/>
      <c r="H188" s="66"/>
      <c r="I188" s="66"/>
      <c r="J188" s="66"/>
      <c r="K188" s="66"/>
      <c r="L188" s="66"/>
      <c r="M188" s="66"/>
      <c r="N188" s="66"/>
      <c r="O188" s="66"/>
      <c r="P188" s="66"/>
      <c r="Q188" s="66"/>
      <c r="R188" s="66"/>
      <c r="S188" s="66"/>
      <c r="T188" s="66"/>
      <c r="U188" s="66"/>
      <c r="V188" s="66"/>
      <c r="W188" s="66"/>
      <c r="X188" s="66"/>
      <c r="Y188" s="66"/>
      <c r="Z188" s="66"/>
      <c r="AA188" s="66"/>
      <c r="AB188" s="66"/>
      <c r="AC188" s="66"/>
      <c r="AD188" s="66"/>
      <c r="AE188" s="66"/>
      <c r="AF188" s="66"/>
      <c r="AG188" s="66"/>
      <c r="AH188" s="66"/>
      <c r="AI188" s="66"/>
      <c r="AJ188" s="66"/>
      <c r="AK188" s="66"/>
      <c r="AL188" s="66"/>
      <c r="AM188" s="66"/>
      <c r="AN188" s="66"/>
      <c r="AO188" s="66"/>
      <c r="AP188" s="66"/>
      <c r="AQ188" s="66"/>
      <c r="AR188" s="66"/>
      <c r="AS188" s="66"/>
      <c r="AT188" s="66"/>
      <c r="AU188" s="66"/>
      <c r="AV188" s="66"/>
      <c r="AW188" s="66"/>
      <c r="AX188" s="66"/>
      <c r="AY188" s="66"/>
      <c r="AZ188" s="66"/>
      <c r="BA188" s="66"/>
      <c r="BB188" s="66"/>
      <c r="BC188" s="66"/>
      <c r="BD188" s="66"/>
      <c r="BE188" s="66"/>
      <c r="BF188" s="66"/>
      <c r="BG188" s="66"/>
      <c r="BH188" s="66"/>
    </row>
    <row r="189" spans="1:60" x14ac:dyDescent="0.25">
      <c r="A189" s="66"/>
      <c r="B189" s="66"/>
      <c r="C189" s="66"/>
      <c r="D189" s="66"/>
      <c r="E189" s="66"/>
      <c r="F189" s="66"/>
      <c r="G189" s="66"/>
      <c r="H189" s="66"/>
      <c r="I189" s="66"/>
      <c r="J189" s="66"/>
      <c r="K189" s="66"/>
      <c r="L189" s="66"/>
      <c r="M189" s="66"/>
      <c r="N189" s="66"/>
      <c r="O189" s="66"/>
      <c r="P189" s="66"/>
      <c r="Q189" s="66"/>
      <c r="R189" s="66"/>
      <c r="S189" s="66"/>
      <c r="T189" s="66"/>
      <c r="U189" s="66"/>
      <c r="V189" s="66"/>
      <c r="W189" s="66"/>
      <c r="X189" s="66"/>
      <c r="Y189" s="66"/>
      <c r="Z189" s="66"/>
      <c r="AA189" s="66"/>
      <c r="AB189" s="66"/>
      <c r="AC189" s="66"/>
      <c r="AD189" s="66"/>
      <c r="AE189" s="66"/>
      <c r="AF189" s="66"/>
      <c r="AG189" s="66"/>
      <c r="AH189" s="66"/>
      <c r="AI189" s="66"/>
      <c r="AJ189" s="66"/>
      <c r="AK189" s="66"/>
      <c r="AL189" s="66"/>
      <c r="AM189" s="66"/>
      <c r="AN189" s="66"/>
      <c r="AO189" s="66"/>
      <c r="AP189" s="66"/>
      <c r="AQ189" s="66"/>
      <c r="AR189" s="66"/>
      <c r="AS189" s="66"/>
      <c r="AT189" s="66"/>
      <c r="AU189" s="66"/>
      <c r="AV189" s="66"/>
      <c r="AW189" s="66"/>
      <c r="AX189" s="66"/>
      <c r="AY189" s="66"/>
      <c r="AZ189" s="66"/>
      <c r="BA189" s="66"/>
      <c r="BB189" s="66"/>
      <c r="BC189" s="66"/>
      <c r="BD189" s="66"/>
      <c r="BE189" s="66"/>
      <c r="BF189" s="66"/>
      <c r="BG189" s="66"/>
      <c r="BH189" s="66"/>
    </row>
    <row r="190" spans="1:60" x14ac:dyDescent="0.25">
      <c r="A190" s="66"/>
      <c r="B190" s="66"/>
      <c r="C190" s="66"/>
      <c r="D190" s="66"/>
      <c r="E190" s="66"/>
      <c r="F190" s="66"/>
      <c r="G190" s="66"/>
      <c r="H190" s="66"/>
      <c r="I190" s="66"/>
      <c r="J190" s="66"/>
      <c r="K190" s="66"/>
      <c r="L190" s="66"/>
      <c r="M190" s="66"/>
      <c r="N190" s="66"/>
      <c r="O190" s="66"/>
      <c r="P190" s="66"/>
      <c r="Q190" s="66"/>
      <c r="R190" s="66"/>
      <c r="S190" s="66"/>
      <c r="T190" s="66"/>
      <c r="U190" s="66"/>
      <c r="V190" s="66"/>
      <c r="W190" s="66"/>
      <c r="X190" s="66"/>
      <c r="Y190" s="66"/>
      <c r="Z190" s="66"/>
      <c r="AA190" s="66"/>
      <c r="AB190" s="66"/>
      <c r="AC190" s="66"/>
      <c r="AD190" s="66"/>
      <c r="AE190" s="66"/>
      <c r="AF190" s="66"/>
      <c r="AG190" s="66"/>
      <c r="AH190" s="66"/>
      <c r="AI190" s="66"/>
      <c r="AJ190" s="66"/>
      <c r="AK190" s="66"/>
      <c r="AL190" s="66"/>
      <c r="AM190" s="66"/>
      <c r="AN190" s="66"/>
      <c r="AO190" s="66"/>
      <c r="AP190" s="66"/>
      <c r="AQ190" s="66"/>
      <c r="AR190" s="66"/>
      <c r="AS190" s="66"/>
      <c r="AT190" s="66"/>
      <c r="AU190" s="66"/>
      <c r="AV190" s="66"/>
      <c r="AW190" s="66"/>
      <c r="AX190" s="66"/>
      <c r="AY190" s="66"/>
      <c r="AZ190" s="66"/>
      <c r="BA190" s="66"/>
      <c r="BB190" s="66"/>
      <c r="BC190" s="66"/>
      <c r="BD190" s="66"/>
      <c r="BE190" s="66"/>
      <c r="BF190" s="66"/>
      <c r="BG190" s="66"/>
      <c r="BH190" s="66"/>
    </row>
    <row r="191" spans="1:60" x14ac:dyDescent="0.25">
      <c r="A191" s="66"/>
      <c r="J191" s="66"/>
      <c r="K191" s="66"/>
      <c r="L191" s="66"/>
      <c r="M191" s="66"/>
      <c r="N191" s="66"/>
      <c r="O191" s="66"/>
      <c r="P191" s="66"/>
      <c r="Q191" s="66"/>
      <c r="R191" s="66"/>
      <c r="S191" s="66"/>
      <c r="T191" s="66"/>
      <c r="U191" s="66"/>
      <c r="V191" s="66"/>
      <c r="W191" s="66"/>
      <c r="X191" s="66"/>
      <c r="Y191" s="66"/>
      <c r="Z191" s="66"/>
      <c r="AA191" s="66"/>
      <c r="AB191" s="66"/>
      <c r="AC191" s="66"/>
      <c r="AD191" s="66"/>
      <c r="AE191" s="66"/>
      <c r="AF191" s="66"/>
      <c r="AG191" s="66"/>
      <c r="AH191" s="66"/>
      <c r="AI191" s="66"/>
      <c r="AJ191" s="66"/>
      <c r="AK191" s="66"/>
      <c r="AL191" s="66"/>
      <c r="AM191" s="66"/>
      <c r="AN191" s="66"/>
      <c r="AO191" s="66"/>
      <c r="AP191" s="66"/>
      <c r="AQ191" s="66"/>
      <c r="AR191" s="66"/>
      <c r="AS191" s="66"/>
      <c r="AT191" s="66"/>
      <c r="AU191" s="66"/>
      <c r="AV191" s="66"/>
      <c r="AW191" s="66"/>
      <c r="AX191" s="66"/>
      <c r="AY191" s="66"/>
      <c r="AZ191" s="66"/>
      <c r="BA191" s="66"/>
      <c r="BB191" s="66"/>
      <c r="BC191" s="66"/>
      <c r="BD191" s="66"/>
      <c r="BE191" s="66"/>
      <c r="BF191" s="66"/>
      <c r="BG191" s="66"/>
      <c r="BH191" s="66"/>
    </row>
    <row r="192" spans="1:60" x14ac:dyDescent="0.25">
      <c r="A192" s="66"/>
      <c r="J192" s="66"/>
      <c r="K192" s="66"/>
      <c r="L192" s="66"/>
      <c r="M192" s="66"/>
      <c r="N192" s="66"/>
      <c r="O192" s="66"/>
      <c r="P192" s="66"/>
      <c r="Q192" s="66"/>
      <c r="R192" s="66"/>
      <c r="S192" s="66"/>
      <c r="T192" s="66"/>
      <c r="U192" s="66"/>
      <c r="V192" s="66"/>
      <c r="W192" s="66"/>
      <c r="X192" s="66"/>
      <c r="Y192" s="66"/>
      <c r="Z192" s="66"/>
      <c r="AA192" s="66"/>
      <c r="AB192" s="66"/>
      <c r="AC192" s="66"/>
      <c r="AD192" s="66"/>
      <c r="AE192" s="66"/>
      <c r="AF192" s="66"/>
      <c r="AG192" s="66"/>
      <c r="AH192" s="66"/>
      <c r="AI192" s="66"/>
      <c r="AJ192" s="66"/>
      <c r="AK192" s="66"/>
      <c r="AL192" s="66"/>
      <c r="AM192" s="66"/>
      <c r="AN192" s="66"/>
      <c r="AO192" s="66"/>
      <c r="AP192" s="66"/>
      <c r="AQ192" s="66"/>
      <c r="AR192" s="66"/>
      <c r="AS192" s="66"/>
      <c r="AT192" s="66"/>
      <c r="AU192" s="66"/>
      <c r="AV192" s="66"/>
      <c r="AW192" s="66"/>
      <c r="AX192" s="66"/>
      <c r="AY192" s="66"/>
      <c r="AZ192" s="66"/>
      <c r="BA192" s="66"/>
      <c r="BB192" s="66"/>
      <c r="BC192" s="66"/>
      <c r="BD192" s="66"/>
      <c r="BE192" s="66"/>
      <c r="BF192" s="66"/>
      <c r="BG192" s="66"/>
      <c r="BH192" s="66"/>
    </row>
    <row r="193" spans="1:60" x14ac:dyDescent="0.25">
      <c r="A193" s="66"/>
      <c r="J193" s="66"/>
      <c r="K193" s="66"/>
      <c r="L193" s="66"/>
      <c r="M193" s="66"/>
      <c r="N193" s="66"/>
      <c r="O193" s="66"/>
      <c r="P193" s="66"/>
      <c r="Q193" s="66"/>
      <c r="R193" s="66"/>
      <c r="S193" s="66"/>
      <c r="T193" s="66"/>
      <c r="U193" s="66"/>
      <c r="V193" s="66"/>
      <c r="W193" s="66"/>
      <c r="X193" s="66"/>
      <c r="Y193" s="66"/>
      <c r="Z193" s="66"/>
      <c r="AA193" s="66"/>
      <c r="AB193" s="66"/>
      <c r="AC193" s="66"/>
      <c r="AD193" s="66"/>
      <c r="AE193" s="66"/>
      <c r="AF193" s="66"/>
      <c r="AG193" s="66"/>
      <c r="AH193" s="66"/>
      <c r="AI193" s="66"/>
      <c r="AJ193" s="66"/>
      <c r="AK193" s="66"/>
      <c r="AL193" s="66"/>
      <c r="AM193" s="66"/>
      <c r="AN193" s="66"/>
      <c r="AO193" s="66"/>
      <c r="AP193" s="66"/>
      <c r="AQ193" s="66"/>
      <c r="AR193" s="66"/>
      <c r="AS193" s="66"/>
      <c r="AT193" s="66"/>
      <c r="AU193" s="66"/>
      <c r="AV193" s="66"/>
      <c r="AW193" s="66"/>
      <c r="AX193" s="66"/>
      <c r="AY193" s="66"/>
      <c r="AZ193" s="66"/>
      <c r="BA193" s="66"/>
      <c r="BB193" s="66"/>
      <c r="BC193" s="66"/>
      <c r="BD193" s="66"/>
      <c r="BE193" s="66"/>
      <c r="BF193" s="66"/>
      <c r="BG193" s="66"/>
      <c r="BH193" s="66"/>
    </row>
    <row r="194" spans="1:60" x14ac:dyDescent="0.25">
      <c r="A194" s="66"/>
      <c r="J194" s="66"/>
      <c r="K194" s="66"/>
      <c r="L194" s="66"/>
      <c r="M194" s="66"/>
      <c r="N194" s="66"/>
      <c r="O194" s="66"/>
      <c r="P194" s="66"/>
      <c r="Q194" s="66"/>
      <c r="R194" s="66"/>
      <c r="S194" s="66"/>
      <c r="T194" s="66"/>
      <c r="U194" s="66"/>
      <c r="V194" s="66"/>
      <c r="W194" s="66"/>
      <c r="X194" s="66"/>
      <c r="Y194" s="66"/>
      <c r="Z194" s="66"/>
      <c r="AA194" s="66"/>
      <c r="AB194" s="66"/>
      <c r="AC194" s="66"/>
      <c r="AD194" s="66"/>
      <c r="AE194" s="66"/>
      <c r="AF194" s="66"/>
      <c r="AG194" s="66"/>
      <c r="AH194" s="66"/>
      <c r="AI194" s="66"/>
      <c r="AJ194" s="66"/>
      <c r="AK194" s="66"/>
      <c r="AL194" s="66"/>
      <c r="AM194" s="66"/>
      <c r="AN194" s="66"/>
      <c r="AO194" s="66"/>
      <c r="AP194" s="66"/>
      <c r="AQ194" s="66"/>
      <c r="AR194" s="66"/>
      <c r="AS194" s="66"/>
      <c r="AT194" s="66"/>
      <c r="AU194" s="66"/>
      <c r="AV194" s="66"/>
      <c r="AW194" s="66"/>
      <c r="AX194" s="66"/>
      <c r="AY194" s="66"/>
      <c r="AZ194" s="66"/>
      <c r="BA194" s="66"/>
      <c r="BB194" s="66"/>
      <c r="BC194" s="66"/>
      <c r="BD194" s="66"/>
      <c r="BE194" s="66"/>
      <c r="BF194" s="66"/>
      <c r="BG194" s="66"/>
      <c r="BH194" s="66"/>
    </row>
    <row r="195" spans="1:60" x14ac:dyDescent="0.25">
      <c r="A195" s="66"/>
      <c r="J195" s="66"/>
      <c r="K195" s="66"/>
      <c r="L195" s="66"/>
      <c r="M195" s="66"/>
      <c r="N195" s="66"/>
      <c r="O195" s="66"/>
      <c r="P195" s="66"/>
      <c r="Q195" s="66"/>
      <c r="R195" s="66"/>
      <c r="S195" s="66"/>
      <c r="T195" s="66"/>
      <c r="U195" s="66"/>
      <c r="V195" s="66"/>
      <c r="W195" s="66"/>
      <c r="X195" s="66"/>
      <c r="Y195" s="66"/>
      <c r="Z195" s="66"/>
      <c r="AA195" s="66"/>
      <c r="AB195" s="66"/>
      <c r="AC195" s="66"/>
      <c r="AD195" s="66"/>
      <c r="AE195" s="66"/>
      <c r="AF195" s="66"/>
      <c r="AG195" s="66"/>
      <c r="AH195" s="66"/>
      <c r="AI195" s="66"/>
      <c r="AJ195" s="66"/>
      <c r="AK195" s="66"/>
      <c r="AL195" s="66"/>
      <c r="AM195" s="66"/>
      <c r="AN195" s="66"/>
      <c r="AO195" s="66"/>
      <c r="AP195" s="66"/>
      <c r="AQ195" s="66"/>
      <c r="AR195" s="66"/>
      <c r="AS195" s="66"/>
      <c r="AT195" s="66"/>
      <c r="AU195" s="66"/>
      <c r="AV195" s="66"/>
      <c r="AW195" s="66"/>
      <c r="AX195" s="66"/>
      <c r="AY195" s="66"/>
      <c r="AZ195" s="66"/>
      <c r="BA195" s="66"/>
      <c r="BB195" s="66"/>
      <c r="BC195" s="66"/>
      <c r="BD195" s="66"/>
      <c r="BE195" s="66"/>
      <c r="BF195" s="66"/>
      <c r="BG195" s="66"/>
      <c r="BH195" s="66"/>
    </row>
    <row r="196" spans="1:60" x14ac:dyDescent="0.25">
      <c r="A196" s="66"/>
      <c r="J196" s="66"/>
      <c r="K196" s="66"/>
      <c r="L196" s="66"/>
      <c r="M196" s="66"/>
      <c r="N196" s="66"/>
      <c r="O196" s="66"/>
      <c r="P196" s="66"/>
      <c r="Q196" s="66"/>
      <c r="R196" s="66"/>
      <c r="S196" s="66"/>
      <c r="T196" s="66"/>
      <c r="U196" s="66"/>
      <c r="V196" s="66"/>
      <c r="W196" s="66"/>
      <c r="X196" s="66"/>
      <c r="Y196" s="66"/>
      <c r="Z196" s="66"/>
      <c r="AA196" s="66"/>
      <c r="AB196" s="66"/>
      <c r="AC196" s="66"/>
      <c r="AD196" s="66"/>
      <c r="AE196" s="66"/>
      <c r="AF196" s="66"/>
      <c r="AG196" s="66"/>
      <c r="AH196" s="66"/>
      <c r="AI196" s="66"/>
      <c r="AJ196" s="66"/>
      <c r="AK196" s="66"/>
      <c r="AL196" s="66"/>
      <c r="AM196" s="66"/>
      <c r="AN196" s="66"/>
      <c r="AO196" s="66"/>
      <c r="AP196" s="66"/>
      <c r="AQ196" s="66"/>
      <c r="AR196" s="66"/>
      <c r="AS196" s="66"/>
      <c r="AT196" s="66"/>
      <c r="AU196" s="66"/>
      <c r="AV196" s="66"/>
      <c r="AW196" s="66"/>
      <c r="AX196" s="66"/>
      <c r="AY196" s="66"/>
      <c r="AZ196" s="66"/>
      <c r="BA196" s="66"/>
      <c r="BB196" s="66"/>
      <c r="BC196" s="66"/>
      <c r="BD196" s="66"/>
      <c r="BE196" s="66"/>
      <c r="BF196" s="66"/>
      <c r="BG196" s="66"/>
      <c r="BH196" s="66"/>
    </row>
    <row r="197" spans="1:60" x14ac:dyDescent="0.25">
      <c r="A197" s="66"/>
      <c r="J197" s="66"/>
      <c r="K197" s="66"/>
      <c r="L197" s="66"/>
      <c r="M197" s="66"/>
      <c r="N197" s="66"/>
      <c r="O197" s="66"/>
      <c r="P197" s="66"/>
      <c r="Q197" s="66"/>
      <c r="R197" s="66"/>
      <c r="S197" s="66"/>
      <c r="T197" s="66"/>
      <c r="U197" s="66"/>
      <c r="V197" s="66"/>
      <c r="W197" s="66"/>
      <c r="X197" s="66"/>
      <c r="Y197" s="66"/>
      <c r="Z197" s="66"/>
      <c r="AA197" s="66"/>
      <c r="AB197" s="66"/>
      <c r="AC197" s="66"/>
      <c r="AD197" s="66"/>
      <c r="AE197" s="66"/>
      <c r="AF197" s="66"/>
      <c r="AG197" s="66"/>
      <c r="AH197" s="66"/>
      <c r="AI197" s="66"/>
      <c r="AJ197" s="66"/>
      <c r="AK197" s="66"/>
      <c r="AL197" s="66"/>
      <c r="AM197" s="66"/>
      <c r="AN197" s="66"/>
      <c r="AO197" s="66"/>
      <c r="AP197" s="66"/>
      <c r="AQ197" s="66"/>
      <c r="AR197" s="66"/>
      <c r="AS197" s="66"/>
      <c r="AT197" s="66"/>
      <c r="AU197" s="66"/>
      <c r="AV197" s="66"/>
      <c r="AW197" s="66"/>
      <c r="AX197" s="66"/>
      <c r="AY197" s="66"/>
      <c r="AZ197" s="66"/>
      <c r="BA197" s="66"/>
      <c r="BB197" s="66"/>
      <c r="BC197" s="66"/>
      <c r="BD197" s="66"/>
      <c r="BE197" s="66"/>
      <c r="BF197" s="66"/>
      <c r="BG197" s="66"/>
      <c r="BH197" s="66"/>
    </row>
    <row r="198" spans="1:60" x14ac:dyDescent="0.25">
      <c r="A198" s="66"/>
      <c r="J198" s="66"/>
      <c r="K198" s="66"/>
      <c r="L198" s="66"/>
      <c r="M198" s="66"/>
      <c r="N198" s="66"/>
      <c r="O198" s="66"/>
      <c r="P198" s="66"/>
      <c r="Q198" s="66"/>
      <c r="R198" s="66"/>
      <c r="S198" s="66"/>
      <c r="T198" s="66"/>
      <c r="U198" s="66"/>
      <c r="V198" s="66"/>
      <c r="W198" s="66"/>
      <c r="X198" s="66"/>
      <c r="Y198" s="66"/>
      <c r="Z198" s="66"/>
      <c r="AA198" s="66"/>
      <c r="AB198" s="66"/>
      <c r="AC198" s="66"/>
      <c r="AD198" s="66"/>
      <c r="AE198" s="66"/>
      <c r="AF198" s="66"/>
      <c r="AG198" s="66"/>
      <c r="AH198" s="66"/>
      <c r="AI198" s="66"/>
      <c r="AJ198" s="66"/>
      <c r="AK198" s="66"/>
      <c r="AL198" s="66"/>
      <c r="AM198" s="66"/>
      <c r="AN198" s="66"/>
      <c r="AO198" s="66"/>
      <c r="AP198" s="66"/>
      <c r="AQ198" s="66"/>
      <c r="AR198" s="66"/>
      <c r="AS198" s="66"/>
      <c r="AT198" s="66"/>
      <c r="AU198" s="66"/>
      <c r="AV198" s="66"/>
      <c r="AW198" s="66"/>
      <c r="AX198" s="66"/>
      <c r="AY198" s="66"/>
      <c r="AZ198" s="66"/>
      <c r="BA198" s="66"/>
      <c r="BB198" s="66"/>
      <c r="BC198" s="66"/>
      <c r="BD198" s="66"/>
      <c r="BE198" s="66"/>
      <c r="BF198" s="66"/>
      <c r="BG198" s="66"/>
      <c r="BH198" s="66"/>
    </row>
    <row r="199" spans="1:60" x14ac:dyDescent="0.25">
      <c r="A199" s="66"/>
      <c r="J199" s="66"/>
      <c r="K199" s="66"/>
      <c r="L199" s="66"/>
      <c r="M199" s="66"/>
      <c r="N199" s="66"/>
      <c r="O199" s="66"/>
      <c r="P199" s="66"/>
      <c r="Q199" s="66"/>
      <c r="R199" s="66"/>
      <c r="S199" s="66"/>
      <c r="T199" s="66"/>
      <c r="U199" s="66"/>
      <c r="V199" s="66"/>
      <c r="W199" s="66"/>
      <c r="X199" s="66"/>
      <c r="Y199" s="66"/>
      <c r="Z199" s="66"/>
      <c r="AA199" s="66"/>
      <c r="AB199" s="66"/>
      <c r="AC199" s="66"/>
      <c r="AD199" s="66"/>
      <c r="AE199" s="66"/>
      <c r="AF199" s="66"/>
      <c r="AG199" s="66"/>
      <c r="AH199" s="66"/>
      <c r="AI199" s="66"/>
      <c r="AJ199" s="66"/>
      <c r="AK199" s="66"/>
      <c r="AL199" s="66"/>
      <c r="AM199" s="66"/>
      <c r="AN199" s="66"/>
      <c r="AO199" s="66"/>
      <c r="AP199" s="66"/>
      <c r="AQ199" s="66"/>
      <c r="AR199" s="66"/>
      <c r="AS199" s="66"/>
      <c r="AT199" s="66"/>
      <c r="AU199" s="66"/>
      <c r="AV199" s="66"/>
      <c r="AW199" s="66"/>
      <c r="AX199" s="66"/>
      <c r="AY199" s="66"/>
      <c r="AZ199" s="66"/>
      <c r="BA199" s="66"/>
      <c r="BB199" s="66"/>
      <c r="BC199" s="66"/>
      <c r="BD199" s="66"/>
      <c r="BE199" s="66"/>
      <c r="BF199" s="66"/>
      <c r="BG199" s="66"/>
      <c r="BH199" s="66"/>
    </row>
    <row r="200" spans="1:60" x14ac:dyDescent="0.25">
      <c r="A200" s="66"/>
      <c r="J200" s="66"/>
      <c r="K200" s="66"/>
      <c r="L200" s="66"/>
      <c r="M200" s="66"/>
      <c r="N200" s="66"/>
      <c r="O200" s="66"/>
      <c r="P200" s="66"/>
      <c r="Q200" s="66"/>
      <c r="R200" s="66"/>
      <c r="S200" s="66"/>
      <c r="T200" s="66"/>
      <c r="U200" s="66"/>
      <c r="V200" s="66"/>
      <c r="W200" s="66"/>
      <c r="X200" s="66"/>
      <c r="Y200" s="66"/>
      <c r="Z200" s="66"/>
      <c r="AA200" s="66"/>
      <c r="AB200" s="66"/>
      <c r="AC200" s="66"/>
      <c r="AD200" s="66"/>
      <c r="AE200" s="66"/>
      <c r="AF200" s="66"/>
      <c r="AG200" s="66"/>
      <c r="AH200" s="66"/>
      <c r="AI200" s="66"/>
      <c r="AJ200" s="66"/>
      <c r="AK200" s="66"/>
      <c r="AL200" s="66"/>
      <c r="AM200" s="66"/>
      <c r="AN200" s="66"/>
      <c r="AO200" s="66"/>
      <c r="AP200" s="66"/>
      <c r="AQ200" s="66"/>
      <c r="AR200" s="66"/>
      <c r="AS200" s="66"/>
      <c r="AT200" s="66"/>
      <c r="AU200" s="66"/>
      <c r="AV200" s="66"/>
      <c r="AW200" s="66"/>
      <c r="AX200" s="66"/>
      <c r="AY200" s="66"/>
      <c r="AZ200" s="66"/>
      <c r="BA200" s="66"/>
      <c r="BB200" s="66"/>
      <c r="BC200" s="66"/>
      <c r="BD200" s="66"/>
      <c r="BE200" s="66"/>
      <c r="BF200" s="66"/>
      <c r="BG200" s="66"/>
      <c r="BH200" s="66"/>
    </row>
    <row r="201" spans="1:60" x14ac:dyDescent="0.25">
      <c r="A201" s="66"/>
      <c r="J201" s="66"/>
      <c r="K201" s="66"/>
      <c r="L201" s="66"/>
      <c r="M201" s="66"/>
      <c r="N201" s="66"/>
      <c r="O201" s="66"/>
      <c r="P201" s="66"/>
      <c r="Q201" s="66"/>
      <c r="R201" s="66"/>
      <c r="S201" s="66"/>
      <c r="T201" s="66"/>
      <c r="U201" s="66"/>
      <c r="V201" s="66"/>
      <c r="W201" s="66"/>
      <c r="X201" s="66"/>
      <c r="Y201" s="66"/>
      <c r="Z201" s="66"/>
      <c r="AA201" s="66"/>
      <c r="AB201" s="66"/>
      <c r="AC201" s="66"/>
      <c r="AD201" s="66"/>
      <c r="AE201" s="66"/>
      <c r="AF201" s="66"/>
      <c r="AG201" s="66"/>
      <c r="AH201" s="66"/>
      <c r="AI201" s="66"/>
      <c r="AJ201" s="66"/>
      <c r="AK201" s="66"/>
      <c r="AL201" s="66"/>
      <c r="AM201" s="66"/>
      <c r="AN201" s="66"/>
      <c r="AO201" s="66"/>
      <c r="AP201" s="66"/>
      <c r="AQ201" s="66"/>
      <c r="AR201" s="66"/>
      <c r="AS201" s="66"/>
      <c r="AT201" s="66"/>
      <c r="AU201" s="66"/>
      <c r="AV201" s="66"/>
      <c r="AW201" s="66"/>
      <c r="AX201" s="66"/>
      <c r="AY201" s="66"/>
      <c r="AZ201" s="66"/>
      <c r="BA201" s="66"/>
      <c r="BB201" s="66"/>
      <c r="BC201" s="66"/>
      <c r="BD201" s="66"/>
      <c r="BE201" s="66"/>
      <c r="BF201" s="66"/>
      <c r="BG201" s="66"/>
      <c r="BH201" s="66"/>
    </row>
    <row r="202" spans="1:60" x14ac:dyDescent="0.25">
      <c r="A202" s="66"/>
      <c r="J202" s="66"/>
      <c r="K202" s="66"/>
      <c r="L202" s="66"/>
      <c r="M202" s="66"/>
      <c r="N202" s="66"/>
      <c r="O202" s="66"/>
      <c r="P202" s="66"/>
      <c r="Q202" s="66"/>
      <c r="R202" s="66"/>
      <c r="S202" s="66"/>
      <c r="T202" s="66"/>
      <c r="U202" s="66"/>
      <c r="V202" s="66"/>
      <c r="W202" s="66"/>
      <c r="X202" s="66"/>
      <c r="Y202" s="66"/>
      <c r="Z202" s="66"/>
      <c r="AA202" s="66"/>
      <c r="AB202" s="66"/>
      <c r="AC202" s="66"/>
      <c r="AD202" s="66"/>
      <c r="AE202" s="66"/>
      <c r="AF202" s="66"/>
      <c r="AG202" s="66"/>
      <c r="AH202" s="66"/>
      <c r="AI202" s="66"/>
      <c r="AJ202" s="66"/>
      <c r="AK202" s="66"/>
      <c r="AL202" s="66"/>
      <c r="AM202" s="66"/>
      <c r="AN202" s="66"/>
      <c r="AO202" s="66"/>
      <c r="AP202" s="66"/>
      <c r="AQ202" s="66"/>
      <c r="AR202" s="66"/>
      <c r="AS202" s="66"/>
      <c r="AT202" s="66"/>
      <c r="AU202" s="66"/>
      <c r="AV202" s="66"/>
      <c r="AW202" s="66"/>
      <c r="AX202" s="66"/>
      <c r="AY202" s="66"/>
      <c r="AZ202" s="66"/>
      <c r="BA202" s="66"/>
      <c r="BB202" s="66"/>
      <c r="BC202" s="66"/>
      <c r="BD202" s="66"/>
      <c r="BE202" s="66"/>
      <c r="BF202" s="66"/>
      <c r="BG202" s="66"/>
      <c r="BH202" s="66"/>
    </row>
    <row r="203" spans="1:60" x14ac:dyDescent="0.25">
      <c r="A203" s="66"/>
      <c r="J203" s="66"/>
      <c r="K203" s="66"/>
      <c r="L203" s="66"/>
      <c r="M203" s="66"/>
      <c r="N203" s="66"/>
      <c r="O203" s="66"/>
      <c r="P203" s="66"/>
      <c r="Q203" s="66"/>
      <c r="R203" s="66"/>
      <c r="S203" s="66"/>
      <c r="T203" s="66"/>
      <c r="U203" s="66"/>
      <c r="V203" s="66"/>
      <c r="W203" s="66"/>
      <c r="X203" s="66"/>
      <c r="Y203" s="66"/>
      <c r="Z203" s="66"/>
      <c r="AA203" s="66"/>
      <c r="AB203" s="66"/>
      <c r="AC203" s="66"/>
      <c r="AD203" s="66"/>
      <c r="AE203" s="66"/>
      <c r="AF203" s="66"/>
      <c r="AG203" s="66"/>
      <c r="AH203" s="66"/>
      <c r="AI203" s="66"/>
      <c r="AJ203" s="66"/>
      <c r="AK203" s="66"/>
      <c r="AL203" s="66"/>
      <c r="AM203" s="66"/>
      <c r="AN203" s="66"/>
      <c r="AO203" s="66"/>
      <c r="AP203" s="66"/>
      <c r="AQ203" s="66"/>
      <c r="AR203" s="66"/>
      <c r="AS203" s="66"/>
      <c r="AT203" s="66"/>
      <c r="AU203" s="66"/>
      <c r="AV203" s="66"/>
      <c r="AW203" s="66"/>
      <c r="AX203" s="66"/>
      <c r="AY203" s="66"/>
      <c r="AZ203" s="66"/>
      <c r="BA203" s="66"/>
      <c r="BB203" s="66"/>
      <c r="BC203" s="66"/>
      <c r="BD203" s="66"/>
      <c r="BE203" s="66"/>
      <c r="BF203" s="66"/>
      <c r="BG203" s="66"/>
      <c r="BH203" s="66"/>
    </row>
    <row r="204" spans="1:60" x14ac:dyDescent="0.25">
      <c r="A204" s="66"/>
      <c r="J204" s="66"/>
      <c r="K204" s="66"/>
      <c r="L204" s="66"/>
      <c r="M204" s="66"/>
      <c r="N204" s="66"/>
      <c r="O204" s="66"/>
      <c r="P204" s="66"/>
      <c r="Q204" s="66"/>
      <c r="R204" s="66"/>
      <c r="S204" s="66"/>
      <c r="T204" s="66"/>
      <c r="U204" s="66"/>
      <c r="V204" s="66"/>
      <c r="W204" s="66"/>
      <c r="X204" s="66"/>
      <c r="Y204" s="66"/>
      <c r="Z204" s="66"/>
      <c r="AA204" s="66"/>
      <c r="AB204" s="66"/>
      <c r="AC204" s="66"/>
      <c r="AD204" s="66"/>
      <c r="AE204" s="66"/>
      <c r="AF204" s="66"/>
      <c r="AG204" s="66"/>
      <c r="AH204" s="66"/>
      <c r="AI204" s="66"/>
      <c r="AJ204" s="66"/>
      <c r="AK204" s="66"/>
      <c r="AL204" s="66"/>
      <c r="AM204" s="66"/>
      <c r="AN204" s="66"/>
      <c r="AO204" s="66"/>
      <c r="AP204" s="66"/>
      <c r="AQ204" s="66"/>
      <c r="AR204" s="66"/>
      <c r="AS204" s="66"/>
      <c r="AT204" s="66"/>
      <c r="AU204" s="66"/>
      <c r="AV204" s="66"/>
      <c r="AW204" s="66"/>
      <c r="AX204" s="66"/>
      <c r="AY204" s="66"/>
      <c r="AZ204" s="66"/>
      <c r="BA204" s="66"/>
      <c r="BB204" s="66"/>
      <c r="BC204" s="66"/>
      <c r="BD204" s="66"/>
      <c r="BE204" s="66"/>
      <c r="BF204" s="66"/>
      <c r="BG204" s="66"/>
      <c r="BH204" s="66"/>
    </row>
    <row r="205" spans="1:60" x14ac:dyDescent="0.25">
      <c r="A205" s="66"/>
      <c r="J205" s="66"/>
      <c r="K205" s="66"/>
      <c r="L205" s="66"/>
      <c r="M205" s="66"/>
      <c r="N205" s="66"/>
      <c r="O205" s="66"/>
      <c r="P205" s="66"/>
      <c r="Q205" s="66"/>
      <c r="R205" s="66"/>
      <c r="S205" s="66"/>
      <c r="T205" s="66"/>
      <c r="U205" s="66"/>
      <c r="V205" s="66"/>
      <c r="W205" s="66"/>
      <c r="X205" s="66"/>
      <c r="Y205" s="66"/>
      <c r="Z205" s="66"/>
      <c r="AA205" s="66"/>
      <c r="AB205" s="66"/>
      <c r="AC205" s="66"/>
      <c r="AD205" s="66"/>
      <c r="AE205" s="66"/>
      <c r="AF205" s="66"/>
      <c r="AG205" s="66"/>
      <c r="AH205" s="66"/>
      <c r="AI205" s="66"/>
      <c r="AJ205" s="66"/>
      <c r="AK205" s="66"/>
      <c r="AL205" s="66"/>
      <c r="AM205" s="66"/>
      <c r="AN205" s="66"/>
      <c r="AO205" s="66"/>
      <c r="AP205" s="66"/>
      <c r="AQ205" s="66"/>
      <c r="AR205" s="66"/>
      <c r="AS205" s="66"/>
      <c r="AT205" s="66"/>
      <c r="AU205" s="66"/>
      <c r="AV205" s="66"/>
      <c r="AW205" s="66"/>
      <c r="AX205" s="66"/>
      <c r="AY205" s="66"/>
      <c r="AZ205" s="66"/>
      <c r="BA205" s="66"/>
      <c r="BB205" s="66"/>
      <c r="BC205" s="66"/>
      <c r="BD205" s="66"/>
      <c r="BE205" s="66"/>
      <c r="BF205" s="66"/>
      <c r="BG205" s="66"/>
      <c r="BH205" s="66"/>
    </row>
    <row r="206" spans="1:60" x14ac:dyDescent="0.25">
      <c r="A206" s="66"/>
      <c r="J206" s="66"/>
      <c r="K206" s="66"/>
      <c r="L206" s="66"/>
      <c r="M206" s="66"/>
      <c r="N206" s="66"/>
      <c r="O206" s="66"/>
      <c r="P206" s="66"/>
      <c r="Q206" s="66"/>
      <c r="R206" s="66"/>
      <c r="S206" s="66"/>
      <c r="T206" s="66"/>
      <c r="U206" s="66"/>
      <c r="V206" s="66"/>
      <c r="W206" s="66"/>
      <c r="X206" s="66"/>
      <c r="Y206" s="66"/>
      <c r="Z206" s="66"/>
      <c r="AA206" s="66"/>
      <c r="AB206" s="66"/>
      <c r="AC206" s="66"/>
      <c r="AD206" s="66"/>
      <c r="AE206" s="66"/>
      <c r="AF206" s="66"/>
      <c r="AG206" s="66"/>
      <c r="AH206" s="66"/>
      <c r="AI206" s="66"/>
      <c r="AJ206" s="66"/>
      <c r="AK206" s="66"/>
      <c r="AL206" s="66"/>
      <c r="AM206" s="66"/>
      <c r="AN206" s="66"/>
      <c r="AO206" s="66"/>
      <c r="AP206" s="66"/>
      <c r="AQ206" s="66"/>
      <c r="AR206" s="66"/>
      <c r="AS206" s="66"/>
      <c r="AT206" s="66"/>
      <c r="AU206" s="66"/>
      <c r="AV206" s="66"/>
      <c r="AW206" s="66"/>
      <c r="AX206" s="66"/>
      <c r="AY206" s="66"/>
      <c r="AZ206" s="66"/>
      <c r="BA206" s="66"/>
      <c r="BB206" s="66"/>
      <c r="BC206" s="66"/>
      <c r="BD206" s="66"/>
      <c r="BE206" s="66"/>
      <c r="BF206" s="66"/>
      <c r="BG206" s="66"/>
      <c r="BH206" s="66"/>
    </row>
    <row r="207" spans="1:60" x14ac:dyDescent="0.25">
      <c r="A207" s="66"/>
      <c r="J207" s="66"/>
      <c r="K207" s="66"/>
      <c r="L207" s="66"/>
      <c r="M207" s="66"/>
      <c r="N207" s="66"/>
      <c r="O207" s="66"/>
      <c r="P207" s="66"/>
      <c r="Q207" s="66"/>
      <c r="R207" s="66"/>
      <c r="S207" s="66"/>
      <c r="T207" s="66"/>
      <c r="U207" s="66"/>
      <c r="V207" s="66"/>
      <c r="W207" s="66"/>
      <c r="X207" s="66"/>
      <c r="Y207" s="66"/>
      <c r="Z207" s="66"/>
      <c r="AA207" s="66"/>
      <c r="AB207" s="66"/>
      <c r="AC207" s="66"/>
      <c r="AD207" s="66"/>
      <c r="AE207" s="66"/>
      <c r="AF207" s="66"/>
      <c r="AG207" s="66"/>
      <c r="AH207" s="66"/>
      <c r="AI207" s="66"/>
      <c r="AJ207" s="66"/>
      <c r="AK207" s="66"/>
      <c r="AL207" s="66"/>
      <c r="AM207" s="66"/>
      <c r="AN207" s="66"/>
      <c r="AO207" s="66"/>
      <c r="AP207" s="66"/>
      <c r="AQ207" s="66"/>
      <c r="AR207" s="66"/>
      <c r="AS207" s="66"/>
      <c r="AT207" s="66"/>
      <c r="AU207" s="66"/>
      <c r="AV207" s="66"/>
      <c r="AW207" s="66"/>
      <c r="AX207" s="66"/>
      <c r="AY207" s="66"/>
      <c r="AZ207" s="66"/>
      <c r="BA207" s="66"/>
      <c r="BB207" s="66"/>
      <c r="BC207" s="66"/>
      <c r="BD207" s="66"/>
      <c r="BE207" s="66"/>
      <c r="BF207" s="66"/>
      <c r="BG207" s="66"/>
      <c r="BH207" s="66"/>
    </row>
    <row r="208" spans="1:60" x14ac:dyDescent="0.25">
      <c r="A208" s="66"/>
      <c r="J208" s="66"/>
      <c r="K208" s="66"/>
      <c r="L208" s="66"/>
      <c r="M208" s="66"/>
      <c r="N208" s="66"/>
      <c r="O208" s="66"/>
      <c r="P208" s="66"/>
      <c r="Q208" s="66"/>
      <c r="R208" s="66"/>
      <c r="S208" s="66"/>
      <c r="T208" s="66"/>
      <c r="U208" s="66"/>
      <c r="V208" s="66"/>
      <c r="W208" s="66"/>
      <c r="X208" s="66"/>
      <c r="Y208" s="66"/>
      <c r="Z208" s="66"/>
      <c r="AA208" s="66"/>
      <c r="AB208" s="66"/>
      <c r="AC208" s="66"/>
      <c r="AD208" s="66"/>
      <c r="AE208" s="66"/>
      <c r="AF208" s="66"/>
      <c r="AG208" s="66"/>
      <c r="AH208" s="66"/>
      <c r="AI208" s="66"/>
      <c r="AJ208" s="66"/>
      <c r="AK208" s="66"/>
      <c r="AL208" s="66"/>
      <c r="AM208" s="66"/>
      <c r="AN208" s="66"/>
      <c r="AO208" s="66"/>
      <c r="AP208" s="66"/>
      <c r="AQ208" s="66"/>
      <c r="AR208" s="66"/>
      <c r="AS208" s="66"/>
      <c r="AT208" s="66"/>
      <c r="AU208" s="66"/>
      <c r="AV208" s="66"/>
      <c r="AW208" s="66"/>
      <c r="AX208" s="66"/>
      <c r="AY208" s="66"/>
      <c r="AZ208" s="66"/>
      <c r="BA208" s="66"/>
      <c r="BB208" s="66"/>
      <c r="BC208" s="66"/>
      <c r="BD208" s="66"/>
      <c r="BE208" s="66"/>
      <c r="BF208" s="66"/>
      <c r="BG208" s="66"/>
      <c r="BH208" s="66"/>
    </row>
    <row r="209" spans="1:60" x14ac:dyDescent="0.25">
      <c r="A209" s="66"/>
      <c r="J209" s="66"/>
      <c r="K209" s="66"/>
      <c r="L209" s="66"/>
      <c r="M209" s="66"/>
      <c r="N209" s="66"/>
      <c r="O209" s="66"/>
      <c r="P209" s="66"/>
      <c r="Q209" s="66"/>
      <c r="R209" s="66"/>
      <c r="S209" s="66"/>
      <c r="T209" s="66"/>
      <c r="U209" s="66"/>
      <c r="V209" s="66"/>
      <c r="W209" s="66"/>
      <c r="X209" s="66"/>
      <c r="Y209" s="66"/>
      <c r="Z209" s="66"/>
      <c r="AA209" s="66"/>
      <c r="AB209" s="66"/>
      <c r="AC209" s="66"/>
      <c r="AD209" s="66"/>
      <c r="AE209" s="66"/>
      <c r="AF209" s="66"/>
      <c r="AG209" s="66"/>
      <c r="AH209" s="66"/>
      <c r="AI209" s="66"/>
      <c r="AJ209" s="66"/>
      <c r="AK209" s="66"/>
      <c r="AL209" s="66"/>
      <c r="AM209" s="66"/>
      <c r="AN209" s="66"/>
      <c r="AO209" s="66"/>
      <c r="AP209" s="66"/>
      <c r="AQ209" s="66"/>
      <c r="AR209" s="66"/>
      <c r="AS209" s="66"/>
      <c r="AT209" s="66"/>
      <c r="AU209" s="66"/>
      <c r="AV209" s="66"/>
      <c r="AW209" s="66"/>
      <c r="AX209" s="66"/>
      <c r="AY209" s="66"/>
      <c r="AZ209" s="66"/>
      <c r="BA209" s="66"/>
      <c r="BB209" s="66"/>
      <c r="BC209" s="66"/>
      <c r="BD209" s="66"/>
      <c r="BE209" s="66"/>
      <c r="BF209" s="66"/>
      <c r="BG209" s="66"/>
      <c r="BH209" s="66"/>
    </row>
    <row r="210" spans="1:60" x14ac:dyDescent="0.25">
      <c r="A210" s="66"/>
      <c r="J210" s="66"/>
      <c r="K210" s="66"/>
      <c r="L210" s="66"/>
      <c r="M210" s="66"/>
      <c r="N210" s="66"/>
      <c r="O210" s="66"/>
      <c r="P210" s="66"/>
      <c r="Q210" s="66"/>
      <c r="R210" s="66"/>
      <c r="S210" s="66"/>
      <c r="T210" s="66"/>
      <c r="U210" s="66"/>
      <c r="V210" s="66"/>
      <c r="W210" s="66"/>
      <c r="X210" s="66"/>
      <c r="Y210" s="66"/>
      <c r="Z210" s="66"/>
      <c r="AA210" s="66"/>
      <c r="AB210" s="66"/>
      <c r="AC210" s="66"/>
      <c r="AD210" s="66"/>
      <c r="AE210" s="66"/>
      <c r="AF210" s="66"/>
      <c r="AG210" s="66"/>
      <c r="AH210" s="66"/>
      <c r="AI210" s="66"/>
      <c r="AJ210" s="66"/>
      <c r="AK210" s="66"/>
      <c r="AL210" s="66"/>
      <c r="AM210" s="66"/>
      <c r="AN210" s="66"/>
      <c r="AO210" s="66"/>
      <c r="AP210" s="66"/>
      <c r="AQ210" s="66"/>
      <c r="AR210" s="66"/>
      <c r="AS210" s="66"/>
      <c r="AT210" s="66"/>
      <c r="AU210" s="66"/>
      <c r="AV210" s="66"/>
      <c r="AW210" s="66"/>
      <c r="AX210" s="66"/>
      <c r="AY210" s="66"/>
      <c r="AZ210" s="66"/>
      <c r="BA210" s="66"/>
      <c r="BB210" s="66"/>
      <c r="BC210" s="66"/>
      <c r="BD210" s="66"/>
      <c r="BE210" s="66"/>
      <c r="BF210" s="66"/>
      <c r="BG210" s="66"/>
      <c r="BH210" s="66"/>
    </row>
    <row r="211" spans="1:60" x14ac:dyDescent="0.25">
      <c r="A211" s="66"/>
      <c r="J211" s="66"/>
      <c r="K211" s="66"/>
      <c r="L211" s="66"/>
      <c r="M211" s="66"/>
      <c r="N211" s="66"/>
      <c r="O211" s="66"/>
      <c r="P211" s="66"/>
      <c r="Q211" s="66"/>
      <c r="R211" s="66"/>
      <c r="S211" s="66"/>
      <c r="T211" s="66"/>
      <c r="U211" s="66"/>
      <c r="V211" s="66"/>
      <c r="W211" s="66"/>
      <c r="X211" s="66"/>
      <c r="Y211" s="66"/>
      <c r="Z211" s="66"/>
      <c r="AA211" s="66"/>
      <c r="AB211" s="66"/>
      <c r="AC211" s="66"/>
      <c r="AD211" s="66"/>
      <c r="AE211" s="66"/>
      <c r="AF211" s="66"/>
      <c r="AG211" s="66"/>
      <c r="AH211" s="66"/>
      <c r="AI211" s="66"/>
      <c r="AJ211" s="66"/>
      <c r="AK211" s="66"/>
      <c r="AL211" s="66"/>
      <c r="AM211" s="66"/>
      <c r="AN211" s="66"/>
      <c r="AO211" s="66"/>
      <c r="AP211" s="66"/>
      <c r="AQ211" s="66"/>
      <c r="AR211" s="66"/>
      <c r="AS211" s="66"/>
      <c r="AT211" s="66"/>
      <c r="AU211" s="66"/>
      <c r="AV211" s="66"/>
      <c r="AW211" s="66"/>
      <c r="AX211" s="66"/>
      <c r="AY211" s="66"/>
      <c r="AZ211" s="66"/>
      <c r="BA211" s="66"/>
      <c r="BB211" s="66"/>
      <c r="BC211" s="66"/>
      <c r="BD211" s="66"/>
      <c r="BE211" s="66"/>
      <c r="BF211" s="66"/>
      <c r="BG211" s="66"/>
      <c r="BH211" s="66"/>
    </row>
    <row r="212" spans="1:60" x14ac:dyDescent="0.25">
      <c r="A212" s="66"/>
      <c r="J212" s="66"/>
      <c r="K212" s="66"/>
      <c r="L212" s="66"/>
      <c r="M212" s="66"/>
      <c r="N212" s="66"/>
      <c r="O212" s="66"/>
      <c r="P212" s="66"/>
      <c r="Q212" s="66"/>
      <c r="R212" s="66"/>
      <c r="S212" s="66"/>
      <c r="T212" s="66"/>
      <c r="U212" s="66"/>
      <c r="V212" s="66"/>
      <c r="W212" s="66"/>
      <c r="X212" s="66"/>
      <c r="Y212" s="66"/>
      <c r="Z212" s="66"/>
      <c r="AA212" s="66"/>
      <c r="AB212" s="66"/>
      <c r="AC212" s="66"/>
      <c r="AD212" s="66"/>
      <c r="AE212" s="66"/>
      <c r="AF212" s="66"/>
      <c r="AG212" s="66"/>
      <c r="AH212" s="66"/>
      <c r="AI212" s="66"/>
      <c r="AJ212" s="66"/>
      <c r="AK212" s="66"/>
      <c r="AL212" s="66"/>
      <c r="AM212" s="66"/>
      <c r="AN212" s="66"/>
      <c r="AO212" s="66"/>
      <c r="AP212" s="66"/>
      <c r="AQ212" s="66"/>
      <c r="AR212" s="66"/>
      <c r="AS212" s="66"/>
      <c r="AT212" s="66"/>
      <c r="AU212" s="66"/>
      <c r="AV212" s="66"/>
      <c r="AW212" s="66"/>
      <c r="AX212" s="66"/>
      <c r="AY212" s="66"/>
      <c r="AZ212" s="66"/>
      <c r="BA212" s="66"/>
      <c r="BB212" s="66"/>
      <c r="BC212" s="66"/>
      <c r="BD212" s="66"/>
      <c r="BE212" s="66"/>
      <c r="BF212" s="66"/>
      <c r="BG212" s="66"/>
      <c r="BH212" s="66"/>
    </row>
    <row r="213" spans="1:60" x14ac:dyDescent="0.25">
      <c r="A213" s="66"/>
      <c r="J213" s="66"/>
      <c r="K213" s="66"/>
      <c r="L213" s="66"/>
      <c r="M213" s="66"/>
      <c r="N213" s="66"/>
      <c r="O213" s="66"/>
      <c r="P213" s="66"/>
      <c r="Q213" s="66"/>
      <c r="R213" s="66"/>
      <c r="S213" s="66"/>
      <c r="T213" s="66"/>
      <c r="U213" s="66"/>
      <c r="V213" s="66"/>
      <c r="W213" s="66"/>
      <c r="X213" s="66"/>
      <c r="Y213" s="66"/>
      <c r="Z213" s="66"/>
      <c r="AA213" s="66"/>
      <c r="AB213" s="66"/>
      <c r="AC213" s="66"/>
      <c r="AD213" s="66"/>
      <c r="AE213" s="66"/>
      <c r="AF213" s="66"/>
      <c r="AG213" s="66"/>
      <c r="AH213" s="66"/>
      <c r="AI213" s="66"/>
      <c r="AJ213" s="66"/>
      <c r="AK213" s="66"/>
      <c r="AL213" s="66"/>
      <c r="AM213" s="66"/>
      <c r="AN213" s="66"/>
      <c r="AO213" s="66"/>
      <c r="AP213" s="66"/>
      <c r="AQ213" s="66"/>
      <c r="AR213" s="66"/>
      <c r="AS213" s="66"/>
      <c r="AT213" s="66"/>
      <c r="AU213" s="66"/>
      <c r="AV213" s="66"/>
      <c r="AW213" s="66"/>
      <c r="AX213" s="66"/>
      <c r="AY213" s="66"/>
      <c r="AZ213" s="66"/>
      <c r="BA213" s="66"/>
      <c r="BB213" s="66"/>
      <c r="BC213" s="66"/>
      <c r="BD213" s="66"/>
      <c r="BE213" s="66"/>
      <c r="BF213" s="66"/>
      <c r="BG213" s="66"/>
      <c r="BH213" s="66"/>
    </row>
    <row r="214" spans="1:60" x14ac:dyDescent="0.25">
      <c r="A214" s="66"/>
      <c r="J214" s="66"/>
      <c r="K214" s="66"/>
      <c r="L214" s="66"/>
      <c r="M214" s="66"/>
      <c r="N214" s="66"/>
      <c r="O214" s="66"/>
      <c r="P214" s="66"/>
      <c r="Q214" s="66"/>
      <c r="R214" s="66"/>
      <c r="S214" s="66"/>
      <c r="T214" s="66"/>
      <c r="U214" s="66"/>
      <c r="V214" s="66"/>
      <c r="W214" s="66"/>
      <c r="X214" s="66"/>
      <c r="Y214" s="66"/>
      <c r="Z214" s="66"/>
      <c r="AA214" s="66"/>
      <c r="AB214" s="66"/>
      <c r="AC214" s="66"/>
      <c r="AD214" s="66"/>
      <c r="AE214" s="66"/>
      <c r="AF214" s="66"/>
      <c r="AG214" s="66"/>
      <c r="AH214" s="66"/>
      <c r="AI214" s="66"/>
      <c r="AJ214" s="66"/>
      <c r="AK214" s="66"/>
      <c r="AL214" s="66"/>
      <c r="AM214" s="66"/>
      <c r="AN214" s="66"/>
      <c r="AO214" s="66"/>
      <c r="AP214" s="66"/>
      <c r="AQ214" s="66"/>
      <c r="AR214" s="66"/>
      <c r="AS214" s="66"/>
      <c r="AT214" s="66"/>
      <c r="AU214" s="66"/>
      <c r="AV214" s="66"/>
      <c r="AW214" s="66"/>
      <c r="AX214" s="66"/>
      <c r="AY214" s="66"/>
      <c r="AZ214" s="66"/>
      <c r="BA214" s="66"/>
      <c r="BB214" s="66"/>
      <c r="BC214" s="66"/>
      <c r="BD214" s="66"/>
      <c r="BE214" s="66"/>
      <c r="BF214" s="66"/>
      <c r="BG214" s="66"/>
      <c r="BH214" s="66"/>
    </row>
    <row r="215" spans="1:60" x14ac:dyDescent="0.25">
      <c r="A215" s="66"/>
      <c r="J215" s="66"/>
      <c r="K215" s="66"/>
      <c r="L215" s="66"/>
      <c r="M215" s="66"/>
      <c r="N215" s="66"/>
      <c r="O215" s="66"/>
      <c r="P215" s="66"/>
      <c r="Q215" s="66"/>
      <c r="R215" s="66"/>
      <c r="S215" s="66"/>
      <c r="T215" s="66"/>
      <c r="U215" s="66"/>
      <c r="V215" s="66"/>
      <c r="W215" s="66"/>
      <c r="X215" s="66"/>
      <c r="Y215" s="66"/>
      <c r="Z215" s="66"/>
      <c r="AA215" s="66"/>
      <c r="AB215" s="66"/>
      <c r="AC215" s="66"/>
      <c r="AD215" s="66"/>
      <c r="AE215" s="66"/>
      <c r="AF215" s="66"/>
      <c r="AG215" s="66"/>
      <c r="AH215" s="66"/>
      <c r="AI215" s="66"/>
      <c r="AJ215" s="66"/>
      <c r="AK215" s="66"/>
      <c r="AL215" s="66"/>
      <c r="AM215" s="66"/>
      <c r="AN215" s="66"/>
      <c r="AO215" s="66"/>
      <c r="AP215" s="66"/>
      <c r="AQ215" s="66"/>
      <c r="AR215" s="66"/>
      <c r="AS215" s="66"/>
      <c r="AT215" s="66"/>
      <c r="AU215" s="66"/>
      <c r="AV215" s="66"/>
      <c r="AW215" s="66"/>
      <c r="AX215" s="66"/>
      <c r="AY215" s="66"/>
      <c r="AZ215" s="66"/>
      <c r="BA215" s="66"/>
      <c r="BB215" s="66"/>
      <c r="BC215" s="66"/>
      <c r="BD215" s="66"/>
      <c r="BE215" s="66"/>
      <c r="BF215" s="66"/>
      <c r="BG215" s="66"/>
      <c r="BH215" s="66"/>
    </row>
    <row r="216" spans="1:60" x14ac:dyDescent="0.25">
      <c r="A216" s="66"/>
      <c r="J216" s="66"/>
      <c r="K216" s="66"/>
      <c r="L216" s="66"/>
      <c r="M216" s="66"/>
      <c r="N216" s="66"/>
      <c r="O216" s="66"/>
      <c r="P216" s="66"/>
      <c r="Q216" s="66"/>
      <c r="R216" s="66"/>
      <c r="S216" s="66"/>
      <c r="T216" s="66"/>
      <c r="U216" s="66"/>
      <c r="V216" s="66"/>
      <c r="W216" s="66"/>
      <c r="X216" s="66"/>
      <c r="Y216" s="66"/>
      <c r="Z216" s="66"/>
      <c r="AA216" s="66"/>
      <c r="AB216" s="66"/>
      <c r="AC216" s="66"/>
      <c r="AD216" s="66"/>
      <c r="AE216" s="66"/>
      <c r="AF216" s="66"/>
      <c r="AG216" s="66"/>
      <c r="AH216" s="66"/>
      <c r="AI216" s="66"/>
      <c r="AJ216" s="66"/>
      <c r="AK216" s="66"/>
      <c r="AL216" s="66"/>
      <c r="AM216" s="66"/>
      <c r="AN216" s="66"/>
      <c r="AO216" s="66"/>
      <c r="AP216" s="66"/>
      <c r="AQ216" s="66"/>
      <c r="AR216" s="66"/>
      <c r="AS216" s="66"/>
      <c r="AT216" s="66"/>
      <c r="AU216" s="66"/>
      <c r="AV216" s="66"/>
      <c r="AW216" s="66"/>
      <c r="AX216" s="66"/>
      <c r="AY216" s="66"/>
      <c r="AZ216" s="66"/>
      <c r="BA216" s="66"/>
      <c r="BB216" s="66"/>
      <c r="BC216" s="66"/>
      <c r="BD216" s="66"/>
      <c r="BE216" s="66"/>
      <c r="BF216" s="66"/>
      <c r="BG216" s="66"/>
      <c r="BH216" s="66"/>
    </row>
    <row r="217" spans="1:60" x14ac:dyDescent="0.25">
      <c r="A217" s="66"/>
      <c r="J217" s="66"/>
      <c r="K217" s="66"/>
      <c r="L217" s="66"/>
      <c r="M217" s="66"/>
      <c r="N217" s="66"/>
      <c r="O217" s="66"/>
      <c r="P217" s="66"/>
      <c r="Q217" s="66"/>
      <c r="R217" s="66"/>
      <c r="S217" s="66"/>
      <c r="T217" s="66"/>
      <c r="U217" s="66"/>
      <c r="V217" s="66"/>
      <c r="W217" s="66"/>
      <c r="X217" s="66"/>
      <c r="Y217" s="66"/>
      <c r="Z217" s="66"/>
      <c r="AA217" s="66"/>
      <c r="AB217" s="66"/>
      <c r="AC217" s="66"/>
      <c r="AD217" s="66"/>
      <c r="AE217" s="66"/>
      <c r="AF217" s="66"/>
      <c r="AG217" s="66"/>
      <c r="AH217" s="66"/>
      <c r="AI217" s="66"/>
      <c r="AJ217" s="66"/>
      <c r="AK217" s="66"/>
      <c r="AL217" s="66"/>
      <c r="AM217" s="66"/>
      <c r="AN217" s="66"/>
      <c r="AO217" s="66"/>
      <c r="AP217" s="66"/>
      <c r="AQ217" s="66"/>
      <c r="AR217" s="66"/>
      <c r="AS217" s="66"/>
      <c r="AT217" s="66"/>
      <c r="AU217" s="66"/>
      <c r="AV217" s="66"/>
      <c r="AW217" s="66"/>
      <c r="AX217" s="66"/>
      <c r="AY217" s="66"/>
      <c r="AZ217" s="66"/>
      <c r="BA217" s="66"/>
      <c r="BB217" s="66"/>
      <c r="BC217" s="66"/>
      <c r="BD217" s="66"/>
      <c r="BE217" s="66"/>
      <c r="BF217" s="66"/>
      <c r="BG217" s="66"/>
      <c r="BH217" s="66"/>
    </row>
    <row r="218" spans="1:60" x14ac:dyDescent="0.25">
      <c r="A218" s="66"/>
      <c r="J218" s="66"/>
      <c r="K218" s="66"/>
      <c r="L218" s="66"/>
      <c r="M218" s="66"/>
      <c r="N218" s="66"/>
      <c r="O218" s="66"/>
      <c r="P218" s="66"/>
      <c r="Q218" s="66"/>
      <c r="R218" s="66"/>
      <c r="S218" s="66"/>
      <c r="T218" s="66"/>
      <c r="U218" s="66"/>
      <c r="V218" s="66"/>
      <c r="W218" s="66"/>
      <c r="X218" s="66"/>
      <c r="Y218" s="66"/>
      <c r="Z218" s="66"/>
      <c r="AA218" s="66"/>
      <c r="AB218" s="66"/>
      <c r="AC218" s="66"/>
      <c r="AD218" s="66"/>
      <c r="AE218" s="66"/>
      <c r="AF218" s="66"/>
      <c r="AG218" s="66"/>
      <c r="AH218" s="66"/>
      <c r="AI218" s="66"/>
      <c r="AJ218" s="66"/>
      <c r="AK218" s="66"/>
      <c r="AL218" s="66"/>
      <c r="AM218" s="66"/>
      <c r="AN218" s="66"/>
      <c r="AO218" s="66"/>
      <c r="AP218" s="66"/>
      <c r="AQ218" s="66"/>
      <c r="AR218" s="66"/>
      <c r="AS218" s="66"/>
      <c r="AT218" s="66"/>
      <c r="AU218" s="66"/>
      <c r="AV218" s="66"/>
      <c r="AW218" s="66"/>
      <c r="AX218" s="66"/>
      <c r="AY218" s="66"/>
      <c r="AZ218" s="66"/>
      <c r="BA218" s="66"/>
      <c r="BB218" s="66"/>
      <c r="BC218" s="66"/>
      <c r="BD218" s="66"/>
      <c r="BE218" s="66"/>
      <c r="BF218" s="66"/>
      <c r="BG218" s="66"/>
      <c r="BH218" s="66"/>
    </row>
    <row r="219" spans="1:60" x14ac:dyDescent="0.25">
      <c r="A219" s="66"/>
      <c r="J219" s="66"/>
      <c r="K219" s="66"/>
      <c r="L219" s="66"/>
      <c r="M219" s="66"/>
      <c r="N219" s="66"/>
      <c r="O219" s="66"/>
      <c r="P219" s="66"/>
      <c r="Q219" s="66"/>
      <c r="R219" s="66"/>
      <c r="S219" s="66"/>
      <c r="T219" s="66"/>
      <c r="U219" s="66"/>
      <c r="V219" s="66"/>
      <c r="W219" s="66"/>
      <c r="X219" s="66"/>
      <c r="Y219" s="66"/>
      <c r="Z219" s="66"/>
      <c r="AA219" s="66"/>
      <c r="AB219" s="66"/>
      <c r="AC219" s="66"/>
      <c r="AD219" s="66"/>
      <c r="AE219" s="66"/>
      <c r="AF219" s="66"/>
      <c r="AG219" s="66"/>
      <c r="AH219" s="66"/>
      <c r="AI219" s="66"/>
      <c r="AJ219" s="66"/>
      <c r="AK219" s="66"/>
      <c r="AL219" s="66"/>
      <c r="AM219" s="66"/>
      <c r="AN219" s="66"/>
      <c r="AO219" s="66"/>
      <c r="AP219" s="66"/>
      <c r="AQ219" s="66"/>
      <c r="AR219" s="66"/>
      <c r="AS219" s="66"/>
      <c r="AT219" s="66"/>
      <c r="AU219" s="66"/>
      <c r="AV219" s="66"/>
      <c r="AW219" s="66"/>
      <c r="AX219" s="66"/>
      <c r="AY219" s="66"/>
      <c r="AZ219" s="66"/>
      <c r="BA219" s="66"/>
      <c r="BB219" s="66"/>
      <c r="BC219" s="66"/>
      <c r="BD219" s="66"/>
      <c r="BE219" s="66"/>
      <c r="BF219" s="66"/>
      <c r="BG219" s="66"/>
      <c r="BH219" s="66"/>
    </row>
    <row r="220" spans="1:60" x14ac:dyDescent="0.25">
      <c r="A220" s="66"/>
      <c r="J220" s="66"/>
      <c r="K220" s="66"/>
      <c r="L220" s="66"/>
      <c r="M220" s="66"/>
      <c r="N220" s="66"/>
      <c r="O220" s="66"/>
      <c r="P220" s="66"/>
      <c r="Q220" s="66"/>
      <c r="R220" s="66"/>
      <c r="S220" s="66"/>
      <c r="T220" s="66"/>
      <c r="U220" s="66"/>
      <c r="V220" s="66"/>
      <c r="W220" s="66"/>
      <c r="X220" s="66"/>
      <c r="Y220" s="66"/>
      <c r="Z220" s="66"/>
      <c r="AA220" s="66"/>
      <c r="AB220" s="66"/>
      <c r="AC220" s="66"/>
      <c r="AD220" s="66"/>
      <c r="AE220" s="66"/>
      <c r="AF220" s="66"/>
      <c r="AG220" s="66"/>
      <c r="AH220" s="66"/>
      <c r="AI220" s="66"/>
      <c r="AJ220" s="66"/>
      <c r="AK220" s="66"/>
      <c r="AL220" s="66"/>
      <c r="AM220" s="66"/>
      <c r="AN220" s="66"/>
      <c r="AO220" s="66"/>
      <c r="AP220" s="66"/>
      <c r="AQ220" s="66"/>
      <c r="AR220" s="66"/>
      <c r="AS220" s="66"/>
      <c r="AT220" s="66"/>
      <c r="AU220" s="66"/>
      <c r="AV220" s="66"/>
      <c r="AW220" s="66"/>
      <c r="AX220" s="66"/>
      <c r="AY220" s="66"/>
      <c r="AZ220" s="66"/>
      <c r="BA220" s="66"/>
      <c r="BB220" s="66"/>
      <c r="BC220" s="66"/>
      <c r="BD220" s="66"/>
      <c r="BE220" s="66"/>
      <c r="BF220" s="66"/>
      <c r="BG220" s="66"/>
      <c r="BH220" s="66"/>
    </row>
    <row r="221" spans="1:60" x14ac:dyDescent="0.25">
      <c r="A221" s="66"/>
      <c r="J221" s="66"/>
      <c r="K221" s="66"/>
      <c r="L221" s="66"/>
      <c r="M221" s="66"/>
      <c r="N221" s="66"/>
      <c r="O221" s="66"/>
      <c r="P221" s="66"/>
      <c r="Q221" s="66"/>
      <c r="R221" s="66"/>
      <c r="S221" s="66"/>
      <c r="T221" s="66"/>
      <c r="U221" s="66"/>
      <c r="V221" s="66"/>
      <c r="W221" s="66"/>
      <c r="X221" s="66"/>
      <c r="Y221" s="66"/>
      <c r="Z221" s="66"/>
      <c r="AA221" s="66"/>
      <c r="AB221" s="66"/>
      <c r="AC221" s="66"/>
      <c r="AD221" s="66"/>
      <c r="AE221" s="66"/>
      <c r="AF221" s="66"/>
      <c r="AG221" s="66"/>
      <c r="AH221" s="66"/>
      <c r="AI221" s="66"/>
      <c r="AJ221" s="66"/>
      <c r="AK221" s="66"/>
      <c r="AL221" s="66"/>
      <c r="AM221" s="66"/>
      <c r="AN221" s="66"/>
      <c r="AO221" s="66"/>
      <c r="AP221" s="66"/>
      <c r="AQ221" s="66"/>
      <c r="AR221" s="66"/>
      <c r="AS221" s="66"/>
      <c r="AT221" s="66"/>
      <c r="AU221" s="66"/>
      <c r="AV221" s="66"/>
      <c r="AW221" s="66"/>
      <c r="AX221" s="66"/>
      <c r="AY221" s="66"/>
      <c r="AZ221" s="66"/>
      <c r="BA221" s="66"/>
      <c r="BB221" s="66"/>
      <c r="BC221" s="66"/>
      <c r="BD221" s="66"/>
      <c r="BE221" s="66"/>
      <c r="BF221" s="66"/>
      <c r="BG221" s="66"/>
      <c r="BH221" s="66"/>
    </row>
    <row r="222" spans="1:60" x14ac:dyDescent="0.25">
      <c r="A222" s="66"/>
      <c r="J222" s="66"/>
      <c r="K222" s="66"/>
      <c r="L222" s="66"/>
      <c r="M222" s="66"/>
      <c r="N222" s="66"/>
      <c r="O222" s="66"/>
      <c r="P222" s="66"/>
      <c r="Q222" s="66"/>
      <c r="R222" s="66"/>
      <c r="S222" s="66"/>
      <c r="T222" s="66"/>
      <c r="U222" s="66"/>
      <c r="V222" s="66"/>
      <c r="W222" s="66"/>
      <c r="X222" s="66"/>
      <c r="Y222" s="66"/>
      <c r="Z222" s="66"/>
      <c r="AA222" s="66"/>
      <c r="AB222" s="66"/>
      <c r="AC222" s="66"/>
      <c r="AD222" s="66"/>
      <c r="AE222" s="66"/>
      <c r="AF222" s="66"/>
      <c r="AG222" s="66"/>
      <c r="AH222" s="66"/>
      <c r="AI222" s="66"/>
      <c r="AJ222" s="66"/>
      <c r="AK222" s="66"/>
      <c r="AL222" s="66"/>
      <c r="AM222" s="66"/>
      <c r="AN222" s="66"/>
      <c r="AO222" s="66"/>
      <c r="AP222" s="66"/>
      <c r="AQ222" s="66"/>
      <c r="AR222" s="66"/>
      <c r="AS222" s="66"/>
      <c r="AT222" s="66"/>
      <c r="AU222" s="66"/>
      <c r="AV222" s="66"/>
      <c r="AW222" s="66"/>
      <c r="AX222" s="66"/>
      <c r="AY222" s="66"/>
      <c r="AZ222" s="66"/>
      <c r="BA222" s="66"/>
      <c r="BB222" s="66"/>
      <c r="BC222" s="66"/>
      <c r="BD222" s="66"/>
      <c r="BE222" s="66"/>
      <c r="BF222" s="66"/>
      <c r="BG222" s="66"/>
      <c r="BH222" s="66"/>
    </row>
    <row r="223" spans="1:60" x14ac:dyDescent="0.25">
      <c r="A223" s="66"/>
      <c r="J223" s="66"/>
      <c r="K223" s="66"/>
      <c r="L223" s="66"/>
      <c r="M223" s="66"/>
      <c r="N223" s="66"/>
      <c r="O223" s="66"/>
      <c r="P223" s="66"/>
      <c r="Q223" s="66"/>
      <c r="R223" s="66"/>
      <c r="S223" s="66"/>
      <c r="T223" s="66"/>
      <c r="U223" s="66"/>
      <c r="V223" s="66"/>
      <c r="W223" s="66"/>
      <c r="X223" s="66"/>
      <c r="Y223" s="66"/>
      <c r="Z223" s="66"/>
      <c r="AA223" s="66"/>
      <c r="AB223" s="66"/>
      <c r="AC223" s="66"/>
      <c r="AD223" s="66"/>
      <c r="AE223" s="66"/>
      <c r="AF223" s="66"/>
      <c r="AG223" s="66"/>
      <c r="AH223" s="66"/>
      <c r="AI223" s="66"/>
      <c r="AJ223" s="66"/>
      <c r="AK223" s="66"/>
      <c r="AL223" s="66"/>
      <c r="AM223" s="66"/>
      <c r="AN223" s="66"/>
      <c r="AO223" s="66"/>
      <c r="AP223" s="66"/>
      <c r="AQ223" s="66"/>
      <c r="AR223" s="66"/>
      <c r="AS223" s="66"/>
      <c r="AT223" s="66"/>
      <c r="AU223" s="66"/>
      <c r="AV223" s="66"/>
      <c r="AW223" s="66"/>
      <c r="AX223" s="66"/>
      <c r="AY223" s="66"/>
      <c r="AZ223" s="66"/>
      <c r="BA223" s="66"/>
      <c r="BB223" s="66"/>
      <c r="BC223" s="66"/>
      <c r="BD223" s="66"/>
      <c r="BE223" s="66"/>
      <c r="BF223" s="66"/>
      <c r="BG223" s="66"/>
      <c r="BH223" s="66"/>
    </row>
    <row r="224" spans="1:60" x14ac:dyDescent="0.25">
      <c r="A224" s="66"/>
      <c r="J224" s="66"/>
      <c r="K224" s="66"/>
      <c r="L224" s="66"/>
      <c r="M224" s="66"/>
      <c r="N224" s="66"/>
      <c r="O224" s="66"/>
      <c r="P224" s="66"/>
      <c r="Q224" s="66"/>
      <c r="R224" s="66"/>
      <c r="S224" s="66"/>
      <c r="T224" s="66"/>
      <c r="U224" s="66"/>
      <c r="V224" s="66"/>
      <c r="W224" s="66"/>
      <c r="X224" s="66"/>
      <c r="Y224" s="66"/>
      <c r="Z224" s="66"/>
      <c r="AA224" s="66"/>
      <c r="AB224" s="66"/>
      <c r="AC224" s="66"/>
      <c r="AD224" s="66"/>
      <c r="AE224" s="66"/>
      <c r="AF224" s="66"/>
      <c r="AG224" s="66"/>
      <c r="AH224" s="66"/>
      <c r="AI224" s="66"/>
      <c r="AJ224" s="66"/>
      <c r="AK224" s="66"/>
      <c r="AL224" s="66"/>
      <c r="AM224" s="66"/>
      <c r="AN224" s="66"/>
      <c r="AO224" s="66"/>
      <c r="AP224" s="66"/>
      <c r="AQ224" s="66"/>
      <c r="AR224" s="66"/>
      <c r="AS224" s="66"/>
      <c r="AT224" s="66"/>
      <c r="AU224" s="66"/>
      <c r="AV224" s="66"/>
      <c r="AW224" s="66"/>
      <c r="AX224" s="66"/>
      <c r="AY224" s="66"/>
      <c r="AZ224" s="66"/>
      <c r="BA224" s="66"/>
      <c r="BB224" s="66"/>
      <c r="BC224" s="66"/>
      <c r="BD224" s="66"/>
      <c r="BE224" s="66"/>
      <c r="BF224" s="66"/>
      <c r="BG224" s="66"/>
      <c r="BH224" s="66"/>
    </row>
    <row r="225" spans="1:60" x14ac:dyDescent="0.25">
      <c r="A225" s="66"/>
      <c r="J225" s="66"/>
      <c r="K225" s="66"/>
      <c r="L225" s="66"/>
      <c r="M225" s="66"/>
      <c r="N225" s="66"/>
      <c r="O225" s="66"/>
      <c r="P225" s="66"/>
      <c r="Q225" s="66"/>
      <c r="R225" s="66"/>
      <c r="S225" s="66"/>
      <c r="T225" s="66"/>
      <c r="U225" s="66"/>
      <c r="V225" s="66"/>
      <c r="W225" s="66"/>
      <c r="X225" s="66"/>
      <c r="Y225" s="66"/>
      <c r="Z225" s="66"/>
      <c r="AA225" s="66"/>
      <c r="AB225" s="66"/>
      <c r="AC225" s="66"/>
      <c r="AD225" s="66"/>
      <c r="AE225" s="66"/>
      <c r="AF225" s="66"/>
      <c r="AG225" s="66"/>
      <c r="AH225" s="66"/>
      <c r="AI225" s="66"/>
      <c r="AJ225" s="66"/>
      <c r="AK225" s="66"/>
      <c r="AL225" s="66"/>
      <c r="AM225" s="66"/>
      <c r="AN225" s="66"/>
      <c r="AO225" s="66"/>
      <c r="AP225" s="66"/>
      <c r="AQ225" s="66"/>
      <c r="AR225" s="66"/>
      <c r="AS225" s="66"/>
      <c r="AT225" s="66"/>
      <c r="AU225" s="66"/>
      <c r="AV225" s="66"/>
      <c r="AW225" s="66"/>
      <c r="AX225" s="66"/>
      <c r="AY225" s="66"/>
      <c r="AZ225" s="66"/>
      <c r="BA225" s="66"/>
      <c r="BB225" s="66"/>
      <c r="BC225" s="66"/>
      <c r="BD225" s="66"/>
      <c r="BE225" s="66"/>
      <c r="BF225" s="66"/>
      <c r="BG225" s="66"/>
      <c r="BH225" s="66"/>
    </row>
    <row r="226" spans="1:60" x14ac:dyDescent="0.25">
      <c r="A226" s="66"/>
      <c r="J226" s="66"/>
      <c r="K226" s="66"/>
      <c r="L226" s="66"/>
      <c r="M226" s="66"/>
      <c r="N226" s="66"/>
      <c r="O226" s="66"/>
      <c r="P226" s="66"/>
      <c r="Q226" s="66"/>
      <c r="R226" s="66"/>
      <c r="S226" s="66"/>
      <c r="T226" s="66"/>
      <c r="U226" s="66"/>
      <c r="V226" s="66"/>
      <c r="W226" s="66"/>
      <c r="X226" s="66"/>
      <c r="Y226" s="66"/>
      <c r="Z226" s="66"/>
      <c r="AA226" s="66"/>
      <c r="AB226" s="66"/>
      <c r="AC226" s="66"/>
      <c r="AD226" s="66"/>
      <c r="AE226" s="66"/>
      <c r="AF226" s="66"/>
      <c r="AG226" s="66"/>
      <c r="AH226" s="66"/>
      <c r="AI226" s="66"/>
      <c r="AJ226" s="66"/>
      <c r="AK226" s="66"/>
      <c r="AL226" s="66"/>
      <c r="AM226" s="66"/>
      <c r="AN226" s="66"/>
      <c r="AO226" s="66"/>
      <c r="AP226" s="66"/>
      <c r="AQ226" s="66"/>
      <c r="AR226" s="66"/>
      <c r="AS226" s="66"/>
      <c r="AT226" s="66"/>
      <c r="AU226" s="66"/>
      <c r="AV226" s="66"/>
      <c r="AW226" s="66"/>
      <c r="AX226" s="66"/>
      <c r="AY226" s="66"/>
      <c r="AZ226" s="66"/>
      <c r="BA226" s="66"/>
      <c r="BB226" s="66"/>
      <c r="BC226" s="66"/>
      <c r="BD226" s="66"/>
      <c r="BE226" s="66"/>
      <c r="BF226" s="66"/>
      <c r="BG226" s="66"/>
      <c r="BH226" s="66"/>
    </row>
    <row r="227" spans="1:60" x14ac:dyDescent="0.25">
      <c r="A227" s="66"/>
      <c r="J227" s="66"/>
      <c r="K227" s="66"/>
      <c r="L227" s="66"/>
      <c r="M227" s="66"/>
      <c r="N227" s="66"/>
      <c r="O227" s="66"/>
      <c r="P227" s="66"/>
      <c r="Q227" s="66"/>
      <c r="R227" s="66"/>
      <c r="S227" s="66"/>
      <c r="T227" s="66"/>
      <c r="U227" s="66"/>
      <c r="V227" s="66"/>
      <c r="W227" s="66"/>
      <c r="X227" s="66"/>
      <c r="Y227" s="66"/>
      <c r="Z227" s="66"/>
      <c r="AA227" s="66"/>
      <c r="AB227" s="66"/>
      <c r="AC227" s="66"/>
      <c r="AD227" s="66"/>
      <c r="AE227" s="66"/>
      <c r="AF227" s="66"/>
      <c r="AG227" s="66"/>
      <c r="AH227" s="66"/>
      <c r="AI227" s="66"/>
      <c r="AJ227" s="66"/>
      <c r="AK227" s="66"/>
      <c r="AL227" s="66"/>
      <c r="AM227" s="66"/>
      <c r="AN227" s="66"/>
      <c r="AO227" s="66"/>
      <c r="AP227" s="66"/>
      <c r="AQ227" s="66"/>
      <c r="AR227" s="66"/>
      <c r="AS227" s="66"/>
      <c r="AT227" s="66"/>
      <c r="AU227" s="66"/>
      <c r="AV227" s="66"/>
      <c r="AW227" s="66"/>
      <c r="AX227" s="66"/>
      <c r="AY227" s="66"/>
      <c r="AZ227" s="66"/>
      <c r="BA227" s="66"/>
      <c r="BB227" s="66"/>
      <c r="BC227" s="66"/>
      <c r="BD227" s="66"/>
      <c r="BE227" s="66"/>
      <c r="BF227" s="66"/>
      <c r="BG227" s="66"/>
      <c r="BH227" s="66"/>
    </row>
    <row r="228" spans="1:60" x14ac:dyDescent="0.25">
      <c r="A228" s="66"/>
      <c r="J228" s="66"/>
      <c r="K228" s="66"/>
      <c r="L228" s="66"/>
      <c r="M228" s="66"/>
      <c r="N228" s="66"/>
      <c r="O228" s="66"/>
      <c r="P228" s="66"/>
      <c r="Q228" s="66"/>
      <c r="R228" s="66"/>
      <c r="S228" s="66"/>
      <c r="T228" s="66"/>
      <c r="U228" s="66"/>
      <c r="V228" s="66"/>
      <c r="W228" s="66"/>
      <c r="X228" s="66"/>
      <c r="Y228" s="66"/>
      <c r="Z228" s="66"/>
      <c r="AA228" s="66"/>
      <c r="AB228" s="66"/>
      <c r="AC228" s="66"/>
      <c r="AD228" s="66"/>
      <c r="AE228" s="66"/>
      <c r="AF228" s="66"/>
      <c r="AG228" s="66"/>
      <c r="AH228" s="66"/>
      <c r="AI228" s="66"/>
      <c r="AJ228" s="66"/>
      <c r="AK228" s="66"/>
      <c r="AL228" s="66"/>
      <c r="AM228" s="66"/>
      <c r="AN228" s="66"/>
      <c r="AO228" s="66"/>
      <c r="AP228" s="66"/>
      <c r="AQ228" s="66"/>
      <c r="AR228" s="66"/>
      <c r="AS228" s="66"/>
      <c r="AT228" s="66"/>
      <c r="AU228" s="66"/>
      <c r="AV228" s="66"/>
      <c r="AW228" s="66"/>
      <c r="AX228" s="66"/>
      <c r="AY228" s="66"/>
      <c r="AZ228" s="66"/>
      <c r="BA228" s="66"/>
      <c r="BB228" s="66"/>
      <c r="BC228" s="66"/>
      <c r="BD228" s="66"/>
      <c r="BE228" s="66"/>
      <c r="BF228" s="66"/>
      <c r="BG228" s="66"/>
      <c r="BH228" s="66"/>
    </row>
    <row r="229" spans="1:60" x14ac:dyDescent="0.25">
      <c r="A229" s="66"/>
      <c r="J229" s="66"/>
      <c r="K229" s="66"/>
      <c r="L229" s="66"/>
      <c r="M229" s="66"/>
      <c r="N229" s="66"/>
      <c r="O229" s="66"/>
      <c r="P229" s="66"/>
      <c r="Q229" s="66"/>
      <c r="R229" s="66"/>
      <c r="S229" s="66"/>
      <c r="T229" s="66"/>
      <c r="U229" s="66"/>
      <c r="V229" s="66"/>
      <c r="W229" s="66"/>
      <c r="X229" s="66"/>
      <c r="Y229" s="66"/>
      <c r="Z229" s="66"/>
      <c r="AA229" s="66"/>
      <c r="AB229" s="66"/>
      <c r="AC229" s="66"/>
      <c r="AD229" s="66"/>
      <c r="AE229" s="66"/>
      <c r="AF229" s="66"/>
      <c r="AG229" s="66"/>
      <c r="AH229" s="66"/>
      <c r="AI229" s="66"/>
      <c r="AJ229" s="66"/>
      <c r="AK229" s="66"/>
      <c r="AL229" s="66"/>
      <c r="AM229" s="66"/>
      <c r="AN229" s="66"/>
      <c r="AO229" s="66"/>
      <c r="AP229" s="66"/>
      <c r="AQ229" s="66"/>
      <c r="AR229" s="66"/>
      <c r="AS229" s="66"/>
      <c r="AT229" s="66"/>
      <c r="AU229" s="66"/>
      <c r="AV229" s="66"/>
      <c r="AW229" s="66"/>
      <c r="AX229" s="66"/>
      <c r="AY229" s="66"/>
      <c r="AZ229" s="66"/>
      <c r="BA229" s="66"/>
      <c r="BB229" s="66"/>
      <c r="BC229" s="66"/>
      <c r="BD229" s="66"/>
      <c r="BE229" s="66"/>
      <c r="BF229" s="66"/>
      <c r="BG229" s="66"/>
      <c r="BH229" s="66"/>
    </row>
    <row r="230" spans="1:60" x14ac:dyDescent="0.25">
      <c r="A230" s="66"/>
      <c r="J230" s="66"/>
      <c r="K230" s="66"/>
      <c r="L230" s="66"/>
      <c r="M230" s="66"/>
      <c r="N230" s="66"/>
      <c r="O230" s="66"/>
      <c r="P230" s="66"/>
      <c r="Q230" s="66"/>
      <c r="R230" s="66"/>
      <c r="S230" s="66"/>
      <c r="T230" s="66"/>
      <c r="U230" s="66"/>
      <c r="V230" s="66"/>
      <c r="W230" s="66"/>
      <c r="X230" s="66"/>
      <c r="Y230" s="66"/>
      <c r="Z230" s="66"/>
      <c r="AA230" s="66"/>
      <c r="AB230" s="66"/>
      <c r="AC230" s="66"/>
      <c r="AD230" s="66"/>
      <c r="AE230" s="66"/>
      <c r="AF230" s="66"/>
      <c r="AG230" s="66"/>
      <c r="AH230" s="66"/>
      <c r="AI230" s="66"/>
      <c r="AJ230" s="66"/>
      <c r="AK230" s="66"/>
      <c r="AL230" s="66"/>
      <c r="AM230" s="66"/>
      <c r="AN230" s="66"/>
      <c r="AO230" s="66"/>
      <c r="AP230" s="66"/>
      <c r="AQ230" s="66"/>
      <c r="AR230" s="66"/>
      <c r="AS230" s="66"/>
      <c r="AT230" s="66"/>
      <c r="AU230" s="66"/>
      <c r="AV230" s="66"/>
      <c r="AW230" s="66"/>
      <c r="AX230" s="66"/>
      <c r="AY230" s="66"/>
      <c r="AZ230" s="66"/>
      <c r="BA230" s="66"/>
      <c r="BB230" s="66"/>
      <c r="BC230" s="66"/>
      <c r="BD230" s="66"/>
      <c r="BE230" s="66"/>
      <c r="BF230" s="66"/>
      <c r="BG230" s="66"/>
      <c r="BH230" s="66"/>
    </row>
    <row r="231" spans="1:60" x14ac:dyDescent="0.25">
      <c r="A231" s="66"/>
      <c r="J231" s="66"/>
      <c r="K231" s="66"/>
      <c r="L231" s="66"/>
      <c r="M231" s="66"/>
      <c r="N231" s="66"/>
      <c r="O231" s="66"/>
      <c r="P231" s="66"/>
      <c r="Q231" s="66"/>
      <c r="R231" s="66"/>
      <c r="S231" s="66"/>
      <c r="T231" s="66"/>
      <c r="U231" s="66"/>
      <c r="V231" s="66"/>
      <c r="W231" s="66"/>
      <c r="X231" s="66"/>
      <c r="Y231" s="66"/>
      <c r="Z231" s="66"/>
      <c r="AA231" s="66"/>
      <c r="AB231" s="66"/>
      <c r="AC231" s="66"/>
      <c r="AD231" s="66"/>
      <c r="AE231" s="66"/>
      <c r="AF231" s="66"/>
      <c r="AG231" s="66"/>
      <c r="AH231" s="66"/>
      <c r="AI231" s="66"/>
      <c r="AJ231" s="66"/>
      <c r="AK231" s="66"/>
      <c r="AL231" s="66"/>
      <c r="AM231" s="66"/>
      <c r="AN231" s="66"/>
      <c r="AO231" s="66"/>
      <c r="AP231" s="66"/>
      <c r="AQ231" s="66"/>
      <c r="AR231" s="66"/>
      <c r="AS231" s="66"/>
      <c r="AT231" s="66"/>
      <c r="AU231" s="66"/>
      <c r="AV231" s="66"/>
      <c r="AW231" s="66"/>
      <c r="AX231" s="66"/>
      <c r="AY231" s="66"/>
      <c r="AZ231" s="66"/>
      <c r="BA231" s="66"/>
      <c r="BB231" s="66"/>
      <c r="BC231" s="66"/>
      <c r="BD231" s="66"/>
      <c r="BE231" s="66"/>
      <c r="BF231" s="66"/>
      <c r="BG231" s="66"/>
      <c r="BH231" s="66"/>
    </row>
    <row r="232" spans="1:60" x14ac:dyDescent="0.25">
      <c r="A232" s="66"/>
      <c r="J232" s="66"/>
      <c r="K232" s="66"/>
      <c r="L232" s="66"/>
      <c r="M232" s="66"/>
      <c r="N232" s="66"/>
      <c r="O232" s="66"/>
      <c r="P232" s="66"/>
      <c r="Q232" s="66"/>
      <c r="R232" s="66"/>
      <c r="S232" s="66"/>
      <c r="T232" s="66"/>
      <c r="U232" s="66"/>
      <c r="V232" s="66"/>
      <c r="W232" s="66"/>
      <c r="X232" s="66"/>
      <c r="Y232" s="66"/>
      <c r="Z232" s="66"/>
      <c r="AA232" s="66"/>
      <c r="AB232" s="66"/>
      <c r="AC232" s="66"/>
      <c r="AD232" s="66"/>
      <c r="AE232" s="66"/>
      <c r="AF232" s="66"/>
      <c r="AG232" s="66"/>
      <c r="AH232" s="66"/>
      <c r="AI232" s="66"/>
      <c r="AJ232" s="66"/>
      <c r="AK232" s="66"/>
      <c r="AL232" s="66"/>
      <c r="AM232" s="66"/>
      <c r="AN232" s="66"/>
      <c r="AO232" s="66"/>
      <c r="AP232" s="66"/>
      <c r="AQ232" s="66"/>
      <c r="AR232" s="66"/>
      <c r="AS232" s="66"/>
      <c r="AT232" s="66"/>
      <c r="AU232" s="66"/>
      <c r="AV232" s="66"/>
      <c r="AW232" s="66"/>
      <c r="AX232" s="66"/>
      <c r="AY232" s="66"/>
      <c r="AZ232" s="66"/>
      <c r="BA232" s="66"/>
      <c r="BB232" s="66"/>
      <c r="BC232" s="66"/>
      <c r="BD232" s="66"/>
      <c r="BE232" s="66"/>
      <c r="BF232" s="66"/>
      <c r="BG232" s="66"/>
      <c r="BH232" s="66"/>
    </row>
    <row r="233" spans="1:60" x14ac:dyDescent="0.25">
      <c r="A233" s="66"/>
      <c r="J233" s="66"/>
      <c r="K233" s="66"/>
      <c r="L233" s="66"/>
      <c r="M233" s="66"/>
      <c r="N233" s="66"/>
      <c r="O233" s="66"/>
      <c r="P233" s="66"/>
      <c r="Q233" s="66"/>
      <c r="R233" s="66"/>
      <c r="S233" s="66"/>
      <c r="T233" s="66"/>
      <c r="U233" s="66"/>
      <c r="V233" s="66"/>
      <c r="W233" s="66"/>
      <c r="X233" s="66"/>
      <c r="Y233" s="66"/>
      <c r="Z233" s="66"/>
      <c r="AA233" s="66"/>
      <c r="AB233" s="66"/>
      <c r="AC233" s="66"/>
      <c r="AD233" s="66"/>
      <c r="AE233" s="66"/>
      <c r="AF233" s="66"/>
      <c r="AG233" s="66"/>
      <c r="AH233" s="66"/>
      <c r="AI233" s="66"/>
      <c r="AJ233" s="66"/>
      <c r="AK233" s="66"/>
      <c r="AL233" s="66"/>
      <c r="AM233" s="66"/>
      <c r="AN233" s="66"/>
      <c r="AO233" s="66"/>
      <c r="AP233" s="66"/>
      <c r="AQ233" s="66"/>
      <c r="AR233" s="66"/>
      <c r="AS233" s="66"/>
      <c r="AT233" s="66"/>
      <c r="AU233" s="66"/>
      <c r="AV233" s="66"/>
      <c r="AW233" s="66"/>
      <c r="AX233" s="66"/>
      <c r="AY233" s="66"/>
      <c r="AZ233" s="66"/>
      <c r="BA233" s="66"/>
      <c r="BB233" s="66"/>
      <c r="BC233" s="66"/>
      <c r="BD233" s="66"/>
      <c r="BE233" s="66"/>
      <c r="BF233" s="66"/>
      <c r="BG233" s="66"/>
      <c r="BH233" s="66"/>
    </row>
    <row r="234" spans="1:60" x14ac:dyDescent="0.25">
      <c r="A234" s="66"/>
      <c r="J234" s="66"/>
      <c r="K234" s="66"/>
      <c r="L234" s="66"/>
      <c r="M234" s="66"/>
      <c r="N234" s="66"/>
      <c r="O234" s="66"/>
      <c r="P234" s="66"/>
      <c r="Q234" s="66"/>
      <c r="R234" s="66"/>
      <c r="S234" s="66"/>
      <c r="T234" s="66"/>
      <c r="U234" s="66"/>
      <c r="V234" s="66"/>
      <c r="W234" s="66"/>
      <c r="X234" s="66"/>
      <c r="Y234" s="66"/>
      <c r="Z234" s="66"/>
      <c r="AA234" s="66"/>
      <c r="AB234" s="66"/>
      <c r="AC234" s="66"/>
      <c r="AD234" s="66"/>
      <c r="AE234" s="66"/>
      <c r="AF234" s="66"/>
      <c r="AG234" s="66"/>
      <c r="AH234" s="66"/>
      <c r="AI234" s="66"/>
      <c r="AJ234" s="66"/>
      <c r="AK234" s="66"/>
      <c r="AL234" s="66"/>
      <c r="AM234" s="66"/>
      <c r="AN234" s="66"/>
      <c r="AO234" s="66"/>
      <c r="AP234" s="66"/>
      <c r="AQ234" s="66"/>
      <c r="AR234" s="66"/>
      <c r="AS234" s="66"/>
      <c r="AT234" s="66"/>
      <c r="AU234" s="66"/>
      <c r="AV234" s="66"/>
      <c r="AW234" s="66"/>
      <c r="AX234" s="66"/>
      <c r="AY234" s="66"/>
      <c r="AZ234" s="66"/>
      <c r="BA234" s="66"/>
      <c r="BB234" s="66"/>
      <c r="BC234" s="66"/>
      <c r="BD234" s="66"/>
      <c r="BE234" s="66"/>
      <c r="BF234" s="66"/>
      <c r="BG234" s="66"/>
      <c r="BH234" s="66"/>
    </row>
    <row r="235" spans="1:60" x14ac:dyDescent="0.25">
      <c r="A235" s="66"/>
      <c r="J235" s="66"/>
      <c r="K235" s="66"/>
      <c r="L235" s="66"/>
      <c r="M235" s="66"/>
      <c r="N235" s="66"/>
      <c r="O235" s="66"/>
      <c r="P235" s="66"/>
      <c r="Q235" s="66"/>
      <c r="R235" s="66"/>
      <c r="S235" s="66"/>
      <c r="T235" s="66"/>
      <c r="U235" s="66"/>
      <c r="V235" s="66"/>
      <c r="W235" s="66"/>
      <c r="X235" s="66"/>
      <c r="Y235" s="66"/>
      <c r="Z235" s="66"/>
      <c r="AA235" s="66"/>
      <c r="AB235" s="66"/>
      <c r="AC235" s="66"/>
      <c r="AD235" s="66"/>
      <c r="AE235" s="66"/>
      <c r="AF235" s="66"/>
      <c r="AG235" s="66"/>
      <c r="AH235" s="66"/>
      <c r="AI235" s="66"/>
      <c r="AJ235" s="66"/>
      <c r="AK235" s="66"/>
      <c r="AL235" s="66"/>
      <c r="AM235" s="66"/>
      <c r="AN235" s="66"/>
      <c r="AO235" s="66"/>
      <c r="AP235" s="66"/>
      <c r="AQ235" s="66"/>
      <c r="AR235" s="66"/>
      <c r="AS235" s="66"/>
      <c r="AT235" s="66"/>
      <c r="AU235" s="66"/>
      <c r="AV235" s="66"/>
      <c r="AW235" s="66"/>
      <c r="AX235" s="66"/>
      <c r="AY235" s="66"/>
      <c r="AZ235" s="66"/>
      <c r="BA235" s="66"/>
      <c r="BB235" s="66"/>
      <c r="BC235" s="66"/>
      <c r="BD235" s="66"/>
      <c r="BE235" s="66"/>
      <c r="BF235" s="66"/>
      <c r="BG235" s="66"/>
      <c r="BH235" s="66"/>
    </row>
    <row r="236" spans="1:60" x14ac:dyDescent="0.25">
      <c r="A236" s="66"/>
      <c r="J236" s="66"/>
      <c r="K236" s="66"/>
      <c r="L236" s="66"/>
      <c r="M236" s="66"/>
      <c r="N236" s="66"/>
      <c r="O236" s="66"/>
      <c r="P236" s="66"/>
      <c r="Q236" s="66"/>
      <c r="R236" s="66"/>
      <c r="S236" s="66"/>
      <c r="T236" s="66"/>
      <c r="U236" s="66"/>
      <c r="V236" s="66"/>
      <c r="W236" s="66"/>
      <c r="X236" s="66"/>
      <c r="Y236" s="66"/>
      <c r="Z236" s="66"/>
      <c r="AA236" s="66"/>
      <c r="AB236" s="66"/>
      <c r="AC236" s="66"/>
      <c r="AD236" s="66"/>
      <c r="AE236" s="66"/>
      <c r="AF236" s="66"/>
      <c r="AG236" s="66"/>
      <c r="AH236" s="66"/>
      <c r="AI236" s="66"/>
      <c r="AJ236" s="66"/>
      <c r="AK236" s="66"/>
      <c r="AL236" s="66"/>
      <c r="AM236" s="66"/>
      <c r="AN236" s="66"/>
      <c r="AO236" s="66"/>
      <c r="AP236" s="66"/>
      <c r="AQ236" s="66"/>
      <c r="AR236" s="66"/>
      <c r="AS236" s="66"/>
      <c r="AT236" s="66"/>
      <c r="AU236" s="66"/>
      <c r="AV236" s="66"/>
      <c r="AW236" s="66"/>
      <c r="AX236" s="66"/>
      <c r="AY236" s="66"/>
      <c r="AZ236" s="66"/>
      <c r="BA236" s="66"/>
      <c r="BB236" s="66"/>
      <c r="BC236" s="66"/>
      <c r="BD236" s="66"/>
      <c r="BE236" s="66"/>
      <c r="BF236" s="66"/>
      <c r="BG236" s="66"/>
      <c r="BH236" s="66"/>
    </row>
    <row r="237" spans="1:60" x14ac:dyDescent="0.25">
      <c r="A237" s="66"/>
      <c r="J237" s="66"/>
      <c r="K237" s="66"/>
      <c r="L237" s="66"/>
      <c r="M237" s="66"/>
      <c r="N237" s="66"/>
      <c r="O237" s="66"/>
      <c r="P237" s="66"/>
      <c r="Q237" s="66"/>
      <c r="R237" s="66"/>
      <c r="S237" s="66"/>
      <c r="T237" s="66"/>
      <c r="U237" s="66"/>
      <c r="V237" s="66"/>
      <c r="W237" s="66"/>
      <c r="X237" s="66"/>
      <c r="Y237" s="66"/>
      <c r="Z237" s="66"/>
      <c r="AA237" s="66"/>
      <c r="AB237" s="66"/>
      <c r="AC237" s="66"/>
      <c r="AD237" s="66"/>
      <c r="AE237" s="66"/>
      <c r="AF237" s="66"/>
      <c r="AG237" s="66"/>
      <c r="AH237" s="66"/>
      <c r="AI237" s="66"/>
      <c r="AJ237" s="66"/>
      <c r="AK237" s="66"/>
      <c r="AL237" s="66"/>
      <c r="AM237" s="66"/>
      <c r="AN237" s="66"/>
      <c r="AO237" s="66"/>
      <c r="AP237" s="66"/>
      <c r="AQ237" s="66"/>
      <c r="AR237" s="66"/>
      <c r="AS237" s="66"/>
      <c r="AT237" s="66"/>
      <c r="AU237" s="66"/>
      <c r="AV237" s="66"/>
      <c r="AW237" s="66"/>
      <c r="AX237" s="66"/>
      <c r="AY237" s="66"/>
      <c r="AZ237" s="66"/>
      <c r="BA237" s="66"/>
      <c r="BB237" s="66"/>
      <c r="BC237" s="66"/>
      <c r="BD237" s="66"/>
      <c r="BE237" s="66"/>
      <c r="BF237" s="66"/>
      <c r="BG237" s="66"/>
      <c r="BH237" s="66"/>
    </row>
    <row r="238" spans="1:60" x14ac:dyDescent="0.25">
      <c r="A238" s="66"/>
      <c r="J238" s="66"/>
      <c r="K238" s="66"/>
      <c r="L238" s="66"/>
      <c r="M238" s="66"/>
      <c r="N238" s="66"/>
      <c r="O238" s="66"/>
      <c r="P238" s="66"/>
      <c r="Q238" s="66"/>
      <c r="R238" s="66"/>
      <c r="S238" s="66"/>
      <c r="T238" s="66"/>
      <c r="U238" s="66"/>
      <c r="V238" s="66"/>
      <c r="W238" s="66"/>
      <c r="X238" s="66"/>
      <c r="Y238" s="66"/>
      <c r="Z238" s="66"/>
      <c r="AA238" s="66"/>
      <c r="AB238" s="66"/>
      <c r="AC238" s="66"/>
      <c r="AD238" s="66"/>
      <c r="AE238" s="66"/>
      <c r="AF238" s="66"/>
      <c r="AG238" s="66"/>
      <c r="AH238" s="66"/>
      <c r="AI238" s="66"/>
      <c r="AJ238" s="66"/>
      <c r="AK238" s="66"/>
      <c r="AL238" s="66"/>
      <c r="AM238" s="66"/>
      <c r="AN238" s="66"/>
      <c r="AO238" s="66"/>
      <c r="AP238" s="66"/>
      <c r="AQ238" s="66"/>
      <c r="AR238" s="66"/>
      <c r="AS238" s="66"/>
      <c r="AT238" s="66"/>
      <c r="AU238" s="66"/>
      <c r="AV238" s="66"/>
      <c r="AW238" s="66"/>
      <c r="AX238" s="66"/>
      <c r="AY238" s="66"/>
      <c r="AZ238" s="66"/>
      <c r="BA238" s="66"/>
      <c r="BB238" s="66"/>
      <c r="BC238" s="66"/>
      <c r="BD238" s="66"/>
      <c r="BE238" s="66"/>
      <c r="BF238" s="66"/>
      <c r="BG238" s="66"/>
      <c r="BH238" s="66"/>
    </row>
    <row r="239" spans="1:60" x14ac:dyDescent="0.25">
      <c r="A239" s="66"/>
      <c r="J239" s="66"/>
      <c r="K239" s="66"/>
      <c r="L239" s="66"/>
      <c r="M239" s="66"/>
      <c r="N239" s="66"/>
      <c r="O239" s="66"/>
      <c r="P239" s="66"/>
      <c r="Q239" s="66"/>
      <c r="R239" s="66"/>
      <c r="S239" s="66"/>
      <c r="T239" s="66"/>
      <c r="U239" s="66"/>
      <c r="V239" s="66"/>
      <c r="W239" s="66"/>
      <c r="X239" s="66"/>
      <c r="Y239" s="66"/>
      <c r="Z239" s="66"/>
      <c r="AA239" s="66"/>
      <c r="AB239" s="66"/>
      <c r="AC239" s="66"/>
      <c r="AD239" s="66"/>
      <c r="AE239" s="66"/>
      <c r="AF239" s="66"/>
      <c r="AG239" s="66"/>
      <c r="AH239" s="66"/>
      <c r="AI239" s="66"/>
      <c r="AJ239" s="66"/>
      <c r="AK239" s="66"/>
      <c r="AL239" s="66"/>
      <c r="AM239" s="66"/>
      <c r="AN239" s="66"/>
      <c r="AO239" s="66"/>
      <c r="AP239" s="66"/>
      <c r="AQ239" s="66"/>
      <c r="AR239" s="66"/>
      <c r="AS239" s="66"/>
      <c r="AT239" s="66"/>
      <c r="AU239" s="66"/>
      <c r="AV239" s="66"/>
      <c r="AW239" s="66"/>
      <c r="AX239" s="66"/>
      <c r="AY239" s="66"/>
      <c r="AZ239" s="66"/>
      <c r="BA239" s="66"/>
      <c r="BB239" s="66"/>
      <c r="BC239" s="66"/>
      <c r="BD239" s="66"/>
      <c r="BE239" s="66"/>
      <c r="BF239" s="66"/>
      <c r="BG239" s="66"/>
      <c r="BH239" s="66"/>
    </row>
    <row r="240" spans="1:60" x14ac:dyDescent="0.25">
      <c r="A240" s="66"/>
      <c r="J240" s="66"/>
      <c r="K240" s="66"/>
      <c r="L240" s="66"/>
      <c r="M240" s="66"/>
      <c r="N240" s="66"/>
      <c r="O240" s="66"/>
      <c r="P240" s="66"/>
      <c r="Q240" s="66"/>
      <c r="R240" s="66"/>
      <c r="S240" s="66"/>
      <c r="T240" s="66"/>
      <c r="U240" s="66"/>
      <c r="V240" s="66"/>
      <c r="W240" s="66"/>
      <c r="X240" s="66"/>
      <c r="Y240" s="66"/>
      <c r="Z240" s="66"/>
      <c r="AA240" s="66"/>
      <c r="AB240" s="66"/>
      <c r="AC240" s="66"/>
      <c r="AD240" s="66"/>
      <c r="AE240" s="66"/>
      <c r="AF240" s="66"/>
      <c r="AG240" s="66"/>
      <c r="AH240" s="66"/>
      <c r="AI240" s="66"/>
      <c r="AJ240" s="66"/>
      <c r="AK240" s="66"/>
      <c r="AL240" s="66"/>
      <c r="AM240" s="66"/>
      <c r="AN240" s="66"/>
      <c r="AO240" s="66"/>
      <c r="AP240" s="66"/>
      <c r="AQ240" s="66"/>
      <c r="AR240" s="66"/>
      <c r="AS240" s="66"/>
      <c r="AT240" s="66"/>
      <c r="AU240" s="66"/>
      <c r="AV240" s="66"/>
      <c r="AW240" s="66"/>
      <c r="AX240" s="66"/>
      <c r="AY240" s="66"/>
      <c r="AZ240" s="66"/>
      <c r="BA240" s="66"/>
      <c r="BB240" s="66"/>
      <c r="BC240" s="66"/>
      <c r="BD240" s="66"/>
      <c r="BE240" s="66"/>
      <c r="BF240" s="66"/>
      <c r="BG240" s="66"/>
      <c r="BH240" s="66"/>
    </row>
    <row r="241" spans="1:60" x14ac:dyDescent="0.25">
      <c r="A241" s="66"/>
      <c r="J241" s="66"/>
      <c r="K241" s="66"/>
      <c r="L241" s="66"/>
      <c r="M241" s="66"/>
      <c r="N241" s="66"/>
      <c r="O241" s="66"/>
      <c r="P241" s="66"/>
      <c r="Q241" s="66"/>
      <c r="R241" s="66"/>
      <c r="S241" s="66"/>
      <c r="T241" s="66"/>
      <c r="U241" s="66"/>
      <c r="V241" s="66"/>
      <c r="W241" s="66"/>
      <c r="X241" s="66"/>
      <c r="Y241" s="66"/>
      <c r="Z241" s="66"/>
      <c r="AA241" s="66"/>
      <c r="AB241" s="66"/>
      <c r="AC241" s="66"/>
      <c r="AD241" s="66"/>
      <c r="AE241" s="66"/>
      <c r="AF241" s="66"/>
      <c r="AG241" s="66"/>
      <c r="AH241" s="66"/>
      <c r="AI241" s="66"/>
      <c r="AJ241" s="66"/>
      <c r="AK241" s="66"/>
      <c r="AL241" s="66"/>
      <c r="AM241" s="66"/>
      <c r="AN241" s="66"/>
      <c r="AO241" s="66"/>
      <c r="AP241" s="66"/>
      <c r="AQ241" s="66"/>
      <c r="AR241" s="66"/>
      <c r="AS241" s="66"/>
      <c r="AT241" s="66"/>
      <c r="AU241" s="66"/>
      <c r="AV241" s="66"/>
      <c r="AW241" s="66"/>
      <c r="AX241" s="66"/>
      <c r="AY241" s="66"/>
      <c r="AZ241" s="66"/>
      <c r="BA241" s="66"/>
      <c r="BB241" s="66"/>
      <c r="BC241" s="66"/>
      <c r="BD241" s="66"/>
      <c r="BE241" s="66"/>
      <c r="BF241" s="66"/>
      <c r="BG241" s="66"/>
      <c r="BH241" s="66"/>
    </row>
    <row r="242" spans="1:60" x14ac:dyDescent="0.25">
      <c r="A242" s="66"/>
      <c r="J242" s="66"/>
      <c r="K242" s="66"/>
      <c r="L242" s="66"/>
      <c r="M242" s="66"/>
      <c r="N242" s="66"/>
      <c r="O242" s="66"/>
      <c r="P242" s="66"/>
      <c r="Q242" s="66"/>
      <c r="R242" s="66"/>
      <c r="S242" s="66"/>
      <c r="T242" s="66"/>
      <c r="U242" s="66"/>
      <c r="V242" s="66"/>
      <c r="W242" s="66"/>
      <c r="X242" s="66"/>
      <c r="Y242" s="66"/>
      <c r="Z242" s="66"/>
      <c r="AA242" s="66"/>
      <c r="AB242" s="66"/>
      <c r="AC242" s="66"/>
      <c r="AD242" s="66"/>
      <c r="AE242" s="66"/>
      <c r="AF242" s="66"/>
      <c r="AG242" s="66"/>
      <c r="AH242" s="66"/>
      <c r="AI242" s="66"/>
      <c r="AJ242" s="66"/>
      <c r="AK242" s="66"/>
      <c r="AL242" s="66"/>
      <c r="AM242" s="66"/>
      <c r="AN242" s="66"/>
      <c r="AO242" s="66"/>
      <c r="AP242" s="66"/>
      <c r="AQ242" s="66"/>
      <c r="AR242" s="66"/>
      <c r="AS242" s="66"/>
      <c r="AT242" s="66"/>
      <c r="AU242" s="66"/>
      <c r="AV242" s="66"/>
      <c r="AW242" s="66"/>
      <c r="AX242" s="66"/>
      <c r="AY242" s="66"/>
      <c r="AZ242" s="66"/>
      <c r="BA242" s="66"/>
      <c r="BB242" s="66"/>
      <c r="BC242" s="66"/>
      <c r="BD242" s="66"/>
      <c r="BE242" s="66"/>
      <c r="BF242" s="66"/>
      <c r="BG242" s="66"/>
      <c r="BH242" s="66"/>
    </row>
    <row r="243" spans="1:60" x14ac:dyDescent="0.25">
      <c r="A243" s="66"/>
      <c r="J243" s="66"/>
      <c r="K243" s="66"/>
      <c r="L243" s="66"/>
      <c r="M243" s="66"/>
      <c r="N243" s="66"/>
      <c r="O243" s="66"/>
      <c r="P243" s="66"/>
      <c r="Q243" s="66"/>
      <c r="R243" s="66"/>
      <c r="S243" s="66"/>
      <c r="T243" s="66"/>
      <c r="U243" s="66"/>
      <c r="V243" s="66"/>
      <c r="W243" s="66"/>
      <c r="X243" s="66"/>
      <c r="Y243" s="66"/>
      <c r="Z243" s="66"/>
      <c r="AA243" s="66"/>
      <c r="AB243" s="66"/>
      <c r="AC243" s="66"/>
      <c r="AD243" s="66"/>
      <c r="AE243" s="66"/>
      <c r="AF243" s="66"/>
      <c r="AG243" s="66"/>
      <c r="AH243" s="66"/>
      <c r="AI243" s="66"/>
      <c r="AJ243" s="66"/>
      <c r="AK243" s="66"/>
      <c r="AL243" s="66"/>
      <c r="AM243" s="66"/>
      <c r="AN243" s="66"/>
      <c r="AO243" s="66"/>
      <c r="AP243" s="66"/>
      <c r="AQ243" s="66"/>
      <c r="AR243" s="66"/>
      <c r="AS243" s="66"/>
      <c r="AT243" s="66"/>
      <c r="AU243" s="66"/>
      <c r="AV243" s="66"/>
      <c r="AW243" s="66"/>
      <c r="AX243" s="66"/>
      <c r="AY243" s="66"/>
      <c r="AZ243" s="66"/>
      <c r="BA243" s="66"/>
      <c r="BB243" s="66"/>
      <c r="BC243" s="66"/>
      <c r="BD243" s="66"/>
      <c r="BE243" s="66"/>
      <c r="BF243" s="66"/>
      <c r="BG243" s="66"/>
      <c r="BH243" s="66"/>
    </row>
    <row r="244" spans="1:60" x14ac:dyDescent="0.25">
      <c r="A244" s="66"/>
      <c r="J244" s="66"/>
      <c r="K244" s="66"/>
      <c r="L244" s="66"/>
      <c r="M244" s="66"/>
      <c r="N244" s="66"/>
      <c r="O244" s="66"/>
      <c r="P244" s="66"/>
      <c r="Q244" s="66"/>
      <c r="R244" s="66"/>
      <c r="S244" s="66"/>
      <c r="T244" s="66"/>
      <c r="U244" s="66"/>
      <c r="V244" s="66"/>
      <c r="W244" s="66"/>
      <c r="X244" s="66"/>
      <c r="Y244" s="66"/>
      <c r="Z244" s="66"/>
      <c r="AA244" s="66"/>
      <c r="AB244" s="66"/>
      <c r="AC244" s="66"/>
      <c r="AD244" s="66"/>
      <c r="AE244" s="66"/>
      <c r="AF244" s="66"/>
      <c r="AG244" s="66"/>
      <c r="AH244" s="66"/>
      <c r="AI244" s="66"/>
      <c r="AJ244" s="66"/>
      <c r="AK244" s="66"/>
      <c r="AL244" s="66"/>
      <c r="AM244" s="66"/>
      <c r="AN244" s="66"/>
      <c r="AO244" s="66"/>
      <c r="AP244" s="66"/>
      <c r="AQ244" s="66"/>
      <c r="AR244" s="66"/>
      <c r="AS244" s="66"/>
      <c r="AT244" s="66"/>
      <c r="AU244" s="66"/>
      <c r="AV244" s="66"/>
      <c r="AW244" s="66"/>
      <c r="AX244" s="66"/>
      <c r="AY244" s="66"/>
      <c r="AZ244" s="66"/>
      <c r="BA244" s="66"/>
      <c r="BB244" s="66"/>
      <c r="BC244" s="66"/>
      <c r="BD244" s="66"/>
      <c r="BE244" s="66"/>
      <c r="BF244" s="66"/>
      <c r="BG244" s="66"/>
      <c r="BH244" s="66"/>
    </row>
    <row r="245" spans="1:60" x14ac:dyDescent="0.25">
      <c r="A245" s="66"/>
    </row>
    <row r="246" spans="1:60" x14ac:dyDescent="0.25">
      <c r="A246" s="66"/>
    </row>
    <row r="247" spans="1:60" x14ac:dyDescent="0.25">
      <c r="A247" s="66"/>
    </row>
    <row r="248" spans="1:60" x14ac:dyDescent="0.25">
      <c r="A248" s="66"/>
    </row>
  </sheetData>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2060"/>
  </sheetPr>
  <dimension ref="A1:JN76"/>
  <sheetViews>
    <sheetView zoomScale="60" zoomScaleNormal="60" zoomScaleSheetLayoutView="50" zoomScalePageLayoutView="60" workbookViewId="0">
      <selection activeCell="F13" sqref="F13:F18"/>
    </sheetView>
  </sheetViews>
  <sheetFormatPr baseColWidth="10" defaultColWidth="11.42578125" defaultRowHeight="15" x14ac:dyDescent="0.2"/>
  <cols>
    <col min="1" max="1" width="6.5703125" style="197" customWidth="1"/>
    <col min="2" max="2" width="22.7109375" style="197" customWidth="1"/>
    <col min="3" max="3" width="25.28515625" style="197" customWidth="1"/>
    <col min="4" max="4" width="38.5703125" style="197" customWidth="1"/>
    <col min="5" max="5" width="25.28515625" style="197" customWidth="1"/>
    <col min="6" max="6" width="51.28515625" style="197" customWidth="1"/>
    <col min="7" max="7" width="17.7109375" style="179" customWidth="1"/>
    <col min="8" max="9" width="18.7109375" style="179" customWidth="1"/>
    <col min="10" max="10" width="24.28515625" style="179" customWidth="1"/>
    <col min="11" max="11" width="19.42578125" style="179" customWidth="1"/>
    <col min="12" max="12" width="20.5703125" style="179" customWidth="1"/>
    <col min="13" max="13" width="16.7109375" style="198" customWidth="1"/>
    <col min="14" max="14" width="16.7109375" style="179" customWidth="1"/>
    <col min="15" max="15" width="20.42578125" style="179" customWidth="1"/>
    <col min="16" max="16" width="23.28515625" style="179" customWidth="1"/>
    <col min="17" max="17" width="23.28515625" style="179" hidden="1" customWidth="1"/>
    <col min="18" max="18" width="23.28515625" style="179" customWidth="1"/>
    <col min="19" max="19" width="17.5703125" style="179" customWidth="1"/>
    <col min="20" max="20" width="15" style="179" customWidth="1"/>
    <col min="21" max="21" width="5.28515625" style="179" customWidth="1"/>
    <col min="22" max="22" width="29.7109375" style="179" customWidth="1"/>
    <col min="23" max="23" width="11.7109375" style="179" customWidth="1"/>
    <col min="24" max="24" width="33.5703125" style="179" customWidth="1"/>
    <col min="25" max="25" width="32.7109375" style="179" customWidth="1"/>
    <col min="26" max="26" width="19.7109375" style="179" hidden="1" customWidth="1"/>
    <col min="27" max="27" width="5.7109375" style="179" customWidth="1"/>
    <col min="28" max="28" width="6.7109375" style="179" customWidth="1"/>
    <col min="29" max="29" width="5" style="179" hidden="1" customWidth="1"/>
    <col min="30" max="30" width="5.5703125" style="179" customWidth="1"/>
    <col min="31" max="31" width="7.28515625" style="179" customWidth="1"/>
    <col min="32" max="32" width="6.7109375" style="179" customWidth="1"/>
    <col min="33" max="33" width="7.5703125" style="179" hidden="1" customWidth="1"/>
    <col min="34" max="34" width="8.5703125" style="179" customWidth="1"/>
    <col min="35" max="39" width="10.7109375" style="179" customWidth="1"/>
    <col min="40" max="40" width="33.28515625" style="196" customWidth="1"/>
    <col min="41" max="41" width="23" style="179" customWidth="1"/>
    <col min="42" max="42" width="18.7109375" style="179" customWidth="1"/>
    <col min="43" max="43" width="23.7109375" style="179" customWidth="1"/>
    <col min="44" max="44" width="22.42578125" style="179" customWidth="1"/>
    <col min="45" max="45" width="16.42578125" style="179" customWidth="1"/>
    <col min="46" max="46" width="20.5703125" style="179" customWidth="1"/>
    <col min="47" max="16384" width="11.42578125" style="179"/>
  </cols>
  <sheetData>
    <row r="1" spans="1:274" s="181" customFormat="1" ht="20.25" x14ac:dyDescent="0.3">
      <c r="A1" s="450"/>
      <c r="B1" s="451"/>
      <c r="C1" s="452"/>
      <c r="D1" s="439" t="s">
        <v>419</v>
      </c>
      <c r="E1" s="440"/>
      <c r="F1" s="440"/>
      <c r="G1" s="440"/>
      <c r="H1" s="440"/>
      <c r="I1" s="440"/>
      <c r="J1" s="440"/>
      <c r="K1" s="440"/>
      <c r="L1" s="440"/>
      <c r="M1" s="440"/>
      <c r="N1" s="440"/>
      <c r="O1" s="440"/>
      <c r="P1" s="440"/>
      <c r="Q1" s="440"/>
      <c r="R1" s="440"/>
      <c r="S1" s="441"/>
      <c r="T1" s="228"/>
      <c r="U1" s="228"/>
      <c r="V1" s="228"/>
      <c r="W1" s="228"/>
      <c r="X1" s="228"/>
      <c r="Y1" s="228"/>
      <c r="Z1" s="465"/>
      <c r="AA1" s="465"/>
      <c r="AB1" s="465"/>
      <c r="AC1" s="465"/>
      <c r="AD1" s="465"/>
      <c r="AE1" s="465"/>
      <c r="AF1" s="465"/>
      <c r="AG1" s="465"/>
      <c r="AH1" s="465"/>
      <c r="AI1" s="465"/>
      <c r="AJ1" s="465"/>
      <c r="AK1" s="465"/>
      <c r="AL1" s="465"/>
      <c r="AM1" s="465"/>
      <c r="AN1" s="465"/>
      <c r="AO1" s="465"/>
      <c r="AP1" s="465"/>
      <c r="AQ1" s="465"/>
      <c r="AR1" s="465"/>
      <c r="AS1" s="465"/>
      <c r="AT1" s="465"/>
      <c r="AU1" s="180"/>
      <c r="AV1" s="180"/>
      <c r="AW1" s="180"/>
      <c r="AX1" s="180"/>
      <c r="AY1" s="180"/>
      <c r="AZ1" s="180"/>
      <c r="BA1" s="180"/>
      <c r="BB1" s="180"/>
      <c r="BC1" s="180"/>
      <c r="BD1" s="180"/>
      <c r="BE1" s="180"/>
      <c r="BF1" s="180"/>
      <c r="BG1" s="180"/>
      <c r="BH1" s="180"/>
      <c r="BI1" s="180"/>
      <c r="BJ1" s="180"/>
      <c r="BK1" s="180"/>
      <c r="BL1" s="180"/>
      <c r="BM1" s="180"/>
      <c r="BN1" s="180"/>
      <c r="BO1" s="180"/>
      <c r="BP1" s="180"/>
      <c r="BQ1" s="180"/>
      <c r="BR1" s="180"/>
    </row>
    <row r="2" spans="1:274" s="181" customFormat="1" ht="21" thickBot="1" x14ac:dyDescent="0.35">
      <c r="A2" s="453"/>
      <c r="B2" s="454"/>
      <c r="C2" s="455"/>
      <c r="D2" s="442"/>
      <c r="E2" s="443"/>
      <c r="F2" s="443"/>
      <c r="G2" s="443"/>
      <c r="H2" s="443"/>
      <c r="I2" s="443"/>
      <c r="J2" s="443"/>
      <c r="K2" s="443"/>
      <c r="L2" s="443"/>
      <c r="M2" s="443"/>
      <c r="N2" s="443"/>
      <c r="O2" s="443"/>
      <c r="P2" s="443"/>
      <c r="Q2" s="443"/>
      <c r="R2" s="443"/>
      <c r="S2" s="444"/>
      <c r="T2" s="228"/>
      <c r="U2" s="228"/>
      <c r="V2" s="228"/>
      <c r="W2" s="228"/>
      <c r="X2" s="228"/>
      <c r="Y2" s="228"/>
      <c r="Z2" s="465"/>
      <c r="AA2" s="465"/>
      <c r="AB2" s="465"/>
      <c r="AC2" s="465"/>
      <c r="AD2" s="465"/>
      <c r="AE2" s="465"/>
      <c r="AF2" s="465"/>
      <c r="AG2" s="465"/>
      <c r="AH2" s="465"/>
      <c r="AI2" s="465"/>
      <c r="AJ2" s="465"/>
      <c r="AK2" s="465"/>
      <c r="AL2" s="465"/>
      <c r="AM2" s="465"/>
      <c r="AN2" s="465"/>
      <c r="AO2" s="465"/>
      <c r="AP2" s="465"/>
      <c r="AQ2" s="465"/>
      <c r="AR2" s="465"/>
      <c r="AS2" s="465"/>
      <c r="AT2" s="465"/>
      <c r="AU2" s="180"/>
      <c r="AV2" s="180"/>
      <c r="AW2" s="180"/>
      <c r="AX2" s="180"/>
      <c r="AY2" s="180"/>
      <c r="AZ2" s="180"/>
      <c r="BA2" s="180"/>
      <c r="BB2" s="180"/>
      <c r="BC2" s="180"/>
      <c r="BD2" s="180"/>
      <c r="BE2" s="180"/>
      <c r="BF2" s="180"/>
      <c r="BG2" s="180"/>
      <c r="BH2" s="180"/>
      <c r="BI2" s="180"/>
      <c r="BJ2" s="180"/>
      <c r="BK2" s="180"/>
      <c r="BL2" s="180"/>
      <c r="BM2" s="180"/>
      <c r="BN2" s="180"/>
      <c r="BO2" s="180"/>
      <c r="BP2" s="180"/>
      <c r="BQ2" s="180"/>
      <c r="BR2" s="180"/>
    </row>
    <row r="3" spans="1:274" s="181" customFormat="1" ht="27.75" customHeight="1" thickBot="1" x14ac:dyDescent="0.35">
      <c r="A3" s="453"/>
      <c r="B3" s="454"/>
      <c r="C3" s="455"/>
      <c r="D3" s="445" t="s">
        <v>420</v>
      </c>
      <c r="E3" s="446"/>
      <c r="F3" s="446"/>
      <c r="G3" s="446"/>
      <c r="H3" s="447"/>
      <c r="I3" s="445" t="s">
        <v>421</v>
      </c>
      <c r="J3" s="446"/>
      <c r="K3" s="446"/>
      <c r="L3" s="446"/>
      <c r="M3" s="446"/>
      <c r="N3" s="446"/>
      <c r="O3" s="446"/>
      <c r="P3" s="446"/>
      <c r="Q3" s="446"/>
      <c r="R3" s="446"/>
      <c r="S3" s="447"/>
      <c r="T3" s="229"/>
      <c r="U3" s="229"/>
      <c r="V3" s="229"/>
      <c r="W3" s="229"/>
      <c r="X3" s="229"/>
      <c r="Y3" s="228"/>
      <c r="Z3" s="466"/>
      <c r="AA3" s="466"/>
      <c r="AB3" s="466"/>
      <c r="AC3" s="466"/>
      <c r="AD3" s="466"/>
      <c r="AE3" s="466"/>
      <c r="AF3" s="466"/>
      <c r="AG3" s="466"/>
      <c r="AH3" s="466"/>
      <c r="AI3" s="466"/>
      <c r="AJ3" s="466"/>
      <c r="AK3" s="466"/>
      <c r="AL3" s="466"/>
      <c r="AM3" s="466"/>
      <c r="AN3" s="466"/>
      <c r="AO3" s="466"/>
      <c r="AP3" s="466"/>
      <c r="AQ3" s="466"/>
      <c r="AR3" s="466"/>
      <c r="AS3" s="466"/>
      <c r="AT3" s="466"/>
      <c r="AU3" s="180"/>
      <c r="AV3" s="180"/>
      <c r="AW3" s="180"/>
      <c r="AX3" s="180"/>
      <c r="AY3" s="180"/>
      <c r="AZ3" s="180"/>
      <c r="BA3" s="180"/>
      <c r="BB3" s="180"/>
      <c r="BC3" s="180"/>
      <c r="BD3" s="180"/>
      <c r="BE3" s="180"/>
      <c r="BF3" s="180"/>
      <c r="BG3" s="180"/>
      <c r="BH3" s="180"/>
      <c r="BI3" s="180"/>
      <c r="BJ3" s="180"/>
      <c r="BK3" s="180"/>
      <c r="BL3" s="180"/>
      <c r="BM3" s="180"/>
      <c r="BN3" s="180"/>
      <c r="BO3" s="180"/>
      <c r="BP3" s="180"/>
      <c r="BQ3" s="180"/>
      <c r="BR3" s="180"/>
    </row>
    <row r="4" spans="1:274" s="181" customFormat="1" ht="27.75" customHeight="1" thickBot="1" x14ac:dyDescent="0.35">
      <c r="A4" s="456"/>
      <c r="B4" s="457"/>
      <c r="C4" s="458"/>
      <c r="D4" s="445" t="s">
        <v>422</v>
      </c>
      <c r="E4" s="446"/>
      <c r="F4" s="446"/>
      <c r="G4" s="446"/>
      <c r="H4" s="446"/>
      <c r="I4" s="446"/>
      <c r="J4" s="446"/>
      <c r="K4" s="446"/>
      <c r="L4" s="446"/>
      <c r="M4" s="446"/>
      <c r="N4" s="446"/>
      <c r="O4" s="446"/>
      <c r="P4" s="446"/>
      <c r="Q4" s="446"/>
      <c r="R4" s="446"/>
      <c r="S4" s="447"/>
      <c r="T4" s="228"/>
      <c r="U4" s="228"/>
      <c r="V4" s="228"/>
      <c r="W4" s="228"/>
      <c r="X4" s="228"/>
      <c r="Y4" s="228"/>
      <c r="Z4" s="466"/>
      <c r="AA4" s="466"/>
      <c r="AB4" s="466"/>
      <c r="AC4" s="466"/>
      <c r="AD4" s="466"/>
      <c r="AE4" s="466"/>
      <c r="AF4" s="466"/>
      <c r="AG4" s="466"/>
      <c r="AH4" s="466"/>
      <c r="AI4" s="466"/>
      <c r="AJ4" s="466"/>
      <c r="AK4" s="466"/>
      <c r="AL4" s="466"/>
      <c r="AM4" s="466"/>
      <c r="AN4" s="466"/>
      <c r="AO4" s="466"/>
      <c r="AP4" s="466"/>
      <c r="AQ4" s="466"/>
      <c r="AR4" s="466"/>
      <c r="AS4" s="466"/>
      <c r="AT4" s="466"/>
      <c r="AU4" s="180"/>
      <c r="AV4" s="180"/>
      <c r="AW4" s="180"/>
      <c r="AX4" s="180"/>
      <c r="AY4" s="180"/>
      <c r="AZ4" s="180"/>
      <c r="BA4" s="180"/>
      <c r="BB4" s="180"/>
      <c r="BC4" s="180"/>
      <c r="BD4" s="180"/>
      <c r="BE4" s="180"/>
      <c r="BF4" s="180"/>
      <c r="BG4" s="180"/>
      <c r="BH4" s="180"/>
      <c r="BI4" s="180"/>
      <c r="BJ4" s="180"/>
      <c r="BK4" s="180"/>
      <c r="BL4" s="180"/>
      <c r="BM4" s="180"/>
      <c r="BN4" s="180"/>
      <c r="BO4" s="180"/>
      <c r="BP4" s="180"/>
      <c r="BQ4" s="180"/>
      <c r="BR4" s="180"/>
    </row>
    <row r="5" spans="1:274" ht="15.75" thickBot="1" x14ac:dyDescent="0.25">
      <c r="A5" s="182"/>
      <c r="B5" s="183"/>
      <c r="C5" s="182"/>
      <c r="D5" s="182"/>
      <c r="E5" s="182"/>
      <c r="F5" s="182"/>
      <c r="G5" s="184"/>
      <c r="H5" s="184"/>
      <c r="I5" s="184"/>
      <c r="J5" s="184"/>
      <c r="K5" s="184"/>
      <c r="L5" s="184"/>
      <c r="M5" s="185"/>
      <c r="N5" s="184"/>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230"/>
      <c r="AO5" s="184"/>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row>
    <row r="6" spans="1:274" ht="27" customHeight="1" thickBot="1" x14ac:dyDescent="0.25">
      <c r="A6" s="467" t="s">
        <v>423</v>
      </c>
      <c r="B6" s="468"/>
      <c r="C6" s="661" t="s">
        <v>500</v>
      </c>
      <c r="D6" s="662"/>
      <c r="E6" s="662"/>
      <c r="F6" s="662"/>
      <c r="G6" s="662"/>
      <c r="H6" s="662"/>
      <c r="I6" s="662"/>
      <c r="J6" s="662"/>
      <c r="K6" s="662"/>
      <c r="L6" s="662"/>
      <c r="M6" s="662"/>
      <c r="N6" s="662"/>
      <c r="O6" s="662"/>
      <c r="P6" s="662"/>
      <c r="Q6" s="662"/>
      <c r="R6" s="662"/>
      <c r="S6" s="663"/>
      <c r="T6" s="231"/>
      <c r="U6" s="231"/>
      <c r="V6" s="231"/>
      <c r="W6" s="231"/>
      <c r="X6" s="231"/>
      <c r="Y6" s="473"/>
      <c r="Z6" s="473"/>
      <c r="AA6" s="473"/>
      <c r="AB6" s="464"/>
      <c r="AC6" s="464"/>
      <c r="AD6" s="464"/>
      <c r="AE6" s="464"/>
      <c r="AF6" s="464"/>
      <c r="AG6" s="464"/>
      <c r="AH6" s="464"/>
      <c r="AI6" s="464"/>
      <c r="AJ6" s="464"/>
      <c r="AK6" s="464"/>
      <c r="AL6" s="464"/>
      <c r="AM6" s="464"/>
      <c r="AN6" s="464"/>
      <c r="AO6" s="464"/>
      <c r="AP6" s="464"/>
      <c r="AQ6" s="464"/>
      <c r="AR6" s="464"/>
      <c r="AS6" s="464"/>
      <c r="AT6" s="464"/>
      <c r="AU6" s="184"/>
      <c r="AV6" s="184"/>
      <c r="AW6" s="184"/>
      <c r="AX6" s="184"/>
      <c r="AY6" s="184"/>
      <c r="AZ6" s="184"/>
      <c r="BA6" s="184"/>
      <c r="BB6" s="184"/>
      <c r="BC6" s="184"/>
      <c r="BD6" s="184"/>
      <c r="BE6" s="184"/>
      <c r="BF6" s="184"/>
      <c r="BG6" s="184"/>
      <c r="BH6" s="184"/>
      <c r="BI6" s="184"/>
      <c r="BJ6" s="184"/>
      <c r="BK6" s="184"/>
      <c r="BL6" s="184"/>
      <c r="BM6" s="184"/>
      <c r="BN6" s="184"/>
      <c r="BO6" s="184"/>
      <c r="BP6" s="184"/>
      <c r="BQ6" s="184"/>
      <c r="BR6" s="184"/>
    </row>
    <row r="7" spans="1:274" ht="27" customHeight="1" thickBot="1" x14ac:dyDescent="0.3">
      <c r="A7" s="469" t="s">
        <v>425</v>
      </c>
      <c r="B7" s="470"/>
      <c r="C7" s="664"/>
      <c r="D7" s="665"/>
      <c r="E7" s="665"/>
      <c r="F7" s="665"/>
      <c r="G7" s="665"/>
      <c r="H7" s="665"/>
      <c r="I7" s="665"/>
      <c r="J7" s="665"/>
      <c r="K7" s="665"/>
      <c r="L7" s="665"/>
      <c r="M7" s="665"/>
      <c r="N7" s="665"/>
      <c r="O7" s="665"/>
      <c r="P7" s="665"/>
      <c r="Q7" s="665"/>
      <c r="R7" s="665"/>
      <c r="S7" s="666"/>
      <c r="T7" s="232"/>
      <c r="U7" s="232"/>
      <c r="V7" s="232"/>
      <c r="W7" s="232"/>
      <c r="X7" s="232"/>
      <c r="Y7" s="233"/>
      <c r="Z7" s="233"/>
      <c r="AA7" s="233"/>
      <c r="AB7" s="464"/>
      <c r="AC7" s="464"/>
      <c r="AD7" s="464"/>
      <c r="AE7" s="464"/>
      <c r="AF7" s="464"/>
      <c r="AG7" s="464"/>
      <c r="AH7" s="464"/>
      <c r="AI7" s="464"/>
      <c r="AJ7" s="464"/>
      <c r="AK7" s="464"/>
      <c r="AL7" s="464"/>
      <c r="AM7" s="464"/>
      <c r="AN7" s="464"/>
      <c r="AO7" s="464"/>
      <c r="AP7" s="464"/>
      <c r="AQ7" s="464"/>
      <c r="AR7" s="464"/>
      <c r="AS7" s="464"/>
      <c r="AT7" s="46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row>
    <row r="8" spans="1:274" ht="27" customHeight="1" thickBot="1" x14ac:dyDescent="0.3">
      <c r="A8" s="471" t="s">
        <v>426</v>
      </c>
      <c r="B8" s="472"/>
      <c r="C8" s="664"/>
      <c r="D8" s="665"/>
      <c r="E8" s="665"/>
      <c r="F8" s="665"/>
      <c r="G8" s="665"/>
      <c r="H8" s="665"/>
      <c r="I8" s="665"/>
      <c r="J8" s="665"/>
      <c r="K8" s="665"/>
      <c r="L8" s="665"/>
      <c r="M8" s="665"/>
      <c r="N8" s="665"/>
      <c r="O8" s="665"/>
      <c r="P8" s="665"/>
      <c r="Q8" s="665"/>
      <c r="R8" s="665"/>
      <c r="S8" s="666"/>
      <c r="T8" s="232"/>
      <c r="U8" s="232"/>
      <c r="V8" s="232"/>
      <c r="W8" s="232"/>
      <c r="X8" s="232"/>
      <c r="Y8" s="233"/>
      <c r="Z8" s="233"/>
      <c r="AA8" s="233"/>
      <c r="AB8" s="464"/>
      <c r="AC8" s="464"/>
      <c r="AD8" s="464"/>
      <c r="AE8" s="464"/>
      <c r="AF8" s="464"/>
      <c r="AG8" s="464"/>
      <c r="AH8" s="464"/>
      <c r="AI8" s="464"/>
      <c r="AJ8" s="464"/>
      <c r="AK8" s="464"/>
      <c r="AL8" s="464"/>
      <c r="AM8" s="464"/>
      <c r="AN8" s="464"/>
      <c r="AO8" s="464"/>
      <c r="AP8" s="464"/>
      <c r="AQ8" s="464"/>
      <c r="AR8" s="464"/>
      <c r="AS8" s="464"/>
      <c r="AT8" s="464"/>
      <c r="AU8" s="184"/>
      <c r="AV8" s="184"/>
      <c r="AW8" s="184"/>
      <c r="AX8" s="184"/>
      <c r="AY8" s="184"/>
      <c r="AZ8" s="184"/>
      <c r="BA8" s="184"/>
      <c r="BB8" s="184"/>
      <c r="BC8" s="184"/>
      <c r="BD8" s="184"/>
      <c r="BE8" s="184"/>
      <c r="BF8" s="184"/>
      <c r="BG8" s="184"/>
      <c r="BH8" s="184"/>
      <c r="BI8" s="184"/>
      <c r="BJ8" s="184"/>
      <c r="BK8" s="184"/>
      <c r="BL8" s="184"/>
      <c r="BM8" s="184"/>
      <c r="BN8" s="184"/>
      <c r="BO8" s="184"/>
      <c r="BP8" s="184"/>
      <c r="BQ8" s="184"/>
      <c r="BR8" s="184"/>
    </row>
    <row r="9" spans="1:274" ht="15.75" x14ac:dyDescent="0.25">
      <c r="A9" s="186"/>
      <c r="B9" s="186"/>
      <c r="C9" s="187"/>
      <c r="D9" s="187"/>
      <c r="E9" s="187"/>
      <c r="F9" s="187"/>
      <c r="G9" s="187"/>
      <c r="H9" s="187"/>
      <c r="I9" s="187"/>
      <c r="J9" s="187"/>
      <c r="K9" s="187"/>
      <c r="L9" s="187"/>
      <c r="M9" s="187"/>
      <c r="N9" s="187"/>
      <c r="O9" s="187"/>
      <c r="P9" s="187"/>
      <c r="Q9" s="187"/>
      <c r="R9" s="187"/>
      <c r="S9" s="187"/>
      <c r="T9" s="187"/>
      <c r="U9" s="187"/>
      <c r="V9" s="187"/>
      <c r="W9" s="187"/>
      <c r="X9" s="187"/>
      <c r="Y9" s="188"/>
      <c r="Z9" s="188"/>
      <c r="AA9" s="188"/>
      <c r="AB9" s="189"/>
      <c r="AC9" s="189"/>
      <c r="AD9" s="189"/>
      <c r="AE9" s="189"/>
      <c r="AF9" s="189"/>
      <c r="AG9" s="189"/>
      <c r="AH9" s="189"/>
      <c r="AI9" s="189"/>
      <c r="AJ9" s="189"/>
      <c r="AK9" s="189"/>
      <c r="AL9" s="189"/>
      <c r="AM9" s="189"/>
      <c r="AN9" s="189"/>
      <c r="AO9" s="189"/>
      <c r="AP9" s="189"/>
      <c r="AQ9" s="189"/>
      <c r="AR9" s="189"/>
      <c r="AS9" s="189"/>
      <c r="AT9" s="189"/>
    </row>
    <row r="10" spans="1:274" ht="27.75" customHeight="1" x14ac:dyDescent="0.2">
      <c r="A10" s="485" t="s">
        <v>427</v>
      </c>
      <c r="B10" s="486"/>
      <c r="C10" s="486"/>
      <c r="D10" s="486"/>
      <c r="E10" s="486"/>
      <c r="F10" s="486"/>
      <c r="G10" s="512" t="s">
        <v>428</v>
      </c>
      <c r="H10" s="513"/>
      <c r="I10" s="513"/>
      <c r="J10" s="514"/>
      <c r="K10" s="518" t="s">
        <v>429</v>
      </c>
      <c r="L10" s="519"/>
      <c r="M10" s="522" t="s">
        <v>430</v>
      </c>
      <c r="N10" s="523"/>
      <c r="O10" s="523"/>
      <c r="P10" s="523"/>
      <c r="Q10" s="523"/>
      <c r="R10" s="523"/>
      <c r="S10" s="523"/>
      <c r="T10" s="523"/>
      <c r="U10" s="486" t="s">
        <v>431</v>
      </c>
      <c r="V10" s="486"/>
      <c r="W10" s="486"/>
      <c r="X10" s="486"/>
      <c r="Y10" s="486"/>
      <c r="Z10" s="486"/>
      <c r="AA10" s="486"/>
      <c r="AB10" s="486"/>
      <c r="AC10" s="486"/>
      <c r="AD10" s="486"/>
      <c r="AE10" s="486"/>
      <c r="AF10" s="486"/>
      <c r="AG10" s="487"/>
      <c r="AH10" s="515" t="s">
        <v>432</v>
      </c>
      <c r="AI10" s="516"/>
      <c r="AJ10" s="516"/>
      <c r="AK10" s="516"/>
      <c r="AL10" s="517"/>
      <c r="AM10" s="485" t="s">
        <v>433</v>
      </c>
      <c r="AN10" s="486"/>
      <c r="AO10" s="486"/>
      <c r="AP10" s="486"/>
      <c r="AQ10" s="487"/>
      <c r="AR10" s="512" t="s">
        <v>434</v>
      </c>
      <c r="AS10" s="513"/>
      <c r="AT10" s="514"/>
      <c r="AU10" s="18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row>
    <row r="11" spans="1:274" ht="15.75" customHeight="1" x14ac:dyDescent="0.2">
      <c r="A11" s="667" t="s">
        <v>435</v>
      </c>
      <c r="B11" s="488" t="s">
        <v>436</v>
      </c>
      <c r="C11" s="488" t="s">
        <v>501</v>
      </c>
      <c r="D11" s="488" t="s">
        <v>502</v>
      </c>
      <c r="E11" s="524" t="s">
        <v>439</v>
      </c>
      <c r="F11" s="488" t="s">
        <v>440</v>
      </c>
      <c r="G11" s="500" t="s">
        <v>137</v>
      </c>
      <c r="H11" s="500" t="s">
        <v>441</v>
      </c>
      <c r="I11" s="500" t="s">
        <v>442</v>
      </c>
      <c r="J11" s="500" t="s">
        <v>443</v>
      </c>
      <c r="K11" s="518"/>
      <c r="L11" s="519"/>
      <c r="M11" s="502" t="s">
        <v>444</v>
      </c>
      <c r="N11" s="502" t="s">
        <v>445</v>
      </c>
      <c r="O11" s="508" t="s">
        <v>446</v>
      </c>
      <c r="P11" s="502" t="s">
        <v>447</v>
      </c>
      <c r="Q11" s="502" t="s">
        <v>448</v>
      </c>
      <c r="R11" s="502" t="s">
        <v>449</v>
      </c>
      <c r="S11" s="508" t="s">
        <v>446</v>
      </c>
      <c r="T11" s="502" t="s">
        <v>450</v>
      </c>
      <c r="U11" s="506" t="s">
        <v>451</v>
      </c>
      <c r="V11" s="245"/>
      <c r="W11" s="245"/>
      <c r="X11" s="245"/>
      <c r="Y11" s="488" t="s">
        <v>31</v>
      </c>
      <c r="Z11" s="488" t="s">
        <v>33</v>
      </c>
      <c r="AA11" s="488" t="s">
        <v>452</v>
      </c>
      <c r="AB11" s="488"/>
      <c r="AC11" s="488"/>
      <c r="AD11" s="488"/>
      <c r="AE11" s="488"/>
      <c r="AF11" s="488"/>
      <c r="AG11" s="506" t="s">
        <v>453</v>
      </c>
      <c r="AH11" s="507" t="s">
        <v>454</v>
      </c>
      <c r="AI11" s="507" t="s">
        <v>446</v>
      </c>
      <c r="AJ11" s="507" t="s">
        <v>455</v>
      </c>
      <c r="AK11" s="507" t="s">
        <v>446</v>
      </c>
      <c r="AL11" s="507" t="s">
        <v>456</v>
      </c>
      <c r="AM11" s="506" t="s">
        <v>49</v>
      </c>
      <c r="AN11" s="488" t="s">
        <v>457</v>
      </c>
      <c r="AO11" s="488" t="s">
        <v>458</v>
      </c>
      <c r="AP11" s="488" t="s">
        <v>459</v>
      </c>
      <c r="AQ11" s="488" t="s">
        <v>460</v>
      </c>
      <c r="AR11" s="503" t="s">
        <v>461</v>
      </c>
      <c r="AS11" s="503" t="s">
        <v>462</v>
      </c>
      <c r="AT11" s="503" t="s">
        <v>458</v>
      </c>
      <c r="AU11" s="184"/>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row>
    <row r="12" spans="1:274" s="192" customFormat="1" ht="99" x14ac:dyDescent="0.25">
      <c r="A12" s="667"/>
      <c r="B12" s="499"/>
      <c r="C12" s="488"/>
      <c r="D12" s="488"/>
      <c r="E12" s="525"/>
      <c r="F12" s="499"/>
      <c r="G12" s="501"/>
      <c r="H12" s="501"/>
      <c r="I12" s="501"/>
      <c r="J12" s="501"/>
      <c r="K12" s="244" t="s">
        <v>463</v>
      </c>
      <c r="L12" s="244" t="s">
        <v>464</v>
      </c>
      <c r="M12" s="502"/>
      <c r="N12" s="502"/>
      <c r="O12" s="508"/>
      <c r="P12" s="502"/>
      <c r="Q12" s="502"/>
      <c r="R12" s="508"/>
      <c r="S12" s="508"/>
      <c r="T12" s="502"/>
      <c r="U12" s="506"/>
      <c r="V12" s="243" t="s">
        <v>465</v>
      </c>
      <c r="W12" s="243" t="s">
        <v>461</v>
      </c>
      <c r="X12" s="243" t="s">
        <v>466</v>
      </c>
      <c r="Y12" s="488"/>
      <c r="Z12" s="488"/>
      <c r="AA12" s="242" t="s">
        <v>467</v>
      </c>
      <c r="AB12" s="242" t="s">
        <v>468</v>
      </c>
      <c r="AC12" s="242" t="s">
        <v>469</v>
      </c>
      <c r="AD12" s="242" t="s">
        <v>470</v>
      </c>
      <c r="AE12" s="242" t="s">
        <v>471</v>
      </c>
      <c r="AF12" s="242" t="s">
        <v>472</v>
      </c>
      <c r="AG12" s="506"/>
      <c r="AH12" s="507"/>
      <c r="AI12" s="507"/>
      <c r="AJ12" s="507"/>
      <c r="AK12" s="507"/>
      <c r="AL12" s="507"/>
      <c r="AM12" s="506"/>
      <c r="AN12" s="488"/>
      <c r="AO12" s="488"/>
      <c r="AP12" s="488"/>
      <c r="AQ12" s="488"/>
      <c r="AR12" s="503"/>
      <c r="AS12" s="503"/>
      <c r="AT12" s="503"/>
      <c r="AU12" s="190"/>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1"/>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c r="IW12" s="191"/>
      <c r="IX12" s="191"/>
      <c r="IY12" s="191"/>
      <c r="IZ12" s="191"/>
      <c r="JA12" s="191"/>
      <c r="JB12" s="191"/>
      <c r="JC12" s="191"/>
      <c r="JD12" s="191"/>
      <c r="JE12" s="191"/>
      <c r="JF12" s="191"/>
      <c r="JG12" s="191"/>
      <c r="JH12" s="191"/>
      <c r="JI12" s="191"/>
      <c r="JJ12" s="191"/>
      <c r="JK12" s="191"/>
      <c r="JL12" s="191"/>
      <c r="JM12" s="191"/>
      <c r="JN12" s="191"/>
    </row>
    <row r="13" spans="1:274" s="194" customFormat="1" ht="92.25" x14ac:dyDescent="0.25">
      <c r="A13" s="671">
        <v>1</v>
      </c>
      <c r="B13" s="672"/>
      <c r="C13" s="672"/>
      <c r="D13" s="672"/>
      <c r="E13" s="672"/>
      <c r="F13" s="673" t="str">
        <f>+CONCATENATE(B13," ",C13," ",D13)</f>
        <v xml:space="preserve">  </v>
      </c>
      <c r="G13" s="668"/>
      <c r="H13" s="668"/>
      <c r="I13" s="668"/>
      <c r="J13" s="668"/>
      <c r="K13" s="668"/>
      <c r="L13" s="668"/>
      <c r="M13" s="459"/>
      <c r="N13" s="460" t="str">
        <f>IF(M13&lt;=0,"",IF(M13&lt;=2,"Muy Baja",IF(M13&lt;=24,"Baja",IF(M13&lt;=500,"Media",IF(M13&lt;=5000,"Alta","Muy Alta")))))</f>
        <v/>
      </c>
      <c r="O13" s="461" t="str">
        <f>IF(N13="","",IF(N13="Muy Baja",0.2,IF(N13="Baja",0.4,IF(N13="Media",0.6,IF(N13="Alta",0.8,IF(N13="Muy Alta",1,))))))</f>
        <v/>
      </c>
      <c r="P13" s="490"/>
      <c r="Q13" s="461">
        <f>IF(NOT(ISERROR(MATCH(P13,'Tabla Impacto'!$B$245:$B$247,0))),'Tabla Impacto'!$F$224&amp;"Por favor no seleccionar los criterios de impacto(Afectación Económica o presupuestal y Pérdida Reputacional)",P13)</f>
        <v>0</v>
      </c>
      <c r="R13" s="460" t="str">
        <f>IF(OR(Q13='Tabla Impacto'!$C$12,Q13='Tabla Impacto'!$D$12),"Leve",IF(OR(Q13='Tabla Impacto'!$C$13,Q13='Tabla Impacto'!$D$13),"Menor",IF(OR(Q13='Tabla Impacto'!$C$14,Q13='Tabla Impacto'!$D$14),"Moderado",IF(OR(Q13='Tabla Impacto'!$C$15,Q13='Tabla Impacto'!$D$15),"Mayor",IF(OR(Q13='Tabla Impacto'!$C$16,Q13='Tabla Impacto'!$D$16),"Catastrófico","")))))</f>
        <v/>
      </c>
      <c r="S13" s="461" t="str">
        <f>IF(R13="","",IF(R13="Leve",0.2,IF(R13="Menor",0.4,IF(R13="Moderado",0.6,IF(R13="Mayor",0.8,IF(R13="Catastrófico",1,))))))</f>
        <v/>
      </c>
      <c r="T13" s="489" t="str">
        <f>IF(OR(AND(N13="Muy Baja",R13="Leve"),AND(N13="Muy Baja",R13="Menor"),AND(N13="Baja",R13="Leve")),"Bajo",IF(OR(AND(N13="Muy baja",R13="Moderado"),AND(N13="Baja",R13="Menor"),AND(N13="Baja",R13="Moderado"),AND(N13="Media",R13="Leve"),AND(N13="Media",R13="Menor"),AND(N13="Media",R13="Moderado"),AND(N13="Alta",R13="Leve"),AND(N13="Alta",R13="Menor")),"Moderado",IF(OR(AND(N13="Muy Baja",R13="Mayor"),AND(N13="Baja",R13="Mayor"),AND(N13="Media",R13="Mayor"),AND(N13="Alta",R13="Moderado"),AND(N13="Alta",R13="Mayor"),AND(N13="Muy Alta",R13="Leve"),AND(N13="Muy Alta",R13="Menor"),AND(N13="Muy Alta",R13="Moderado"),AND(N13="Muy Alta",R13="Mayor")),"Alto",IF(OR(AND(N13="Muy Baja",R13="Catastrófico"),AND(N13="Baja",R13="Catastrófico"),AND(N13="Media",R13="Catastrófico"),AND(N13="Alta",R13="Catastrófico"),AND(N13="Muy Alta",R13="Catastrófico")),"Extremo",""))))</f>
        <v/>
      </c>
      <c r="U13" s="193">
        <v>1</v>
      </c>
      <c r="V13" s="238" t="s">
        <v>504</v>
      </c>
      <c r="W13" s="238" t="s">
        <v>133</v>
      </c>
      <c r="X13" s="238"/>
      <c r="Y13" s="218" t="str">
        <f>+CONCATENATE(V13," ",W13," ",X13)</f>
        <v xml:space="preserve">Auxiliar Revisa </v>
      </c>
      <c r="Z13" s="170" t="str">
        <f t="shared" ref="Z13:Z18" si="0">IF(OR(AA13="Preventivo",AA13="Detectivo"),"Probabilidad",IF(AA13="Correctivo","Impacto",""))</f>
        <v>Probabilidad</v>
      </c>
      <c r="AA13" s="171" t="s">
        <v>480</v>
      </c>
      <c r="AB13" s="171" t="s">
        <v>505</v>
      </c>
      <c r="AC13" s="172" t="str">
        <f>IF(AND(AA13="Preventivo",AB13="Automático"),"50%",IF(AND(AA13="Preventivo",AB13="Manual"),"40%",IF(AND(AA13="Detectivo",AB13="Automático"),"40%",IF(AND(AA13="Detectivo",AB13="Manual"),"30%",IF(AND(AA13="Correctivo",AB13="Automático"),"35%",IF(AND(AA13="Correctivo",AB13="Manual"),"25%",""))))))</f>
        <v>40%</v>
      </c>
      <c r="AD13" s="171" t="s">
        <v>506</v>
      </c>
      <c r="AE13" s="171" t="s">
        <v>478</v>
      </c>
      <c r="AF13" s="171" t="s">
        <v>479</v>
      </c>
      <c r="AG13" s="173" t="str">
        <f>IFERROR(IF(Z13="Probabilidad",(O13-(+O13*AC13)),IF(Z13="Impacto",O13,"")),"")</f>
        <v/>
      </c>
      <c r="AH13" s="174" t="str">
        <f>IFERROR(IF(AG13="","",IF(AG13&lt;=0.2,"Muy Baja",IF(AG13&lt;=0.4,"Baja",IF(AG13&lt;=0.6,"Media",IF(AG13&lt;=0.8,"Alta","Muy Alta"))))),"")</f>
        <v/>
      </c>
      <c r="AI13" s="172" t="str">
        <f>+AG13</f>
        <v/>
      </c>
      <c r="AJ13" s="174" t="str">
        <f>IFERROR(IF(AK13="","",IF(AK13&lt;=0.2,"Leve",IF(AK13&lt;=0.4,"Menor",IF(AK13&lt;=0.6,"Moderado",IF(AK13&lt;=0.8,"Mayor","Catastrófico"))))),"")</f>
        <v/>
      </c>
      <c r="AK13" s="172" t="str">
        <f>IFERROR(IF(Z13="Impacto",(S13-(+S13*AC13)),IF(Z13="Probabilidad",S13,"")),"")</f>
        <v/>
      </c>
      <c r="AL13" s="175" t="str">
        <f>IFERROR(IF(OR(AND(AH13="Muy Baja",AJ13="Leve"),AND(AH13="Muy Baja",AJ13="Menor"),AND(AH13="Baja",AJ13="Leve")),"Bajo",IF(OR(AND(AH13="Muy baja",AJ13="Moderado"),AND(AH13="Baja",AJ13="Menor"),AND(AH13="Baja",AJ13="Moderado"),AND(AH13="Media",AJ13="Leve"),AND(AH13="Media",AJ13="Menor"),AND(AH13="Media",AJ13="Moderado"),AND(AH13="Alta",AJ13="Leve"),AND(AH13="Alta",AJ13="Menor")),"Moderado",IF(OR(AND(AH13="Muy Baja",AJ13="Mayor"),AND(AH13="Baja",AJ13="Mayor"),AND(AH13="Media",AJ13="Mayor"),AND(AH13="Alta",AJ13="Moderado"),AND(AH13="Alta",AJ13="Mayor"),AND(AH13="Muy Alta",AJ13="Leve"),AND(AH13="Muy Alta",AJ13="Menor"),AND(AH13="Muy Alta",AJ13="Moderado"),AND(AH13="Muy Alta",AJ13="Mayor")),"Alto",IF(OR(AND(AH13="Muy Baja",AJ13="Catastrófico"),AND(AH13="Baja",AJ13="Catastrófico"),AND(AH13="Media",AJ13="Catastrófico"),AND(AH13="Alta",AJ13="Catastrófico"),AND(AH13="Muy Alta",AJ13="Catastrófico")),"Extremo","")))),"")</f>
        <v/>
      </c>
      <c r="AM13" s="176"/>
      <c r="AN13" s="169"/>
      <c r="AO13" s="177"/>
      <c r="AP13" s="177"/>
      <c r="AQ13" s="178"/>
      <c r="AR13" s="449"/>
      <c r="AS13" s="449"/>
      <c r="AT13" s="449"/>
    </row>
    <row r="14" spans="1:274" ht="19.5" customHeight="1" x14ac:dyDescent="0.2">
      <c r="A14" s="671"/>
      <c r="B14" s="672"/>
      <c r="C14" s="672"/>
      <c r="D14" s="672"/>
      <c r="E14" s="672"/>
      <c r="F14" s="673"/>
      <c r="G14" s="669"/>
      <c r="H14" s="669"/>
      <c r="I14" s="669"/>
      <c r="J14" s="669"/>
      <c r="K14" s="669"/>
      <c r="L14" s="669"/>
      <c r="M14" s="459"/>
      <c r="N14" s="460"/>
      <c r="O14" s="461"/>
      <c r="P14" s="490"/>
      <c r="Q14" s="461">
        <f>IF(NOT(ISERROR(MATCH(P14,_xlfn.ANCHORARRAY(F25),0))),O27&amp;"Por favor no seleccionar los criterios de impacto",P14)</f>
        <v>0</v>
      </c>
      <c r="R14" s="460"/>
      <c r="S14" s="461"/>
      <c r="T14" s="489"/>
      <c r="U14" s="193">
        <v>2</v>
      </c>
      <c r="V14" s="238"/>
      <c r="W14" s="193"/>
      <c r="X14" s="193"/>
      <c r="Y14" s="218" t="str">
        <f t="shared" ref="Y14:Y72" si="1">+CONCATENATE(V14," ",W14," ",X14)</f>
        <v xml:space="preserve">  </v>
      </c>
      <c r="Z14" s="170" t="str">
        <f t="shared" si="0"/>
        <v/>
      </c>
      <c r="AA14" s="171"/>
      <c r="AB14" s="171"/>
      <c r="AC14" s="172" t="str">
        <f t="shared" ref="AC14:AC18" si="2">IF(AND(AA14="Preventivo",AB14="Automático"),"50%",IF(AND(AA14="Preventivo",AB14="Manual"),"40%",IF(AND(AA14="Detectivo",AB14="Automático"),"40%",IF(AND(AA14="Detectivo",AB14="Manual"),"30%",IF(AND(AA14="Correctivo",AB14="Automático"),"35%",IF(AND(AA14="Correctivo",AB14="Manual"),"25%",""))))))</f>
        <v/>
      </c>
      <c r="AD14" s="171"/>
      <c r="AE14" s="171"/>
      <c r="AF14" s="171"/>
      <c r="AG14" s="173" t="str">
        <f>IFERROR(IF(AND(Z13="Probabilidad",Z14="Probabilidad"),(AI13-(+AI13*AC14)),IF(Z14="Probabilidad",(O13-(+O13*AC14)),IF(Z14="Impacto",AI13,""))),"")</f>
        <v/>
      </c>
      <c r="AH14" s="174" t="str">
        <f t="shared" ref="AH14:AH72" si="3">IFERROR(IF(AG14="","",IF(AG14&lt;=0.2,"Muy Baja",IF(AG14&lt;=0.4,"Baja",IF(AG14&lt;=0.6,"Media",IF(AG14&lt;=0.8,"Alta","Muy Alta"))))),"")</f>
        <v/>
      </c>
      <c r="AI14" s="172" t="str">
        <f t="shared" ref="AI14:AI18" si="4">+AG14</f>
        <v/>
      </c>
      <c r="AJ14" s="174" t="str">
        <f t="shared" ref="AJ14:AJ72" si="5">IFERROR(IF(AK14="","",IF(AK14&lt;=0.2,"Leve",IF(AK14&lt;=0.4,"Menor",IF(AK14&lt;=0.6,"Moderado",IF(AK14&lt;=0.8,"Mayor","Catastrófico"))))),"")</f>
        <v/>
      </c>
      <c r="AK14" s="172" t="str">
        <f>IFERROR(IF(AND(Z13="Impacto",Z14="Impacto"),(AK13-(+AK13*AC14)),IF(Z14="Impacto",($S$13-(+$S$13*AC14)),IF(Z14="Probabilidad",AK13,""))),"")</f>
        <v/>
      </c>
      <c r="AL14" s="175" t="str">
        <f t="shared" ref="AL14:AL18" si="6">IFERROR(IF(OR(AND(AH14="Muy Baja",AJ14="Leve"),AND(AH14="Muy Baja",AJ14="Menor"),AND(AH14="Baja",AJ14="Leve")),"Bajo",IF(OR(AND(AH14="Muy baja",AJ14="Moderado"),AND(AH14="Baja",AJ14="Menor"),AND(AH14="Baja",AJ14="Moderado"),AND(AH14="Media",AJ14="Leve"),AND(AH14="Media",AJ14="Menor"),AND(AH14="Media",AJ14="Moderado"),AND(AH14="Alta",AJ14="Leve"),AND(AH14="Alta",AJ14="Menor")),"Moderado",IF(OR(AND(AH14="Muy Baja",AJ14="Mayor"),AND(AH14="Baja",AJ14="Mayor"),AND(AH14="Media",AJ14="Mayor"),AND(AH14="Alta",AJ14="Moderado"),AND(AH14="Alta",AJ14="Mayor"),AND(AH14="Muy Alta",AJ14="Leve"),AND(AH14="Muy Alta",AJ14="Menor"),AND(AH14="Muy Alta",AJ14="Moderado"),AND(AH14="Muy Alta",AJ14="Mayor")),"Alto",IF(OR(AND(AH14="Muy Baja",AJ14="Catastrófico"),AND(AH14="Baja",AJ14="Catastrófico"),AND(AH14="Media",AJ14="Catastrófico"),AND(AH14="Alta",AJ14="Catastrófico"),AND(AH14="Muy Alta",AJ14="Catastrófico")),"Extremo","")))),"")</f>
        <v/>
      </c>
      <c r="AM14" s="176"/>
      <c r="AN14" s="169"/>
      <c r="AO14" s="177"/>
      <c r="AP14" s="169"/>
      <c r="AQ14" s="178"/>
      <c r="AR14" s="449"/>
      <c r="AS14" s="449"/>
      <c r="AT14" s="449"/>
    </row>
    <row r="15" spans="1:274" x14ac:dyDescent="0.2">
      <c r="A15" s="671"/>
      <c r="B15" s="672"/>
      <c r="C15" s="672"/>
      <c r="D15" s="672"/>
      <c r="E15" s="672"/>
      <c r="F15" s="673"/>
      <c r="G15" s="669"/>
      <c r="H15" s="669"/>
      <c r="I15" s="669"/>
      <c r="J15" s="669"/>
      <c r="K15" s="669"/>
      <c r="L15" s="669"/>
      <c r="M15" s="459"/>
      <c r="N15" s="460"/>
      <c r="O15" s="461"/>
      <c r="P15" s="490"/>
      <c r="Q15" s="461">
        <f>IF(NOT(ISERROR(MATCH(P15,_xlfn.ANCHORARRAY(F26),0))),O28&amp;"Por favor no seleccionar los criterios de impacto",P15)</f>
        <v>0</v>
      </c>
      <c r="R15" s="460"/>
      <c r="S15" s="461"/>
      <c r="T15" s="489"/>
      <c r="U15" s="193">
        <v>3</v>
      </c>
      <c r="V15" s="238"/>
      <c r="W15" s="193"/>
      <c r="X15" s="193"/>
      <c r="Y15" s="218" t="str">
        <f t="shared" si="1"/>
        <v xml:space="preserve">  </v>
      </c>
      <c r="Z15" s="170" t="str">
        <f t="shared" si="0"/>
        <v/>
      </c>
      <c r="AA15" s="171"/>
      <c r="AB15" s="171"/>
      <c r="AC15" s="172" t="str">
        <f t="shared" si="2"/>
        <v/>
      </c>
      <c r="AD15" s="171"/>
      <c r="AE15" s="171"/>
      <c r="AF15" s="171"/>
      <c r="AG15" s="173" t="str">
        <f>IFERROR(IF(AND(Z14="Probabilidad",Z15="Probabilidad"),(AI14-(+AI14*AC15)),IF(AND(Z14="Impacto",Z15="Probabilidad"),(AI13-(+AI13*AC15)),IF(Z15="Impacto",AI14,""))),"")</f>
        <v/>
      </c>
      <c r="AH15" s="174" t="str">
        <f t="shared" si="3"/>
        <v/>
      </c>
      <c r="AI15" s="172" t="str">
        <f t="shared" si="4"/>
        <v/>
      </c>
      <c r="AJ15" s="174" t="str">
        <f t="shared" si="5"/>
        <v/>
      </c>
      <c r="AK15" s="172" t="str">
        <f>IFERROR(IF(AND(Z14="Impacto",Z15="Impacto"),(AK14-(+AK14*AC15)),IF(AND(Z14="Probabilidad",Z15="Impacto"),(AK13-(+AK13*AC15)),IF(Z15="Probabilidad",AK14,""))),"")</f>
        <v/>
      </c>
      <c r="AL15" s="175" t="str">
        <f t="shared" si="6"/>
        <v/>
      </c>
      <c r="AM15" s="176"/>
      <c r="AN15" s="169"/>
      <c r="AO15" s="177"/>
      <c r="AP15" s="177"/>
      <c r="AQ15" s="178"/>
      <c r="AR15" s="449"/>
      <c r="AS15" s="449"/>
      <c r="AT15" s="449"/>
    </row>
    <row r="16" spans="1:274" x14ac:dyDescent="0.2">
      <c r="A16" s="671"/>
      <c r="B16" s="672"/>
      <c r="C16" s="672"/>
      <c r="D16" s="672"/>
      <c r="E16" s="672"/>
      <c r="F16" s="673"/>
      <c r="G16" s="669"/>
      <c r="H16" s="669"/>
      <c r="I16" s="669"/>
      <c r="J16" s="669"/>
      <c r="K16" s="669"/>
      <c r="L16" s="669"/>
      <c r="M16" s="459"/>
      <c r="N16" s="460"/>
      <c r="O16" s="461"/>
      <c r="P16" s="490"/>
      <c r="Q16" s="461">
        <f>IF(NOT(ISERROR(MATCH(P16,_xlfn.ANCHORARRAY(F27),0))),O29&amp;"Por favor no seleccionar los criterios de impacto",P16)</f>
        <v>0</v>
      </c>
      <c r="R16" s="460"/>
      <c r="S16" s="461"/>
      <c r="T16" s="489"/>
      <c r="U16" s="193">
        <v>4</v>
      </c>
      <c r="V16" s="238"/>
      <c r="W16" s="193"/>
      <c r="X16" s="193"/>
      <c r="Y16" s="218" t="str">
        <f t="shared" si="1"/>
        <v xml:space="preserve">  </v>
      </c>
      <c r="Z16" s="170" t="str">
        <f t="shared" si="0"/>
        <v/>
      </c>
      <c r="AA16" s="171"/>
      <c r="AB16" s="171"/>
      <c r="AC16" s="172" t="str">
        <f t="shared" si="2"/>
        <v/>
      </c>
      <c r="AD16" s="171"/>
      <c r="AE16" s="171"/>
      <c r="AF16" s="171"/>
      <c r="AG16" s="173" t="str">
        <f t="shared" ref="AG16:AG18" si="7">IFERROR(IF(AND(Z15="Probabilidad",Z16="Probabilidad"),(AI15-(+AI15*AC16)),IF(AND(Z15="Impacto",Z16="Probabilidad"),(AI14-(+AI14*AC16)),IF(Z16="Impacto",AI15,""))),"")</f>
        <v/>
      </c>
      <c r="AH16" s="174" t="str">
        <f t="shared" si="3"/>
        <v/>
      </c>
      <c r="AI16" s="172" t="str">
        <f t="shared" si="4"/>
        <v/>
      </c>
      <c r="AJ16" s="174" t="str">
        <f t="shared" si="5"/>
        <v/>
      </c>
      <c r="AK16" s="172" t="str">
        <f t="shared" ref="AK16:AK18" si="8">IFERROR(IF(AND(Z15="Impacto",Z16="Impacto"),(AK15-(+AK15*AC16)),IF(AND(Z15="Probabilidad",Z16="Impacto"),(AK14-(+AK14*AC16)),IF(Z16="Probabilidad",AK15,""))),"")</f>
        <v/>
      </c>
      <c r="AL16" s="175" t="str">
        <f>IFERROR(IF(OR(AND(AH16="Muy Baja",AJ16="Leve"),AND(AH16="Muy Baja",AJ16="Menor"),AND(AH16="Baja",AJ16="Leve")),"Bajo",IF(OR(AND(AH16="Muy baja",AJ16="Moderado"),AND(AH16="Baja",AJ16="Menor"),AND(AH16="Baja",AJ16="Moderado"),AND(AH16="Media",AJ16="Leve"),AND(AH16="Media",AJ16="Menor"),AND(AH16="Media",AJ16="Moderado"),AND(AH16="Alta",AJ16="Leve"),AND(AH16="Alta",AJ16="Menor")),"Moderado",IF(OR(AND(AH16="Muy Baja",AJ16="Mayor"),AND(AH16="Baja",AJ16="Mayor"),AND(AH16="Media",AJ16="Mayor"),AND(AH16="Alta",AJ16="Moderado"),AND(AH16="Alta",AJ16="Mayor"),AND(AH16="Muy Alta",AJ16="Leve"),AND(AH16="Muy Alta",AJ16="Menor"),AND(AH16="Muy Alta",AJ16="Moderado"),AND(AH16="Muy Alta",AJ16="Mayor")),"Alto",IF(OR(AND(AH16="Muy Baja",AJ16="Catastrófico"),AND(AH16="Baja",AJ16="Catastrófico"),AND(AH16="Media",AJ16="Catastrófico"),AND(AH16="Alta",AJ16="Catastrófico"),AND(AH16="Muy Alta",AJ16="Catastrófico")),"Extremo","")))),"")</f>
        <v/>
      </c>
      <c r="AM16" s="176"/>
      <c r="AN16" s="169"/>
      <c r="AO16" s="177"/>
      <c r="AP16" s="177"/>
      <c r="AQ16" s="178"/>
      <c r="AR16" s="449"/>
      <c r="AS16" s="449"/>
      <c r="AT16" s="449"/>
    </row>
    <row r="17" spans="1:46" x14ac:dyDescent="0.2">
      <c r="A17" s="671"/>
      <c r="B17" s="672"/>
      <c r="C17" s="672"/>
      <c r="D17" s="672"/>
      <c r="E17" s="672"/>
      <c r="F17" s="673"/>
      <c r="G17" s="669"/>
      <c r="H17" s="669"/>
      <c r="I17" s="669"/>
      <c r="J17" s="669"/>
      <c r="K17" s="669"/>
      <c r="L17" s="669"/>
      <c r="M17" s="459"/>
      <c r="N17" s="460"/>
      <c r="O17" s="461"/>
      <c r="P17" s="490"/>
      <c r="Q17" s="461">
        <f>IF(NOT(ISERROR(MATCH(P17,_xlfn.ANCHORARRAY(F28),0))),O30&amp;"Por favor no seleccionar los criterios de impacto",P17)</f>
        <v>0</v>
      </c>
      <c r="R17" s="460"/>
      <c r="S17" s="461"/>
      <c r="T17" s="489"/>
      <c r="U17" s="193">
        <v>5</v>
      </c>
      <c r="V17" s="238"/>
      <c r="W17" s="193"/>
      <c r="X17" s="193"/>
      <c r="Y17" s="218" t="str">
        <f t="shared" si="1"/>
        <v xml:space="preserve">  </v>
      </c>
      <c r="Z17" s="170" t="str">
        <f t="shared" si="0"/>
        <v/>
      </c>
      <c r="AA17" s="171"/>
      <c r="AB17" s="171"/>
      <c r="AC17" s="172" t="str">
        <f t="shared" si="2"/>
        <v/>
      </c>
      <c r="AD17" s="171"/>
      <c r="AE17" s="171"/>
      <c r="AF17" s="171"/>
      <c r="AG17" s="173" t="str">
        <f t="shared" si="7"/>
        <v/>
      </c>
      <c r="AH17" s="174" t="str">
        <f t="shared" si="3"/>
        <v/>
      </c>
      <c r="AI17" s="172" t="str">
        <f t="shared" si="4"/>
        <v/>
      </c>
      <c r="AJ17" s="174" t="str">
        <f t="shared" si="5"/>
        <v/>
      </c>
      <c r="AK17" s="172" t="str">
        <f t="shared" si="8"/>
        <v/>
      </c>
      <c r="AL17" s="175" t="str">
        <f t="shared" si="6"/>
        <v/>
      </c>
      <c r="AM17" s="176"/>
      <c r="AN17" s="169"/>
      <c r="AO17" s="177"/>
      <c r="AP17" s="177"/>
      <c r="AQ17" s="178"/>
      <c r="AR17" s="449"/>
      <c r="AS17" s="449"/>
      <c r="AT17" s="449"/>
    </row>
    <row r="18" spans="1:46" x14ac:dyDescent="0.2">
      <c r="A18" s="671"/>
      <c r="B18" s="672"/>
      <c r="C18" s="672"/>
      <c r="D18" s="672"/>
      <c r="E18" s="672"/>
      <c r="F18" s="673"/>
      <c r="G18" s="670"/>
      <c r="H18" s="670"/>
      <c r="I18" s="670"/>
      <c r="J18" s="670"/>
      <c r="K18" s="670"/>
      <c r="L18" s="670"/>
      <c r="M18" s="459"/>
      <c r="N18" s="460"/>
      <c r="O18" s="461"/>
      <c r="P18" s="490"/>
      <c r="Q18" s="461">
        <f>IF(NOT(ISERROR(MATCH(P18,_xlfn.ANCHORARRAY(F29),0))),O31&amp;"Por favor no seleccionar los criterios de impacto",P18)</f>
        <v>0</v>
      </c>
      <c r="R18" s="460"/>
      <c r="S18" s="461"/>
      <c r="T18" s="489"/>
      <c r="U18" s="193">
        <v>6</v>
      </c>
      <c r="V18" s="238"/>
      <c r="W18" s="193"/>
      <c r="X18" s="193"/>
      <c r="Y18" s="218" t="str">
        <f t="shared" si="1"/>
        <v xml:space="preserve">  </v>
      </c>
      <c r="Z18" s="170" t="str">
        <f t="shared" si="0"/>
        <v/>
      </c>
      <c r="AA18" s="171"/>
      <c r="AB18" s="171"/>
      <c r="AC18" s="172" t="str">
        <f t="shared" si="2"/>
        <v/>
      </c>
      <c r="AD18" s="171"/>
      <c r="AE18" s="171"/>
      <c r="AF18" s="171"/>
      <c r="AG18" s="173" t="str">
        <f t="shared" si="7"/>
        <v/>
      </c>
      <c r="AH18" s="174" t="str">
        <f t="shared" si="3"/>
        <v/>
      </c>
      <c r="AI18" s="172" t="str">
        <f t="shared" si="4"/>
        <v/>
      </c>
      <c r="AJ18" s="174" t="str">
        <f t="shared" si="5"/>
        <v/>
      </c>
      <c r="AK18" s="172" t="str">
        <f t="shared" si="8"/>
        <v/>
      </c>
      <c r="AL18" s="175" t="str">
        <f t="shared" si="6"/>
        <v/>
      </c>
      <c r="AM18" s="176"/>
      <c r="AN18" s="169"/>
      <c r="AO18" s="177"/>
      <c r="AP18" s="177"/>
      <c r="AQ18" s="178"/>
      <c r="AR18" s="449"/>
      <c r="AS18" s="449"/>
      <c r="AT18" s="449"/>
    </row>
    <row r="19" spans="1:46" x14ac:dyDescent="0.2">
      <c r="A19" s="671">
        <v>2</v>
      </c>
      <c r="B19" s="672"/>
      <c r="C19" s="672"/>
      <c r="D19" s="672"/>
      <c r="E19" s="672"/>
      <c r="F19" s="673" t="str">
        <f t="shared" ref="F19" si="9">+CONCATENATE(B19," ",C19," ",D19)</f>
        <v xml:space="preserve">  </v>
      </c>
      <c r="G19" s="668"/>
      <c r="H19" s="668"/>
      <c r="I19" s="668"/>
      <c r="J19" s="668"/>
      <c r="K19" s="668"/>
      <c r="L19" s="668"/>
      <c r="M19" s="459"/>
      <c r="N19" s="460" t="str">
        <f>IF(M19&lt;=0,"",IF(M19&lt;=2,"Muy Baja",IF(M19&lt;=24,"Baja",IF(M19&lt;=500,"Media",IF(M19&lt;=5000,"Alta","Muy Alta")))))</f>
        <v/>
      </c>
      <c r="O19" s="461" t="str">
        <f>IF(N19="","",IF(N19="Muy Baja",0.2,IF(N19="Baja",0.4,IF(N19="Media",0.6,IF(N19="Alta",0.8,IF(N19="Muy Alta",1,))))))</f>
        <v/>
      </c>
      <c r="P19" s="490"/>
      <c r="Q19" s="461">
        <f>IF(NOT(ISERROR(MATCH(P19,'Tabla Impacto'!$B$245:$B$247,0))),'Tabla Impacto'!$F$224&amp;"Por favor no seleccionar los criterios de impacto(Afectación Económica o presupuestal y Pérdida Reputacional)",P19)</f>
        <v>0</v>
      </c>
      <c r="R19" s="460" t="str">
        <f>IF(OR(Q19='Tabla Impacto'!$C$12,Q19='Tabla Impacto'!$D$12),"Leve",IF(OR(Q19='Tabla Impacto'!$C$13,Q19='Tabla Impacto'!$D$13),"Menor",IF(OR(Q19='Tabla Impacto'!$C$14,Q19='Tabla Impacto'!$D$14),"Moderado",IF(OR(Q19='Tabla Impacto'!$C$15,Q19='Tabla Impacto'!$D$15),"Mayor",IF(OR(Q19='Tabla Impacto'!$C$16,Q19='Tabla Impacto'!$D$16),"Catastrófico","")))))</f>
        <v/>
      </c>
      <c r="S19" s="461" t="str">
        <f>IF(R19="","",IF(R19="Leve",0.2,IF(R19="Menor",0.4,IF(R19="Moderado",0.6,IF(R19="Mayor",0.8,IF(R19="Catastrófico",1,))))))</f>
        <v/>
      </c>
      <c r="T19" s="489" t="str">
        <f>IF(OR(AND(N19="Muy Baja",R19="Leve"),AND(N19="Muy Baja",R19="Menor"),AND(N19="Baja",R19="Leve")),"Bajo",IF(OR(AND(N19="Muy baja",R19="Moderado"),AND(N19="Baja",R19="Menor"),AND(N19="Baja",R19="Moderado"),AND(N19="Media",R19="Leve"),AND(N19="Media",R19="Menor"),AND(N19="Media",R19="Moderado"),AND(N19="Alta",R19="Leve"),AND(N19="Alta",R19="Menor")),"Moderado",IF(OR(AND(N19="Muy Baja",R19="Mayor"),AND(N19="Baja",R19="Mayor"),AND(N19="Media",R19="Mayor"),AND(N19="Alta",R19="Moderado"),AND(N19="Alta",R19="Mayor"),AND(N19="Muy Alta",R19="Leve"),AND(N19="Muy Alta",R19="Menor"),AND(N19="Muy Alta",R19="Moderado"),AND(N19="Muy Alta",R19="Mayor")),"Alto",IF(OR(AND(N19="Muy Baja",R19="Catastrófico"),AND(N19="Baja",R19="Catastrófico"),AND(N19="Media",R19="Catastrófico"),AND(N19="Alta",R19="Catastrófico"),AND(N19="Muy Alta",R19="Catastrófico")),"Extremo",""))))</f>
        <v/>
      </c>
      <c r="U19" s="193">
        <v>1</v>
      </c>
      <c r="V19" s="238"/>
      <c r="W19" s="193"/>
      <c r="X19" s="193"/>
      <c r="Y19" s="218" t="str">
        <f t="shared" si="1"/>
        <v xml:space="preserve">  </v>
      </c>
      <c r="Z19" s="170" t="str">
        <f>IF(OR(AA19="Preventivo",AA19="Detectivo"),"Probabilidad",IF(AA19="Correctivo","Impacto",""))</f>
        <v/>
      </c>
      <c r="AA19" s="171"/>
      <c r="AB19" s="171"/>
      <c r="AC19" s="172" t="str">
        <f>IF(AND(AA19="Preventivo",AB19="Automático"),"50%",IF(AND(AA19="Preventivo",AB19="Manual"),"40%",IF(AND(AA19="Detectivo",AB19="Automático"),"40%",IF(AND(AA19="Detectivo",AB19="Manual"),"30%",IF(AND(AA19="Correctivo",AB19="Automático"),"35%",IF(AND(AA19="Correctivo",AB19="Manual"),"25%",""))))))</f>
        <v/>
      </c>
      <c r="AD19" s="171"/>
      <c r="AE19" s="171"/>
      <c r="AF19" s="171"/>
      <c r="AG19" s="173" t="str">
        <f>IFERROR(IF(Z19="Probabilidad",(O19-(+O19*AC19)),IF(Z19="Impacto",O19,"")),"")</f>
        <v/>
      </c>
      <c r="AH19" s="174" t="str">
        <f>IFERROR(IF(AG19="","",IF(AG19&lt;=0.2,"Muy Baja",IF(AG19&lt;=0.4,"Baja",IF(AG19&lt;=0.6,"Media",IF(AG19&lt;=0.8,"Alta","Muy Alta"))))),"")</f>
        <v/>
      </c>
      <c r="AI19" s="172" t="str">
        <f>+AG19</f>
        <v/>
      </c>
      <c r="AJ19" s="174" t="str">
        <f>IFERROR(IF(AK19="","",IF(AK19&lt;=0.2,"Leve",IF(AK19&lt;=0.4,"Menor",IF(AK19&lt;=0.6,"Moderado",IF(AK19&lt;=0.8,"Mayor","Catastrófico"))))),"")</f>
        <v/>
      </c>
      <c r="AK19" s="172" t="str">
        <f t="shared" ref="AK19" si="10">IFERROR(IF(Z19="Impacto",(S19-(+S19*AC19)),IF(Z19="Probabilidad",S19,"")),"")</f>
        <v/>
      </c>
      <c r="AL19" s="175" t="str">
        <f>IFERROR(IF(OR(AND(AH19="Muy Baja",AJ19="Leve"),AND(AH19="Muy Baja",AJ19="Menor"),AND(AH19="Baja",AJ19="Leve")),"Bajo",IF(OR(AND(AH19="Muy baja",AJ19="Moderado"),AND(AH19="Baja",AJ19="Menor"),AND(AH19="Baja",AJ19="Moderado"),AND(AH19="Media",AJ19="Leve"),AND(AH19="Media",AJ19="Menor"),AND(AH19="Media",AJ19="Moderado"),AND(AH19="Alta",AJ19="Leve"),AND(AH19="Alta",AJ19="Menor")),"Moderado",IF(OR(AND(AH19="Muy Baja",AJ19="Mayor"),AND(AH19="Baja",AJ19="Mayor"),AND(AH19="Media",AJ19="Mayor"),AND(AH19="Alta",AJ19="Moderado"),AND(AH19="Alta",AJ19="Mayor"),AND(AH19="Muy Alta",AJ19="Leve"),AND(AH19="Muy Alta",AJ19="Menor"),AND(AH19="Muy Alta",AJ19="Moderado"),AND(AH19="Muy Alta",AJ19="Mayor")),"Alto",IF(OR(AND(AH19="Muy Baja",AJ19="Catastrófico"),AND(AH19="Baja",AJ19="Catastrófico"),AND(AH19="Media",AJ19="Catastrófico"),AND(AH19="Alta",AJ19="Catastrófico"),AND(AH19="Muy Alta",AJ19="Catastrófico")),"Extremo","")))),"")</f>
        <v/>
      </c>
      <c r="AM19" s="176"/>
      <c r="AN19" s="169"/>
      <c r="AO19" s="177"/>
      <c r="AP19" s="177"/>
      <c r="AQ19" s="178"/>
      <c r="AR19" s="459"/>
      <c r="AS19" s="459"/>
      <c r="AT19" s="459"/>
    </row>
    <row r="20" spans="1:46" x14ac:dyDescent="0.2">
      <c r="A20" s="671"/>
      <c r="B20" s="672"/>
      <c r="C20" s="672"/>
      <c r="D20" s="672"/>
      <c r="E20" s="672"/>
      <c r="F20" s="673"/>
      <c r="G20" s="669"/>
      <c r="H20" s="669"/>
      <c r="I20" s="669"/>
      <c r="J20" s="669"/>
      <c r="K20" s="669"/>
      <c r="L20" s="669"/>
      <c r="M20" s="459"/>
      <c r="N20" s="460"/>
      <c r="O20" s="461"/>
      <c r="P20" s="490"/>
      <c r="Q20" s="461">
        <f>IF(NOT(ISERROR(MATCH(P20,_xlfn.ANCHORARRAY(F31),0))),O33&amp;"Por favor no seleccionar los criterios de impacto",P20)</f>
        <v>0</v>
      </c>
      <c r="R20" s="460"/>
      <c r="S20" s="461"/>
      <c r="T20" s="489"/>
      <c r="U20" s="193">
        <v>2</v>
      </c>
      <c r="V20" s="238"/>
      <c r="W20" s="193"/>
      <c r="X20" s="193"/>
      <c r="Y20" s="218" t="str">
        <f t="shared" si="1"/>
        <v xml:space="preserve">  </v>
      </c>
      <c r="Z20" s="170" t="str">
        <f>IF(OR(AA20="Preventivo",AA20="Detectivo"),"Probabilidad",IF(AA20="Correctivo","Impacto",""))</f>
        <v/>
      </c>
      <c r="AA20" s="171"/>
      <c r="AB20" s="171"/>
      <c r="AC20" s="172" t="str">
        <f t="shared" ref="AC20:AC24" si="11">IF(AND(AA20="Preventivo",AB20="Automático"),"50%",IF(AND(AA20="Preventivo",AB20="Manual"),"40%",IF(AND(AA20="Detectivo",AB20="Automático"),"40%",IF(AND(AA20="Detectivo",AB20="Manual"),"30%",IF(AND(AA20="Correctivo",AB20="Automático"),"35%",IF(AND(AA20="Correctivo",AB20="Manual"),"25%",""))))))</f>
        <v/>
      </c>
      <c r="AD20" s="171"/>
      <c r="AE20" s="171"/>
      <c r="AF20" s="171"/>
      <c r="AG20" s="173" t="str">
        <f>IFERROR(IF(AND(Z19="Probabilidad",Z20="Probabilidad"),(AI19-(+AI19*AC20)),IF(Z20="Probabilidad",(O19-(+O19*AC20)),IF(Z20="Impacto",AI19,""))),"")</f>
        <v/>
      </c>
      <c r="AH20" s="174" t="str">
        <f t="shared" si="3"/>
        <v/>
      </c>
      <c r="AI20" s="172" t="str">
        <f t="shared" ref="AI20:AI24" si="12">+AG20</f>
        <v/>
      </c>
      <c r="AJ20" s="174" t="str">
        <f t="shared" si="5"/>
        <v/>
      </c>
      <c r="AK20" s="172" t="str">
        <f t="shared" ref="AK20" si="13">IFERROR(IF(AND(Z19="Impacto",Z20="Impacto"),(AK19-(+AK19*AC20)),IF(Z20="Impacto",($S$13-(+$S$13*AC20)),IF(Z20="Probabilidad",AK19,""))),"")</f>
        <v/>
      </c>
      <c r="AL20" s="175" t="str">
        <f t="shared" ref="AL20:AL21" si="14">IFERROR(IF(OR(AND(AH20="Muy Baja",AJ20="Leve"),AND(AH20="Muy Baja",AJ20="Menor"),AND(AH20="Baja",AJ20="Leve")),"Bajo",IF(OR(AND(AH20="Muy baja",AJ20="Moderado"),AND(AH20="Baja",AJ20="Menor"),AND(AH20="Baja",AJ20="Moderado"),AND(AH20="Media",AJ20="Leve"),AND(AH20="Media",AJ20="Menor"),AND(AH20="Media",AJ20="Moderado"),AND(AH20="Alta",AJ20="Leve"),AND(AH20="Alta",AJ20="Menor")),"Moderado",IF(OR(AND(AH20="Muy Baja",AJ20="Mayor"),AND(AH20="Baja",AJ20="Mayor"),AND(AH20="Media",AJ20="Mayor"),AND(AH20="Alta",AJ20="Moderado"),AND(AH20="Alta",AJ20="Mayor"),AND(AH20="Muy Alta",AJ20="Leve"),AND(AH20="Muy Alta",AJ20="Menor"),AND(AH20="Muy Alta",AJ20="Moderado"),AND(AH20="Muy Alta",AJ20="Mayor")),"Alto",IF(OR(AND(AH20="Muy Baja",AJ20="Catastrófico"),AND(AH20="Baja",AJ20="Catastrófico"),AND(AH20="Media",AJ20="Catastrófico"),AND(AH20="Alta",AJ20="Catastrófico"),AND(AH20="Muy Alta",AJ20="Catastrófico")),"Extremo","")))),"")</f>
        <v/>
      </c>
      <c r="AM20" s="176"/>
      <c r="AN20" s="169"/>
      <c r="AO20" s="177"/>
      <c r="AP20" s="169"/>
      <c r="AQ20" s="178"/>
      <c r="AR20" s="459"/>
      <c r="AS20" s="459"/>
      <c r="AT20" s="459"/>
    </row>
    <row r="21" spans="1:46" x14ac:dyDescent="0.2">
      <c r="A21" s="671"/>
      <c r="B21" s="672"/>
      <c r="C21" s="672"/>
      <c r="D21" s="672"/>
      <c r="E21" s="672"/>
      <c r="F21" s="673"/>
      <c r="G21" s="669"/>
      <c r="H21" s="669"/>
      <c r="I21" s="669"/>
      <c r="J21" s="669"/>
      <c r="K21" s="669"/>
      <c r="L21" s="669"/>
      <c r="M21" s="459"/>
      <c r="N21" s="460"/>
      <c r="O21" s="461"/>
      <c r="P21" s="490"/>
      <c r="Q21" s="461">
        <f>IF(NOT(ISERROR(MATCH(P21,_xlfn.ANCHORARRAY(F32),0))),O34&amp;"Por favor no seleccionar los criterios de impacto",P21)</f>
        <v>0</v>
      </c>
      <c r="R21" s="460"/>
      <c r="S21" s="461"/>
      <c r="T21" s="489"/>
      <c r="U21" s="193">
        <v>3</v>
      </c>
      <c r="V21" s="238"/>
      <c r="W21" s="193"/>
      <c r="X21" s="193"/>
      <c r="Y21" s="218" t="str">
        <f t="shared" si="1"/>
        <v xml:space="preserve">  </v>
      </c>
      <c r="Z21" s="170" t="str">
        <f>IF(OR(AA21="Preventivo",AA21="Detectivo"),"Probabilidad",IF(AA21="Correctivo","Impacto",""))</f>
        <v/>
      </c>
      <c r="AA21" s="171"/>
      <c r="AB21" s="171"/>
      <c r="AC21" s="172" t="str">
        <f t="shared" si="11"/>
        <v/>
      </c>
      <c r="AD21" s="171"/>
      <c r="AE21" s="171"/>
      <c r="AF21" s="171"/>
      <c r="AG21" s="173" t="str">
        <f>IFERROR(IF(AND(Z20="Probabilidad",Z21="Probabilidad"),(AI20-(+AI20*AC21)),IF(AND(Z20="Impacto",Z21="Probabilidad"),(AI19-(+AI19*AC21)),IF(Z21="Impacto",AI20,""))),"")</f>
        <v/>
      </c>
      <c r="AH21" s="174" t="str">
        <f t="shared" si="3"/>
        <v/>
      </c>
      <c r="AI21" s="172" t="str">
        <f t="shared" si="12"/>
        <v/>
      </c>
      <c r="AJ21" s="174" t="str">
        <f t="shared" si="5"/>
        <v/>
      </c>
      <c r="AK21" s="172" t="str">
        <f t="shared" ref="AK21:AK72" si="15">IFERROR(IF(AND(Z20="Impacto",Z21="Impacto"),(AK20-(+AK20*AC21)),IF(AND(Z20="Probabilidad",Z21="Impacto"),(AK19-(+AK19*AC21)),IF(Z21="Probabilidad",AK20,""))),"")</f>
        <v/>
      </c>
      <c r="AL21" s="175" t="str">
        <f t="shared" si="14"/>
        <v/>
      </c>
      <c r="AM21" s="176"/>
      <c r="AN21" s="169"/>
      <c r="AO21" s="177"/>
      <c r="AP21" s="177"/>
      <c r="AQ21" s="178"/>
      <c r="AR21" s="459"/>
      <c r="AS21" s="459"/>
      <c r="AT21" s="459"/>
    </row>
    <row r="22" spans="1:46" x14ac:dyDescent="0.2">
      <c r="A22" s="671"/>
      <c r="B22" s="672"/>
      <c r="C22" s="672"/>
      <c r="D22" s="672"/>
      <c r="E22" s="672"/>
      <c r="F22" s="673"/>
      <c r="G22" s="669"/>
      <c r="H22" s="669"/>
      <c r="I22" s="669"/>
      <c r="J22" s="669"/>
      <c r="K22" s="669"/>
      <c r="L22" s="669"/>
      <c r="M22" s="459"/>
      <c r="N22" s="460"/>
      <c r="O22" s="461"/>
      <c r="P22" s="490"/>
      <c r="Q22" s="461">
        <f>IF(NOT(ISERROR(MATCH(P22,_xlfn.ANCHORARRAY(F33),0))),O35&amp;"Por favor no seleccionar los criterios de impacto",P22)</f>
        <v>0</v>
      </c>
      <c r="R22" s="460"/>
      <c r="S22" s="461"/>
      <c r="T22" s="489"/>
      <c r="U22" s="193">
        <v>4</v>
      </c>
      <c r="V22" s="238"/>
      <c r="W22" s="193"/>
      <c r="X22" s="193"/>
      <c r="Y22" s="218" t="str">
        <f t="shared" si="1"/>
        <v xml:space="preserve">  </v>
      </c>
      <c r="Z22" s="170" t="str">
        <f t="shared" ref="Z22:Z24" si="16">IF(OR(AA22="Preventivo",AA22="Detectivo"),"Probabilidad",IF(AA22="Correctivo","Impacto",""))</f>
        <v/>
      </c>
      <c r="AA22" s="171"/>
      <c r="AB22" s="171"/>
      <c r="AC22" s="172" t="str">
        <f t="shared" si="11"/>
        <v/>
      </c>
      <c r="AD22" s="171"/>
      <c r="AE22" s="171"/>
      <c r="AF22" s="171"/>
      <c r="AG22" s="173" t="str">
        <f t="shared" ref="AG22:AG24" si="17">IFERROR(IF(AND(Z21="Probabilidad",Z22="Probabilidad"),(AI21-(+AI21*AC22)),IF(AND(Z21="Impacto",Z22="Probabilidad"),(AI20-(+AI20*AC22)),IF(Z22="Impacto",AI21,""))),"")</f>
        <v/>
      </c>
      <c r="AH22" s="174" t="str">
        <f t="shared" si="3"/>
        <v/>
      </c>
      <c r="AI22" s="172" t="str">
        <f t="shared" si="12"/>
        <v/>
      </c>
      <c r="AJ22" s="174" t="str">
        <f t="shared" si="5"/>
        <v/>
      </c>
      <c r="AK22" s="172" t="str">
        <f t="shared" si="15"/>
        <v/>
      </c>
      <c r="AL22" s="175" t="str">
        <f>IFERROR(IF(OR(AND(AH22="Muy Baja",AJ22="Leve"),AND(AH22="Muy Baja",AJ22="Menor"),AND(AH22="Baja",AJ22="Leve")),"Bajo",IF(OR(AND(AH22="Muy baja",AJ22="Moderado"),AND(AH22="Baja",AJ22="Menor"),AND(AH22="Baja",AJ22="Moderado"),AND(AH22="Media",AJ22="Leve"),AND(AH22="Media",AJ22="Menor"),AND(AH22="Media",AJ22="Moderado"),AND(AH22="Alta",AJ22="Leve"),AND(AH22="Alta",AJ22="Menor")),"Moderado",IF(OR(AND(AH22="Muy Baja",AJ22="Mayor"),AND(AH22="Baja",AJ22="Mayor"),AND(AH22="Media",AJ22="Mayor"),AND(AH22="Alta",AJ22="Moderado"),AND(AH22="Alta",AJ22="Mayor"),AND(AH22="Muy Alta",AJ22="Leve"),AND(AH22="Muy Alta",AJ22="Menor"),AND(AH22="Muy Alta",AJ22="Moderado"),AND(AH22="Muy Alta",AJ22="Mayor")),"Alto",IF(OR(AND(AH22="Muy Baja",AJ22="Catastrófico"),AND(AH22="Baja",AJ22="Catastrófico"),AND(AH22="Media",AJ22="Catastrófico"),AND(AH22="Alta",AJ22="Catastrófico"),AND(AH22="Muy Alta",AJ22="Catastrófico")),"Extremo","")))),"")</f>
        <v/>
      </c>
      <c r="AM22" s="176"/>
      <c r="AN22" s="169"/>
      <c r="AO22" s="177"/>
      <c r="AP22" s="177"/>
      <c r="AQ22" s="178"/>
      <c r="AR22" s="459"/>
      <c r="AS22" s="459"/>
      <c r="AT22" s="459"/>
    </row>
    <row r="23" spans="1:46" x14ac:dyDescent="0.2">
      <c r="A23" s="671"/>
      <c r="B23" s="672"/>
      <c r="C23" s="672"/>
      <c r="D23" s="672"/>
      <c r="E23" s="672"/>
      <c r="F23" s="673"/>
      <c r="G23" s="669"/>
      <c r="H23" s="669"/>
      <c r="I23" s="669"/>
      <c r="J23" s="669"/>
      <c r="K23" s="669"/>
      <c r="L23" s="669"/>
      <c r="M23" s="459"/>
      <c r="N23" s="460"/>
      <c r="O23" s="461"/>
      <c r="P23" s="490"/>
      <c r="Q23" s="461">
        <f>IF(NOT(ISERROR(MATCH(P23,_xlfn.ANCHORARRAY(F34),0))),O36&amp;"Por favor no seleccionar los criterios de impacto",P23)</f>
        <v>0</v>
      </c>
      <c r="R23" s="460"/>
      <c r="S23" s="461"/>
      <c r="T23" s="489"/>
      <c r="U23" s="193">
        <v>5</v>
      </c>
      <c r="V23" s="238"/>
      <c r="W23" s="193"/>
      <c r="X23" s="193"/>
      <c r="Y23" s="218" t="str">
        <f t="shared" si="1"/>
        <v xml:space="preserve">  </v>
      </c>
      <c r="Z23" s="170" t="str">
        <f t="shared" si="16"/>
        <v/>
      </c>
      <c r="AA23" s="171"/>
      <c r="AB23" s="171"/>
      <c r="AC23" s="172" t="str">
        <f t="shared" si="11"/>
        <v/>
      </c>
      <c r="AD23" s="171"/>
      <c r="AE23" s="171"/>
      <c r="AF23" s="171"/>
      <c r="AG23" s="173" t="str">
        <f t="shared" si="17"/>
        <v/>
      </c>
      <c r="AH23" s="174" t="str">
        <f t="shared" si="3"/>
        <v/>
      </c>
      <c r="AI23" s="172" t="str">
        <f t="shared" si="12"/>
        <v/>
      </c>
      <c r="AJ23" s="174" t="str">
        <f t="shared" si="5"/>
        <v/>
      </c>
      <c r="AK23" s="172" t="str">
        <f t="shared" si="15"/>
        <v/>
      </c>
      <c r="AL23" s="175" t="str">
        <f t="shared" ref="AL23:AL24" si="18">IFERROR(IF(OR(AND(AH23="Muy Baja",AJ23="Leve"),AND(AH23="Muy Baja",AJ23="Menor"),AND(AH23="Baja",AJ23="Leve")),"Bajo",IF(OR(AND(AH23="Muy baja",AJ23="Moderado"),AND(AH23="Baja",AJ23="Menor"),AND(AH23="Baja",AJ23="Moderado"),AND(AH23="Media",AJ23="Leve"),AND(AH23="Media",AJ23="Menor"),AND(AH23="Media",AJ23="Moderado"),AND(AH23="Alta",AJ23="Leve"),AND(AH23="Alta",AJ23="Menor")),"Moderado",IF(OR(AND(AH23="Muy Baja",AJ23="Mayor"),AND(AH23="Baja",AJ23="Mayor"),AND(AH23="Media",AJ23="Mayor"),AND(AH23="Alta",AJ23="Moderado"),AND(AH23="Alta",AJ23="Mayor"),AND(AH23="Muy Alta",AJ23="Leve"),AND(AH23="Muy Alta",AJ23="Menor"),AND(AH23="Muy Alta",AJ23="Moderado"),AND(AH23="Muy Alta",AJ23="Mayor")),"Alto",IF(OR(AND(AH23="Muy Baja",AJ23="Catastrófico"),AND(AH23="Baja",AJ23="Catastrófico"),AND(AH23="Media",AJ23="Catastrófico"),AND(AH23="Alta",AJ23="Catastrófico"),AND(AH23="Muy Alta",AJ23="Catastrófico")),"Extremo","")))),"")</f>
        <v/>
      </c>
      <c r="AM23" s="176"/>
      <c r="AN23" s="169"/>
      <c r="AO23" s="177"/>
      <c r="AP23" s="177"/>
      <c r="AQ23" s="178"/>
      <c r="AR23" s="459"/>
      <c r="AS23" s="459"/>
      <c r="AT23" s="459"/>
    </row>
    <row r="24" spans="1:46" x14ac:dyDescent="0.2">
      <c r="A24" s="671"/>
      <c r="B24" s="672"/>
      <c r="C24" s="672"/>
      <c r="D24" s="672"/>
      <c r="E24" s="672"/>
      <c r="F24" s="673"/>
      <c r="G24" s="670"/>
      <c r="H24" s="670"/>
      <c r="I24" s="670"/>
      <c r="J24" s="670"/>
      <c r="K24" s="670"/>
      <c r="L24" s="670"/>
      <c r="M24" s="459"/>
      <c r="N24" s="460"/>
      <c r="O24" s="461"/>
      <c r="P24" s="490"/>
      <c r="Q24" s="461">
        <f>IF(NOT(ISERROR(MATCH(P24,_xlfn.ANCHORARRAY(F35),0))),O37&amp;"Por favor no seleccionar los criterios de impacto",P24)</f>
        <v>0</v>
      </c>
      <c r="R24" s="460"/>
      <c r="S24" s="461"/>
      <c r="T24" s="489"/>
      <c r="U24" s="193">
        <v>6</v>
      </c>
      <c r="V24" s="193"/>
      <c r="W24" s="193"/>
      <c r="X24" s="193"/>
      <c r="Y24" s="218" t="str">
        <f t="shared" si="1"/>
        <v xml:space="preserve">  </v>
      </c>
      <c r="Z24" s="170" t="str">
        <f t="shared" si="16"/>
        <v/>
      </c>
      <c r="AA24" s="171"/>
      <c r="AB24" s="171"/>
      <c r="AC24" s="172" t="str">
        <f t="shared" si="11"/>
        <v/>
      </c>
      <c r="AD24" s="171"/>
      <c r="AE24" s="171"/>
      <c r="AF24" s="171"/>
      <c r="AG24" s="173" t="str">
        <f t="shared" si="17"/>
        <v/>
      </c>
      <c r="AH24" s="174" t="str">
        <f t="shared" si="3"/>
        <v/>
      </c>
      <c r="AI24" s="172" t="str">
        <f t="shared" si="12"/>
        <v/>
      </c>
      <c r="AJ24" s="174" t="str">
        <f t="shared" si="5"/>
        <v/>
      </c>
      <c r="AK24" s="172" t="str">
        <f t="shared" si="15"/>
        <v/>
      </c>
      <c r="AL24" s="175" t="str">
        <f t="shared" si="18"/>
        <v/>
      </c>
      <c r="AM24" s="176"/>
      <c r="AN24" s="169"/>
      <c r="AO24" s="177"/>
      <c r="AP24" s="177"/>
      <c r="AQ24" s="178"/>
      <c r="AR24" s="459"/>
      <c r="AS24" s="459"/>
      <c r="AT24" s="459"/>
    </row>
    <row r="25" spans="1:46" x14ac:dyDescent="0.2">
      <c r="A25" s="671">
        <v>3</v>
      </c>
      <c r="B25" s="672"/>
      <c r="C25" s="672"/>
      <c r="D25" s="672"/>
      <c r="E25" s="672"/>
      <c r="F25" s="673" t="str">
        <f t="shared" ref="F25" si="19">+CONCATENATE(B25," ",C25," ",D25)</f>
        <v xml:space="preserve">  </v>
      </c>
      <c r="G25" s="668"/>
      <c r="H25" s="668"/>
      <c r="I25" s="668"/>
      <c r="J25" s="668"/>
      <c r="K25" s="668"/>
      <c r="L25" s="668"/>
      <c r="M25" s="459"/>
      <c r="N25" s="460" t="str">
        <f>IF(M25&lt;=0,"",IF(M25&lt;=2,"Muy Baja",IF(M25&lt;=24,"Baja",IF(M25&lt;=500,"Media",IF(M25&lt;=5000,"Alta","Muy Alta")))))</f>
        <v/>
      </c>
      <c r="O25" s="461" t="str">
        <f>IF(N25="","",IF(N25="Muy Baja",0.2,IF(N25="Baja",0.4,IF(N25="Media",0.6,IF(N25="Alta",0.8,IF(N25="Muy Alta",1,))))))</f>
        <v/>
      </c>
      <c r="P25" s="490"/>
      <c r="Q25" s="461">
        <f>IF(NOT(ISERROR(MATCH(P25,'Tabla Impacto'!$B$245:$B$247,0))),'Tabla Impacto'!$F$224&amp;"Por favor no seleccionar los criterios de impacto(Afectación Económica o presupuestal y Pérdida Reputacional)",P25)</f>
        <v>0</v>
      </c>
      <c r="R25" s="460" t="str">
        <f>IF(OR(Q25='Tabla Impacto'!$C$12,Q25='Tabla Impacto'!$D$12),"Leve",IF(OR(Q25='Tabla Impacto'!$C$13,Q25='Tabla Impacto'!$D$13),"Menor",IF(OR(Q25='Tabla Impacto'!$C$14,Q25='Tabla Impacto'!$D$14),"Moderado",IF(OR(Q25='Tabla Impacto'!$C$15,Q25='Tabla Impacto'!$D$15),"Mayor",IF(OR(Q25='Tabla Impacto'!$C$16,Q25='Tabla Impacto'!$D$16),"Catastrófico","")))))</f>
        <v/>
      </c>
      <c r="S25" s="461" t="str">
        <f>IF(R25="","",IF(R25="Leve",0.2,IF(R25="Menor",0.4,IF(R25="Moderado",0.6,IF(R25="Mayor",0.8,IF(R25="Catastrófico",1,))))))</f>
        <v/>
      </c>
      <c r="T25" s="489" t="str">
        <f>IF(OR(AND(N25="Muy Baja",R25="Leve"),AND(N25="Muy Baja",R25="Menor"),AND(N25="Baja",R25="Leve")),"Bajo",IF(OR(AND(N25="Muy baja",R25="Moderado"),AND(N25="Baja",R25="Menor"),AND(N25="Baja",R25="Moderado"),AND(N25="Media",R25="Leve"),AND(N25="Media",R25="Menor"),AND(N25="Media",R25="Moderado"),AND(N25="Alta",R25="Leve"),AND(N25="Alta",R25="Menor")),"Moderado",IF(OR(AND(N25="Muy Baja",R25="Mayor"),AND(N25="Baja",R25="Mayor"),AND(N25="Media",R25="Mayor"),AND(N25="Alta",R25="Moderado"),AND(N25="Alta",R25="Mayor"),AND(N25="Muy Alta",R25="Leve"),AND(N25="Muy Alta",R25="Menor"),AND(N25="Muy Alta",R25="Moderado"),AND(N25="Muy Alta",R25="Mayor")),"Alto",IF(OR(AND(N25="Muy Baja",R25="Catastrófico"),AND(N25="Baja",R25="Catastrófico"),AND(N25="Media",R25="Catastrófico"),AND(N25="Alta",R25="Catastrófico"),AND(N25="Muy Alta",R25="Catastrófico")),"Extremo",""))))</f>
        <v/>
      </c>
      <c r="U25" s="193">
        <v>1</v>
      </c>
      <c r="V25" s="193"/>
      <c r="W25" s="193"/>
      <c r="X25" s="193"/>
      <c r="Y25" s="218" t="str">
        <f t="shared" si="1"/>
        <v xml:space="preserve">  </v>
      </c>
      <c r="Z25" s="170" t="str">
        <f>IF(OR(AA25="Preventivo",AA25="Detectivo"),"Probabilidad",IF(AA25="Correctivo","Impacto",""))</f>
        <v/>
      </c>
      <c r="AA25" s="171"/>
      <c r="AB25" s="171"/>
      <c r="AC25" s="172" t="str">
        <f>IF(AND(AA25="Preventivo",AB25="Automático"),"50%",IF(AND(AA25="Preventivo",AB25="Manual"),"40%",IF(AND(AA25="Detectivo",AB25="Automático"),"40%",IF(AND(AA25="Detectivo",AB25="Manual"),"30%",IF(AND(AA25="Correctivo",AB25="Automático"),"35%",IF(AND(AA25="Correctivo",AB25="Manual"),"25%",""))))))</f>
        <v/>
      </c>
      <c r="AD25" s="171"/>
      <c r="AE25" s="171"/>
      <c r="AF25" s="171"/>
      <c r="AG25" s="173" t="str">
        <f>IFERROR(IF(Z25="Probabilidad",(O25-(+O25*AC25)),IF(Z25="Impacto",O25,"")),"")</f>
        <v/>
      </c>
      <c r="AH25" s="174" t="str">
        <f>IFERROR(IF(AG25="","",IF(AG25&lt;=0.2,"Muy Baja",IF(AG25&lt;=0.4,"Baja",IF(AG25&lt;=0.6,"Media",IF(AG25&lt;=0.8,"Alta","Muy Alta"))))),"")</f>
        <v/>
      </c>
      <c r="AI25" s="172" t="str">
        <f>+AG25</f>
        <v/>
      </c>
      <c r="AJ25" s="174" t="str">
        <f>IFERROR(IF(AK25="","",IF(AK25&lt;=0.2,"Leve",IF(AK25&lt;=0.4,"Menor",IF(AK25&lt;=0.6,"Moderado",IF(AK25&lt;=0.8,"Mayor","Catastrófico"))))),"")</f>
        <v/>
      </c>
      <c r="AK25" s="172" t="str">
        <f t="shared" ref="AK25" si="20">IFERROR(IF(Z25="Impacto",(S25-(+S25*AC25)),IF(Z25="Probabilidad",S25,"")),"")</f>
        <v/>
      </c>
      <c r="AL25" s="175" t="str">
        <f>IFERROR(IF(OR(AND(AH25="Muy Baja",AJ25="Leve"),AND(AH25="Muy Baja",AJ25="Menor"),AND(AH25="Baja",AJ25="Leve")),"Bajo",IF(OR(AND(AH25="Muy baja",AJ25="Moderado"),AND(AH25="Baja",AJ25="Menor"),AND(AH25="Baja",AJ25="Moderado"),AND(AH25="Media",AJ25="Leve"),AND(AH25="Media",AJ25="Menor"),AND(AH25="Media",AJ25="Moderado"),AND(AH25="Alta",AJ25="Leve"),AND(AH25="Alta",AJ25="Menor")),"Moderado",IF(OR(AND(AH25="Muy Baja",AJ25="Mayor"),AND(AH25="Baja",AJ25="Mayor"),AND(AH25="Media",AJ25="Mayor"),AND(AH25="Alta",AJ25="Moderado"),AND(AH25="Alta",AJ25="Mayor"),AND(AH25="Muy Alta",AJ25="Leve"),AND(AH25="Muy Alta",AJ25="Menor"),AND(AH25="Muy Alta",AJ25="Moderado"),AND(AH25="Muy Alta",AJ25="Mayor")),"Alto",IF(OR(AND(AH25="Muy Baja",AJ25="Catastrófico"),AND(AH25="Baja",AJ25="Catastrófico"),AND(AH25="Media",AJ25="Catastrófico"),AND(AH25="Alta",AJ25="Catastrófico"),AND(AH25="Muy Alta",AJ25="Catastrófico")),"Extremo","")))),"")</f>
        <v/>
      </c>
      <c r="AM25" s="176"/>
      <c r="AN25" s="169"/>
      <c r="AO25" s="177"/>
      <c r="AP25" s="177"/>
      <c r="AQ25" s="178"/>
      <c r="AR25" s="459"/>
      <c r="AS25" s="459"/>
      <c r="AT25" s="459"/>
    </row>
    <row r="26" spans="1:46" x14ac:dyDescent="0.2">
      <c r="A26" s="671"/>
      <c r="B26" s="672"/>
      <c r="C26" s="672"/>
      <c r="D26" s="672"/>
      <c r="E26" s="672"/>
      <c r="F26" s="673"/>
      <c r="G26" s="669"/>
      <c r="H26" s="669"/>
      <c r="I26" s="669"/>
      <c r="J26" s="669"/>
      <c r="K26" s="669"/>
      <c r="L26" s="669"/>
      <c r="M26" s="459"/>
      <c r="N26" s="460"/>
      <c r="O26" s="461"/>
      <c r="P26" s="490"/>
      <c r="Q26" s="461">
        <f>IF(NOT(ISERROR(MATCH(P26,_xlfn.ANCHORARRAY(F37),0))),O39&amp;"Por favor no seleccionar los criterios de impacto",P26)</f>
        <v>0</v>
      </c>
      <c r="R26" s="460"/>
      <c r="S26" s="461"/>
      <c r="T26" s="489"/>
      <c r="U26" s="193">
        <v>2</v>
      </c>
      <c r="V26" s="193"/>
      <c r="W26" s="193"/>
      <c r="X26" s="193"/>
      <c r="Y26" s="218" t="str">
        <f t="shared" si="1"/>
        <v xml:space="preserve">  </v>
      </c>
      <c r="Z26" s="170" t="str">
        <f>IF(OR(AA26="Preventivo",AA26="Detectivo"),"Probabilidad",IF(AA26="Correctivo","Impacto",""))</f>
        <v/>
      </c>
      <c r="AA26" s="171"/>
      <c r="AB26" s="171"/>
      <c r="AC26" s="172" t="str">
        <f t="shared" ref="AC26:AC30" si="21">IF(AND(AA26="Preventivo",AB26="Automático"),"50%",IF(AND(AA26="Preventivo",AB26="Manual"),"40%",IF(AND(AA26="Detectivo",AB26="Automático"),"40%",IF(AND(AA26="Detectivo",AB26="Manual"),"30%",IF(AND(AA26="Correctivo",AB26="Automático"),"35%",IF(AND(AA26="Correctivo",AB26="Manual"),"25%",""))))))</f>
        <v/>
      </c>
      <c r="AD26" s="171"/>
      <c r="AE26" s="171"/>
      <c r="AF26" s="171"/>
      <c r="AG26" s="173" t="str">
        <f>IFERROR(IF(AND(Z25="Probabilidad",Z26="Probabilidad"),(AI25-(+AI25*AC26)),IF(Z26="Probabilidad",(O25-(+O25*AC26)),IF(Z26="Impacto",AI25,""))),"")</f>
        <v/>
      </c>
      <c r="AH26" s="174" t="str">
        <f t="shared" si="3"/>
        <v/>
      </c>
      <c r="AI26" s="172" t="str">
        <f t="shared" ref="AI26:AI30" si="22">+AG26</f>
        <v/>
      </c>
      <c r="AJ26" s="174" t="str">
        <f t="shared" si="5"/>
        <v/>
      </c>
      <c r="AK26" s="172" t="str">
        <f t="shared" ref="AK26" si="23">IFERROR(IF(AND(Z25="Impacto",Z26="Impacto"),(AK25-(+AK25*AC26)),IF(Z26="Impacto",($S$13-(+$S$13*AC26)),IF(Z26="Probabilidad",AK25,""))),"")</f>
        <v/>
      </c>
      <c r="AL26" s="175" t="str">
        <f t="shared" ref="AL26:AL27" si="24">IFERROR(IF(OR(AND(AH26="Muy Baja",AJ26="Leve"),AND(AH26="Muy Baja",AJ26="Menor"),AND(AH26="Baja",AJ26="Leve")),"Bajo",IF(OR(AND(AH26="Muy baja",AJ26="Moderado"),AND(AH26="Baja",AJ26="Menor"),AND(AH26="Baja",AJ26="Moderado"),AND(AH26="Media",AJ26="Leve"),AND(AH26="Media",AJ26="Menor"),AND(AH26="Media",AJ26="Moderado"),AND(AH26="Alta",AJ26="Leve"),AND(AH26="Alta",AJ26="Menor")),"Moderado",IF(OR(AND(AH26="Muy Baja",AJ26="Mayor"),AND(AH26="Baja",AJ26="Mayor"),AND(AH26="Media",AJ26="Mayor"),AND(AH26="Alta",AJ26="Moderado"),AND(AH26="Alta",AJ26="Mayor"),AND(AH26="Muy Alta",AJ26="Leve"),AND(AH26="Muy Alta",AJ26="Menor"),AND(AH26="Muy Alta",AJ26="Moderado"),AND(AH26="Muy Alta",AJ26="Mayor")),"Alto",IF(OR(AND(AH26="Muy Baja",AJ26="Catastrófico"),AND(AH26="Baja",AJ26="Catastrófico"),AND(AH26="Media",AJ26="Catastrófico"),AND(AH26="Alta",AJ26="Catastrófico"),AND(AH26="Muy Alta",AJ26="Catastrófico")),"Extremo","")))),"")</f>
        <v/>
      </c>
      <c r="AM26" s="176"/>
      <c r="AN26" s="169"/>
      <c r="AO26" s="177"/>
      <c r="AP26" s="177"/>
      <c r="AQ26" s="178"/>
      <c r="AR26" s="459"/>
      <c r="AS26" s="459"/>
      <c r="AT26" s="459"/>
    </row>
    <row r="27" spans="1:46" x14ac:dyDescent="0.2">
      <c r="A27" s="671"/>
      <c r="B27" s="672"/>
      <c r="C27" s="672"/>
      <c r="D27" s="672"/>
      <c r="E27" s="672"/>
      <c r="F27" s="673"/>
      <c r="G27" s="669"/>
      <c r="H27" s="669"/>
      <c r="I27" s="669"/>
      <c r="J27" s="669"/>
      <c r="K27" s="669"/>
      <c r="L27" s="669"/>
      <c r="M27" s="459"/>
      <c r="N27" s="460"/>
      <c r="O27" s="461"/>
      <c r="P27" s="490"/>
      <c r="Q27" s="461">
        <f>IF(NOT(ISERROR(MATCH(P27,_xlfn.ANCHORARRAY(F38),0))),O40&amp;"Por favor no seleccionar los criterios de impacto",P27)</f>
        <v>0</v>
      </c>
      <c r="R27" s="460"/>
      <c r="S27" s="461"/>
      <c r="T27" s="489"/>
      <c r="U27" s="193">
        <v>3</v>
      </c>
      <c r="V27" s="193"/>
      <c r="W27" s="193"/>
      <c r="X27" s="193"/>
      <c r="Y27" s="218" t="str">
        <f t="shared" si="1"/>
        <v xml:space="preserve">  </v>
      </c>
      <c r="Z27" s="170" t="str">
        <f>IF(OR(AA27="Preventivo",AA27="Detectivo"),"Probabilidad",IF(AA27="Correctivo","Impacto",""))</f>
        <v/>
      </c>
      <c r="AA27" s="171"/>
      <c r="AB27" s="171"/>
      <c r="AC27" s="172" t="str">
        <f t="shared" si="21"/>
        <v/>
      </c>
      <c r="AD27" s="171"/>
      <c r="AE27" s="171"/>
      <c r="AF27" s="171"/>
      <c r="AG27" s="173" t="str">
        <f>IFERROR(IF(AND(Z26="Probabilidad",Z27="Probabilidad"),(AI26-(+AI26*AC27)),IF(AND(Z26="Impacto",Z27="Probabilidad"),(AI25-(+AI25*AC27)),IF(Z27="Impacto",AI26,""))),"")</f>
        <v/>
      </c>
      <c r="AH27" s="174" t="str">
        <f t="shared" si="3"/>
        <v/>
      </c>
      <c r="AI27" s="172" t="str">
        <f t="shared" si="22"/>
        <v/>
      </c>
      <c r="AJ27" s="174" t="str">
        <f t="shared" si="5"/>
        <v/>
      </c>
      <c r="AK27" s="172" t="str">
        <f t="shared" ref="AK27" si="25">IFERROR(IF(AND(Z26="Impacto",Z27="Impacto"),(AK26-(+AK26*AC27)),IF(AND(Z26="Probabilidad",Z27="Impacto"),(AK25-(+AK25*AC27)),IF(Z27="Probabilidad",AK26,""))),"")</f>
        <v/>
      </c>
      <c r="AL27" s="175" t="str">
        <f t="shared" si="24"/>
        <v/>
      </c>
      <c r="AM27" s="176"/>
      <c r="AN27" s="169"/>
      <c r="AO27" s="177"/>
      <c r="AP27" s="177"/>
      <c r="AQ27" s="178"/>
      <c r="AR27" s="459"/>
      <c r="AS27" s="459"/>
      <c r="AT27" s="459"/>
    </row>
    <row r="28" spans="1:46" x14ac:dyDescent="0.2">
      <c r="A28" s="671"/>
      <c r="B28" s="672"/>
      <c r="C28" s="672"/>
      <c r="D28" s="672"/>
      <c r="E28" s="672"/>
      <c r="F28" s="673"/>
      <c r="G28" s="669"/>
      <c r="H28" s="669"/>
      <c r="I28" s="669"/>
      <c r="J28" s="669"/>
      <c r="K28" s="669"/>
      <c r="L28" s="669"/>
      <c r="M28" s="459"/>
      <c r="N28" s="460"/>
      <c r="O28" s="461"/>
      <c r="P28" s="490"/>
      <c r="Q28" s="461">
        <f>IF(NOT(ISERROR(MATCH(P28,_xlfn.ANCHORARRAY(F39),0))),O41&amp;"Por favor no seleccionar los criterios de impacto",P28)</f>
        <v>0</v>
      </c>
      <c r="R28" s="460"/>
      <c r="S28" s="461"/>
      <c r="T28" s="489"/>
      <c r="U28" s="193">
        <v>4</v>
      </c>
      <c r="V28" s="193"/>
      <c r="W28" s="193"/>
      <c r="X28" s="193"/>
      <c r="Y28" s="218" t="str">
        <f t="shared" si="1"/>
        <v xml:space="preserve">  </v>
      </c>
      <c r="Z28" s="170" t="str">
        <f t="shared" ref="Z28:Z30" si="26">IF(OR(AA28="Preventivo",AA28="Detectivo"),"Probabilidad",IF(AA28="Correctivo","Impacto",""))</f>
        <v/>
      </c>
      <c r="AA28" s="171"/>
      <c r="AB28" s="171"/>
      <c r="AC28" s="172" t="str">
        <f t="shared" si="21"/>
        <v/>
      </c>
      <c r="AD28" s="171"/>
      <c r="AE28" s="171"/>
      <c r="AF28" s="171"/>
      <c r="AG28" s="173" t="str">
        <f t="shared" ref="AG28:AG30" si="27">IFERROR(IF(AND(Z27="Probabilidad",Z28="Probabilidad"),(AI27-(+AI27*AC28)),IF(AND(Z27="Impacto",Z28="Probabilidad"),(AI26-(+AI26*AC28)),IF(Z28="Impacto",AI27,""))),"")</f>
        <v/>
      </c>
      <c r="AH28" s="174" t="str">
        <f t="shared" si="3"/>
        <v/>
      </c>
      <c r="AI28" s="172" t="str">
        <f t="shared" si="22"/>
        <v/>
      </c>
      <c r="AJ28" s="174" t="str">
        <f t="shared" si="5"/>
        <v/>
      </c>
      <c r="AK28" s="172" t="str">
        <f t="shared" si="15"/>
        <v/>
      </c>
      <c r="AL28" s="175" t="str">
        <f>IFERROR(IF(OR(AND(AH28="Muy Baja",AJ28="Leve"),AND(AH28="Muy Baja",AJ28="Menor"),AND(AH28="Baja",AJ28="Leve")),"Bajo",IF(OR(AND(AH28="Muy baja",AJ28="Moderado"),AND(AH28="Baja",AJ28="Menor"),AND(AH28="Baja",AJ28="Moderado"),AND(AH28="Media",AJ28="Leve"),AND(AH28="Media",AJ28="Menor"),AND(AH28="Media",AJ28="Moderado"),AND(AH28="Alta",AJ28="Leve"),AND(AH28="Alta",AJ28="Menor")),"Moderado",IF(OR(AND(AH28="Muy Baja",AJ28="Mayor"),AND(AH28="Baja",AJ28="Mayor"),AND(AH28="Media",AJ28="Mayor"),AND(AH28="Alta",AJ28="Moderado"),AND(AH28="Alta",AJ28="Mayor"),AND(AH28="Muy Alta",AJ28="Leve"),AND(AH28="Muy Alta",AJ28="Menor"),AND(AH28="Muy Alta",AJ28="Moderado"),AND(AH28="Muy Alta",AJ28="Mayor")),"Alto",IF(OR(AND(AH28="Muy Baja",AJ28="Catastrófico"),AND(AH28="Baja",AJ28="Catastrófico"),AND(AH28="Media",AJ28="Catastrófico"),AND(AH28="Alta",AJ28="Catastrófico"),AND(AH28="Muy Alta",AJ28="Catastrófico")),"Extremo","")))),"")</f>
        <v/>
      </c>
      <c r="AM28" s="176"/>
      <c r="AN28" s="169"/>
      <c r="AO28" s="177"/>
      <c r="AP28" s="177"/>
      <c r="AQ28" s="178"/>
      <c r="AR28" s="459"/>
      <c r="AS28" s="459"/>
      <c r="AT28" s="459"/>
    </row>
    <row r="29" spans="1:46" x14ac:dyDescent="0.2">
      <c r="A29" s="671"/>
      <c r="B29" s="672"/>
      <c r="C29" s="672"/>
      <c r="D29" s="672"/>
      <c r="E29" s="672"/>
      <c r="F29" s="673"/>
      <c r="G29" s="669"/>
      <c r="H29" s="669"/>
      <c r="I29" s="669"/>
      <c r="J29" s="669"/>
      <c r="K29" s="669"/>
      <c r="L29" s="669"/>
      <c r="M29" s="459"/>
      <c r="N29" s="460"/>
      <c r="O29" s="461"/>
      <c r="P29" s="490"/>
      <c r="Q29" s="461">
        <f>IF(NOT(ISERROR(MATCH(P29,_xlfn.ANCHORARRAY(F40),0))),O42&amp;"Por favor no seleccionar los criterios de impacto",P29)</f>
        <v>0</v>
      </c>
      <c r="R29" s="460"/>
      <c r="S29" s="461"/>
      <c r="T29" s="489"/>
      <c r="U29" s="193">
        <v>5</v>
      </c>
      <c r="V29" s="193"/>
      <c r="W29" s="193"/>
      <c r="X29" s="193"/>
      <c r="Y29" s="218" t="str">
        <f t="shared" si="1"/>
        <v xml:space="preserve">  </v>
      </c>
      <c r="Z29" s="170" t="str">
        <f t="shared" si="26"/>
        <v/>
      </c>
      <c r="AA29" s="171"/>
      <c r="AB29" s="171"/>
      <c r="AC29" s="172" t="str">
        <f t="shared" si="21"/>
        <v/>
      </c>
      <c r="AD29" s="171"/>
      <c r="AE29" s="171"/>
      <c r="AF29" s="171"/>
      <c r="AG29" s="173" t="str">
        <f t="shared" si="27"/>
        <v/>
      </c>
      <c r="AH29" s="174" t="str">
        <f t="shared" si="3"/>
        <v/>
      </c>
      <c r="AI29" s="172" t="str">
        <f t="shared" si="22"/>
        <v/>
      </c>
      <c r="AJ29" s="174" t="str">
        <f t="shared" si="5"/>
        <v/>
      </c>
      <c r="AK29" s="172" t="str">
        <f t="shared" si="15"/>
        <v/>
      </c>
      <c r="AL29" s="175" t="str">
        <f t="shared" ref="AL29:AL30" si="28">IFERROR(IF(OR(AND(AH29="Muy Baja",AJ29="Leve"),AND(AH29="Muy Baja",AJ29="Menor"),AND(AH29="Baja",AJ29="Leve")),"Bajo",IF(OR(AND(AH29="Muy baja",AJ29="Moderado"),AND(AH29="Baja",AJ29="Menor"),AND(AH29="Baja",AJ29="Moderado"),AND(AH29="Media",AJ29="Leve"),AND(AH29="Media",AJ29="Menor"),AND(AH29="Media",AJ29="Moderado"),AND(AH29="Alta",AJ29="Leve"),AND(AH29="Alta",AJ29="Menor")),"Moderado",IF(OR(AND(AH29="Muy Baja",AJ29="Mayor"),AND(AH29="Baja",AJ29="Mayor"),AND(AH29="Media",AJ29="Mayor"),AND(AH29="Alta",AJ29="Moderado"),AND(AH29="Alta",AJ29="Mayor"),AND(AH29="Muy Alta",AJ29="Leve"),AND(AH29="Muy Alta",AJ29="Menor"),AND(AH29="Muy Alta",AJ29="Moderado"),AND(AH29="Muy Alta",AJ29="Mayor")),"Alto",IF(OR(AND(AH29="Muy Baja",AJ29="Catastrófico"),AND(AH29="Baja",AJ29="Catastrófico"),AND(AH29="Media",AJ29="Catastrófico"),AND(AH29="Alta",AJ29="Catastrófico"),AND(AH29="Muy Alta",AJ29="Catastrófico")),"Extremo","")))),"")</f>
        <v/>
      </c>
      <c r="AM29" s="176"/>
      <c r="AN29" s="169"/>
      <c r="AO29" s="177"/>
      <c r="AP29" s="177"/>
      <c r="AQ29" s="178"/>
      <c r="AR29" s="459"/>
      <c r="AS29" s="459"/>
      <c r="AT29" s="459"/>
    </row>
    <row r="30" spans="1:46" x14ac:dyDescent="0.2">
      <c r="A30" s="671"/>
      <c r="B30" s="672"/>
      <c r="C30" s="672"/>
      <c r="D30" s="672"/>
      <c r="E30" s="672"/>
      <c r="F30" s="673"/>
      <c r="G30" s="670"/>
      <c r="H30" s="670"/>
      <c r="I30" s="670"/>
      <c r="J30" s="670"/>
      <c r="K30" s="670"/>
      <c r="L30" s="670"/>
      <c r="M30" s="459"/>
      <c r="N30" s="460"/>
      <c r="O30" s="461"/>
      <c r="P30" s="490"/>
      <c r="Q30" s="461">
        <f>IF(NOT(ISERROR(MATCH(P30,_xlfn.ANCHORARRAY(F41),0))),O43&amp;"Por favor no seleccionar los criterios de impacto",P30)</f>
        <v>0</v>
      </c>
      <c r="R30" s="460"/>
      <c r="S30" s="461"/>
      <c r="T30" s="489"/>
      <c r="U30" s="193">
        <v>6</v>
      </c>
      <c r="V30" s="193"/>
      <c r="W30" s="193"/>
      <c r="X30" s="193"/>
      <c r="Y30" s="218" t="str">
        <f t="shared" si="1"/>
        <v xml:space="preserve">  </v>
      </c>
      <c r="Z30" s="170" t="str">
        <f t="shared" si="26"/>
        <v/>
      </c>
      <c r="AA30" s="171"/>
      <c r="AB30" s="171"/>
      <c r="AC30" s="172" t="str">
        <f t="shared" si="21"/>
        <v/>
      </c>
      <c r="AD30" s="171"/>
      <c r="AE30" s="171"/>
      <c r="AF30" s="171"/>
      <c r="AG30" s="173" t="str">
        <f t="shared" si="27"/>
        <v/>
      </c>
      <c r="AH30" s="174" t="str">
        <f t="shared" si="3"/>
        <v/>
      </c>
      <c r="AI30" s="172" t="str">
        <f t="shared" si="22"/>
        <v/>
      </c>
      <c r="AJ30" s="174" t="str">
        <f t="shared" si="5"/>
        <v/>
      </c>
      <c r="AK30" s="172" t="str">
        <f t="shared" si="15"/>
        <v/>
      </c>
      <c r="AL30" s="175" t="str">
        <f t="shared" si="28"/>
        <v/>
      </c>
      <c r="AM30" s="176"/>
      <c r="AN30" s="169"/>
      <c r="AO30" s="177"/>
      <c r="AP30" s="177"/>
      <c r="AQ30" s="178"/>
      <c r="AR30" s="459"/>
      <c r="AS30" s="459"/>
      <c r="AT30" s="459"/>
    </row>
    <row r="31" spans="1:46" x14ac:dyDescent="0.2">
      <c r="A31" s="671">
        <v>4</v>
      </c>
      <c r="B31" s="449"/>
      <c r="C31" s="449"/>
      <c r="D31" s="449"/>
      <c r="E31" s="449"/>
      <c r="F31" s="492" t="str">
        <f t="shared" ref="F31" si="29">+CONCATENATE(B31," ",C31," ",D31)</f>
        <v xml:space="preserve">  </v>
      </c>
      <c r="G31" s="462"/>
      <c r="H31" s="462"/>
      <c r="I31" s="462"/>
      <c r="J31" s="462"/>
      <c r="K31" s="462"/>
      <c r="L31" s="462"/>
      <c r="M31" s="459"/>
      <c r="N31" s="460" t="str">
        <f>IF(M31&lt;=0,"",IF(M31&lt;=2,"Muy Baja",IF(M31&lt;=24,"Baja",IF(M31&lt;=500,"Media",IF(M31&lt;=5000,"Alta","Muy Alta")))))</f>
        <v/>
      </c>
      <c r="O31" s="461" t="str">
        <f>IF(N31="","",IF(N31="Muy Baja",0.2,IF(N31="Baja",0.4,IF(N31="Media",0.6,IF(N31="Alta",0.8,IF(N31="Muy Alta",1,))))))</f>
        <v/>
      </c>
      <c r="P31" s="490"/>
      <c r="Q31" s="461">
        <f>IF(NOT(ISERROR(MATCH(P31,'Tabla Impacto'!$B$245:$B$247,0))),'Tabla Impacto'!$F$224&amp;"Por favor no seleccionar los criterios de impacto(Afectación Económica o presupuestal y Pérdida Reputacional)",P31)</f>
        <v>0</v>
      </c>
      <c r="R31" s="460" t="str">
        <f>IF(OR(Q31='Tabla Impacto'!$C$12,Q31='Tabla Impacto'!$D$12),"Leve",IF(OR(Q31='Tabla Impacto'!$C$13,Q31='Tabla Impacto'!$D$13),"Menor",IF(OR(Q31='Tabla Impacto'!$C$14,Q31='Tabla Impacto'!$D$14),"Moderado",IF(OR(Q31='Tabla Impacto'!$C$15,Q31='Tabla Impacto'!$D$15),"Mayor",IF(OR(Q31='Tabla Impacto'!$C$16,Q31='Tabla Impacto'!$D$16),"Catastrófico","")))))</f>
        <v/>
      </c>
      <c r="S31" s="461" t="str">
        <f>IF(R31="","",IF(R31="Leve",0.2,IF(R31="Menor",0.4,IF(R31="Moderado",0.6,IF(R31="Mayor",0.8,IF(R31="Catastrófico",1,))))))</f>
        <v/>
      </c>
      <c r="T31" s="489" t="str">
        <f>IF(OR(AND(N31="Muy Baja",R31="Leve"),AND(N31="Muy Baja",R31="Menor"),AND(N31="Baja",R31="Leve")),"Bajo",IF(OR(AND(N31="Muy baja",R31="Moderado"),AND(N31="Baja",R31="Menor"),AND(N31="Baja",R31="Moderado"),AND(N31="Media",R31="Leve"),AND(N31="Media",R31="Menor"),AND(N31="Media",R31="Moderado"),AND(N31="Alta",R31="Leve"),AND(N31="Alta",R31="Menor")),"Moderado",IF(OR(AND(N31="Muy Baja",R31="Mayor"),AND(N31="Baja",R31="Mayor"),AND(N31="Media",R31="Mayor"),AND(N31="Alta",R31="Moderado"),AND(N31="Alta",R31="Mayor"),AND(N31="Muy Alta",R31="Leve"),AND(N31="Muy Alta",R31="Menor"),AND(N31="Muy Alta",R31="Moderado"),AND(N31="Muy Alta",R31="Mayor")),"Alto",IF(OR(AND(N31="Muy Baja",R31="Catastrófico"),AND(N31="Baja",R31="Catastrófico"),AND(N31="Media",R31="Catastrófico"),AND(N31="Alta",R31="Catastrófico"),AND(N31="Muy Alta",R31="Catastrófico")),"Extremo",""))))</f>
        <v/>
      </c>
      <c r="U31" s="193">
        <v>1</v>
      </c>
      <c r="V31" s="193"/>
      <c r="W31" s="193"/>
      <c r="X31" s="193"/>
      <c r="Y31" s="218" t="str">
        <f t="shared" si="1"/>
        <v xml:space="preserve">  </v>
      </c>
      <c r="Z31" s="170" t="str">
        <f>IF(OR(AA31="Preventivo",AA31="Detectivo"),"Probabilidad",IF(AA31="Correctivo","Impacto",""))</f>
        <v/>
      </c>
      <c r="AA31" s="171"/>
      <c r="AB31" s="171"/>
      <c r="AC31" s="172" t="str">
        <f>IF(AND(AA31="Preventivo",AB31="Automático"),"50%",IF(AND(AA31="Preventivo",AB31="Manual"),"40%",IF(AND(AA31="Detectivo",AB31="Automático"),"40%",IF(AND(AA31="Detectivo",AB31="Manual"),"30%",IF(AND(AA31="Correctivo",AB31="Automático"),"35%",IF(AND(AA31="Correctivo",AB31="Manual"),"25%",""))))))</f>
        <v/>
      </c>
      <c r="AD31" s="171"/>
      <c r="AE31" s="171"/>
      <c r="AF31" s="171"/>
      <c r="AG31" s="173" t="str">
        <f>IFERROR(IF(Z31="Probabilidad",(O31-(+O31*AC31)),IF(Z31="Impacto",O31,"")),"")</f>
        <v/>
      </c>
      <c r="AH31" s="174" t="str">
        <f>IFERROR(IF(AG31="","",IF(AG31&lt;=0.2,"Muy Baja",IF(AG31&lt;=0.4,"Baja",IF(AG31&lt;=0.6,"Media",IF(AG31&lt;=0.8,"Alta","Muy Alta"))))),"")</f>
        <v/>
      </c>
      <c r="AI31" s="172" t="str">
        <f>+AG31</f>
        <v/>
      </c>
      <c r="AJ31" s="174" t="str">
        <f>IFERROR(IF(AK31="","",IF(AK31&lt;=0.2,"Leve",IF(AK31&lt;=0.4,"Menor",IF(AK31&lt;=0.6,"Moderado",IF(AK31&lt;=0.8,"Mayor","Catastrófico"))))),"")</f>
        <v/>
      </c>
      <c r="AK31" s="172" t="str">
        <f t="shared" ref="AK31" si="30">IFERROR(IF(Z31="Impacto",(S31-(+S31*AC31)),IF(Z31="Probabilidad",S31,"")),"")</f>
        <v/>
      </c>
      <c r="AL31" s="175" t="str">
        <f>IFERROR(IF(OR(AND(AH31="Muy Baja",AJ31="Leve"),AND(AH31="Muy Baja",AJ31="Menor"),AND(AH31="Baja",AJ31="Leve")),"Bajo",IF(OR(AND(AH31="Muy baja",AJ31="Moderado"),AND(AH31="Baja",AJ31="Menor"),AND(AH31="Baja",AJ31="Moderado"),AND(AH31="Media",AJ31="Leve"),AND(AH31="Media",AJ31="Menor"),AND(AH31="Media",AJ31="Moderado"),AND(AH31="Alta",AJ31="Leve"),AND(AH31="Alta",AJ31="Menor")),"Moderado",IF(OR(AND(AH31="Muy Baja",AJ31="Mayor"),AND(AH31="Baja",AJ31="Mayor"),AND(AH31="Media",AJ31="Mayor"),AND(AH31="Alta",AJ31="Moderado"),AND(AH31="Alta",AJ31="Mayor"),AND(AH31="Muy Alta",AJ31="Leve"),AND(AH31="Muy Alta",AJ31="Menor"),AND(AH31="Muy Alta",AJ31="Moderado"),AND(AH31="Muy Alta",AJ31="Mayor")),"Alto",IF(OR(AND(AH31="Muy Baja",AJ31="Catastrófico"),AND(AH31="Baja",AJ31="Catastrófico"),AND(AH31="Media",AJ31="Catastrófico"),AND(AH31="Alta",AJ31="Catastrófico"),AND(AH31="Muy Alta",AJ31="Catastrófico")),"Extremo","")))),"")</f>
        <v/>
      </c>
      <c r="AM31" s="176"/>
      <c r="AN31" s="169"/>
      <c r="AO31" s="177"/>
      <c r="AP31" s="177"/>
      <c r="AQ31" s="178"/>
      <c r="AR31" s="459"/>
      <c r="AS31" s="459"/>
      <c r="AT31" s="459"/>
    </row>
    <row r="32" spans="1:46" x14ac:dyDescent="0.2">
      <c r="A32" s="671"/>
      <c r="B32" s="449"/>
      <c r="C32" s="449"/>
      <c r="D32" s="449"/>
      <c r="E32" s="449"/>
      <c r="F32" s="492"/>
      <c r="G32" s="463"/>
      <c r="H32" s="463"/>
      <c r="I32" s="463"/>
      <c r="J32" s="463"/>
      <c r="K32" s="463"/>
      <c r="L32" s="463"/>
      <c r="M32" s="459"/>
      <c r="N32" s="460"/>
      <c r="O32" s="461"/>
      <c r="P32" s="490"/>
      <c r="Q32" s="461">
        <f>IF(NOT(ISERROR(MATCH(P32,_xlfn.ANCHORARRAY(F43),0))),O45&amp;"Por favor no seleccionar los criterios de impacto",P32)</f>
        <v>0</v>
      </c>
      <c r="R32" s="460"/>
      <c r="S32" s="461"/>
      <c r="T32" s="489"/>
      <c r="U32" s="193">
        <v>2</v>
      </c>
      <c r="V32" s="193"/>
      <c r="W32" s="193"/>
      <c r="X32" s="193"/>
      <c r="Y32" s="218" t="str">
        <f t="shared" si="1"/>
        <v xml:space="preserve">  </v>
      </c>
      <c r="Z32" s="170" t="str">
        <f>IF(OR(AA32="Preventivo",AA32="Detectivo"),"Probabilidad",IF(AA32="Correctivo","Impacto",""))</f>
        <v/>
      </c>
      <c r="AA32" s="171"/>
      <c r="AB32" s="171"/>
      <c r="AC32" s="172" t="str">
        <f t="shared" ref="AC32:AC36" si="31">IF(AND(AA32="Preventivo",AB32="Automático"),"50%",IF(AND(AA32="Preventivo",AB32="Manual"),"40%",IF(AND(AA32="Detectivo",AB32="Automático"),"40%",IF(AND(AA32="Detectivo",AB32="Manual"),"30%",IF(AND(AA32="Correctivo",AB32="Automático"),"35%",IF(AND(AA32="Correctivo",AB32="Manual"),"25%",""))))))</f>
        <v/>
      </c>
      <c r="AD32" s="171"/>
      <c r="AE32" s="171"/>
      <c r="AF32" s="171"/>
      <c r="AG32" s="173" t="str">
        <f>IFERROR(IF(AND(Z31="Probabilidad",Z32="Probabilidad"),(AI31-(+AI31*AC32)),IF(Z32="Probabilidad",(O31-(+O31*AC32)),IF(Z32="Impacto",AI31,""))),"")</f>
        <v/>
      </c>
      <c r="AH32" s="174" t="str">
        <f t="shared" si="3"/>
        <v/>
      </c>
      <c r="AI32" s="172" t="str">
        <f t="shared" ref="AI32:AI36" si="32">+AG32</f>
        <v/>
      </c>
      <c r="AJ32" s="174" t="str">
        <f t="shared" si="5"/>
        <v/>
      </c>
      <c r="AK32" s="172" t="str">
        <f t="shared" ref="AK32" si="33">IFERROR(IF(AND(Z31="Impacto",Z32="Impacto"),(AK31-(+AK31*AC32)),IF(Z32="Impacto",($S$13-(+$S$13*AC32)),IF(Z32="Probabilidad",AK31,""))),"")</f>
        <v/>
      </c>
      <c r="AL32" s="175" t="str">
        <f t="shared" ref="AL32:AL33" si="34">IFERROR(IF(OR(AND(AH32="Muy Baja",AJ32="Leve"),AND(AH32="Muy Baja",AJ32="Menor"),AND(AH32="Baja",AJ32="Leve")),"Bajo",IF(OR(AND(AH32="Muy baja",AJ32="Moderado"),AND(AH32="Baja",AJ32="Menor"),AND(AH32="Baja",AJ32="Moderado"),AND(AH32="Media",AJ32="Leve"),AND(AH32="Media",AJ32="Menor"),AND(AH32="Media",AJ32="Moderado"),AND(AH32="Alta",AJ32="Leve"),AND(AH32="Alta",AJ32="Menor")),"Moderado",IF(OR(AND(AH32="Muy Baja",AJ32="Mayor"),AND(AH32="Baja",AJ32="Mayor"),AND(AH32="Media",AJ32="Mayor"),AND(AH32="Alta",AJ32="Moderado"),AND(AH32="Alta",AJ32="Mayor"),AND(AH32="Muy Alta",AJ32="Leve"),AND(AH32="Muy Alta",AJ32="Menor"),AND(AH32="Muy Alta",AJ32="Moderado"),AND(AH32="Muy Alta",AJ32="Mayor")),"Alto",IF(OR(AND(AH32="Muy Baja",AJ32="Catastrófico"),AND(AH32="Baja",AJ32="Catastrófico"),AND(AH32="Media",AJ32="Catastrófico"),AND(AH32="Alta",AJ32="Catastrófico"),AND(AH32="Muy Alta",AJ32="Catastrófico")),"Extremo","")))),"")</f>
        <v/>
      </c>
      <c r="AM32" s="176"/>
      <c r="AN32" s="169"/>
      <c r="AO32" s="177"/>
      <c r="AP32" s="177"/>
      <c r="AQ32" s="178"/>
      <c r="AR32" s="459"/>
      <c r="AS32" s="459"/>
      <c r="AT32" s="459"/>
    </row>
    <row r="33" spans="1:46" x14ac:dyDescent="0.2">
      <c r="A33" s="671"/>
      <c r="B33" s="449"/>
      <c r="C33" s="449"/>
      <c r="D33" s="449"/>
      <c r="E33" s="449"/>
      <c r="F33" s="492"/>
      <c r="G33" s="463"/>
      <c r="H33" s="463"/>
      <c r="I33" s="463"/>
      <c r="J33" s="463"/>
      <c r="K33" s="463"/>
      <c r="L33" s="463"/>
      <c r="M33" s="459"/>
      <c r="N33" s="460"/>
      <c r="O33" s="461"/>
      <c r="P33" s="490"/>
      <c r="Q33" s="461">
        <f>IF(NOT(ISERROR(MATCH(P33,_xlfn.ANCHORARRAY(F44),0))),O46&amp;"Por favor no seleccionar los criterios de impacto",P33)</f>
        <v>0</v>
      </c>
      <c r="R33" s="460"/>
      <c r="S33" s="461"/>
      <c r="T33" s="489"/>
      <c r="U33" s="193">
        <v>3</v>
      </c>
      <c r="V33" s="193"/>
      <c r="W33" s="193"/>
      <c r="X33" s="193"/>
      <c r="Y33" s="218" t="str">
        <f t="shared" si="1"/>
        <v xml:space="preserve">  </v>
      </c>
      <c r="Z33" s="170" t="str">
        <f>IF(OR(AA33="Preventivo",AA33="Detectivo"),"Probabilidad",IF(AA33="Correctivo","Impacto",""))</f>
        <v/>
      </c>
      <c r="AA33" s="171"/>
      <c r="AB33" s="171"/>
      <c r="AC33" s="172" t="str">
        <f t="shared" si="31"/>
        <v/>
      </c>
      <c r="AD33" s="171"/>
      <c r="AE33" s="171"/>
      <c r="AF33" s="171"/>
      <c r="AG33" s="173" t="str">
        <f>IFERROR(IF(AND(Z32="Probabilidad",Z33="Probabilidad"),(AI32-(+AI32*AC33)),IF(AND(Z32="Impacto",Z33="Probabilidad"),(AI31-(+AI31*AC33)),IF(Z33="Impacto",AI32,""))),"")</f>
        <v/>
      </c>
      <c r="AH33" s="174" t="str">
        <f t="shared" si="3"/>
        <v/>
      </c>
      <c r="AI33" s="172" t="str">
        <f t="shared" si="32"/>
        <v/>
      </c>
      <c r="AJ33" s="174" t="str">
        <f t="shared" si="5"/>
        <v/>
      </c>
      <c r="AK33" s="172" t="str">
        <f t="shared" ref="AK33" si="35">IFERROR(IF(AND(Z32="Impacto",Z33="Impacto"),(AK32-(+AK32*AC33)),IF(AND(Z32="Probabilidad",Z33="Impacto"),(AK31-(+AK31*AC33)),IF(Z33="Probabilidad",AK32,""))),"")</f>
        <v/>
      </c>
      <c r="AL33" s="175" t="str">
        <f t="shared" si="34"/>
        <v/>
      </c>
      <c r="AM33" s="176"/>
      <c r="AN33" s="169"/>
      <c r="AO33" s="177"/>
      <c r="AP33" s="177"/>
      <c r="AQ33" s="178"/>
      <c r="AR33" s="459"/>
      <c r="AS33" s="459"/>
      <c r="AT33" s="459"/>
    </row>
    <row r="34" spans="1:46" x14ac:dyDescent="0.2">
      <c r="A34" s="671"/>
      <c r="B34" s="449"/>
      <c r="C34" s="449"/>
      <c r="D34" s="449"/>
      <c r="E34" s="449"/>
      <c r="F34" s="492"/>
      <c r="G34" s="463"/>
      <c r="H34" s="463"/>
      <c r="I34" s="463"/>
      <c r="J34" s="463"/>
      <c r="K34" s="463"/>
      <c r="L34" s="463"/>
      <c r="M34" s="459"/>
      <c r="N34" s="460"/>
      <c r="O34" s="461"/>
      <c r="P34" s="490"/>
      <c r="Q34" s="461">
        <f>IF(NOT(ISERROR(MATCH(P34,_xlfn.ANCHORARRAY(F45),0))),O47&amp;"Por favor no seleccionar los criterios de impacto",P34)</f>
        <v>0</v>
      </c>
      <c r="R34" s="460"/>
      <c r="S34" s="461"/>
      <c r="T34" s="489"/>
      <c r="U34" s="193">
        <v>4</v>
      </c>
      <c r="V34" s="193"/>
      <c r="W34" s="193"/>
      <c r="X34" s="193"/>
      <c r="Y34" s="218" t="str">
        <f t="shared" si="1"/>
        <v xml:space="preserve">  </v>
      </c>
      <c r="Z34" s="170" t="str">
        <f t="shared" ref="Z34:Z36" si="36">IF(OR(AA34="Preventivo",AA34="Detectivo"),"Probabilidad",IF(AA34="Correctivo","Impacto",""))</f>
        <v/>
      </c>
      <c r="AA34" s="171"/>
      <c r="AB34" s="171"/>
      <c r="AC34" s="172" t="str">
        <f t="shared" si="31"/>
        <v/>
      </c>
      <c r="AD34" s="171"/>
      <c r="AE34" s="171"/>
      <c r="AF34" s="171"/>
      <c r="AG34" s="173" t="str">
        <f t="shared" ref="AG34:AG36" si="37">IFERROR(IF(AND(Z33="Probabilidad",Z34="Probabilidad"),(AI33-(+AI33*AC34)),IF(AND(Z33="Impacto",Z34="Probabilidad"),(AI32-(+AI32*AC34)),IF(Z34="Impacto",AI33,""))),"")</f>
        <v/>
      </c>
      <c r="AH34" s="174" t="str">
        <f t="shared" si="3"/>
        <v/>
      </c>
      <c r="AI34" s="172" t="str">
        <f t="shared" si="32"/>
        <v/>
      </c>
      <c r="AJ34" s="174" t="str">
        <f t="shared" si="5"/>
        <v/>
      </c>
      <c r="AK34" s="172" t="str">
        <f t="shared" si="15"/>
        <v/>
      </c>
      <c r="AL34" s="175" t="str">
        <f>IFERROR(IF(OR(AND(AH34="Muy Baja",AJ34="Leve"),AND(AH34="Muy Baja",AJ34="Menor"),AND(AH34="Baja",AJ34="Leve")),"Bajo",IF(OR(AND(AH34="Muy baja",AJ34="Moderado"),AND(AH34="Baja",AJ34="Menor"),AND(AH34="Baja",AJ34="Moderado"),AND(AH34="Media",AJ34="Leve"),AND(AH34="Media",AJ34="Menor"),AND(AH34="Media",AJ34="Moderado"),AND(AH34="Alta",AJ34="Leve"),AND(AH34="Alta",AJ34="Menor")),"Moderado",IF(OR(AND(AH34="Muy Baja",AJ34="Mayor"),AND(AH34="Baja",AJ34="Mayor"),AND(AH34="Media",AJ34="Mayor"),AND(AH34="Alta",AJ34="Moderado"),AND(AH34="Alta",AJ34="Mayor"),AND(AH34="Muy Alta",AJ34="Leve"),AND(AH34="Muy Alta",AJ34="Menor"),AND(AH34="Muy Alta",AJ34="Moderado"),AND(AH34="Muy Alta",AJ34="Mayor")),"Alto",IF(OR(AND(AH34="Muy Baja",AJ34="Catastrófico"),AND(AH34="Baja",AJ34="Catastrófico"),AND(AH34="Media",AJ34="Catastrófico"),AND(AH34="Alta",AJ34="Catastrófico"),AND(AH34="Muy Alta",AJ34="Catastrófico")),"Extremo","")))),"")</f>
        <v/>
      </c>
      <c r="AM34" s="176"/>
      <c r="AN34" s="169"/>
      <c r="AO34" s="177"/>
      <c r="AP34" s="177"/>
      <c r="AQ34" s="178"/>
      <c r="AR34" s="459"/>
      <c r="AS34" s="459"/>
      <c r="AT34" s="459"/>
    </row>
    <row r="35" spans="1:46" x14ac:dyDescent="0.2">
      <c r="A35" s="671"/>
      <c r="B35" s="449"/>
      <c r="C35" s="449"/>
      <c r="D35" s="449"/>
      <c r="E35" s="449"/>
      <c r="F35" s="492"/>
      <c r="G35" s="463"/>
      <c r="H35" s="463"/>
      <c r="I35" s="463"/>
      <c r="J35" s="463"/>
      <c r="K35" s="463"/>
      <c r="L35" s="463"/>
      <c r="M35" s="459"/>
      <c r="N35" s="460"/>
      <c r="O35" s="461"/>
      <c r="P35" s="490"/>
      <c r="Q35" s="461">
        <f>IF(NOT(ISERROR(MATCH(P35,_xlfn.ANCHORARRAY(F46),0))),O48&amp;"Por favor no seleccionar los criterios de impacto",P35)</f>
        <v>0</v>
      </c>
      <c r="R35" s="460"/>
      <c r="S35" s="461"/>
      <c r="T35" s="489"/>
      <c r="U35" s="193">
        <v>5</v>
      </c>
      <c r="V35" s="193"/>
      <c r="W35" s="193"/>
      <c r="X35" s="193"/>
      <c r="Y35" s="218" t="str">
        <f t="shared" si="1"/>
        <v xml:space="preserve">  </v>
      </c>
      <c r="Z35" s="170" t="str">
        <f t="shared" si="36"/>
        <v/>
      </c>
      <c r="AA35" s="171"/>
      <c r="AB35" s="171"/>
      <c r="AC35" s="172" t="str">
        <f t="shared" si="31"/>
        <v/>
      </c>
      <c r="AD35" s="171"/>
      <c r="AE35" s="171"/>
      <c r="AF35" s="171"/>
      <c r="AG35" s="173" t="str">
        <f t="shared" si="37"/>
        <v/>
      </c>
      <c r="AH35" s="174" t="str">
        <f>IFERROR(IF(AG35="","",IF(AG35&lt;=0.2,"Muy Baja",IF(AG35&lt;=0.4,"Baja",IF(AG35&lt;=0.6,"Media",IF(AG35&lt;=0.8,"Alta","Muy Alta"))))),"")</f>
        <v/>
      </c>
      <c r="AI35" s="172" t="str">
        <f t="shared" si="32"/>
        <v/>
      </c>
      <c r="AJ35" s="174" t="str">
        <f t="shared" si="5"/>
        <v/>
      </c>
      <c r="AK35" s="172" t="str">
        <f t="shared" si="15"/>
        <v/>
      </c>
      <c r="AL35" s="175" t="str">
        <f t="shared" ref="AL35:AL36" si="38">IFERROR(IF(OR(AND(AH35="Muy Baja",AJ35="Leve"),AND(AH35="Muy Baja",AJ35="Menor"),AND(AH35="Baja",AJ35="Leve")),"Bajo",IF(OR(AND(AH35="Muy baja",AJ35="Moderado"),AND(AH35="Baja",AJ35="Menor"),AND(AH35="Baja",AJ35="Moderado"),AND(AH35="Media",AJ35="Leve"),AND(AH35="Media",AJ35="Menor"),AND(AH35="Media",AJ35="Moderado"),AND(AH35="Alta",AJ35="Leve"),AND(AH35="Alta",AJ35="Menor")),"Moderado",IF(OR(AND(AH35="Muy Baja",AJ35="Mayor"),AND(AH35="Baja",AJ35="Mayor"),AND(AH35="Media",AJ35="Mayor"),AND(AH35="Alta",AJ35="Moderado"),AND(AH35="Alta",AJ35="Mayor"),AND(AH35="Muy Alta",AJ35="Leve"),AND(AH35="Muy Alta",AJ35="Menor"),AND(AH35="Muy Alta",AJ35="Moderado"),AND(AH35="Muy Alta",AJ35="Mayor")),"Alto",IF(OR(AND(AH35="Muy Baja",AJ35="Catastrófico"),AND(AH35="Baja",AJ35="Catastrófico"),AND(AH35="Media",AJ35="Catastrófico"),AND(AH35="Alta",AJ35="Catastrófico"),AND(AH35="Muy Alta",AJ35="Catastrófico")),"Extremo","")))),"")</f>
        <v/>
      </c>
      <c r="AM35" s="176"/>
      <c r="AN35" s="169"/>
      <c r="AO35" s="177"/>
      <c r="AP35" s="177"/>
      <c r="AQ35" s="178"/>
      <c r="AR35" s="459"/>
      <c r="AS35" s="459"/>
      <c r="AT35" s="459"/>
    </row>
    <row r="36" spans="1:46" x14ac:dyDescent="0.2">
      <c r="A36" s="671"/>
      <c r="B36" s="449"/>
      <c r="C36" s="449"/>
      <c r="D36" s="449"/>
      <c r="E36" s="449"/>
      <c r="F36" s="492"/>
      <c r="G36" s="491"/>
      <c r="H36" s="491"/>
      <c r="I36" s="491"/>
      <c r="J36" s="491"/>
      <c r="K36" s="491"/>
      <c r="L36" s="491"/>
      <c r="M36" s="459"/>
      <c r="N36" s="460"/>
      <c r="O36" s="461"/>
      <c r="P36" s="490"/>
      <c r="Q36" s="461">
        <f>IF(NOT(ISERROR(MATCH(P36,_xlfn.ANCHORARRAY(F47),0))),O49&amp;"Por favor no seleccionar los criterios de impacto",P36)</f>
        <v>0</v>
      </c>
      <c r="R36" s="460"/>
      <c r="S36" s="461"/>
      <c r="T36" s="489"/>
      <c r="U36" s="193">
        <v>6</v>
      </c>
      <c r="V36" s="193"/>
      <c r="W36" s="193"/>
      <c r="X36" s="193"/>
      <c r="Y36" s="218" t="str">
        <f t="shared" si="1"/>
        <v xml:space="preserve">  </v>
      </c>
      <c r="Z36" s="170" t="str">
        <f t="shared" si="36"/>
        <v/>
      </c>
      <c r="AA36" s="171"/>
      <c r="AB36" s="171"/>
      <c r="AC36" s="172" t="str">
        <f t="shared" si="31"/>
        <v/>
      </c>
      <c r="AD36" s="171"/>
      <c r="AE36" s="171"/>
      <c r="AF36" s="171"/>
      <c r="AG36" s="173" t="str">
        <f t="shared" si="37"/>
        <v/>
      </c>
      <c r="AH36" s="174" t="str">
        <f t="shared" si="3"/>
        <v/>
      </c>
      <c r="AI36" s="172" t="str">
        <f t="shared" si="32"/>
        <v/>
      </c>
      <c r="AJ36" s="174" t="str">
        <f t="shared" si="5"/>
        <v/>
      </c>
      <c r="AK36" s="172" t="str">
        <f t="shared" si="15"/>
        <v/>
      </c>
      <c r="AL36" s="175" t="str">
        <f t="shared" si="38"/>
        <v/>
      </c>
      <c r="AM36" s="176"/>
      <c r="AN36" s="169"/>
      <c r="AO36" s="177"/>
      <c r="AP36" s="177"/>
      <c r="AQ36" s="178"/>
      <c r="AR36" s="459"/>
      <c r="AS36" s="459"/>
      <c r="AT36" s="459"/>
    </row>
    <row r="37" spans="1:46" x14ac:dyDescent="0.2">
      <c r="A37" s="671">
        <v>5</v>
      </c>
      <c r="B37" s="449"/>
      <c r="C37" s="449"/>
      <c r="D37" s="449"/>
      <c r="E37" s="449"/>
      <c r="F37" s="492" t="str">
        <f t="shared" ref="F37" si="39">+CONCATENATE(B37," ",C37," ",D37)</f>
        <v xml:space="preserve">  </v>
      </c>
      <c r="G37" s="462"/>
      <c r="H37" s="462"/>
      <c r="I37" s="462"/>
      <c r="J37" s="462"/>
      <c r="K37" s="462"/>
      <c r="L37" s="462"/>
      <c r="M37" s="459"/>
      <c r="N37" s="460" t="str">
        <f>IF(M37&lt;=0,"",IF(M37&lt;=2,"Muy Baja",IF(M37&lt;=24,"Baja",IF(M37&lt;=500,"Media",IF(M37&lt;=5000,"Alta","Muy Alta")))))</f>
        <v/>
      </c>
      <c r="O37" s="461" t="str">
        <f>IF(N37="","",IF(N37="Muy Baja",0.2,IF(N37="Baja",0.4,IF(N37="Media",0.6,IF(N37="Alta",0.8,IF(N37="Muy Alta",1,))))))</f>
        <v/>
      </c>
      <c r="P37" s="490"/>
      <c r="Q37" s="461">
        <f>IF(NOT(ISERROR(MATCH(P37,'Tabla Impacto'!$B$245:$B$247,0))),'Tabla Impacto'!$F$224&amp;"Por favor no seleccionar los criterios de impacto(Afectación Económica o presupuestal y Pérdida Reputacional)",P37)</f>
        <v>0</v>
      </c>
      <c r="R37" s="460" t="str">
        <f>IF(OR(Q37='Tabla Impacto'!$C$12,Q37='Tabla Impacto'!$D$12),"Leve",IF(OR(Q37='Tabla Impacto'!$C$13,Q37='Tabla Impacto'!$D$13),"Menor",IF(OR(Q37='Tabla Impacto'!$C$14,Q37='Tabla Impacto'!$D$14),"Moderado",IF(OR(Q37='Tabla Impacto'!$C$15,Q37='Tabla Impacto'!$D$15),"Mayor",IF(OR(Q37='Tabla Impacto'!$C$16,Q37='Tabla Impacto'!$D$16),"Catastrófico","")))))</f>
        <v/>
      </c>
      <c r="S37" s="461" t="str">
        <f>IF(R37="","",IF(R37="Leve",0.2,IF(R37="Menor",0.4,IF(R37="Moderado",0.6,IF(R37="Mayor",0.8,IF(R37="Catastrófico",1,))))))</f>
        <v/>
      </c>
      <c r="T37" s="489" t="str">
        <f>IF(OR(AND(N37="Muy Baja",R37="Leve"),AND(N37="Muy Baja",R37="Menor"),AND(N37="Baja",R37="Leve")),"Bajo",IF(OR(AND(N37="Muy baja",R37="Moderado"),AND(N37="Baja",R37="Menor"),AND(N37="Baja",R37="Moderado"),AND(N37="Media",R37="Leve"),AND(N37="Media",R37="Menor"),AND(N37="Media",R37="Moderado"),AND(N37="Alta",R37="Leve"),AND(N37="Alta",R37="Menor")),"Moderado",IF(OR(AND(N37="Muy Baja",R37="Mayor"),AND(N37="Baja",R37="Mayor"),AND(N37="Media",R37="Mayor"),AND(N37="Alta",R37="Moderado"),AND(N37="Alta",R37="Mayor"),AND(N37="Muy Alta",R37="Leve"),AND(N37="Muy Alta",R37="Menor"),AND(N37="Muy Alta",R37="Moderado"),AND(N37="Muy Alta",R37="Mayor")),"Alto",IF(OR(AND(N37="Muy Baja",R37="Catastrófico"),AND(N37="Baja",R37="Catastrófico"),AND(N37="Media",R37="Catastrófico"),AND(N37="Alta",R37="Catastrófico"),AND(N37="Muy Alta",R37="Catastrófico")),"Extremo",""))))</f>
        <v/>
      </c>
      <c r="U37" s="193">
        <v>1</v>
      </c>
      <c r="V37" s="193"/>
      <c r="W37" s="193"/>
      <c r="X37" s="193"/>
      <c r="Y37" s="218" t="str">
        <f t="shared" si="1"/>
        <v xml:space="preserve">  </v>
      </c>
      <c r="Z37" s="170" t="str">
        <f>IF(OR(AA37="Preventivo",AA37="Detectivo"),"Probabilidad",IF(AA37="Correctivo","Impacto",""))</f>
        <v/>
      </c>
      <c r="AA37" s="171"/>
      <c r="AB37" s="171"/>
      <c r="AC37" s="172" t="str">
        <f>IF(AND(AA37="Preventivo",AB37="Automático"),"50%",IF(AND(AA37="Preventivo",AB37="Manual"),"40%",IF(AND(AA37="Detectivo",AB37="Automático"),"40%",IF(AND(AA37="Detectivo",AB37="Manual"),"30%",IF(AND(AA37="Correctivo",AB37="Automático"),"35%",IF(AND(AA37="Correctivo",AB37="Manual"),"25%",""))))))</f>
        <v/>
      </c>
      <c r="AD37" s="171"/>
      <c r="AE37" s="171"/>
      <c r="AF37" s="171"/>
      <c r="AG37" s="173" t="str">
        <f>IFERROR(IF(Z37="Probabilidad",(O37-(+O37*AC37)),IF(Z37="Impacto",O37,"")),"")</f>
        <v/>
      </c>
      <c r="AH37" s="174" t="str">
        <f>IFERROR(IF(AG37="","",IF(AG37&lt;=0.2,"Muy Baja",IF(AG37&lt;=0.4,"Baja",IF(AG37&lt;=0.6,"Media",IF(AG37&lt;=0.8,"Alta","Muy Alta"))))),"")</f>
        <v/>
      </c>
      <c r="AI37" s="172" t="str">
        <f>+AG37</f>
        <v/>
      </c>
      <c r="AJ37" s="174" t="str">
        <f>IFERROR(IF(AK37="","",IF(AK37&lt;=0.2,"Leve",IF(AK37&lt;=0.4,"Menor",IF(AK37&lt;=0.6,"Moderado",IF(AK37&lt;=0.8,"Mayor","Catastrófico"))))),"")</f>
        <v/>
      </c>
      <c r="AK37" s="172" t="str">
        <f t="shared" ref="AK37" si="40">IFERROR(IF(Z37="Impacto",(S37-(+S37*AC37)),IF(Z37="Probabilidad",S37,"")),"")</f>
        <v/>
      </c>
      <c r="AL37" s="175" t="str">
        <f>IFERROR(IF(OR(AND(AH37="Muy Baja",AJ37="Leve"),AND(AH37="Muy Baja",AJ37="Menor"),AND(AH37="Baja",AJ37="Leve")),"Bajo",IF(OR(AND(AH37="Muy baja",AJ37="Moderado"),AND(AH37="Baja",AJ37="Menor"),AND(AH37="Baja",AJ37="Moderado"),AND(AH37="Media",AJ37="Leve"),AND(AH37="Media",AJ37="Menor"),AND(AH37="Media",AJ37="Moderado"),AND(AH37="Alta",AJ37="Leve"),AND(AH37="Alta",AJ37="Menor")),"Moderado",IF(OR(AND(AH37="Muy Baja",AJ37="Mayor"),AND(AH37="Baja",AJ37="Mayor"),AND(AH37="Media",AJ37="Mayor"),AND(AH37="Alta",AJ37="Moderado"),AND(AH37="Alta",AJ37="Mayor"),AND(AH37="Muy Alta",AJ37="Leve"),AND(AH37="Muy Alta",AJ37="Menor"),AND(AH37="Muy Alta",AJ37="Moderado"),AND(AH37="Muy Alta",AJ37="Mayor")),"Alto",IF(OR(AND(AH37="Muy Baja",AJ37="Catastrófico"),AND(AH37="Baja",AJ37="Catastrófico"),AND(AH37="Media",AJ37="Catastrófico"),AND(AH37="Alta",AJ37="Catastrófico"),AND(AH37="Muy Alta",AJ37="Catastrófico")),"Extremo","")))),"")</f>
        <v/>
      </c>
      <c r="AM37" s="176"/>
      <c r="AN37" s="169"/>
      <c r="AO37" s="177"/>
      <c r="AP37" s="177"/>
      <c r="AQ37" s="178"/>
      <c r="AR37" s="459"/>
      <c r="AS37" s="459"/>
      <c r="AT37" s="459"/>
    </row>
    <row r="38" spans="1:46" x14ac:dyDescent="0.2">
      <c r="A38" s="671"/>
      <c r="B38" s="449"/>
      <c r="C38" s="449"/>
      <c r="D38" s="449"/>
      <c r="E38" s="449"/>
      <c r="F38" s="492"/>
      <c r="G38" s="463"/>
      <c r="H38" s="463"/>
      <c r="I38" s="463"/>
      <c r="J38" s="463"/>
      <c r="K38" s="463"/>
      <c r="L38" s="463"/>
      <c r="M38" s="459"/>
      <c r="N38" s="460"/>
      <c r="O38" s="461"/>
      <c r="P38" s="490"/>
      <c r="Q38" s="461">
        <f>IF(NOT(ISERROR(MATCH(P38,_xlfn.ANCHORARRAY(F49),0))),O51&amp;"Por favor no seleccionar los criterios de impacto",P38)</f>
        <v>0</v>
      </c>
      <c r="R38" s="460"/>
      <c r="S38" s="461"/>
      <c r="T38" s="489"/>
      <c r="U38" s="193">
        <v>2</v>
      </c>
      <c r="V38" s="193"/>
      <c r="W38" s="193"/>
      <c r="X38" s="193"/>
      <c r="Y38" s="218" t="str">
        <f t="shared" si="1"/>
        <v xml:space="preserve">  </v>
      </c>
      <c r="Z38" s="170" t="str">
        <f>IF(OR(AA38="Preventivo",AA38="Detectivo"),"Probabilidad",IF(AA38="Correctivo","Impacto",""))</f>
        <v/>
      </c>
      <c r="AA38" s="171"/>
      <c r="AB38" s="171"/>
      <c r="AC38" s="172" t="str">
        <f t="shared" ref="AC38:AC42" si="41">IF(AND(AA38="Preventivo",AB38="Automático"),"50%",IF(AND(AA38="Preventivo",AB38="Manual"),"40%",IF(AND(AA38="Detectivo",AB38="Automático"),"40%",IF(AND(AA38="Detectivo",AB38="Manual"),"30%",IF(AND(AA38="Correctivo",AB38="Automático"),"35%",IF(AND(AA38="Correctivo",AB38="Manual"),"25%",""))))))</f>
        <v/>
      </c>
      <c r="AD38" s="171"/>
      <c r="AE38" s="171"/>
      <c r="AF38" s="171"/>
      <c r="AG38" s="173" t="str">
        <f>IFERROR(IF(AND(Z37="Probabilidad",Z38="Probabilidad"),(AI37-(+AI37*AC38)),IF(Z38="Probabilidad",(O37-(+O37*AC38)),IF(Z38="Impacto",AI37,""))),"")</f>
        <v/>
      </c>
      <c r="AH38" s="174" t="str">
        <f t="shared" si="3"/>
        <v/>
      </c>
      <c r="AI38" s="172" t="str">
        <f t="shared" ref="AI38:AI42" si="42">+AG38</f>
        <v/>
      </c>
      <c r="AJ38" s="174" t="str">
        <f t="shared" si="5"/>
        <v/>
      </c>
      <c r="AK38" s="172" t="str">
        <f t="shared" ref="AK38" si="43">IFERROR(IF(AND(Z37="Impacto",Z38="Impacto"),(AK37-(+AK37*AC38)),IF(Z38="Impacto",($S$13-(+$S$13*AC38)),IF(Z38="Probabilidad",AK37,""))),"")</f>
        <v/>
      </c>
      <c r="AL38" s="175" t="str">
        <f t="shared" ref="AL38:AL39" si="44">IFERROR(IF(OR(AND(AH38="Muy Baja",AJ38="Leve"),AND(AH38="Muy Baja",AJ38="Menor"),AND(AH38="Baja",AJ38="Leve")),"Bajo",IF(OR(AND(AH38="Muy baja",AJ38="Moderado"),AND(AH38="Baja",AJ38="Menor"),AND(AH38="Baja",AJ38="Moderado"),AND(AH38="Media",AJ38="Leve"),AND(AH38="Media",AJ38="Menor"),AND(AH38="Media",AJ38="Moderado"),AND(AH38="Alta",AJ38="Leve"),AND(AH38="Alta",AJ38="Menor")),"Moderado",IF(OR(AND(AH38="Muy Baja",AJ38="Mayor"),AND(AH38="Baja",AJ38="Mayor"),AND(AH38="Media",AJ38="Mayor"),AND(AH38="Alta",AJ38="Moderado"),AND(AH38="Alta",AJ38="Mayor"),AND(AH38="Muy Alta",AJ38="Leve"),AND(AH38="Muy Alta",AJ38="Menor"),AND(AH38="Muy Alta",AJ38="Moderado"),AND(AH38="Muy Alta",AJ38="Mayor")),"Alto",IF(OR(AND(AH38="Muy Baja",AJ38="Catastrófico"),AND(AH38="Baja",AJ38="Catastrófico"),AND(AH38="Media",AJ38="Catastrófico"),AND(AH38="Alta",AJ38="Catastrófico"),AND(AH38="Muy Alta",AJ38="Catastrófico")),"Extremo","")))),"")</f>
        <v/>
      </c>
      <c r="AM38" s="176"/>
      <c r="AN38" s="169"/>
      <c r="AO38" s="177"/>
      <c r="AP38" s="177"/>
      <c r="AQ38" s="178"/>
      <c r="AR38" s="459"/>
      <c r="AS38" s="459"/>
      <c r="AT38" s="459"/>
    </row>
    <row r="39" spans="1:46" x14ac:dyDescent="0.2">
      <c r="A39" s="671"/>
      <c r="B39" s="449"/>
      <c r="C39" s="449"/>
      <c r="D39" s="449"/>
      <c r="E39" s="449"/>
      <c r="F39" s="492"/>
      <c r="G39" s="463"/>
      <c r="H39" s="463"/>
      <c r="I39" s="463"/>
      <c r="J39" s="463"/>
      <c r="K39" s="463"/>
      <c r="L39" s="463"/>
      <c r="M39" s="459"/>
      <c r="N39" s="460"/>
      <c r="O39" s="461"/>
      <c r="P39" s="490"/>
      <c r="Q39" s="461">
        <f>IF(NOT(ISERROR(MATCH(P39,_xlfn.ANCHORARRAY(F50),0))),O52&amp;"Por favor no seleccionar los criterios de impacto",P39)</f>
        <v>0</v>
      </c>
      <c r="R39" s="460"/>
      <c r="S39" s="461"/>
      <c r="T39" s="489"/>
      <c r="U39" s="193">
        <v>3</v>
      </c>
      <c r="V39" s="193"/>
      <c r="W39" s="193"/>
      <c r="X39" s="193"/>
      <c r="Y39" s="218" t="str">
        <f t="shared" si="1"/>
        <v xml:space="preserve">  </v>
      </c>
      <c r="Z39" s="170" t="str">
        <f>IF(OR(AA39="Preventivo",AA39="Detectivo"),"Probabilidad",IF(AA39="Correctivo","Impacto",""))</f>
        <v/>
      </c>
      <c r="AA39" s="171"/>
      <c r="AB39" s="171"/>
      <c r="AC39" s="172" t="str">
        <f t="shared" si="41"/>
        <v/>
      </c>
      <c r="AD39" s="171"/>
      <c r="AE39" s="171"/>
      <c r="AF39" s="171"/>
      <c r="AG39" s="173" t="str">
        <f>IFERROR(IF(AND(Z38="Probabilidad",Z39="Probabilidad"),(AI38-(+AI38*AC39)),IF(AND(Z38="Impacto",Z39="Probabilidad"),(AI37-(+AI37*AC39)),IF(Z39="Impacto",AI38,""))),"")</f>
        <v/>
      </c>
      <c r="AH39" s="174" t="str">
        <f t="shared" si="3"/>
        <v/>
      </c>
      <c r="AI39" s="172" t="str">
        <f t="shared" si="42"/>
        <v/>
      </c>
      <c r="AJ39" s="174" t="str">
        <f t="shared" si="5"/>
        <v/>
      </c>
      <c r="AK39" s="172" t="str">
        <f t="shared" ref="AK39" si="45">IFERROR(IF(AND(Z38="Impacto",Z39="Impacto"),(AK38-(+AK38*AC39)),IF(AND(Z38="Probabilidad",Z39="Impacto"),(AK37-(+AK37*AC39)),IF(Z39="Probabilidad",AK38,""))),"")</f>
        <v/>
      </c>
      <c r="AL39" s="175" t="str">
        <f t="shared" si="44"/>
        <v/>
      </c>
      <c r="AM39" s="176"/>
      <c r="AN39" s="169"/>
      <c r="AO39" s="177"/>
      <c r="AP39" s="177"/>
      <c r="AQ39" s="178"/>
      <c r="AR39" s="459"/>
      <c r="AS39" s="459"/>
      <c r="AT39" s="459"/>
    </row>
    <row r="40" spans="1:46" x14ac:dyDescent="0.2">
      <c r="A40" s="671"/>
      <c r="B40" s="449"/>
      <c r="C40" s="449"/>
      <c r="D40" s="449"/>
      <c r="E40" s="449"/>
      <c r="F40" s="492"/>
      <c r="G40" s="463"/>
      <c r="H40" s="463"/>
      <c r="I40" s="463"/>
      <c r="J40" s="463"/>
      <c r="K40" s="463"/>
      <c r="L40" s="463"/>
      <c r="M40" s="459"/>
      <c r="N40" s="460"/>
      <c r="O40" s="461"/>
      <c r="P40" s="490"/>
      <c r="Q40" s="461">
        <f>IF(NOT(ISERROR(MATCH(P40,_xlfn.ANCHORARRAY(F51),0))),O53&amp;"Por favor no seleccionar los criterios de impacto",P40)</f>
        <v>0</v>
      </c>
      <c r="R40" s="460"/>
      <c r="S40" s="461"/>
      <c r="T40" s="489"/>
      <c r="U40" s="193">
        <v>4</v>
      </c>
      <c r="V40" s="193"/>
      <c r="W40" s="193"/>
      <c r="X40" s="193"/>
      <c r="Y40" s="218" t="str">
        <f t="shared" si="1"/>
        <v xml:space="preserve">  </v>
      </c>
      <c r="Z40" s="170" t="str">
        <f t="shared" ref="Z40:Z42" si="46">IF(OR(AA40="Preventivo",AA40="Detectivo"),"Probabilidad",IF(AA40="Correctivo","Impacto",""))</f>
        <v/>
      </c>
      <c r="AA40" s="171"/>
      <c r="AB40" s="171"/>
      <c r="AC40" s="172" t="str">
        <f t="shared" si="41"/>
        <v/>
      </c>
      <c r="AD40" s="171"/>
      <c r="AE40" s="171"/>
      <c r="AF40" s="171"/>
      <c r="AG40" s="173" t="str">
        <f t="shared" ref="AG40:AG42" si="47">IFERROR(IF(AND(Z39="Probabilidad",Z40="Probabilidad"),(AI39-(+AI39*AC40)),IF(AND(Z39="Impacto",Z40="Probabilidad"),(AI38-(+AI38*AC40)),IF(Z40="Impacto",AI39,""))),"")</f>
        <v/>
      </c>
      <c r="AH40" s="174" t="str">
        <f t="shared" si="3"/>
        <v/>
      </c>
      <c r="AI40" s="172" t="str">
        <f t="shared" si="42"/>
        <v/>
      </c>
      <c r="AJ40" s="174" t="str">
        <f t="shared" si="5"/>
        <v/>
      </c>
      <c r="AK40" s="172" t="str">
        <f t="shared" si="15"/>
        <v/>
      </c>
      <c r="AL40" s="175" t="str">
        <f>IFERROR(IF(OR(AND(AH40="Muy Baja",AJ40="Leve"),AND(AH40="Muy Baja",AJ40="Menor"),AND(AH40="Baja",AJ40="Leve")),"Bajo",IF(OR(AND(AH40="Muy baja",AJ40="Moderado"),AND(AH40="Baja",AJ40="Menor"),AND(AH40="Baja",AJ40="Moderado"),AND(AH40="Media",AJ40="Leve"),AND(AH40="Media",AJ40="Menor"),AND(AH40="Media",AJ40="Moderado"),AND(AH40="Alta",AJ40="Leve"),AND(AH40="Alta",AJ40="Menor")),"Moderado",IF(OR(AND(AH40="Muy Baja",AJ40="Mayor"),AND(AH40="Baja",AJ40="Mayor"),AND(AH40="Media",AJ40="Mayor"),AND(AH40="Alta",AJ40="Moderado"),AND(AH40="Alta",AJ40="Mayor"),AND(AH40="Muy Alta",AJ40="Leve"),AND(AH40="Muy Alta",AJ40="Menor"),AND(AH40="Muy Alta",AJ40="Moderado"),AND(AH40="Muy Alta",AJ40="Mayor")),"Alto",IF(OR(AND(AH40="Muy Baja",AJ40="Catastrófico"),AND(AH40="Baja",AJ40="Catastrófico"),AND(AH40="Media",AJ40="Catastrófico"),AND(AH40="Alta",AJ40="Catastrófico"),AND(AH40="Muy Alta",AJ40="Catastrófico")),"Extremo","")))),"")</f>
        <v/>
      </c>
      <c r="AM40" s="176"/>
      <c r="AN40" s="169"/>
      <c r="AO40" s="177"/>
      <c r="AP40" s="177"/>
      <c r="AQ40" s="178"/>
      <c r="AR40" s="459"/>
      <c r="AS40" s="459"/>
      <c r="AT40" s="459"/>
    </row>
    <row r="41" spans="1:46" x14ac:dyDescent="0.2">
      <c r="A41" s="671"/>
      <c r="B41" s="449"/>
      <c r="C41" s="449"/>
      <c r="D41" s="449"/>
      <c r="E41" s="449"/>
      <c r="F41" s="492"/>
      <c r="G41" s="463"/>
      <c r="H41" s="463"/>
      <c r="I41" s="463"/>
      <c r="J41" s="463"/>
      <c r="K41" s="463"/>
      <c r="L41" s="463"/>
      <c r="M41" s="459"/>
      <c r="N41" s="460"/>
      <c r="O41" s="461"/>
      <c r="P41" s="490"/>
      <c r="Q41" s="461">
        <f>IF(NOT(ISERROR(MATCH(P41,_xlfn.ANCHORARRAY(F52),0))),O54&amp;"Por favor no seleccionar los criterios de impacto",P41)</f>
        <v>0</v>
      </c>
      <c r="R41" s="460"/>
      <c r="S41" s="461"/>
      <c r="T41" s="489"/>
      <c r="U41" s="193">
        <v>5</v>
      </c>
      <c r="V41" s="193"/>
      <c r="W41" s="193"/>
      <c r="X41" s="193"/>
      <c r="Y41" s="218" t="str">
        <f t="shared" si="1"/>
        <v xml:space="preserve">  </v>
      </c>
      <c r="Z41" s="170" t="str">
        <f t="shared" si="46"/>
        <v/>
      </c>
      <c r="AA41" s="171"/>
      <c r="AB41" s="171"/>
      <c r="AC41" s="172" t="str">
        <f t="shared" si="41"/>
        <v/>
      </c>
      <c r="AD41" s="171"/>
      <c r="AE41" s="171"/>
      <c r="AF41" s="171"/>
      <c r="AG41" s="173" t="str">
        <f t="shared" si="47"/>
        <v/>
      </c>
      <c r="AH41" s="174" t="str">
        <f t="shared" si="3"/>
        <v/>
      </c>
      <c r="AI41" s="172" t="str">
        <f t="shared" si="42"/>
        <v/>
      </c>
      <c r="AJ41" s="174" t="str">
        <f t="shared" si="5"/>
        <v/>
      </c>
      <c r="AK41" s="172" t="str">
        <f t="shared" si="15"/>
        <v/>
      </c>
      <c r="AL41" s="175" t="str">
        <f t="shared" ref="AL41:AL42" si="48">IFERROR(IF(OR(AND(AH41="Muy Baja",AJ41="Leve"),AND(AH41="Muy Baja",AJ41="Menor"),AND(AH41="Baja",AJ41="Leve")),"Bajo",IF(OR(AND(AH41="Muy baja",AJ41="Moderado"),AND(AH41="Baja",AJ41="Menor"),AND(AH41="Baja",AJ41="Moderado"),AND(AH41="Media",AJ41="Leve"),AND(AH41="Media",AJ41="Menor"),AND(AH41="Media",AJ41="Moderado"),AND(AH41="Alta",AJ41="Leve"),AND(AH41="Alta",AJ41="Menor")),"Moderado",IF(OR(AND(AH41="Muy Baja",AJ41="Mayor"),AND(AH41="Baja",AJ41="Mayor"),AND(AH41="Media",AJ41="Mayor"),AND(AH41="Alta",AJ41="Moderado"),AND(AH41="Alta",AJ41="Mayor"),AND(AH41="Muy Alta",AJ41="Leve"),AND(AH41="Muy Alta",AJ41="Menor"),AND(AH41="Muy Alta",AJ41="Moderado"),AND(AH41="Muy Alta",AJ41="Mayor")),"Alto",IF(OR(AND(AH41="Muy Baja",AJ41="Catastrófico"),AND(AH41="Baja",AJ41="Catastrófico"),AND(AH41="Media",AJ41="Catastrófico"),AND(AH41="Alta",AJ41="Catastrófico"),AND(AH41="Muy Alta",AJ41="Catastrófico")),"Extremo","")))),"")</f>
        <v/>
      </c>
      <c r="AM41" s="176"/>
      <c r="AN41" s="169"/>
      <c r="AO41" s="177"/>
      <c r="AP41" s="177"/>
      <c r="AQ41" s="178"/>
      <c r="AR41" s="459"/>
      <c r="AS41" s="459"/>
      <c r="AT41" s="459"/>
    </row>
    <row r="42" spans="1:46" x14ac:dyDescent="0.2">
      <c r="A42" s="671"/>
      <c r="B42" s="449"/>
      <c r="C42" s="449"/>
      <c r="D42" s="449"/>
      <c r="E42" s="449"/>
      <c r="F42" s="492"/>
      <c r="G42" s="491"/>
      <c r="H42" s="491"/>
      <c r="I42" s="491"/>
      <c r="J42" s="491"/>
      <c r="K42" s="491"/>
      <c r="L42" s="491"/>
      <c r="M42" s="459"/>
      <c r="N42" s="460"/>
      <c r="O42" s="461"/>
      <c r="P42" s="490"/>
      <c r="Q42" s="461">
        <f>IF(NOT(ISERROR(MATCH(P42,_xlfn.ANCHORARRAY(F53),0))),O55&amp;"Por favor no seleccionar los criterios de impacto",P42)</f>
        <v>0</v>
      </c>
      <c r="R42" s="460"/>
      <c r="S42" s="461"/>
      <c r="T42" s="489"/>
      <c r="U42" s="193">
        <v>6</v>
      </c>
      <c r="V42" s="193"/>
      <c r="W42" s="193"/>
      <c r="X42" s="193"/>
      <c r="Y42" s="218" t="str">
        <f t="shared" si="1"/>
        <v xml:space="preserve">  </v>
      </c>
      <c r="Z42" s="170" t="str">
        <f t="shared" si="46"/>
        <v/>
      </c>
      <c r="AA42" s="171"/>
      <c r="AB42" s="171"/>
      <c r="AC42" s="172" t="str">
        <f t="shared" si="41"/>
        <v/>
      </c>
      <c r="AD42" s="171"/>
      <c r="AE42" s="171"/>
      <c r="AF42" s="171"/>
      <c r="AG42" s="173" t="str">
        <f t="shared" si="47"/>
        <v/>
      </c>
      <c r="AH42" s="174" t="str">
        <f t="shared" si="3"/>
        <v/>
      </c>
      <c r="AI42" s="172" t="str">
        <f t="shared" si="42"/>
        <v/>
      </c>
      <c r="AJ42" s="174" t="str">
        <f t="shared" si="5"/>
        <v/>
      </c>
      <c r="AK42" s="172" t="str">
        <f t="shared" si="15"/>
        <v/>
      </c>
      <c r="AL42" s="175" t="str">
        <f t="shared" si="48"/>
        <v/>
      </c>
      <c r="AM42" s="176"/>
      <c r="AN42" s="169"/>
      <c r="AO42" s="177"/>
      <c r="AP42" s="177"/>
      <c r="AQ42" s="178"/>
      <c r="AR42" s="459"/>
      <c r="AS42" s="459"/>
      <c r="AT42" s="459"/>
    </row>
    <row r="43" spans="1:46" x14ac:dyDescent="0.2">
      <c r="A43" s="671">
        <v>6</v>
      </c>
      <c r="B43" s="449"/>
      <c r="C43" s="449"/>
      <c r="D43" s="449"/>
      <c r="E43" s="449"/>
      <c r="F43" s="492" t="str">
        <f t="shared" ref="F43" si="49">+CONCATENATE(B43," ",C43," ",D43)</f>
        <v xml:space="preserve">  </v>
      </c>
      <c r="G43" s="462"/>
      <c r="H43" s="462"/>
      <c r="I43" s="462"/>
      <c r="J43" s="462"/>
      <c r="K43" s="462"/>
      <c r="L43" s="462"/>
      <c r="M43" s="459"/>
      <c r="N43" s="460" t="str">
        <f>IF(M43&lt;=0,"",IF(M43&lt;=2,"Muy Baja",IF(M43&lt;=24,"Baja",IF(M43&lt;=500,"Media",IF(M43&lt;=5000,"Alta","Muy Alta")))))</f>
        <v/>
      </c>
      <c r="O43" s="461" t="str">
        <f>IF(N43="","",IF(N43="Muy Baja",0.2,IF(N43="Baja",0.4,IF(N43="Media",0.6,IF(N43="Alta",0.8,IF(N43="Muy Alta",1,))))))</f>
        <v/>
      </c>
      <c r="P43" s="490"/>
      <c r="Q43" s="461">
        <f>IF(NOT(ISERROR(MATCH(P43,'Tabla Impacto'!$B$245:$B$247,0))),'Tabla Impacto'!$F$224&amp;"Por favor no seleccionar los criterios de impacto(Afectación Económica o presupuestal y Pérdida Reputacional)",P43)</f>
        <v>0</v>
      </c>
      <c r="R43" s="460" t="str">
        <f>IF(OR(Q43='Tabla Impacto'!$C$12,Q43='Tabla Impacto'!$D$12),"Leve",IF(OR(Q43='Tabla Impacto'!$C$13,Q43='Tabla Impacto'!$D$13),"Menor",IF(OR(Q43='Tabla Impacto'!$C$14,Q43='Tabla Impacto'!$D$14),"Moderado",IF(OR(Q43='Tabla Impacto'!$C$15,Q43='Tabla Impacto'!$D$15),"Mayor",IF(OR(Q43='Tabla Impacto'!$C$16,Q43='Tabla Impacto'!$D$16),"Catastrófico","")))))</f>
        <v/>
      </c>
      <c r="S43" s="461" t="str">
        <f>IF(R43="","",IF(R43="Leve",0.2,IF(R43="Menor",0.4,IF(R43="Moderado",0.6,IF(R43="Mayor",0.8,IF(R43="Catastrófico",1,))))))</f>
        <v/>
      </c>
      <c r="T43" s="489" t="str">
        <f>IF(OR(AND(N43="Muy Baja",R43="Leve"),AND(N43="Muy Baja",R43="Menor"),AND(N43="Baja",R43="Leve")),"Bajo",IF(OR(AND(N43="Muy baja",R43="Moderado"),AND(N43="Baja",R43="Menor"),AND(N43="Baja",R43="Moderado"),AND(N43="Media",R43="Leve"),AND(N43="Media",R43="Menor"),AND(N43="Media",R43="Moderado"),AND(N43="Alta",R43="Leve"),AND(N43="Alta",R43="Menor")),"Moderado",IF(OR(AND(N43="Muy Baja",R43="Mayor"),AND(N43="Baja",R43="Mayor"),AND(N43="Media",R43="Mayor"),AND(N43="Alta",R43="Moderado"),AND(N43="Alta",R43="Mayor"),AND(N43="Muy Alta",R43="Leve"),AND(N43="Muy Alta",R43="Menor"),AND(N43="Muy Alta",R43="Moderado"),AND(N43="Muy Alta",R43="Mayor")),"Alto",IF(OR(AND(N43="Muy Baja",R43="Catastrófico"),AND(N43="Baja",R43="Catastrófico"),AND(N43="Media",R43="Catastrófico"),AND(N43="Alta",R43="Catastrófico"),AND(N43="Muy Alta",R43="Catastrófico")),"Extremo",""))))</f>
        <v/>
      </c>
      <c r="U43" s="193">
        <v>1</v>
      </c>
      <c r="V43" s="193"/>
      <c r="W43" s="193"/>
      <c r="X43" s="193"/>
      <c r="Y43" s="218" t="str">
        <f t="shared" si="1"/>
        <v xml:space="preserve">  </v>
      </c>
      <c r="Z43" s="170" t="str">
        <f>IF(OR(AA43="Preventivo",AA43="Detectivo"),"Probabilidad",IF(AA43="Correctivo","Impacto",""))</f>
        <v/>
      </c>
      <c r="AA43" s="171"/>
      <c r="AB43" s="171"/>
      <c r="AC43" s="172" t="str">
        <f>IF(AND(AA43="Preventivo",AB43="Automático"),"50%",IF(AND(AA43="Preventivo",AB43="Manual"),"40%",IF(AND(AA43="Detectivo",AB43="Automático"),"40%",IF(AND(AA43="Detectivo",AB43="Manual"),"30%",IF(AND(AA43="Correctivo",AB43="Automático"),"35%",IF(AND(AA43="Correctivo",AB43="Manual"),"25%",""))))))</f>
        <v/>
      </c>
      <c r="AD43" s="171"/>
      <c r="AE43" s="171"/>
      <c r="AF43" s="171"/>
      <c r="AG43" s="173" t="str">
        <f>IFERROR(IF(Z43="Probabilidad",(O43-(+O43*AC43)),IF(Z43="Impacto",O43,"")),"")</f>
        <v/>
      </c>
      <c r="AH43" s="174" t="str">
        <f>IFERROR(IF(AG43="","",IF(AG43&lt;=0.2,"Muy Baja",IF(AG43&lt;=0.4,"Baja",IF(AG43&lt;=0.6,"Media",IF(AG43&lt;=0.8,"Alta","Muy Alta"))))),"")</f>
        <v/>
      </c>
      <c r="AI43" s="172" t="str">
        <f>+AG43</f>
        <v/>
      </c>
      <c r="AJ43" s="174" t="str">
        <f>IFERROR(IF(AK43="","",IF(AK43&lt;=0.2,"Leve",IF(AK43&lt;=0.4,"Menor",IF(AK43&lt;=0.6,"Moderado",IF(AK43&lt;=0.8,"Mayor","Catastrófico"))))),"")</f>
        <v/>
      </c>
      <c r="AK43" s="172" t="str">
        <f t="shared" ref="AK43" si="50">IFERROR(IF(Z43="Impacto",(S43-(+S43*AC43)),IF(Z43="Probabilidad",S43,"")),"")</f>
        <v/>
      </c>
      <c r="AL43" s="175" t="str">
        <f>IFERROR(IF(OR(AND(AH43="Muy Baja",AJ43="Leve"),AND(AH43="Muy Baja",AJ43="Menor"),AND(AH43="Baja",AJ43="Leve")),"Bajo",IF(OR(AND(AH43="Muy baja",AJ43="Moderado"),AND(AH43="Baja",AJ43="Menor"),AND(AH43="Baja",AJ43="Moderado"),AND(AH43="Media",AJ43="Leve"),AND(AH43="Media",AJ43="Menor"),AND(AH43="Media",AJ43="Moderado"),AND(AH43="Alta",AJ43="Leve"),AND(AH43="Alta",AJ43="Menor")),"Moderado",IF(OR(AND(AH43="Muy Baja",AJ43="Mayor"),AND(AH43="Baja",AJ43="Mayor"),AND(AH43="Media",AJ43="Mayor"),AND(AH43="Alta",AJ43="Moderado"),AND(AH43="Alta",AJ43="Mayor"),AND(AH43="Muy Alta",AJ43="Leve"),AND(AH43="Muy Alta",AJ43="Menor"),AND(AH43="Muy Alta",AJ43="Moderado"),AND(AH43="Muy Alta",AJ43="Mayor")),"Alto",IF(OR(AND(AH43="Muy Baja",AJ43="Catastrófico"),AND(AH43="Baja",AJ43="Catastrófico"),AND(AH43="Media",AJ43="Catastrófico"),AND(AH43="Alta",AJ43="Catastrófico"),AND(AH43="Muy Alta",AJ43="Catastrófico")),"Extremo","")))),"")</f>
        <v/>
      </c>
      <c r="AM43" s="171"/>
      <c r="AN43" s="169"/>
      <c r="AO43" s="177"/>
      <c r="AP43" s="177"/>
      <c r="AQ43" s="178"/>
      <c r="AR43" s="459"/>
      <c r="AS43" s="459"/>
      <c r="AT43" s="459"/>
    </row>
    <row r="44" spans="1:46" x14ac:dyDescent="0.2">
      <c r="A44" s="671"/>
      <c r="B44" s="449"/>
      <c r="C44" s="449"/>
      <c r="D44" s="449"/>
      <c r="E44" s="449"/>
      <c r="F44" s="492"/>
      <c r="G44" s="463"/>
      <c r="H44" s="463"/>
      <c r="I44" s="463"/>
      <c r="J44" s="463"/>
      <c r="K44" s="463"/>
      <c r="L44" s="463"/>
      <c r="M44" s="459"/>
      <c r="N44" s="460"/>
      <c r="O44" s="461"/>
      <c r="P44" s="490"/>
      <c r="Q44" s="461">
        <f>IF(NOT(ISERROR(MATCH(P44,_xlfn.ANCHORARRAY(F55),0))),O57&amp;"Por favor no seleccionar los criterios de impacto",P44)</f>
        <v>0</v>
      </c>
      <c r="R44" s="460"/>
      <c r="S44" s="461"/>
      <c r="T44" s="489"/>
      <c r="U44" s="193">
        <v>2</v>
      </c>
      <c r="V44" s="193"/>
      <c r="W44" s="193"/>
      <c r="X44" s="193"/>
      <c r="Y44" s="218" t="str">
        <f t="shared" si="1"/>
        <v xml:space="preserve">  </v>
      </c>
      <c r="Z44" s="170" t="str">
        <f>IF(OR(AA44="Preventivo",AA44="Detectivo"),"Probabilidad",IF(AA44="Correctivo","Impacto",""))</f>
        <v/>
      </c>
      <c r="AA44" s="171"/>
      <c r="AB44" s="171"/>
      <c r="AC44" s="172" t="str">
        <f t="shared" ref="AC44:AC48" si="51">IF(AND(AA44="Preventivo",AB44="Automático"),"50%",IF(AND(AA44="Preventivo",AB44="Manual"),"40%",IF(AND(AA44="Detectivo",AB44="Automático"),"40%",IF(AND(AA44="Detectivo",AB44="Manual"),"30%",IF(AND(AA44="Correctivo",AB44="Automático"),"35%",IF(AND(AA44="Correctivo",AB44="Manual"),"25%",""))))))</f>
        <v/>
      </c>
      <c r="AD44" s="171"/>
      <c r="AE44" s="171"/>
      <c r="AF44" s="171"/>
      <c r="AG44" s="173" t="str">
        <f>IFERROR(IF(AND(Z43="Probabilidad",Z44="Probabilidad"),(AI43-(+AI43*AC44)),IF(Z44="Probabilidad",(O43-(+O43*AC44)),IF(Z44="Impacto",AI43,""))),"")</f>
        <v/>
      </c>
      <c r="AH44" s="174" t="str">
        <f t="shared" si="3"/>
        <v/>
      </c>
      <c r="AI44" s="172" t="str">
        <f t="shared" ref="AI44:AI48" si="52">+AG44</f>
        <v/>
      </c>
      <c r="AJ44" s="174" t="str">
        <f t="shared" si="5"/>
        <v/>
      </c>
      <c r="AK44" s="172" t="str">
        <f t="shared" ref="AK44" si="53">IFERROR(IF(AND(Z43="Impacto",Z44="Impacto"),(AK43-(+AK43*AC44)),IF(Z44="Impacto",($S$13-(+$S$13*AC44)),IF(Z44="Probabilidad",AK43,""))),"")</f>
        <v/>
      </c>
      <c r="AL44" s="175" t="str">
        <f t="shared" ref="AL44:AL45" si="54">IFERROR(IF(OR(AND(AH44="Muy Baja",AJ44="Leve"),AND(AH44="Muy Baja",AJ44="Menor"),AND(AH44="Baja",AJ44="Leve")),"Bajo",IF(OR(AND(AH44="Muy baja",AJ44="Moderado"),AND(AH44="Baja",AJ44="Menor"),AND(AH44="Baja",AJ44="Moderado"),AND(AH44="Media",AJ44="Leve"),AND(AH44="Media",AJ44="Menor"),AND(AH44="Media",AJ44="Moderado"),AND(AH44="Alta",AJ44="Leve"),AND(AH44="Alta",AJ44="Menor")),"Moderado",IF(OR(AND(AH44="Muy Baja",AJ44="Mayor"),AND(AH44="Baja",AJ44="Mayor"),AND(AH44="Media",AJ44="Mayor"),AND(AH44="Alta",AJ44="Moderado"),AND(AH44="Alta",AJ44="Mayor"),AND(AH44="Muy Alta",AJ44="Leve"),AND(AH44="Muy Alta",AJ44="Menor"),AND(AH44="Muy Alta",AJ44="Moderado"),AND(AH44="Muy Alta",AJ44="Mayor")),"Alto",IF(OR(AND(AH44="Muy Baja",AJ44="Catastrófico"),AND(AH44="Baja",AJ44="Catastrófico"),AND(AH44="Media",AJ44="Catastrófico"),AND(AH44="Alta",AJ44="Catastrófico"),AND(AH44="Muy Alta",AJ44="Catastrófico")),"Extremo","")))),"")</f>
        <v/>
      </c>
      <c r="AM44" s="176"/>
      <c r="AN44" s="169"/>
      <c r="AO44" s="177"/>
      <c r="AP44" s="177"/>
      <c r="AQ44" s="178"/>
      <c r="AR44" s="459"/>
      <c r="AS44" s="459"/>
      <c r="AT44" s="459"/>
    </row>
    <row r="45" spans="1:46" x14ac:dyDescent="0.2">
      <c r="A45" s="671"/>
      <c r="B45" s="449"/>
      <c r="C45" s="449"/>
      <c r="D45" s="449"/>
      <c r="E45" s="449"/>
      <c r="F45" s="492"/>
      <c r="G45" s="463"/>
      <c r="H45" s="463"/>
      <c r="I45" s="463"/>
      <c r="J45" s="463"/>
      <c r="K45" s="463"/>
      <c r="L45" s="463"/>
      <c r="M45" s="459"/>
      <c r="N45" s="460"/>
      <c r="O45" s="461"/>
      <c r="P45" s="490"/>
      <c r="Q45" s="461">
        <f>IF(NOT(ISERROR(MATCH(P45,_xlfn.ANCHORARRAY(F56),0))),O58&amp;"Por favor no seleccionar los criterios de impacto",P45)</f>
        <v>0</v>
      </c>
      <c r="R45" s="460"/>
      <c r="S45" s="461"/>
      <c r="T45" s="489"/>
      <c r="U45" s="193">
        <v>3</v>
      </c>
      <c r="V45" s="193"/>
      <c r="W45" s="193"/>
      <c r="X45" s="193"/>
      <c r="Y45" s="218" t="str">
        <f t="shared" si="1"/>
        <v xml:space="preserve">  </v>
      </c>
      <c r="Z45" s="170" t="str">
        <f>IF(OR(AA45="Preventivo",AA45="Detectivo"),"Probabilidad",IF(AA45="Correctivo","Impacto",""))</f>
        <v/>
      </c>
      <c r="AA45" s="171"/>
      <c r="AB45" s="171"/>
      <c r="AC45" s="172" t="str">
        <f t="shared" si="51"/>
        <v/>
      </c>
      <c r="AD45" s="171"/>
      <c r="AE45" s="171"/>
      <c r="AF45" s="171"/>
      <c r="AG45" s="173" t="str">
        <f>IFERROR(IF(AND(Z44="Probabilidad",Z45="Probabilidad"),(AI44-(+AI44*AC45)),IF(AND(Z44="Impacto",Z45="Probabilidad"),(AI43-(+AI43*AC45)),IF(Z45="Impacto",AI44,""))),"")</f>
        <v/>
      </c>
      <c r="AH45" s="174" t="str">
        <f t="shared" si="3"/>
        <v/>
      </c>
      <c r="AI45" s="172" t="str">
        <f t="shared" si="52"/>
        <v/>
      </c>
      <c r="AJ45" s="174" t="str">
        <f t="shared" si="5"/>
        <v/>
      </c>
      <c r="AK45" s="172" t="str">
        <f t="shared" ref="AK45" si="55">IFERROR(IF(AND(Z44="Impacto",Z45="Impacto"),(AK44-(+AK44*AC45)),IF(AND(Z44="Probabilidad",Z45="Impacto"),(AK43-(+AK43*AC45)),IF(Z45="Probabilidad",AK44,""))),"")</f>
        <v/>
      </c>
      <c r="AL45" s="175" t="str">
        <f t="shared" si="54"/>
        <v/>
      </c>
      <c r="AM45" s="176"/>
      <c r="AN45" s="169"/>
      <c r="AO45" s="177"/>
      <c r="AP45" s="177"/>
      <c r="AQ45" s="178"/>
      <c r="AR45" s="459"/>
      <c r="AS45" s="459"/>
      <c r="AT45" s="459"/>
    </row>
    <row r="46" spans="1:46" x14ac:dyDescent="0.2">
      <c r="A46" s="671"/>
      <c r="B46" s="449"/>
      <c r="C46" s="449"/>
      <c r="D46" s="449"/>
      <c r="E46" s="449"/>
      <c r="F46" s="492"/>
      <c r="G46" s="463"/>
      <c r="H46" s="463"/>
      <c r="I46" s="463"/>
      <c r="J46" s="463"/>
      <c r="K46" s="463"/>
      <c r="L46" s="463"/>
      <c r="M46" s="459"/>
      <c r="N46" s="460"/>
      <c r="O46" s="461"/>
      <c r="P46" s="490"/>
      <c r="Q46" s="461">
        <f>IF(NOT(ISERROR(MATCH(P46,_xlfn.ANCHORARRAY(F57),0))),O59&amp;"Por favor no seleccionar los criterios de impacto",P46)</f>
        <v>0</v>
      </c>
      <c r="R46" s="460"/>
      <c r="S46" s="461"/>
      <c r="T46" s="489"/>
      <c r="U46" s="193">
        <v>4</v>
      </c>
      <c r="V46" s="193"/>
      <c r="W46" s="193"/>
      <c r="X46" s="193"/>
      <c r="Y46" s="218" t="str">
        <f t="shared" si="1"/>
        <v xml:space="preserve">  </v>
      </c>
      <c r="Z46" s="170" t="str">
        <f t="shared" ref="Z46:Z48" si="56">IF(OR(AA46="Preventivo",AA46="Detectivo"),"Probabilidad",IF(AA46="Correctivo","Impacto",""))</f>
        <v/>
      </c>
      <c r="AA46" s="171"/>
      <c r="AB46" s="171"/>
      <c r="AC46" s="172" t="str">
        <f t="shared" si="51"/>
        <v/>
      </c>
      <c r="AD46" s="171"/>
      <c r="AE46" s="171"/>
      <c r="AF46" s="171"/>
      <c r="AG46" s="173" t="str">
        <f t="shared" ref="AG46:AG48" si="57">IFERROR(IF(AND(Z45="Probabilidad",Z46="Probabilidad"),(AI45-(+AI45*AC46)),IF(AND(Z45="Impacto",Z46="Probabilidad"),(AI44-(+AI44*AC46)),IF(Z46="Impacto",AI45,""))),"")</f>
        <v/>
      </c>
      <c r="AH46" s="174" t="str">
        <f t="shared" si="3"/>
        <v/>
      </c>
      <c r="AI46" s="172" t="str">
        <f t="shared" si="52"/>
        <v/>
      </c>
      <c r="AJ46" s="174" t="str">
        <f t="shared" si="5"/>
        <v/>
      </c>
      <c r="AK46" s="172" t="str">
        <f t="shared" si="15"/>
        <v/>
      </c>
      <c r="AL46" s="175" t="str">
        <f>IFERROR(IF(OR(AND(AH46="Muy Baja",AJ46="Leve"),AND(AH46="Muy Baja",AJ46="Menor"),AND(AH46="Baja",AJ46="Leve")),"Bajo",IF(OR(AND(AH46="Muy baja",AJ46="Moderado"),AND(AH46="Baja",AJ46="Menor"),AND(AH46="Baja",AJ46="Moderado"),AND(AH46="Media",AJ46="Leve"),AND(AH46="Media",AJ46="Menor"),AND(AH46="Media",AJ46="Moderado"),AND(AH46="Alta",AJ46="Leve"),AND(AH46="Alta",AJ46="Menor")),"Moderado",IF(OR(AND(AH46="Muy Baja",AJ46="Mayor"),AND(AH46="Baja",AJ46="Mayor"),AND(AH46="Media",AJ46="Mayor"),AND(AH46="Alta",AJ46="Moderado"),AND(AH46="Alta",AJ46="Mayor"),AND(AH46="Muy Alta",AJ46="Leve"),AND(AH46="Muy Alta",AJ46="Menor"),AND(AH46="Muy Alta",AJ46="Moderado"),AND(AH46="Muy Alta",AJ46="Mayor")),"Alto",IF(OR(AND(AH46="Muy Baja",AJ46="Catastrófico"),AND(AH46="Baja",AJ46="Catastrófico"),AND(AH46="Media",AJ46="Catastrófico"),AND(AH46="Alta",AJ46="Catastrófico"),AND(AH46="Muy Alta",AJ46="Catastrófico")),"Extremo","")))),"")</f>
        <v/>
      </c>
      <c r="AM46" s="176"/>
      <c r="AN46" s="169"/>
      <c r="AO46" s="177"/>
      <c r="AP46" s="177"/>
      <c r="AQ46" s="178"/>
      <c r="AR46" s="459"/>
      <c r="AS46" s="459"/>
      <c r="AT46" s="459"/>
    </row>
    <row r="47" spans="1:46" x14ac:dyDescent="0.2">
      <c r="A47" s="671"/>
      <c r="B47" s="449"/>
      <c r="C47" s="449"/>
      <c r="D47" s="449"/>
      <c r="E47" s="449"/>
      <c r="F47" s="492"/>
      <c r="G47" s="463"/>
      <c r="H47" s="463"/>
      <c r="I47" s="463"/>
      <c r="J47" s="463"/>
      <c r="K47" s="463"/>
      <c r="L47" s="463"/>
      <c r="M47" s="459"/>
      <c r="N47" s="460"/>
      <c r="O47" s="461"/>
      <c r="P47" s="490"/>
      <c r="Q47" s="461">
        <f>IF(NOT(ISERROR(MATCH(P47,_xlfn.ANCHORARRAY(F58),0))),O60&amp;"Por favor no seleccionar los criterios de impacto",P47)</f>
        <v>0</v>
      </c>
      <c r="R47" s="460"/>
      <c r="S47" s="461"/>
      <c r="T47" s="489"/>
      <c r="U47" s="193">
        <v>5</v>
      </c>
      <c r="V47" s="193"/>
      <c r="W47" s="193"/>
      <c r="X47" s="193"/>
      <c r="Y47" s="218" t="str">
        <f t="shared" si="1"/>
        <v xml:space="preserve">  </v>
      </c>
      <c r="Z47" s="170" t="str">
        <f t="shared" si="56"/>
        <v/>
      </c>
      <c r="AA47" s="171"/>
      <c r="AB47" s="171"/>
      <c r="AC47" s="172" t="str">
        <f t="shared" si="51"/>
        <v/>
      </c>
      <c r="AD47" s="171"/>
      <c r="AE47" s="171"/>
      <c r="AF47" s="171"/>
      <c r="AG47" s="173" t="str">
        <f t="shared" si="57"/>
        <v/>
      </c>
      <c r="AH47" s="174" t="str">
        <f t="shared" si="3"/>
        <v/>
      </c>
      <c r="AI47" s="172" t="str">
        <f t="shared" si="52"/>
        <v/>
      </c>
      <c r="AJ47" s="174" t="str">
        <f t="shared" si="5"/>
        <v/>
      </c>
      <c r="AK47" s="172" t="str">
        <f t="shared" si="15"/>
        <v/>
      </c>
      <c r="AL47" s="175" t="str">
        <f t="shared" ref="AL47" si="58">IFERROR(IF(OR(AND(AH47="Muy Baja",AJ47="Leve"),AND(AH47="Muy Baja",AJ47="Menor"),AND(AH47="Baja",AJ47="Leve")),"Bajo",IF(OR(AND(AH47="Muy baja",AJ47="Moderado"),AND(AH47="Baja",AJ47="Menor"),AND(AH47="Baja",AJ47="Moderado"),AND(AH47="Media",AJ47="Leve"),AND(AH47="Media",AJ47="Menor"),AND(AH47="Media",AJ47="Moderado"),AND(AH47="Alta",AJ47="Leve"),AND(AH47="Alta",AJ47="Menor")),"Moderado",IF(OR(AND(AH47="Muy Baja",AJ47="Mayor"),AND(AH47="Baja",AJ47="Mayor"),AND(AH47="Media",AJ47="Mayor"),AND(AH47="Alta",AJ47="Moderado"),AND(AH47="Alta",AJ47="Mayor"),AND(AH47="Muy Alta",AJ47="Leve"),AND(AH47="Muy Alta",AJ47="Menor"),AND(AH47="Muy Alta",AJ47="Moderado"),AND(AH47="Muy Alta",AJ47="Mayor")),"Alto",IF(OR(AND(AH47="Muy Baja",AJ47="Catastrófico"),AND(AH47="Baja",AJ47="Catastrófico"),AND(AH47="Media",AJ47="Catastrófico"),AND(AH47="Alta",AJ47="Catastrófico"),AND(AH47="Muy Alta",AJ47="Catastrófico")),"Extremo","")))),"")</f>
        <v/>
      </c>
      <c r="AM47" s="176"/>
      <c r="AN47" s="169"/>
      <c r="AO47" s="177"/>
      <c r="AP47" s="177"/>
      <c r="AQ47" s="178"/>
      <c r="AR47" s="459"/>
      <c r="AS47" s="459"/>
      <c r="AT47" s="459"/>
    </row>
    <row r="48" spans="1:46" x14ac:dyDescent="0.2">
      <c r="A48" s="671"/>
      <c r="B48" s="449"/>
      <c r="C48" s="449"/>
      <c r="D48" s="449"/>
      <c r="E48" s="449"/>
      <c r="F48" s="492"/>
      <c r="G48" s="491"/>
      <c r="H48" s="491"/>
      <c r="I48" s="491"/>
      <c r="J48" s="491"/>
      <c r="K48" s="491"/>
      <c r="L48" s="491"/>
      <c r="M48" s="459"/>
      <c r="N48" s="460"/>
      <c r="O48" s="461"/>
      <c r="P48" s="490"/>
      <c r="Q48" s="461">
        <f>IF(NOT(ISERROR(MATCH(P48,_xlfn.ANCHORARRAY(F59),0))),O61&amp;"Por favor no seleccionar los criterios de impacto",P48)</f>
        <v>0</v>
      </c>
      <c r="R48" s="460"/>
      <c r="S48" s="461"/>
      <c r="T48" s="489"/>
      <c r="U48" s="193">
        <v>6</v>
      </c>
      <c r="V48" s="193"/>
      <c r="W48" s="193"/>
      <c r="X48" s="193"/>
      <c r="Y48" s="218" t="str">
        <f t="shared" si="1"/>
        <v xml:space="preserve">  </v>
      </c>
      <c r="Z48" s="170" t="str">
        <f t="shared" si="56"/>
        <v/>
      </c>
      <c r="AA48" s="171"/>
      <c r="AB48" s="171"/>
      <c r="AC48" s="172" t="str">
        <f t="shared" si="51"/>
        <v/>
      </c>
      <c r="AD48" s="171"/>
      <c r="AE48" s="171"/>
      <c r="AF48" s="171"/>
      <c r="AG48" s="173" t="str">
        <f t="shared" si="57"/>
        <v/>
      </c>
      <c r="AH48" s="174" t="str">
        <f t="shared" si="3"/>
        <v/>
      </c>
      <c r="AI48" s="172" t="str">
        <f t="shared" si="52"/>
        <v/>
      </c>
      <c r="AJ48" s="174" t="str">
        <f>IFERROR(IF(AK48="","",IF(AK48&lt;=0.2,"Leve",IF(AK48&lt;=0.4,"Menor",IF(AK48&lt;=0.6,"Moderado",IF(AK48&lt;=0.8,"Mayor","Catastrófico"))))),"")</f>
        <v/>
      </c>
      <c r="AK48" s="172" t="str">
        <f t="shared" si="15"/>
        <v/>
      </c>
      <c r="AL48" s="175" t="str">
        <f>IFERROR(IF(OR(AND(AH48="Muy Baja",AJ48="Leve"),AND(AH48="Muy Baja",AJ48="Menor"),AND(AH48="Baja",AJ48="Leve")),"Bajo",IF(OR(AND(AH48="Muy baja",AJ48="Moderado"),AND(AH48="Baja",AJ48="Menor"),AND(AH48="Baja",AJ48="Moderado"),AND(AH48="Media",AJ48="Leve"),AND(AH48="Media",AJ48="Menor"),AND(AH48="Media",AJ48="Moderado"),AND(AH48="Alta",AJ48="Leve"),AND(AH48="Alta",AJ48="Menor")),"Moderado",IF(OR(AND(AH48="Muy Baja",AJ48="Mayor"),AND(AH48="Baja",AJ48="Mayor"),AND(AH48="Media",AJ48="Mayor"),AND(AH48="Alta",AJ48="Moderado"),AND(AH48="Alta",AJ48="Mayor"),AND(AH48="Muy Alta",AJ48="Leve"),AND(AH48="Muy Alta",AJ48="Menor"),AND(AH48="Muy Alta",AJ48="Moderado"),AND(AH48="Muy Alta",AJ48="Mayor")),"Alto",IF(OR(AND(AH48="Muy Baja",AJ48="Catastrófico"),AND(AH48="Baja",AJ48="Catastrófico"),AND(AH48="Media",AJ48="Catastrófico"),AND(AH48="Alta",AJ48="Catastrófico"),AND(AH48="Muy Alta",AJ48="Catastrófico")),"Extremo","")))),"")</f>
        <v/>
      </c>
      <c r="AM48" s="176"/>
      <c r="AN48" s="169"/>
      <c r="AO48" s="177"/>
      <c r="AP48" s="177"/>
      <c r="AQ48" s="178"/>
      <c r="AR48" s="459"/>
      <c r="AS48" s="459"/>
      <c r="AT48" s="459"/>
    </row>
    <row r="49" spans="1:46" x14ac:dyDescent="0.2">
      <c r="A49" s="671">
        <v>7</v>
      </c>
      <c r="B49" s="449"/>
      <c r="C49" s="449"/>
      <c r="D49" s="495"/>
      <c r="E49" s="495"/>
      <c r="F49" s="492" t="str">
        <f t="shared" ref="F49" si="59">+CONCATENATE(B49," ",C49," ",D49)</f>
        <v xml:space="preserve">  </v>
      </c>
      <c r="G49" s="462"/>
      <c r="H49" s="462"/>
      <c r="I49" s="462"/>
      <c r="J49" s="462"/>
      <c r="K49" s="462"/>
      <c r="L49" s="462"/>
      <c r="M49" s="459"/>
      <c r="N49" s="460" t="str">
        <f>IF(M49&lt;=0,"",IF(M49&lt;=2,"Muy Baja",IF(M49&lt;=24,"Baja",IF(M49&lt;=500,"Media",IF(M49&lt;=5000,"Alta","Muy Alta")))))</f>
        <v/>
      </c>
      <c r="O49" s="461" t="str">
        <f>IF(N49="","",IF(N49="Muy Baja",0.2,IF(N49="Baja",0.4,IF(N49="Media",0.6,IF(N49="Alta",0.8,IF(N49="Muy Alta",1,))))))</f>
        <v/>
      </c>
      <c r="P49" s="490"/>
      <c r="Q49" s="461">
        <f>IF(NOT(ISERROR(MATCH(P49,'Tabla Impacto'!$B$245:$B$247,0))),'Tabla Impacto'!$F$224&amp;"Por favor no seleccionar los criterios de impacto(Afectación Económica o presupuestal y Pérdida Reputacional)",P49)</f>
        <v>0</v>
      </c>
      <c r="R49" s="460" t="str">
        <f>IF(OR(Q49='Tabla Impacto'!$C$12,Q49='Tabla Impacto'!$D$12),"Leve",IF(OR(Q49='Tabla Impacto'!$C$13,Q49='Tabla Impacto'!$D$13),"Menor",IF(OR(Q49='Tabla Impacto'!$C$14,Q49='Tabla Impacto'!$D$14),"Moderado",IF(OR(Q49='Tabla Impacto'!$C$15,Q49='Tabla Impacto'!$D$15),"Mayor",IF(OR(Q49='Tabla Impacto'!$C$16,Q49='Tabla Impacto'!$D$16),"Catastrófico","")))))</f>
        <v/>
      </c>
      <c r="S49" s="461" t="str">
        <f>IF(R49="","",IF(R49="Leve",0.2,IF(R49="Menor",0.4,IF(R49="Moderado",0.6,IF(R49="Mayor",0.8,IF(R49="Catastrófico",1,))))))</f>
        <v/>
      </c>
      <c r="T49" s="489" t="str">
        <f>IF(OR(AND(N49="Muy Baja",R49="Leve"),AND(N49="Muy Baja",R49="Menor"),AND(N49="Baja",R49="Leve")),"Bajo",IF(OR(AND(N49="Muy baja",R49="Moderado"),AND(N49="Baja",R49="Menor"),AND(N49="Baja",R49="Moderado"),AND(N49="Media",R49="Leve"),AND(N49="Media",R49="Menor"),AND(N49="Media",R49="Moderado"),AND(N49="Alta",R49="Leve"),AND(N49="Alta",R49="Menor")),"Moderado",IF(OR(AND(N49="Muy Baja",R49="Mayor"),AND(N49="Baja",R49="Mayor"),AND(N49="Media",R49="Mayor"),AND(N49="Alta",R49="Moderado"),AND(N49="Alta",R49="Mayor"),AND(N49="Muy Alta",R49="Leve"),AND(N49="Muy Alta",R49="Menor"),AND(N49="Muy Alta",R49="Moderado"),AND(N49="Muy Alta",R49="Mayor")),"Alto",IF(OR(AND(N49="Muy Baja",R49="Catastrófico"),AND(N49="Baja",R49="Catastrófico"),AND(N49="Media",R49="Catastrófico"),AND(N49="Alta",R49="Catastrófico"),AND(N49="Muy Alta",R49="Catastrófico")),"Extremo",""))))</f>
        <v/>
      </c>
      <c r="U49" s="193">
        <v>1</v>
      </c>
      <c r="V49" s="193"/>
      <c r="W49" s="193"/>
      <c r="X49" s="193"/>
      <c r="Y49" s="218" t="str">
        <f t="shared" si="1"/>
        <v xml:space="preserve">  </v>
      </c>
      <c r="Z49" s="170" t="str">
        <f>IF(OR(AA49="Preventivo",AA49="Detectivo"),"Probabilidad",IF(AA49="Correctivo","Impacto",""))</f>
        <v/>
      </c>
      <c r="AA49" s="171"/>
      <c r="AB49" s="171"/>
      <c r="AC49" s="172" t="str">
        <f>IF(AND(AA49="Preventivo",AB49="Automático"),"50%",IF(AND(AA49="Preventivo",AB49="Manual"),"40%",IF(AND(AA49="Detectivo",AB49="Automático"),"40%",IF(AND(AA49="Detectivo",AB49="Manual"),"30%",IF(AND(AA49="Correctivo",AB49="Automático"),"35%",IF(AND(AA49="Correctivo",AB49="Manual"),"25%",""))))))</f>
        <v/>
      </c>
      <c r="AD49" s="171"/>
      <c r="AE49" s="171"/>
      <c r="AF49" s="171"/>
      <c r="AG49" s="173" t="str">
        <f>IFERROR(IF(Z49="Probabilidad",(O49-(+O49*AC49)),IF(Z49="Impacto",O49,"")),"")</f>
        <v/>
      </c>
      <c r="AH49" s="174" t="str">
        <f>IFERROR(IF(AG49="","",IF(AG49&lt;=0.2,"Muy Baja",IF(AG49&lt;=0.4,"Baja",IF(AG49&lt;=0.6,"Media",IF(AG49&lt;=0.8,"Alta","Muy Alta"))))),"")</f>
        <v/>
      </c>
      <c r="AI49" s="172" t="str">
        <f>+AG49</f>
        <v/>
      </c>
      <c r="AJ49" s="174" t="str">
        <f>IFERROR(IF(AK49="","",IF(AK49&lt;=0.2,"Leve",IF(AK49&lt;=0.4,"Menor",IF(AK49&lt;=0.6,"Moderado",IF(AK49&lt;=0.8,"Mayor","Catastrófico"))))),"")</f>
        <v/>
      </c>
      <c r="AK49" s="172" t="str">
        <f t="shared" ref="AK49" si="60">IFERROR(IF(Z49="Impacto",(S49-(+S49*AC49)),IF(Z49="Probabilidad",S49,"")),"")</f>
        <v/>
      </c>
      <c r="AL49" s="175" t="str">
        <f>IFERROR(IF(OR(AND(AH49="Muy Baja",AJ49="Leve"),AND(AH49="Muy Baja",AJ49="Menor"),AND(AH49="Baja",AJ49="Leve")),"Bajo",IF(OR(AND(AH49="Muy baja",AJ49="Moderado"),AND(AH49="Baja",AJ49="Menor"),AND(AH49="Baja",AJ49="Moderado"),AND(AH49="Media",AJ49="Leve"),AND(AH49="Media",AJ49="Menor"),AND(AH49="Media",AJ49="Moderado"),AND(AH49="Alta",AJ49="Leve"),AND(AH49="Alta",AJ49="Menor")),"Moderado",IF(OR(AND(AH49="Muy Baja",AJ49="Mayor"),AND(AH49="Baja",AJ49="Mayor"),AND(AH49="Media",AJ49="Mayor"),AND(AH49="Alta",AJ49="Moderado"),AND(AH49="Alta",AJ49="Mayor"),AND(AH49="Muy Alta",AJ49="Leve"),AND(AH49="Muy Alta",AJ49="Menor"),AND(AH49="Muy Alta",AJ49="Moderado"),AND(AH49="Muy Alta",AJ49="Mayor")),"Alto",IF(OR(AND(AH49="Muy Baja",AJ49="Catastrófico"),AND(AH49="Baja",AJ49="Catastrófico"),AND(AH49="Media",AJ49="Catastrófico"),AND(AH49="Alta",AJ49="Catastrófico"),AND(AH49="Muy Alta",AJ49="Catastrófico")),"Extremo","")))),"")</f>
        <v/>
      </c>
      <c r="AM49" s="176"/>
      <c r="AN49" s="169"/>
      <c r="AO49" s="177"/>
      <c r="AP49" s="177"/>
      <c r="AQ49" s="178"/>
      <c r="AR49" s="459"/>
      <c r="AS49" s="459"/>
      <c r="AT49" s="459"/>
    </row>
    <row r="50" spans="1:46" x14ac:dyDescent="0.2">
      <c r="A50" s="671"/>
      <c r="B50" s="449"/>
      <c r="C50" s="449"/>
      <c r="D50" s="495"/>
      <c r="E50" s="495"/>
      <c r="F50" s="492"/>
      <c r="G50" s="463"/>
      <c r="H50" s="463"/>
      <c r="I50" s="463"/>
      <c r="J50" s="463"/>
      <c r="K50" s="463"/>
      <c r="L50" s="463"/>
      <c r="M50" s="459"/>
      <c r="N50" s="460"/>
      <c r="O50" s="461"/>
      <c r="P50" s="490"/>
      <c r="Q50" s="461">
        <f>IF(NOT(ISERROR(MATCH(P50,_xlfn.ANCHORARRAY(F61),0))),O63&amp;"Por favor no seleccionar los criterios de impacto",P50)</f>
        <v>0</v>
      </c>
      <c r="R50" s="460"/>
      <c r="S50" s="461"/>
      <c r="T50" s="489"/>
      <c r="U50" s="193">
        <v>2</v>
      </c>
      <c r="V50" s="193"/>
      <c r="W50" s="193"/>
      <c r="X50" s="193"/>
      <c r="Y50" s="218" t="str">
        <f t="shared" si="1"/>
        <v xml:space="preserve">  </v>
      </c>
      <c r="Z50" s="170" t="str">
        <f>IF(OR(AA50="Preventivo",AA50="Detectivo"),"Probabilidad",IF(AA50="Correctivo","Impacto",""))</f>
        <v/>
      </c>
      <c r="AA50" s="171"/>
      <c r="AB50" s="171"/>
      <c r="AC50" s="172" t="str">
        <f t="shared" ref="AC50:AC54" si="61">IF(AND(AA50="Preventivo",AB50="Automático"),"50%",IF(AND(AA50="Preventivo",AB50="Manual"),"40%",IF(AND(AA50="Detectivo",AB50="Automático"),"40%",IF(AND(AA50="Detectivo",AB50="Manual"),"30%",IF(AND(AA50="Correctivo",AB50="Automático"),"35%",IF(AND(AA50="Correctivo",AB50="Manual"),"25%",""))))))</f>
        <v/>
      </c>
      <c r="AD50" s="171"/>
      <c r="AE50" s="171"/>
      <c r="AF50" s="171"/>
      <c r="AG50" s="173" t="str">
        <f>IFERROR(IF(AND(Z49="Probabilidad",Z50="Probabilidad"),(AI49-(+AI49*AC50)),IF(Z50="Probabilidad",(O49-(+O49*AC50)),IF(Z50="Impacto",AI49,""))),"")</f>
        <v/>
      </c>
      <c r="AH50" s="174" t="str">
        <f t="shared" si="3"/>
        <v/>
      </c>
      <c r="AI50" s="172" t="str">
        <f t="shared" ref="AI50:AI54" si="62">+AG50</f>
        <v/>
      </c>
      <c r="AJ50" s="174" t="str">
        <f t="shared" si="5"/>
        <v/>
      </c>
      <c r="AK50" s="172" t="str">
        <f t="shared" ref="AK50" si="63">IFERROR(IF(AND(Z49="Impacto",Z50="Impacto"),(AK49-(+AK49*AC50)),IF(Z50="Impacto",($S$13-(+$S$13*AC50)),IF(Z50="Probabilidad",AK49,""))),"")</f>
        <v/>
      </c>
      <c r="AL50" s="175" t="str">
        <f t="shared" ref="AL50:AL51" si="64">IFERROR(IF(OR(AND(AH50="Muy Baja",AJ50="Leve"),AND(AH50="Muy Baja",AJ50="Menor"),AND(AH50="Baja",AJ50="Leve")),"Bajo",IF(OR(AND(AH50="Muy baja",AJ50="Moderado"),AND(AH50="Baja",AJ50="Menor"),AND(AH50="Baja",AJ50="Moderado"),AND(AH50="Media",AJ50="Leve"),AND(AH50="Media",AJ50="Menor"),AND(AH50="Media",AJ50="Moderado"),AND(AH50="Alta",AJ50="Leve"),AND(AH50="Alta",AJ50="Menor")),"Moderado",IF(OR(AND(AH50="Muy Baja",AJ50="Mayor"),AND(AH50="Baja",AJ50="Mayor"),AND(AH50="Media",AJ50="Mayor"),AND(AH50="Alta",AJ50="Moderado"),AND(AH50="Alta",AJ50="Mayor"),AND(AH50="Muy Alta",AJ50="Leve"),AND(AH50="Muy Alta",AJ50="Menor"),AND(AH50="Muy Alta",AJ50="Moderado"),AND(AH50="Muy Alta",AJ50="Mayor")),"Alto",IF(OR(AND(AH50="Muy Baja",AJ50="Catastrófico"),AND(AH50="Baja",AJ50="Catastrófico"),AND(AH50="Media",AJ50="Catastrófico"),AND(AH50="Alta",AJ50="Catastrófico"),AND(AH50="Muy Alta",AJ50="Catastrófico")),"Extremo","")))),"")</f>
        <v/>
      </c>
      <c r="AM50" s="176"/>
      <c r="AN50" s="169"/>
      <c r="AO50" s="177"/>
      <c r="AP50" s="177"/>
      <c r="AQ50" s="178"/>
      <c r="AR50" s="459"/>
      <c r="AS50" s="459"/>
      <c r="AT50" s="459"/>
    </row>
    <row r="51" spans="1:46" x14ac:dyDescent="0.2">
      <c r="A51" s="671"/>
      <c r="B51" s="449"/>
      <c r="C51" s="449"/>
      <c r="D51" s="495"/>
      <c r="E51" s="495"/>
      <c r="F51" s="492"/>
      <c r="G51" s="463"/>
      <c r="H51" s="463"/>
      <c r="I51" s="463"/>
      <c r="J51" s="463"/>
      <c r="K51" s="463"/>
      <c r="L51" s="463"/>
      <c r="M51" s="459"/>
      <c r="N51" s="460"/>
      <c r="O51" s="461"/>
      <c r="P51" s="490"/>
      <c r="Q51" s="461">
        <f>IF(NOT(ISERROR(MATCH(P51,_xlfn.ANCHORARRAY(F62),0))),O64&amp;"Por favor no seleccionar los criterios de impacto",P51)</f>
        <v>0</v>
      </c>
      <c r="R51" s="460"/>
      <c r="S51" s="461"/>
      <c r="T51" s="489"/>
      <c r="U51" s="193">
        <v>3</v>
      </c>
      <c r="V51" s="193"/>
      <c r="W51" s="193"/>
      <c r="X51" s="193"/>
      <c r="Y51" s="218" t="str">
        <f t="shared" si="1"/>
        <v xml:space="preserve">  </v>
      </c>
      <c r="Z51" s="170" t="str">
        <f>IF(OR(AA51="Preventivo",AA51="Detectivo"),"Probabilidad",IF(AA51="Correctivo","Impacto",""))</f>
        <v/>
      </c>
      <c r="AA51" s="171"/>
      <c r="AB51" s="171"/>
      <c r="AC51" s="172" t="str">
        <f t="shared" si="61"/>
        <v/>
      </c>
      <c r="AD51" s="171"/>
      <c r="AE51" s="171"/>
      <c r="AF51" s="171"/>
      <c r="AG51" s="173" t="str">
        <f>IFERROR(IF(AND(Z50="Probabilidad",Z51="Probabilidad"),(AI50-(+AI50*AC51)),IF(AND(Z50="Impacto",Z51="Probabilidad"),(AI49-(+AI49*AC51)),IF(Z51="Impacto",AI50,""))),"")</f>
        <v/>
      </c>
      <c r="AH51" s="174" t="str">
        <f t="shared" si="3"/>
        <v/>
      </c>
      <c r="AI51" s="172" t="str">
        <f t="shared" si="62"/>
        <v/>
      </c>
      <c r="AJ51" s="174" t="str">
        <f t="shared" si="5"/>
        <v/>
      </c>
      <c r="AK51" s="172" t="str">
        <f t="shared" ref="AK51" si="65">IFERROR(IF(AND(Z50="Impacto",Z51="Impacto"),(AK50-(+AK50*AC51)),IF(AND(Z50="Probabilidad",Z51="Impacto"),(AK49-(+AK49*AC51)),IF(Z51="Probabilidad",AK50,""))),"")</f>
        <v/>
      </c>
      <c r="AL51" s="175" t="str">
        <f t="shared" si="64"/>
        <v/>
      </c>
      <c r="AM51" s="176"/>
      <c r="AN51" s="169"/>
      <c r="AO51" s="177"/>
      <c r="AP51" s="177"/>
      <c r="AQ51" s="178"/>
      <c r="AR51" s="459"/>
      <c r="AS51" s="459"/>
      <c r="AT51" s="459"/>
    </row>
    <row r="52" spans="1:46" x14ac:dyDescent="0.2">
      <c r="A52" s="671"/>
      <c r="B52" s="449"/>
      <c r="C52" s="449"/>
      <c r="D52" s="495"/>
      <c r="E52" s="495"/>
      <c r="F52" s="492"/>
      <c r="G52" s="463"/>
      <c r="H52" s="463"/>
      <c r="I52" s="463"/>
      <c r="J52" s="463"/>
      <c r="K52" s="463"/>
      <c r="L52" s="463"/>
      <c r="M52" s="459"/>
      <c r="N52" s="460"/>
      <c r="O52" s="461"/>
      <c r="P52" s="490"/>
      <c r="Q52" s="461">
        <f>IF(NOT(ISERROR(MATCH(P52,_xlfn.ANCHORARRAY(F63),0))),O65&amp;"Por favor no seleccionar los criterios de impacto",P52)</f>
        <v>0</v>
      </c>
      <c r="R52" s="460"/>
      <c r="S52" s="461"/>
      <c r="T52" s="489"/>
      <c r="U52" s="193">
        <v>4</v>
      </c>
      <c r="V52" s="193"/>
      <c r="W52" s="193"/>
      <c r="X52" s="193"/>
      <c r="Y52" s="218" t="str">
        <f t="shared" si="1"/>
        <v xml:space="preserve">  </v>
      </c>
      <c r="Z52" s="170" t="str">
        <f t="shared" ref="Z52:Z54" si="66">IF(OR(AA52="Preventivo",AA52="Detectivo"),"Probabilidad",IF(AA52="Correctivo","Impacto",""))</f>
        <v/>
      </c>
      <c r="AA52" s="171"/>
      <c r="AB52" s="171"/>
      <c r="AC52" s="172" t="str">
        <f t="shared" si="61"/>
        <v/>
      </c>
      <c r="AD52" s="171"/>
      <c r="AE52" s="171"/>
      <c r="AF52" s="171"/>
      <c r="AG52" s="173" t="str">
        <f t="shared" ref="AG52:AG54" si="67">IFERROR(IF(AND(Z51="Probabilidad",Z52="Probabilidad"),(AI51-(+AI51*AC52)),IF(AND(Z51="Impacto",Z52="Probabilidad"),(AI50-(+AI50*AC52)),IF(Z52="Impacto",AI51,""))),"")</f>
        <v/>
      </c>
      <c r="AH52" s="174" t="str">
        <f t="shared" si="3"/>
        <v/>
      </c>
      <c r="AI52" s="172" t="str">
        <f t="shared" si="62"/>
        <v/>
      </c>
      <c r="AJ52" s="174" t="str">
        <f t="shared" si="5"/>
        <v/>
      </c>
      <c r="AK52" s="172" t="str">
        <f t="shared" si="15"/>
        <v/>
      </c>
      <c r="AL52" s="175" t="str">
        <f>IFERROR(IF(OR(AND(AH52="Muy Baja",AJ52="Leve"),AND(AH52="Muy Baja",AJ52="Menor"),AND(AH52="Baja",AJ52="Leve")),"Bajo",IF(OR(AND(AH52="Muy baja",AJ52="Moderado"),AND(AH52="Baja",AJ52="Menor"),AND(AH52="Baja",AJ52="Moderado"),AND(AH52="Media",AJ52="Leve"),AND(AH52="Media",AJ52="Menor"),AND(AH52="Media",AJ52="Moderado"),AND(AH52="Alta",AJ52="Leve"),AND(AH52="Alta",AJ52="Menor")),"Moderado",IF(OR(AND(AH52="Muy Baja",AJ52="Mayor"),AND(AH52="Baja",AJ52="Mayor"),AND(AH52="Media",AJ52="Mayor"),AND(AH52="Alta",AJ52="Moderado"),AND(AH52="Alta",AJ52="Mayor"),AND(AH52="Muy Alta",AJ52="Leve"),AND(AH52="Muy Alta",AJ52="Menor"),AND(AH52="Muy Alta",AJ52="Moderado"),AND(AH52="Muy Alta",AJ52="Mayor")),"Alto",IF(OR(AND(AH52="Muy Baja",AJ52="Catastrófico"),AND(AH52="Baja",AJ52="Catastrófico"),AND(AH52="Media",AJ52="Catastrófico"),AND(AH52="Alta",AJ52="Catastrófico"),AND(AH52="Muy Alta",AJ52="Catastrófico")),"Extremo","")))),"")</f>
        <v/>
      </c>
      <c r="AM52" s="176"/>
      <c r="AN52" s="169"/>
      <c r="AO52" s="177"/>
      <c r="AP52" s="177"/>
      <c r="AQ52" s="178"/>
      <c r="AR52" s="459"/>
      <c r="AS52" s="459"/>
      <c r="AT52" s="459"/>
    </row>
    <row r="53" spans="1:46" x14ac:dyDescent="0.2">
      <c r="A53" s="671"/>
      <c r="B53" s="449"/>
      <c r="C53" s="449"/>
      <c r="D53" s="495"/>
      <c r="E53" s="495"/>
      <c r="F53" s="492"/>
      <c r="G53" s="463"/>
      <c r="H53" s="463"/>
      <c r="I53" s="463"/>
      <c r="J53" s="463"/>
      <c r="K53" s="463"/>
      <c r="L53" s="463"/>
      <c r="M53" s="459"/>
      <c r="N53" s="460"/>
      <c r="O53" s="461"/>
      <c r="P53" s="490"/>
      <c r="Q53" s="461">
        <f>IF(NOT(ISERROR(MATCH(P53,_xlfn.ANCHORARRAY(F64),0))),O66&amp;"Por favor no seleccionar los criterios de impacto",P53)</f>
        <v>0</v>
      </c>
      <c r="R53" s="460"/>
      <c r="S53" s="461"/>
      <c r="T53" s="489"/>
      <c r="U53" s="193">
        <v>5</v>
      </c>
      <c r="V53" s="193"/>
      <c r="W53" s="193"/>
      <c r="X53" s="193"/>
      <c r="Y53" s="218" t="str">
        <f t="shared" si="1"/>
        <v xml:space="preserve">  </v>
      </c>
      <c r="Z53" s="170" t="str">
        <f t="shared" si="66"/>
        <v/>
      </c>
      <c r="AA53" s="171"/>
      <c r="AB53" s="171"/>
      <c r="AC53" s="172" t="str">
        <f t="shared" si="61"/>
        <v/>
      </c>
      <c r="AD53" s="171"/>
      <c r="AE53" s="171"/>
      <c r="AF53" s="171"/>
      <c r="AG53" s="173" t="str">
        <f t="shared" si="67"/>
        <v/>
      </c>
      <c r="AH53" s="174" t="str">
        <f t="shared" si="3"/>
        <v/>
      </c>
      <c r="AI53" s="172" t="str">
        <f t="shared" si="62"/>
        <v/>
      </c>
      <c r="AJ53" s="174" t="str">
        <f t="shared" si="5"/>
        <v/>
      </c>
      <c r="AK53" s="172" t="str">
        <f t="shared" si="15"/>
        <v/>
      </c>
      <c r="AL53" s="175" t="str">
        <f t="shared" ref="AL53:AL54" si="68">IFERROR(IF(OR(AND(AH53="Muy Baja",AJ53="Leve"),AND(AH53="Muy Baja",AJ53="Menor"),AND(AH53="Baja",AJ53="Leve")),"Bajo",IF(OR(AND(AH53="Muy baja",AJ53="Moderado"),AND(AH53="Baja",AJ53="Menor"),AND(AH53="Baja",AJ53="Moderado"),AND(AH53="Media",AJ53="Leve"),AND(AH53="Media",AJ53="Menor"),AND(AH53="Media",AJ53="Moderado"),AND(AH53="Alta",AJ53="Leve"),AND(AH53="Alta",AJ53="Menor")),"Moderado",IF(OR(AND(AH53="Muy Baja",AJ53="Mayor"),AND(AH53="Baja",AJ53="Mayor"),AND(AH53="Media",AJ53="Mayor"),AND(AH53="Alta",AJ53="Moderado"),AND(AH53="Alta",AJ53="Mayor"),AND(AH53="Muy Alta",AJ53="Leve"),AND(AH53="Muy Alta",AJ53="Menor"),AND(AH53="Muy Alta",AJ53="Moderado"),AND(AH53="Muy Alta",AJ53="Mayor")),"Alto",IF(OR(AND(AH53="Muy Baja",AJ53="Catastrófico"),AND(AH53="Baja",AJ53="Catastrófico"),AND(AH53="Media",AJ53="Catastrófico"),AND(AH53="Alta",AJ53="Catastrófico"),AND(AH53="Muy Alta",AJ53="Catastrófico")),"Extremo","")))),"")</f>
        <v/>
      </c>
      <c r="AM53" s="176"/>
      <c r="AN53" s="169"/>
      <c r="AO53" s="177"/>
      <c r="AP53" s="177"/>
      <c r="AQ53" s="178"/>
      <c r="AR53" s="459"/>
      <c r="AS53" s="459"/>
      <c r="AT53" s="459"/>
    </row>
    <row r="54" spans="1:46" x14ac:dyDescent="0.2">
      <c r="A54" s="671"/>
      <c r="B54" s="449"/>
      <c r="C54" s="449"/>
      <c r="D54" s="495"/>
      <c r="E54" s="495"/>
      <c r="F54" s="492"/>
      <c r="G54" s="491"/>
      <c r="H54" s="491"/>
      <c r="I54" s="491"/>
      <c r="J54" s="491"/>
      <c r="K54" s="491"/>
      <c r="L54" s="491"/>
      <c r="M54" s="459"/>
      <c r="N54" s="460"/>
      <c r="O54" s="461"/>
      <c r="P54" s="490"/>
      <c r="Q54" s="461">
        <f>IF(NOT(ISERROR(MATCH(P54,_xlfn.ANCHORARRAY(F65),0))),O67&amp;"Por favor no seleccionar los criterios de impacto",P54)</f>
        <v>0</v>
      </c>
      <c r="R54" s="460"/>
      <c r="S54" s="461"/>
      <c r="T54" s="489"/>
      <c r="U54" s="193">
        <v>6</v>
      </c>
      <c r="V54" s="193"/>
      <c r="W54" s="193"/>
      <c r="X54" s="193"/>
      <c r="Y54" s="218" t="str">
        <f t="shared" si="1"/>
        <v xml:space="preserve">  </v>
      </c>
      <c r="Z54" s="170" t="str">
        <f t="shared" si="66"/>
        <v/>
      </c>
      <c r="AA54" s="171"/>
      <c r="AB54" s="171"/>
      <c r="AC54" s="172" t="str">
        <f t="shared" si="61"/>
        <v/>
      </c>
      <c r="AD54" s="171"/>
      <c r="AE54" s="171"/>
      <c r="AF54" s="171"/>
      <c r="AG54" s="173" t="str">
        <f t="shared" si="67"/>
        <v/>
      </c>
      <c r="AH54" s="174" t="str">
        <f t="shared" si="3"/>
        <v/>
      </c>
      <c r="AI54" s="172" t="str">
        <f t="shared" si="62"/>
        <v/>
      </c>
      <c r="AJ54" s="174" t="str">
        <f t="shared" si="5"/>
        <v/>
      </c>
      <c r="AK54" s="172" t="str">
        <f t="shared" si="15"/>
        <v/>
      </c>
      <c r="AL54" s="175" t="str">
        <f t="shared" si="68"/>
        <v/>
      </c>
      <c r="AM54" s="176"/>
      <c r="AN54" s="169"/>
      <c r="AO54" s="177"/>
      <c r="AP54" s="177"/>
      <c r="AQ54" s="178"/>
      <c r="AR54" s="459"/>
      <c r="AS54" s="459"/>
      <c r="AT54" s="459"/>
    </row>
    <row r="55" spans="1:46" x14ac:dyDescent="0.2">
      <c r="A55" s="671">
        <v>8</v>
      </c>
      <c r="B55" s="449"/>
      <c r="C55" s="449"/>
      <c r="D55" s="449"/>
      <c r="E55" s="449"/>
      <c r="F55" s="492" t="str">
        <f t="shared" ref="F55" si="69">+CONCATENATE(B55," ",C55," ",D55)</f>
        <v xml:space="preserve">  </v>
      </c>
      <c r="G55" s="462"/>
      <c r="H55" s="462"/>
      <c r="I55" s="462"/>
      <c r="J55" s="462"/>
      <c r="K55" s="462"/>
      <c r="L55" s="462"/>
      <c r="M55" s="459"/>
      <c r="N55" s="460" t="str">
        <f>IF(M55&lt;=0,"",IF(M55&lt;=2,"Muy Baja",IF(M55&lt;=24,"Baja",IF(M55&lt;=500,"Media",IF(M55&lt;=5000,"Alta","Muy Alta")))))</f>
        <v/>
      </c>
      <c r="O55" s="461" t="str">
        <f>IF(N55="","",IF(N55="Muy Baja",0.2,IF(N55="Baja",0.4,IF(N55="Media",0.6,IF(N55="Alta",0.8,IF(N55="Muy Alta",1,))))))</f>
        <v/>
      </c>
      <c r="P55" s="490"/>
      <c r="Q55" s="461">
        <f>IF(NOT(ISERROR(MATCH(P55,'Tabla Impacto'!$B$245:$B$247,0))),'Tabla Impacto'!$F$224&amp;"Por favor no seleccionar los criterios de impacto(Afectación Económica o presupuestal y Pérdida Reputacional)",P55)</f>
        <v>0</v>
      </c>
      <c r="R55" s="460" t="str">
        <f>IF(OR(Q55='Tabla Impacto'!$C$12,Q55='Tabla Impacto'!$D$12),"Leve",IF(OR(Q55='Tabla Impacto'!$C$13,Q55='Tabla Impacto'!$D$13),"Menor",IF(OR(Q55='Tabla Impacto'!$C$14,Q55='Tabla Impacto'!$D$14),"Moderado",IF(OR(Q55='Tabla Impacto'!$C$15,Q55='Tabla Impacto'!$D$15),"Mayor",IF(OR(Q55='Tabla Impacto'!$C$16,Q55='Tabla Impacto'!$D$16),"Catastrófico","")))))</f>
        <v/>
      </c>
      <c r="S55" s="461" t="str">
        <f>IF(R55="","",IF(R55="Leve",0.2,IF(R55="Menor",0.4,IF(R55="Moderado",0.6,IF(R55="Mayor",0.8,IF(R55="Catastrófico",1,))))))</f>
        <v/>
      </c>
      <c r="T55" s="489" t="str">
        <f>IF(OR(AND(N55="Muy Baja",R55="Leve"),AND(N55="Muy Baja",R55="Menor"),AND(N55="Baja",R55="Leve")),"Bajo",IF(OR(AND(N55="Muy baja",R55="Moderado"),AND(N55="Baja",R55="Menor"),AND(N55="Baja",R55="Moderado"),AND(N55="Media",R55="Leve"),AND(N55="Media",R55="Menor"),AND(N55="Media",R55="Moderado"),AND(N55="Alta",R55="Leve"),AND(N55="Alta",R55="Menor")),"Moderado",IF(OR(AND(N55="Muy Baja",R55="Mayor"),AND(N55="Baja",R55="Mayor"),AND(N55="Media",R55="Mayor"),AND(N55="Alta",R55="Moderado"),AND(N55="Alta",R55="Mayor"),AND(N55="Muy Alta",R55="Leve"),AND(N55="Muy Alta",R55="Menor"),AND(N55="Muy Alta",R55="Moderado"),AND(N55="Muy Alta",R55="Mayor")),"Alto",IF(OR(AND(N55="Muy Baja",R55="Catastrófico"),AND(N55="Baja",R55="Catastrófico"),AND(N55="Media",R55="Catastrófico"),AND(N55="Alta",R55="Catastrófico"),AND(N55="Muy Alta",R55="Catastrófico")),"Extremo",""))))</f>
        <v/>
      </c>
      <c r="U55" s="193">
        <v>1</v>
      </c>
      <c r="V55" s="193"/>
      <c r="W55" s="193"/>
      <c r="X55" s="193"/>
      <c r="Y55" s="218" t="str">
        <f t="shared" si="1"/>
        <v xml:space="preserve">  </v>
      </c>
      <c r="Z55" s="170" t="str">
        <f>IF(OR(AA55="Preventivo",AA55="Detectivo"),"Probabilidad",IF(AA55="Correctivo","Impacto",""))</f>
        <v/>
      </c>
      <c r="AA55" s="171"/>
      <c r="AB55" s="171"/>
      <c r="AC55" s="172" t="str">
        <f>IF(AND(AA55="Preventivo",AB55="Automático"),"50%",IF(AND(AA55="Preventivo",AB55="Manual"),"40%",IF(AND(AA55="Detectivo",AB55="Automático"),"40%",IF(AND(AA55="Detectivo",AB55="Manual"),"30%",IF(AND(AA55="Correctivo",AB55="Automático"),"35%",IF(AND(AA55="Correctivo",AB55="Manual"),"25%",""))))))</f>
        <v/>
      </c>
      <c r="AD55" s="171"/>
      <c r="AE55" s="171"/>
      <c r="AF55" s="171"/>
      <c r="AG55" s="173" t="str">
        <f>IFERROR(IF(Z55="Probabilidad",(O55-(+O55*AC55)),IF(Z55="Impacto",O55,"")),"")</f>
        <v/>
      </c>
      <c r="AH55" s="174" t="str">
        <f>IFERROR(IF(AG55="","",IF(AG55&lt;=0.2,"Muy Baja",IF(AG55&lt;=0.4,"Baja",IF(AG55&lt;=0.6,"Media",IF(AG55&lt;=0.8,"Alta","Muy Alta"))))),"")</f>
        <v/>
      </c>
      <c r="AI55" s="172" t="str">
        <f>+AG55</f>
        <v/>
      </c>
      <c r="AJ55" s="174" t="str">
        <f>IFERROR(IF(AK55="","",IF(AK55&lt;=0.2,"Leve",IF(AK55&lt;=0.4,"Menor",IF(AK55&lt;=0.6,"Moderado",IF(AK55&lt;=0.8,"Mayor","Catastrófico"))))),"")</f>
        <v/>
      </c>
      <c r="AK55" s="172" t="str">
        <f t="shared" ref="AK55" si="70">IFERROR(IF(Z55="Impacto",(S55-(+S55*AC55)),IF(Z55="Probabilidad",S55,"")),"")</f>
        <v/>
      </c>
      <c r="AL55" s="175" t="str">
        <f>IFERROR(IF(OR(AND(AH55="Muy Baja",AJ55="Leve"),AND(AH55="Muy Baja",AJ55="Menor"),AND(AH55="Baja",AJ55="Leve")),"Bajo",IF(OR(AND(AH55="Muy baja",AJ55="Moderado"),AND(AH55="Baja",AJ55="Menor"),AND(AH55="Baja",AJ55="Moderado"),AND(AH55="Media",AJ55="Leve"),AND(AH55="Media",AJ55="Menor"),AND(AH55="Media",AJ55="Moderado"),AND(AH55="Alta",AJ55="Leve"),AND(AH55="Alta",AJ55="Menor")),"Moderado",IF(OR(AND(AH55="Muy Baja",AJ55="Mayor"),AND(AH55="Baja",AJ55="Mayor"),AND(AH55="Media",AJ55="Mayor"),AND(AH55="Alta",AJ55="Moderado"),AND(AH55="Alta",AJ55="Mayor"),AND(AH55="Muy Alta",AJ55="Leve"),AND(AH55="Muy Alta",AJ55="Menor"),AND(AH55="Muy Alta",AJ55="Moderado"),AND(AH55="Muy Alta",AJ55="Mayor")),"Alto",IF(OR(AND(AH55="Muy Baja",AJ55="Catastrófico"),AND(AH55="Baja",AJ55="Catastrófico"),AND(AH55="Media",AJ55="Catastrófico"),AND(AH55="Alta",AJ55="Catastrófico"),AND(AH55="Muy Alta",AJ55="Catastrófico")),"Extremo","")))),"")</f>
        <v/>
      </c>
      <c r="AM55" s="176"/>
      <c r="AN55" s="169"/>
      <c r="AO55" s="177"/>
      <c r="AP55" s="177"/>
      <c r="AQ55" s="178"/>
      <c r="AR55" s="459"/>
      <c r="AS55" s="459"/>
      <c r="AT55" s="459"/>
    </row>
    <row r="56" spans="1:46" x14ac:dyDescent="0.2">
      <c r="A56" s="671"/>
      <c r="B56" s="449"/>
      <c r="C56" s="449"/>
      <c r="D56" s="449"/>
      <c r="E56" s="449"/>
      <c r="F56" s="492"/>
      <c r="G56" s="463"/>
      <c r="H56" s="463"/>
      <c r="I56" s="463"/>
      <c r="J56" s="463"/>
      <c r="K56" s="463"/>
      <c r="L56" s="463"/>
      <c r="M56" s="459"/>
      <c r="N56" s="460"/>
      <c r="O56" s="461"/>
      <c r="P56" s="490"/>
      <c r="Q56" s="461">
        <f>IF(NOT(ISERROR(MATCH(P56,_xlfn.ANCHORARRAY(F67),0))),O69&amp;"Por favor no seleccionar los criterios de impacto",P56)</f>
        <v>0</v>
      </c>
      <c r="R56" s="460"/>
      <c r="S56" s="461"/>
      <c r="T56" s="489"/>
      <c r="U56" s="193">
        <v>2</v>
      </c>
      <c r="V56" s="193"/>
      <c r="W56" s="193"/>
      <c r="X56" s="193"/>
      <c r="Y56" s="218" t="str">
        <f t="shared" si="1"/>
        <v xml:space="preserve">  </v>
      </c>
      <c r="Z56" s="170" t="str">
        <f>IF(OR(AA56="Preventivo",AA56="Detectivo"),"Probabilidad",IF(AA56="Correctivo","Impacto",""))</f>
        <v/>
      </c>
      <c r="AA56" s="171"/>
      <c r="AB56" s="171"/>
      <c r="AC56" s="172" t="str">
        <f t="shared" ref="AC56:AC60" si="71">IF(AND(AA56="Preventivo",AB56="Automático"),"50%",IF(AND(AA56="Preventivo",AB56="Manual"),"40%",IF(AND(AA56="Detectivo",AB56="Automático"),"40%",IF(AND(AA56="Detectivo",AB56="Manual"),"30%",IF(AND(AA56="Correctivo",AB56="Automático"),"35%",IF(AND(AA56="Correctivo",AB56="Manual"),"25%",""))))))</f>
        <v/>
      </c>
      <c r="AD56" s="171"/>
      <c r="AE56" s="171"/>
      <c r="AF56" s="171"/>
      <c r="AG56" s="173" t="str">
        <f>IFERROR(IF(AND(Z55="Probabilidad",Z56="Probabilidad"),(AI55-(+AI55*AC56)),IF(Z56="Probabilidad",(O55-(+O55*AC56)),IF(Z56="Impacto",AI55,""))),"")</f>
        <v/>
      </c>
      <c r="AH56" s="174" t="str">
        <f t="shared" si="3"/>
        <v/>
      </c>
      <c r="AI56" s="172" t="str">
        <f t="shared" ref="AI56:AI60" si="72">+AG56</f>
        <v/>
      </c>
      <c r="AJ56" s="174" t="str">
        <f t="shared" si="5"/>
        <v/>
      </c>
      <c r="AK56" s="172" t="str">
        <f t="shared" ref="AK56" si="73">IFERROR(IF(AND(Z55="Impacto",Z56="Impacto"),(AK55-(+AK55*AC56)),IF(Z56="Impacto",($S$13-(+$S$13*AC56)),IF(Z56="Probabilidad",AK55,""))),"")</f>
        <v/>
      </c>
      <c r="AL56" s="175" t="str">
        <f t="shared" ref="AL56:AL57" si="74">IFERROR(IF(OR(AND(AH56="Muy Baja",AJ56="Leve"),AND(AH56="Muy Baja",AJ56="Menor"),AND(AH56="Baja",AJ56="Leve")),"Bajo",IF(OR(AND(AH56="Muy baja",AJ56="Moderado"),AND(AH56="Baja",AJ56="Menor"),AND(AH56="Baja",AJ56="Moderado"),AND(AH56="Media",AJ56="Leve"),AND(AH56="Media",AJ56="Menor"),AND(AH56="Media",AJ56="Moderado"),AND(AH56="Alta",AJ56="Leve"),AND(AH56="Alta",AJ56="Menor")),"Moderado",IF(OR(AND(AH56="Muy Baja",AJ56="Mayor"),AND(AH56="Baja",AJ56="Mayor"),AND(AH56="Media",AJ56="Mayor"),AND(AH56="Alta",AJ56="Moderado"),AND(AH56="Alta",AJ56="Mayor"),AND(AH56="Muy Alta",AJ56="Leve"),AND(AH56="Muy Alta",AJ56="Menor"),AND(AH56="Muy Alta",AJ56="Moderado"),AND(AH56="Muy Alta",AJ56="Mayor")),"Alto",IF(OR(AND(AH56="Muy Baja",AJ56="Catastrófico"),AND(AH56="Baja",AJ56="Catastrófico"),AND(AH56="Media",AJ56="Catastrófico"),AND(AH56="Alta",AJ56="Catastrófico"),AND(AH56="Muy Alta",AJ56="Catastrófico")),"Extremo","")))),"")</f>
        <v/>
      </c>
      <c r="AM56" s="176"/>
      <c r="AN56" s="169"/>
      <c r="AO56" s="177"/>
      <c r="AP56" s="177"/>
      <c r="AQ56" s="178"/>
      <c r="AR56" s="459"/>
      <c r="AS56" s="459"/>
      <c r="AT56" s="459"/>
    </row>
    <row r="57" spans="1:46" x14ac:dyDescent="0.2">
      <c r="A57" s="671"/>
      <c r="B57" s="449"/>
      <c r="C57" s="449"/>
      <c r="D57" s="449"/>
      <c r="E57" s="449"/>
      <c r="F57" s="492"/>
      <c r="G57" s="463"/>
      <c r="H57" s="463"/>
      <c r="I57" s="463"/>
      <c r="J57" s="463"/>
      <c r="K57" s="463"/>
      <c r="L57" s="463"/>
      <c r="M57" s="459"/>
      <c r="N57" s="460"/>
      <c r="O57" s="461"/>
      <c r="P57" s="490"/>
      <c r="Q57" s="461">
        <f>IF(NOT(ISERROR(MATCH(P57,_xlfn.ANCHORARRAY(F68),0))),O70&amp;"Por favor no seleccionar los criterios de impacto",P57)</f>
        <v>0</v>
      </c>
      <c r="R57" s="460"/>
      <c r="S57" s="461"/>
      <c r="T57" s="489"/>
      <c r="U57" s="193">
        <v>3</v>
      </c>
      <c r="V57" s="193"/>
      <c r="W57" s="193"/>
      <c r="X57" s="193"/>
      <c r="Y57" s="218" t="str">
        <f t="shared" si="1"/>
        <v xml:space="preserve">  </v>
      </c>
      <c r="Z57" s="170" t="str">
        <f>IF(OR(AA57="Preventivo",AA57="Detectivo"),"Probabilidad",IF(AA57="Correctivo","Impacto",""))</f>
        <v/>
      </c>
      <c r="AA57" s="171"/>
      <c r="AB57" s="171"/>
      <c r="AC57" s="172" t="str">
        <f t="shared" si="71"/>
        <v/>
      </c>
      <c r="AD57" s="171"/>
      <c r="AE57" s="171"/>
      <c r="AF57" s="171"/>
      <c r="AG57" s="173" t="str">
        <f>IFERROR(IF(AND(Z56="Probabilidad",Z57="Probabilidad"),(AI56-(+AI56*AC57)),IF(AND(Z56="Impacto",Z57="Probabilidad"),(AI55-(+AI55*AC57)),IF(Z57="Impacto",AI56,""))),"")</f>
        <v/>
      </c>
      <c r="AH57" s="174" t="str">
        <f t="shared" si="3"/>
        <v/>
      </c>
      <c r="AI57" s="172" t="str">
        <f t="shared" si="72"/>
        <v/>
      </c>
      <c r="AJ57" s="174" t="str">
        <f t="shared" si="5"/>
        <v/>
      </c>
      <c r="AK57" s="172" t="str">
        <f t="shared" ref="AK57" si="75">IFERROR(IF(AND(Z56="Impacto",Z57="Impacto"),(AK56-(+AK56*AC57)),IF(AND(Z56="Probabilidad",Z57="Impacto"),(AK55-(+AK55*AC57)),IF(Z57="Probabilidad",AK56,""))),"")</f>
        <v/>
      </c>
      <c r="AL57" s="175" t="str">
        <f t="shared" si="74"/>
        <v/>
      </c>
      <c r="AM57" s="176"/>
      <c r="AN57" s="169"/>
      <c r="AO57" s="177"/>
      <c r="AP57" s="177"/>
      <c r="AQ57" s="178"/>
      <c r="AR57" s="459"/>
      <c r="AS57" s="459"/>
      <c r="AT57" s="459"/>
    </row>
    <row r="58" spans="1:46" x14ac:dyDescent="0.2">
      <c r="A58" s="671"/>
      <c r="B58" s="449"/>
      <c r="C58" s="449"/>
      <c r="D58" s="449"/>
      <c r="E58" s="449"/>
      <c r="F58" s="492"/>
      <c r="G58" s="463"/>
      <c r="H58" s="463"/>
      <c r="I58" s="463"/>
      <c r="J58" s="463"/>
      <c r="K58" s="463"/>
      <c r="L58" s="463"/>
      <c r="M58" s="459"/>
      <c r="N58" s="460"/>
      <c r="O58" s="461"/>
      <c r="P58" s="490"/>
      <c r="Q58" s="461">
        <f>IF(NOT(ISERROR(MATCH(P58,_xlfn.ANCHORARRAY(F69),0))),O71&amp;"Por favor no seleccionar los criterios de impacto",P58)</f>
        <v>0</v>
      </c>
      <c r="R58" s="460"/>
      <c r="S58" s="461"/>
      <c r="T58" s="489"/>
      <c r="U58" s="193">
        <v>4</v>
      </c>
      <c r="V58" s="193"/>
      <c r="W58" s="193"/>
      <c r="X58" s="193"/>
      <c r="Y58" s="218" t="str">
        <f t="shared" si="1"/>
        <v xml:space="preserve">  </v>
      </c>
      <c r="Z58" s="170" t="str">
        <f t="shared" ref="Z58:Z60" si="76">IF(OR(AA58="Preventivo",AA58="Detectivo"),"Probabilidad",IF(AA58="Correctivo","Impacto",""))</f>
        <v/>
      </c>
      <c r="AA58" s="171"/>
      <c r="AB58" s="171"/>
      <c r="AC58" s="172" t="str">
        <f t="shared" si="71"/>
        <v/>
      </c>
      <c r="AD58" s="171"/>
      <c r="AE58" s="171"/>
      <c r="AF58" s="171"/>
      <c r="AG58" s="173" t="str">
        <f t="shared" ref="AG58:AG60" si="77">IFERROR(IF(AND(Z57="Probabilidad",Z58="Probabilidad"),(AI57-(+AI57*AC58)),IF(AND(Z57="Impacto",Z58="Probabilidad"),(AI56-(+AI56*AC58)),IF(Z58="Impacto",AI57,""))),"")</f>
        <v/>
      </c>
      <c r="AH58" s="174" t="str">
        <f t="shared" si="3"/>
        <v/>
      </c>
      <c r="AI58" s="172" t="str">
        <f t="shared" si="72"/>
        <v/>
      </c>
      <c r="AJ58" s="174" t="str">
        <f t="shared" si="5"/>
        <v/>
      </c>
      <c r="AK58" s="172" t="str">
        <f t="shared" si="15"/>
        <v/>
      </c>
      <c r="AL58" s="175" t="str">
        <f>IFERROR(IF(OR(AND(AH58="Muy Baja",AJ58="Leve"),AND(AH58="Muy Baja",AJ58="Menor"),AND(AH58="Baja",AJ58="Leve")),"Bajo",IF(OR(AND(AH58="Muy baja",AJ58="Moderado"),AND(AH58="Baja",AJ58="Menor"),AND(AH58="Baja",AJ58="Moderado"),AND(AH58="Media",AJ58="Leve"),AND(AH58="Media",AJ58="Menor"),AND(AH58="Media",AJ58="Moderado"),AND(AH58="Alta",AJ58="Leve"),AND(AH58="Alta",AJ58="Menor")),"Moderado",IF(OR(AND(AH58="Muy Baja",AJ58="Mayor"),AND(AH58="Baja",AJ58="Mayor"),AND(AH58="Media",AJ58="Mayor"),AND(AH58="Alta",AJ58="Moderado"),AND(AH58="Alta",AJ58="Mayor"),AND(AH58="Muy Alta",AJ58="Leve"),AND(AH58="Muy Alta",AJ58="Menor"),AND(AH58="Muy Alta",AJ58="Moderado"),AND(AH58="Muy Alta",AJ58="Mayor")),"Alto",IF(OR(AND(AH58="Muy Baja",AJ58="Catastrófico"),AND(AH58="Baja",AJ58="Catastrófico"),AND(AH58="Media",AJ58="Catastrófico"),AND(AH58="Alta",AJ58="Catastrófico"),AND(AH58="Muy Alta",AJ58="Catastrófico")),"Extremo","")))),"")</f>
        <v/>
      </c>
      <c r="AM58" s="176"/>
      <c r="AN58" s="169"/>
      <c r="AO58" s="177"/>
      <c r="AP58" s="177"/>
      <c r="AQ58" s="178"/>
      <c r="AR58" s="459"/>
      <c r="AS58" s="459"/>
      <c r="AT58" s="459"/>
    </row>
    <row r="59" spans="1:46" x14ac:dyDescent="0.2">
      <c r="A59" s="671"/>
      <c r="B59" s="449"/>
      <c r="C59" s="449"/>
      <c r="D59" s="449"/>
      <c r="E59" s="449"/>
      <c r="F59" s="492"/>
      <c r="G59" s="463"/>
      <c r="H59" s="463"/>
      <c r="I59" s="463"/>
      <c r="J59" s="463"/>
      <c r="K59" s="463"/>
      <c r="L59" s="463"/>
      <c r="M59" s="459"/>
      <c r="N59" s="460"/>
      <c r="O59" s="461"/>
      <c r="P59" s="490"/>
      <c r="Q59" s="461">
        <f>IF(NOT(ISERROR(MATCH(P59,_xlfn.ANCHORARRAY(F70),0))),O72&amp;"Por favor no seleccionar los criterios de impacto",P59)</f>
        <v>0</v>
      </c>
      <c r="R59" s="460"/>
      <c r="S59" s="461"/>
      <c r="T59" s="489"/>
      <c r="U59" s="193">
        <v>5</v>
      </c>
      <c r="V59" s="193"/>
      <c r="W59" s="193"/>
      <c r="X59" s="193"/>
      <c r="Y59" s="218" t="str">
        <f t="shared" si="1"/>
        <v xml:space="preserve">  </v>
      </c>
      <c r="Z59" s="170" t="str">
        <f t="shared" si="76"/>
        <v/>
      </c>
      <c r="AA59" s="171"/>
      <c r="AB59" s="171"/>
      <c r="AC59" s="172" t="str">
        <f t="shared" si="71"/>
        <v/>
      </c>
      <c r="AD59" s="171"/>
      <c r="AE59" s="171"/>
      <c r="AF59" s="171"/>
      <c r="AG59" s="173" t="str">
        <f t="shared" si="77"/>
        <v/>
      </c>
      <c r="AH59" s="174" t="str">
        <f t="shared" si="3"/>
        <v/>
      </c>
      <c r="AI59" s="172" t="str">
        <f t="shared" si="72"/>
        <v/>
      </c>
      <c r="AJ59" s="174" t="str">
        <f t="shared" si="5"/>
        <v/>
      </c>
      <c r="AK59" s="172" t="str">
        <f t="shared" si="15"/>
        <v/>
      </c>
      <c r="AL59" s="175" t="str">
        <f t="shared" ref="AL59:AL60" si="78">IFERROR(IF(OR(AND(AH59="Muy Baja",AJ59="Leve"),AND(AH59="Muy Baja",AJ59="Menor"),AND(AH59="Baja",AJ59="Leve")),"Bajo",IF(OR(AND(AH59="Muy baja",AJ59="Moderado"),AND(AH59="Baja",AJ59="Menor"),AND(AH59="Baja",AJ59="Moderado"),AND(AH59="Media",AJ59="Leve"),AND(AH59="Media",AJ59="Menor"),AND(AH59="Media",AJ59="Moderado"),AND(AH59="Alta",AJ59="Leve"),AND(AH59="Alta",AJ59="Menor")),"Moderado",IF(OR(AND(AH59="Muy Baja",AJ59="Mayor"),AND(AH59="Baja",AJ59="Mayor"),AND(AH59="Media",AJ59="Mayor"),AND(AH59="Alta",AJ59="Moderado"),AND(AH59="Alta",AJ59="Mayor"),AND(AH59="Muy Alta",AJ59="Leve"),AND(AH59="Muy Alta",AJ59="Menor"),AND(AH59="Muy Alta",AJ59="Moderado"),AND(AH59="Muy Alta",AJ59="Mayor")),"Alto",IF(OR(AND(AH59="Muy Baja",AJ59="Catastrófico"),AND(AH59="Baja",AJ59="Catastrófico"),AND(AH59="Media",AJ59="Catastrófico"),AND(AH59="Alta",AJ59="Catastrófico"),AND(AH59="Muy Alta",AJ59="Catastrófico")),"Extremo","")))),"")</f>
        <v/>
      </c>
      <c r="AM59" s="176"/>
      <c r="AN59" s="169"/>
      <c r="AO59" s="177"/>
      <c r="AP59" s="177"/>
      <c r="AQ59" s="178"/>
      <c r="AR59" s="459"/>
      <c r="AS59" s="459"/>
      <c r="AT59" s="459"/>
    </row>
    <row r="60" spans="1:46" x14ac:dyDescent="0.2">
      <c r="A60" s="671"/>
      <c r="B60" s="449"/>
      <c r="C60" s="449"/>
      <c r="D60" s="449"/>
      <c r="E60" s="449"/>
      <c r="F60" s="492"/>
      <c r="G60" s="491"/>
      <c r="H60" s="491"/>
      <c r="I60" s="491"/>
      <c r="J60" s="491"/>
      <c r="K60" s="491"/>
      <c r="L60" s="491"/>
      <c r="M60" s="459"/>
      <c r="N60" s="460"/>
      <c r="O60" s="461"/>
      <c r="P60" s="490"/>
      <c r="Q60" s="461">
        <f>IF(NOT(ISERROR(MATCH(P60,_xlfn.ANCHORARRAY(F71),0))),P73&amp;"Por favor no seleccionar los criterios de impacto",P60)</f>
        <v>0</v>
      </c>
      <c r="R60" s="460"/>
      <c r="S60" s="461"/>
      <c r="T60" s="489"/>
      <c r="U60" s="193">
        <v>6</v>
      </c>
      <c r="V60" s="193"/>
      <c r="W60" s="193"/>
      <c r="X60" s="193"/>
      <c r="Y60" s="218" t="str">
        <f t="shared" si="1"/>
        <v xml:space="preserve">  </v>
      </c>
      <c r="Z60" s="170" t="str">
        <f t="shared" si="76"/>
        <v/>
      </c>
      <c r="AA60" s="171"/>
      <c r="AB60" s="171"/>
      <c r="AC60" s="172" t="str">
        <f t="shared" si="71"/>
        <v/>
      </c>
      <c r="AD60" s="171"/>
      <c r="AE60" s="171"/>
      <c r="AF60" s="171"/>
      <c r="AG60" s="173" t="str">
        <f t="shared" si="77"/>
        <v/>
      </c>
      <c r="AH60" s="174" t="str">
        <f t="shared" si="3"/>
        <v/>
      </c>
      <c r="AI60" s="172" t="str">
        <f t="shared" si="72"/>
        <v/>
      </c>
      <c r="AJ60" s="174" t="str">
        <f t="shared" si="5"/>
        <v/>
      </c>
      <c r="AK60" s="172" t="str">
        <f t="shared" si="15"/>
        <v/>
      </c>
      <c r="AL60" s="175" t="str">
        <f t="shared" si="78"/>
        <v/>
      </c>
      <c r="AM60" s="176"/>
      <c r="AN60" s="169"/>
      <c r="AO60" s="177"/>
      <c r="AP60" s="177"/>
      <c r="AQ60" s="178"/>
      <c r="AR60" s="459"/>
      <c r="AS60" s="459"/>
      <c r="AT60" s="459"/>
    </row>
    <row r="61" spans="1:46" x14ac:dyDescent="0.2">
      <c r="A61" s="671">
        <v>9</v>
      </c>
      <c r="B61" s="449"/>
      <c r="C61" s="449"/>
      <c r="D61" s="449"/>
      <c r="E61" s="449"/>
      <c r="F61" s="492" t="str">
        <f t="shared" ref="F61" si="79">+CONCATENATE(B61," ",C61," ",D61)</f>
        <v xml:space="preserve">  </v>
      </c>
      <c r="G61" s="462"/>
      <c r="H61" s="200"/>
      <c r="I61" s="200"/>
      <c r="J61" s="200"/>
      <c r="K61" s="462"/>
      <c r="L61" s="462"/>
      <c r="M61" s="459"/>
      <c r="N61" s="460" t="str">
        <f>IF(M61&lt;=0,"",IF(M61&lt;=2,"Muy Baja",IF(M61&lt;=24,"Baja",IF(M61&lt;=500,"Media",IF(M61&lt;=5000,"Alta","Muy Alta")))))</f>
        <v/>
      </c>
      <c r="O61" s="461" t="str">
        <f>IF(N61="","",IF(N61="Muy Baja",0.2,IF(N61="Baja",0.4,IF(N61="Media",0.6,IF(N61="Alta",0.8,IF(N61="Muy Alta",1,))))))</f>
        <v/>
      </c>
      <c r="P61" s="490"/>
      <c r="Q61" s="461">
        <f>IF(NOT(ISERROR(MATCH(P61,'Tabla Impacto'!$B$245:$B$247,0))),'Tabla Impacto'!$F$224&amp;"Por favor no seleccionar los criterios de impacto(Afectación Económica o presupuestal y Pérdida Reputacional)",P61)</f>
        <v>0</v>
      </c>
      <c r="R61" s="460" t="str">
        <f>IF(OR(Q61='Tabla Impacto'!$C$12,Q61='Tabla Impacto'!$D$12),"Leve",IF(OR(Q61='Tabla Impacto'!$C$13,Q61='Tabla Impacto'!$D$13),"Menor",IF(OR(Q61='Tabla Impacto'!$C$14,Q61='Tabla Impacto'!$D$14),"Moderado",IF(OR(Q61='Tabla Impacto'!$C$15,Q61='Tabla Impacto'!$D$15),"Mayor",IF(OR(Q61='Tabla Impacto'!$C$16,Q61='Tabla Impacto'!$D$16),"Catastrófico","")))))</f>
        <v/>
      </c>
      <c r="S61" s="461" t="str">
        <f>IF(R61="","",IF(R61="Leve",0.2,IF(R61="Menor",0.4,IF(R61="Moderado",0.6,IF(R61="Mayor",0.8,IF(R61="Catastrófico",1,))))))</f>
        <v/>
      </c>
      <c r="T61" s="489" t="str">
        <f>IF(OR(AND(N61="Muy Baja",R61="Leve"),AND(N61="Muy Baja",R61="Menor"),AND(N61="Baja",R61="Leve")),"Bajo",IF(OR(AND(N61="Muy baja",R61="Moderado"),AND(N61="Baja",R61="Menor"),AND(N61="Baja",R61="Moderado"),AND(N61="Media",R61="Leve"),AND(N61="Media",R61="Menor"),AND(N61="Media",R61="Moderado"),AND(N61="Alta",R61="Leve"),AND(N61="Alta",R61="Menor")),"Moderado",IF(OR(AND(N61="Muy Baja",R61="Mayor"),AND(N61="Baja",R61="Mayor"),AND(N61="Media",R61="Mayor"),AND(N61="Alta",R61="Moderado"),AND(N61="Alta",R61="Mayor"),AND(N61="Muy Alta",R61="Leve"),AND(N61="Muy Alta",R61="Menor"),AND(N61="Muy Alta",R61="Moderado"),AND(N61="Muy Alta",R61="Mayor")),"Alto",IF(OR(AND(N61="Muy Baja",R61="Catastrófico"),AND(N61="Baja",R61="Catastrófico"),AND(N61="Media",R61="Catastrófico"),AND(N61="Alta",R61="Catastrófico"),AND(N61="Muy Alta",R61="Catastrófico")),"Extremo",""))))</f>
        <v/>
      </c>
      <c r="U61" s="193">
        <v>1</v>
      </c>
      <c r="V61" s="193"/>
      <c r="W61" s="193"/>
      <c r="X61" s="193"/>
      <c r="Y61" s="218" t="str">
        <f t="shared" si="1"/>
        <v xml:space="preserve">  </v>
      </c>
      <c r="Z61" s="170" t="str">
        <f>IF(OR(AA61="Preventivo",AA61="Detectivo"),"Probabilidad",IF(AA61="Correctivo","Impacto",""))</f>
        <v/>
      </c>
      <c r="AA61" s="171"/>
      <c r="AB61" s="171"/>
      <c r="AC61" s="172" t="str">
        <f>IF(AND(AA61="Preventivo",AB61="Automático"),"50%",IF(AND(AA61="Preventivo",AB61="Manual"),"40%",IF(AND(AA61="Detectivo",AB61="Automático"),"40%",IF(AND(AA61="Detectivo",AB61="Manual"),"30%",IF(AND(AA61="Correctivo",AB61="Automático"),"35%",IF(AND(AA61="Correctivo",AB61="Manual"),"25%",""))))))</f>
        <v/>
      </c>
      <c r="AD61" s="171"/>
      <c r="AE61" s="171"/>
      <c r="AF61" s="171"/>
      <c r="AG61" s="173" t="str">
        <f>IFERROR(IF(Z61="Probabilidad",(O61-(+O61*AC61)),IF(Z61="Impacto",O61,"")),"")</f>
        <v/>
      </c>
      <c r="AH61" s="174" t="str">
        <f>IFERROR(IF(AG61="","",IF(AG61&lt;=0.2,"Muy Baja",IF(AG61&lt;=0.4,"Baja",IF(AG61&lt;=0.6,"Media",IF(AG61&lt;=0.8,"Alta","Muy Alta"))))),"")</f>
        <v/>
      </c>
      <c r="AI61" s="172" t="str">
        <f>+AG61</f>
        <v/>
      </c>
      <c r="AJ61" s="174" t="str">
        <f>IFERROR(IF(AK61="","",IF(AK61&lt;=0.2,"Leve",IF(AK61&lt;=0.4,"Menor",IF(AK61&lt;=0.6,"Moderado",IF(AK61&lt;=0.8,"Mayor","Catastrófico"))))),"")</f>
        <v/>
      </c>
      <c r="AK61" s="172" t="str">
        <f t="shared" ref="AK61" si="80">IFERROR(IF(Z61="Impacto",(S61-(+S61*AC61)),IF(Z61="Probabilidad",S61,"")),"")</f>
        <v/>
      </c>
      <c r="AL61" s="175" t="str">
        <f>IFERROR(IF(OR(AND(AH61="Muy Baja",AJ61="Leve"),AND(AH61="Muy Baja",AJ61="Menor"),AND(AH61="Baja",AJ61="Leve")),"Bajo",IF(OR(AND(AH61="Muy baja",AJ61="Moderado"),AND(AH61="Baja",AJ61="Menor"),AND(AH61="Baja",AJ61="Moderado"),AND(AH61="Media",AJ61="Leve"),AND(AH61="Media",AJ61="Menor"),AND(AH61="Media",AJ61="Moderado"),AND(AH61="Alta",AJ61="Leve"),AND(AH61="Alta",AJ61="Menor")),"Moderado",IF(OR(AND(AH61="Muy Baja",AJ61="Mayor"),AND(AH61="Baja",AJ61="Mayor"),AND(AH61="Media",AJ61="Mayor"),AND(AH61="Alta",AJ61="Moderado"),AND(AH61="Alta",AJ61="Mayor"),AND(AH61="Muy Alta",AJ61="Leve"),AND(AH61="Muy Alta",AJ61="Menor"),AND(AH61="Muy Alta",AJ61="Moderado"),AND(AH61="Muy Alta",AJ61="Mayor")),"Alto",IF(OR(AND(AH61="Muy Baja",AJ61="Catastrófico"),AND(AH61="Baja",AJ61="Catastrófico"),AND(AH61="Media",AJ61="Catastrófico"),AND(AH61="Alta",AJ61="Catastrófico"),AND(AH61="Muy Alta",AJ61="Catastrófico")),"Extremo","")))),"")</f>
        <v/>
      </c>
      <c r="AM61" s="176"/>
      <c r="AN61" s="169"/>
      <c r="AO61" s="177"/>
      <c r="AP61" s="177"/>
      <c r="AQ61" s="178"/>
      <c r="AR61" s="459"/>
      <c r="AS61" s="459"/>
      <c r="AT61" s="459"/>
    </row>
    <row r="62" spans="1:46" x14ac:dyDescent="0.2">
      <c r="A62" s="671"/>
      <c r="B62" s="449"/>
      <c r="C62" s="449"/>
      <c r="D62" s="449"/>
      <c r="E62" s="449"/>
      <c r="F62" s="492"/>
      <c r="G62" s="463"/>
      <c r="H62" s="201"/>
      <c r="I62" s="201"/>
      <c r="J62" s="201"/>
      <c r="K62" s="463"/>
      <c r="L62" s="463"/>
      <c r="M62" s="459"/>
      <c r="N62" s="460"/>
      <c r="O62" s="461"/>
      <c r="P62" s="490"/>
      <c r="Q62" s="461">
        <f>IF(NOT(ISERROR(MATCH(P62,_xlfn.ANCHORARRAY(#REF!),0))),P75&amp;"Por favor no seleccionar los criterios de impacto",P62)</f>
        <v>0</v>
      </c>
      <c r="R62" s="460"/>
      <c r="S62" s="461"/>
      <c r="T62" s="489"/>
      <c r="U62" s="193">
        <v>2</v>
      </c>
      <c r="V62" s="193"/>
      <c r="W62" s="193"/>
      <c r="X62" s="193"/>
      <c r="Y62" s="218" t="str">
        <f t="shared" si="1"/>
        <v xml:space="preserve">  </v>
      </c>
      <c r="Z62" s="170" t="str">
        <f>IF(OR(AA62="Preventivo",AA62="Detectivo"),"Probabilidad",IF(AA62="Correctivo","Impacto",""))</f>
        <v/>
      </c>
      <c r="AA62" s="171"/>
      <c r="AB62" s="171"/>
      <c r="AC62" s="172" t="str">
        <f t="shared" ref="AC62:AC66" si="81">IF(AND(AA62="Preventivo",AB62="Automático"),"50%",IF(AND(AA62="Preventivo",AB62="Manual"),"40%",IF(AND(AA62="Detectivo",AB62="Automático"),"40%",IF(AND(AA62="Detectivo",AB62="Manual"),"30%",IF(AND(AA62="Correctivo",AB62="Automático"),"35%",IF(AND(AA62="Correctivo",AB62="Manual"),"25%",""))))))</f>
        <v/>
      </c>
      <c r="AD62" s="171"/>
      <c r="AE62" s="171"/>
      <c r="AF62" s="171"/>
      <c r="AG62" s="173" t="str">
        <f>IFERROR(IF(AND(Z61="Probabilidad",Z62="Probabilidad"),(AI61-(+AI61*AC62)),IF(Z62="Probabilidad",(O61-(+O61*AC62)),IF(Z62="Impacto",AI61,""))),"")</f>
        <v/>
      </c>
      <c r="AH62" s="174" t="str">
        <f t="shared" si="3"/>
        <v/>
      </c>
      <c r="AI62" s="172" t="str">
        <f t="shared" ref="AI62:AI66" si="82">+AG62</f>
        <v/>
      </c>
      <c r="AJ62" s="174" t="str">
        <f t="shared" si="5"/>
        <v/>
      </c>
      <c r="AK62" s="172" t="str">
        <f t="shared" ref="AK62" si="83">IFERROR(IF(AND(Z61="Impacto",Z62="Impacto"),(AK61-(+AK61*AC62)),IF(Z62="Impacto",($S$13-(+$S$13*AC62)),IF(Z62="Probabilidad",AK61,""))),"")</f>
        <v/>
      </c>
      <c r="AL62" s="175" t="str">
        <f t="shared" ref="AL62:AL63" si="84">IFERROR(IF(OR(AND(AH62="Muy Baja",AJ62="Leve"),AND(AH62="Muy Baja",AJ62="Menor"),AND(AH62="Baja",AJ62="Leve")),"Bajo",IF(OR(AND(AH62="Muy baja",AJ62="Moderado"),AND(AH62="Baja",AJ62="Menor"),AND(AH62="Baja",AJ62="Moderado"),AND(AH62="Media",AJ62="Leve"),AND(AH62="Media",AJ62="Menor"),AND(AH62="Media",AJ62="Moderado"),AND(AH62="Alta",AJ62="Leve"),AND(AH62="Alta",AJ62="Menor")),"Moderado",IF(OR(AND(AH62="Muy Baja",AJ62="Mayor"),AND(AH62="Baja",AJ62="Mayor"),AND(AH62="Media",AJ62="Mayor"),AND(AH62="Alta",AJ62="Moderado"),AND(AH62="Alta",AJ62="Mayor"),AND(AH62="Muy Alta",AJ62="Leve"),AND(AH62="Muy Alta",AJ62="Menor"),AND(AH62="Muy Alta",AJ62="Moderado"),AND(AH62="Muy Alta",AJ62="Mayor")),"Alto",IF(OR(AND(AH62="Muy Baja",AJ62="Catastrófico"),AND(AH62="Baja",AJ62="Catastrófico"),AND(AH62="Media",AJ62="Catastrófico"),AND(AH62="Alta",AJ62="Catastrófico"),AND(AH62="Muy Alta",AJ62="Catastrófico")),"Extremo","")))),"")</f>
        <v/>
      </c>
      <c r="AM62" s="176"/>
      <c r="AN62" s="169"/>
      <c r="AO62" s="177"/>
      <c r="AP62" s="177"/>
      <c r="AQ62" s="178"/>
      <c r="AR62" s="459"/>
      <c r="AS62" s="459"/>
      <c r="AT62" s="459"/>
    </row>
    <row r="63" spans="1:46" x14ac:dyDescent="0.2">
      <c r="A63" s="671"/>
      <c r="B63" s="449"/>
      <c r="C63" s="449"/>
      <c r="D63" s="449"/>
      <c r="E63" s="449"/>
      <c r="F63" s="492"/>
      <c r="G63" s="463"/>
      <c r="H63" s="201"/>
      <c r="I63" s="201"/>
      <c r="J63" s="201"/>
      <c r="K63" s="463"/>
      <c r="L63" s="463"/>
      <c r="M63" s="459"/>
      <c r="N63" s="460"/>
      <c r="O63" s="461"/>
      <c r="P63" s="490"/>
      <c r="Q63" s="461">
        <f>IF(NOT(ISERROR(MATCH(P63,_xlfn.ANCHORARRAY(#REF!),0))),P76&amp;"Por favor no seleccionar los criterios de impacto",P63)</f>
        <v>0</v>
      </c>
      <c r="R63" s="460"/>
      <c r="S63" s="461"/>
      <c r="T63" s="489"/>
      <c r="U63" s="193">
        <v>3</v>
      </c>
      <c r="V63" s="193"/>
      <c r="W63" s="193"/>
      <c r="X63" s="193"/>
      <c r="Y63" s="218" t="str">
        <f t="shared" si="1"/>
        <v xml:space="preserve">  </v>
      </c>
      <c r="Z63" s="170" t="str">
        <f>IF(OR(AA63="Preventivo",AA63="Detectivo"),"Probabilidad",IF(AA63="Correctivo","Impacto",""))</f>
        <v/>
      </c>
      <c r="AA63" s="171"/>
      <c r="AB63" s="171"/>
      <c r="AC63" s="172" t="str">
        <f t="shared" si="81"/>
        <v/>
      </c>
      <c r="AD63" s="171"/>
      <c r="AE63" s="171"/>
      <c r="AF63" s="171"/>
      <c r="AG63" s="173" t="str">
        <f>IFERROR(IF(AND(Z62="Probabilidad",Z63="Probabilidad"),(AI62-(+AI62*AC63)),IF(AND(Z62="Impacto",Z63="Probabilidad"),(AI61-(+AI61*AC63)),IF(Z63="Impacto",AI62,""))),"")</f>
        <v/>
      </c>
      <c r="AH63" s="174" t="str">
        <f t="shared" si="3"/>
        <v/>
      </c>
      <c r="AI63" s="172" t="str">
        <f t="shared" si="82"/>
        <v/>
      </c>
      <c r="AJ63" s="174" t="str">
        <f t="shared" si="5"/>
        <v/>
      </c>
      <c r="AK63" s="172" t="str">
        <f t="shared" ref="AK63" si="85">IFERROR(IF(AND(Z62="Impacto",Z63="Impacto"),(AK62-(+AK62*AC63)),IF(AND(Z62="Probabilidad",Z63="Impacto"),(AK61-(+AK61*AC63)),IF(Z63="Probabilidad",AK62,""))),"")</f>
        <v/>
      </c>
      <c r="AL63" s="175" t="str">
        <f t="shared" si="84"/>
        <v/>
      </c>
      <c r="AM63" s="176"/>
      <c r="AN63" s="169"/>
      <c r="AO63" s="177"/>
      <c r="AP63" s="177"/>
      <c r="AQ63" s="178"/>
      <c r="AR63" s="459"/>
      <c r="AS63" s="459"/>
      <c r="AT63" s="459"/>
    </row>
    <row r="64" spans="1:46" x14ac:dyDescent="0.2">
      <c r="A64" s="671"/>
      <c r="B64" s="449"/>
      <c r="C64" s="449"/>
      <c r="D64" s="449"/>
      <c r="E64" s="449"/>
      <c r="F64" s="492"/>
      <c r="G64" s="463"/>
      <c r="H64" s="201"/>
      <c r="I64" s="201"/>
      <c r="J64" s="201"/>
      <c r="K64" s="463"/>
      <c r="L64" s="463"/>
      <c r="M64" s="459"/>
      <c r="N64" s="460"/>
      <c r="O64" s="461"/>
      <c r="P64" s="490"/>
      <c r="Q64" s="461">
        <f>IF(NOT(ISERROR(MATCH(P64,_xlfn.ANCHORARRAY(#REF!),0))),P77&amp;"Por favor no seleccionar los criterios de impacto",P64)</f>
        <v>0</v>
      </c>
      <c r="R64" s="460"/>
      <c r="S64" s="461"/>
      <c r="T64" s="489"/>
      <c r="U64" s="193">
        <v>4</v>
      </c>
      <c r="V64" s="193"/>
      <c r="W64" s="193"/>
      <c r="X64" s="193"/>
      <c r="Y64" s="218" t="str">
        <f t="shared" si="1"/>
        <v xml:space="preserve">  </v>
      </c>
      <c r="Z64" s="170" t="str">
        <f t="shared" ref="Z64:Z66" si="86">IF(OR(AA64="Preventivo",AA64="Detectivo"),"Probabilidad",IF(AA64="Correctivo","Impacto",""))</f>
        <v/>
      </c>
      <c r="AA64" s="171"/>
      <c r="AB64" s="171"/>
      <c r="AC64" s="172" t="str">
        <f t="shared" si="81"/>
        <v/>
      </c>
      <c r="AD64" s="171"/>
      <c r="AE64" s="171"/>
      <c r="AF64" s="171"/>
      <c r="AG64" s="173" t="str">
        <f t="shared" ref="AG64:AG66" si="87">IFERROR(IF(AND(Z63="Probabilidad",Z64="Probabilidad"),(AI63-(+AI63*AC64)),IF(AND(Z63="Impacto",Z64="Probabilidad"),(AI62-(+AI62*AC64)),IF(Z64="Impacto",AI63,""))),"")</f>
        <v/>
      </c>
      <c r="AH64" s="174" t="str">
        <f t="shared" si="3"/>
        <v/>
      </c>
      <c r="AI64" s="172" t="str">
        <f t="shared" si="82"/>
        <v/>
      </c>
      <c r="AJ64" s="174" t="str">
        <f t="shared" si="5"/>
        <v/>
      </c>
      <c r="AK64" s="172" t="str">
        <f t="shared" si="15"/>
        <v/>
      </c>
      <c r="AL64" s="175" t="str">
        <f>IFERROR(IF(OR(AND(AH64="Muy Baja",AJ64="Leve"),AND(AH64="Muy Baja",AJ64="Menor"),AND(AH64="Baja",AJ64="Leve")),"Bajo",IF(OR(AND(AH64="Muy baja",AJ64="Moderado"),AND(AH64="Baja",AJ64="Menor"),AND(AH64="Baja",AJ64="Moderado"),AND(AH64="Media",AJ64="Leve"),AND(AH64="Media",AJ64="Menor"),AND(AH64="Media",AJ64="Moderado"),AND(AH64="Alta",AJ64="Leve"),AND(AH64="Alta",AJ64="Menor")),"Moderado",IF(OR(AND(AH64="Muy Baja",AJ64="Mayor"),AND(AH64="Baja",AJ64="Mayor"),AND(AH64="Media",AJ64="Mayor"),AND(AH64="Alta",AJ64="Moderado"),AND(AH64="Alta",AJ64="Mayor"),AND(AH64="Muy Alta",AJ64="Leve"),AND(AH64="Muy Alta",AJ64="Menor"),AND(AH64="Muy Alta",AJ64="Moderado"),AND(AH64="Muy Alta",AJ64="Mayor")),"Alto",IF(OR(AND(AH64="Muy Baja",AJ64="Catastrófico"),AND(AH64="Baja",AJ64="Catastrófico"),AND(AH64="Media",AJ64="Catastrófico"),AND(AH64="Alta",AJ64="Catastrófico"),AND(AH64="Muy Alta",AJ64="Catastrófico")),"Extremo","")))),"")</f>
        <v/>
      </c>
      <c r="AM64" s="176"/>
      <c r="AN64" s="169"/>
      <c r="AO64" s="177"/>
      <c r="AP64" s="177"/>
      <c r="AQ64" s="178"/>
      <c r="AR64" s="459"/>
      <c r="AS64" s="459"/>
      <c r="AT64" s="459"/>
    </row>
    <row r="65" spans="1:46" x14ac:dyDescent="0.2">
      <c r="A65" s="671"/>
      <c r="B65" s="449"/>
      <c r="C65" s="449"/>
      <c r="D65" s="449"/>
      <c r="E65" s="449"/>
      <c r="F65" s="492"/>
      <c r="G65" s="463"/>
      <c r="H65" s="201"/>
      <c r="I65" s="201"/>
      <c r="J65" s="201"/>
      <c r="K65" s="463"/>
      <c r="L65" s="463"/>
      <c r="M65" s="459"/>
      <c r="N65" s="460"/>
      <c r="O65" s="461"/>
      <c r="P65" s="490"/>
      <c r="Q65" s="461">
        <f>IF(NOT(ISERROR(MATCH(P65,_xlfn.ANCHORARRAY(#REF!),0))),P78&amp;"Por favor no seleccionar los criterios de impacto",P65)</f>
        <v>0</v>
      </c>
      <c r="R65" s="460"/>
      <c r="S65" s="461"/>
      <c r="T65" s="489"/>
      <c r="U65" s="193">
        <v>5</v>
      </c>
      <c r="V65" s="193"/>
      <c r="W65" s="193"/>
      <c r="X65" s="193"/>
      <c r="Y65" s="218" t="str">
        <f t="shared" si="1"/>
        <v xml:space="preserve">  </v>
      </c>
      <c r="Z65" s="170" t="str">
        <f t="shared" si="86"/>
        <v/>
      </c>
      <c r="AA65" s="171"/>
      <c r="AB65" s="171"/>
      <c r="AC65" s="172" t="str">
        <f t="shared" si="81"/>
        <v/>
      </c>
      <c r="AD65" s="171"/>
      <c r="AE65" s="171"/>
      <c r="AF65" s="171"/>
      <c r="AG65" s="173" t="str">
        <f t="shared" si="87"/>
        <v/>
      </c>
      <c r="AH65" s="174" t="str">
        <f t="shared" si="3"/>
        <v/>
      </c>
      <c r="AI65" s="172" t="str">
        <f t="shared" si="82"/>
        <v/>
      </c>
      <c r="AJ65" s="174" t="str">
        <f t="shared" si="5"/>
        <v/>
      </c>
      <c r="AK65" s="172" t="str">
        <f t="shared" si="15"/>
        <v/>
      </c>
      <c r="AL65" s="175" t="str">
        <f t="shared" ref="AL65:AL66" si="88">IFERROR(IF(OR(AND(AH65="Muy Baja",AJ65="Leve"),AND(AH65="Muy Baja",AJ65="Menor"),AND(AH65="Baja",AJ65="Leve")),"Bajo",IF(OR(AND(AH65="Muy baja",AJ65="Moderado"),AND(AH65="Baja",AJ65="Menor"),AND(AH65="Baja",AJ65="Moderado"),AND(AH65="Media",AJ65="Leve"),AND(AH65="Media",AJ65="Menor"),AND(AH65="Media",AJ65="Moderado"),AND(AH65="Alta",AJ65="Leve"),AND(AH65="Alta",AJ65="Menor")),"Moderado",IF(OR(AND(AH65="Muy Baja",AJ65="Mayor"),AND(AH65="Baja",AJ65="Mayor"),AND(AH65="Media",AJ65="Mayor"),AND(AH65="Alta",AJ65="Moderado"),AND(AH65="Alta",AJ65="Mayor"),AND(AH65="Muy Alta",AJ65="Leve"),AND(AH65="Muy Alta",AJ65="Menor"),AND(AH65="Muy Alta",AJ65="Moderado"),AND(AH65="Muy Alta",AJ65="Mayor")),"Alto",IF(OR(AND(AH65="Muy Baja",AJ65="Catastrófico"),AND(AH65="Baja",AJ65="Catastrófico"),AND(AH65="Media",AJ65="Catastrófico"),AND(AH65="Alta",AJ65="Catastrófico"),AND(AH65="Muy Alta",AJ65="Catastrófico")),"Extremo","")))),"")</f>
        <v/>
      </c>
      <c r="AM65" s="176"/>
      <c r="AN65" s="169"/>
      <c r="AO65" s="177"/>
      <c r="AP65" s="177"/>
      <c r="AQ65" s="178"/>
      <c r="AR65" s="459"/>
      <c r="AS65" s="459"/>
      <c r="AT65" s="459"/>
    </row>
    <row r="66" spans="1:46" x14ac:dyDescent="0.2">
      <c r="A66" s="671"/>
      <c r="B66" s="449"/>
      <c r="C66" s="449"/>
      <c r="D66" s="449"/>
      <c r="E66" s="449"/>
      <c r="F66" s="492"/>
      <c r="G66" s="491"/>
      <c r="H66" s="202"/>
      <c r="I66" s="202"/>
      <c r="J66" s="202"/>
      <c r="K66" s="491"/>
      <c r="L66" s="491"/>
      <c r="M66" s="459"/>
      <c r="N66" s="460"/>
      <c r="O66" s="461"/>
      <c r="P66" s="490"/>
      <c r="Q66" s="461">
        <f>IF(NOT(ISERROR(MATCH(P66,_xlfn.ANCHORARRAY(#REF!),0))),P79&amp;"Por favor no seleccionar los criterios de impacto",P66)</f>
        <v>0</v>
      </c>
      <c r="R66" s="460"/>
      <c r="S66" s="461"/>
      <c r="T66" s="489"/>
      <c r="U66" s="193">
        <v>6</v>
      </c>
      <c r="V66" s="193"/>
      <c r="W66" s="193"/>
      <c r="X66" s="193"/>
      <c r="Y66" s="218" t="str">
        <f t="shared" si="1"/>
        <v xml:space="preserve">  </v>
      </c>
      <c r="Z66" s="170" t="str">
        <f t="shared" si="86"/>
        <v/>
      </c>
      <c r="AA66" s="171"/>
      <c r="AB66" s="171"/>
      <c r="AC66" s="172" t="str">
        <f t="shared" si="81"/>
        <v/>
      </c>
      <c r="AD66" s="171"/>
      <c r="AE66" s="171"/>
      <c r="AF66" s="171"/>
      <c r="AG66" s="173" t="str">
        <f t="shared" si="87"/>
        <v/>
      </c>
      <c r="AH66" s="174" t="str">
        <f t="shared" si="3"/>
        <v/>
      </c>
      <c r="AI66" s="172" t="str">
        <f t="shared" si="82"/>
        <v/>
      </c>
      <c r="AJ66" s="174" t="str">
        <f t="shared" si="5"/>
        <v/>
      </c>
      <c r="AK66" s="172" t="str">
        <f t="shared" si="15"/>
        <v/>
      </c>
      <c r="AL66" s="175" t="str">
        <f t="shared" si="88"/>
        <v/>
      </c>
      <c r="AM66" s="176"/>
      <c r="AN66" s="169"/>
      <c r="AO66" s="177"/>
      <c r="AP66" s="177"/>
      <c r="AQ66" s="178"/>
      <c r="AR66" s="459"/>
      <c r="AS66" s="459"/>
      <c r="AT66" s="459"/>
    </row>
    <row r="67" spans="1:46" x14ac:dyDescent="0.2">
      <c r="A67" s="671">
        <v>10</v>
      </c>
      <c r="B67" s="449"/>
      <c r="C67" s="449"/>
      <c r="D67" s="449"/>
      <c r="E67" s="449"/>
      <c r="F67" s="492" t="str">
        <f t="shared" ref="F67" si="89">+CONCATENATE(B67," ",C67," ",D67)</f>
        <v xml:space="preserve">  </v>
      </c>
      <c r="G67" s="462"/>
      <c r="H67" s="200"/>
      <c r="I67" s="200"/>
      <c r="J67" s="200"/>
      <c r="K67" s="462"/>
      <c r="L67" s="462"/>
      <c r="M67" s="459"/>
      <c r="N67" s="460" t="str">
        <f>IF(M67&lt;=0,"",IF(M67&lt;=2,"Muy Baja",IF(M67&lt;=24,"Baja",IF(M67&lt;=500,"Media",IF(M67&lt;=5000,"Alta","Muy Alta")))))</f>
        <v/>
      </c>
      <c r="O67" s="461" t="str">
        <f>IF(N67="","",IF(N67="Muy Baja",0.2,IF(N67="Baja",0.4,IF(N67="Media",0.6,IF(N67="Alta",0.8,IF(N67="Muy Alta",1,))))))</f>
        <v/>
      </c>
      <c r="P67" s="490"/>
      <c r="Q67" s="461">
        <f>IF(NOT(ISERROR(MATCH(P67,'Tabla Impacto'!$B$245:$B$247,0))),'Tabla Impacto'!$F$224&amp;"Por favor no seleccionar los criterios de impacto(Afectación Económica o presupuestal y Pérdida Reputacional)",P67)</f>
        <v>0</v>
      </c>
      <c r="R67" s="460" t="str">
        <f>IF(OR(Q67='Tabla Impacto'!$C$12,Q67='Tabla Impacto'!$D$12),"Leve",IF(OR(Q67='Tabla Impacto'!$C$13,Q67='Tabla Impacto'!$D$13),"Menor",IF(OR(Q67='Tabla Impacto'!$C$14,Q67='Tabla Impacto'!$D$14),"Moderado",IF(OR(Q67='Tabla Impacto'!$C$15,Q67='Tabla Impacto'!$D$15),"Mayor",IF(OR(Q67='Tabla Impacto'!$C$16,Q67='Tabla Impacto'!$D$16),"Catastrófico","")))))</f>
        <v/>
      </c>
      <c r="S67" s="461" t="str">
        <f>IF(R67="","",IF(R67="Leve",0.2,IF(R67="Menor",0.4,IF(R67="Moderado",0.6,IF(R67="Mayor",0.8,IF(R67="Catastrófico",1,))))))</f>
        <v/>
      </c>
      <c r="T67" s="489" t="str">
        <f>IF(OR(AND(N67="Muy Baja",R67="Leve"),AND(N67="Muy Baja",R67="Menor"),AND(N67="Baja",R67="Leve")),"Bajo",IF(OR(AND(N67="Muy baja",R67="Moderado"),AND(N67="Baja",R67="Menor"),AND(N67="Baja",R67="Moderado"),AND(N67="Media",R67="Leve"),AND(N67="Media",R67="Menor"),AND(N67="Media",R67="Moderado"),AND(N67="Alta",R67="Leve"),AND(N67="Alta",R67="Menor")),"Moderado",IF(OR(AND(N67="Muy Baja",R67="Mayor"),AND(N67="Baja",R67="Mayor"),AND(N67="Media",R67="Mayor"),AND(N67="Alta",R67="Moderado"),AND(N67="Alta",R67="Mayor"),AND(N67="Muy Alta",R67="Leve"),AND(N67="Muy Alta",R67="Menor"),AND(N67="Muy Alta",R67="Moderado"),AND(N67="Muy Alta",R67="Mayor")),"Alto",IF(OR(AND(N67="Muy Baja",R67="Catastrófico"),AND(N67="Baja",R67="Catastrófico"),AND(N67="Media",R67="Catastrófico"),AND(N67="Alta",R67="Catastrófico"),AND(N67="Muy Alta",R67="Catastrófico")),"Extremo",""))))</f>
        <v/>
      </c>
      <c r="U67" s="193">
        <v>1</v>
      </c>
      <c r="V67" s="193"/>
      <c r="W67" s="193"/>
      <c r="X67" s="193"/>
      <c r="Y67" s="218" t="str">
        <f t="shared" si="1"/>
        <v xml:space="preserve">  </v>
      </c>
      <c r="Z67" s="170" t="str">
        <f>IF(OR(AA67="Preventivo",AA67="Detectivo"),"Probabilidad",IF(AA67="Correctivo","Impacto",""))</f>
        <v/>
      </c>
      <c r="AA67" s="171"/>
      <c r="AB67" s="171"/>
      <c r="AC67" s="172" t="str">
        <f>IF(AND(AA67="Preventivo",AB67="Automático"),"50%",IF(AND(AA67="Preventivo",AB67="Manual"),"40%",IF(AND(AA67="Detectivo",AB67="Automático"),"40%",IF(AND(AA67="Detectivo",AB67="Manual"),"30%",IF(AND(AA67="Correctivo",AB67="Automático"),"35%",IF(AND(AA67="Correctivo",AB67="Manual"),"25%",""))))))</f>
        <v/>
      </c>
      <c r="AD67" s="171"/>
      <c r="AE67" s="171"/>
      <c r="AF67" s="171"/>
      <c r="AG67" s="173" t="str">
        <f>IFERROR(IF(Z67="Probabilidad",(O67-(+O67*AC67)),IF(Z67="Impacto",O67,"")),"")</f>
        <v/>
      </c>
      <c r="AH67" s="174" t="str">
        <f>IFERROR(IF(AG67="","",IF(AG67&lt;=0.2,"Muy Baja",IF(AG67&lt;=0.4,"Baja",IF(AG67&lt;=0.6,"Media",IF(AG67&lt;=0.8,"Alta","Muy Alta"))))),"")</f>
        <v/>
      </c>
      <c r="AI67" s="172" t="str">
        <f>+AG67</f>
        <v/>
      </c>
      <c r="AJ67" s="174" t="str">
        <f>IFERROR(IF(AK67="","",IF(AK67&lt;=0.2,"Leve",IF(AK67&lt;=0.4,"Menor",IF(AK67&lt;=0.6,"Moderado",IF(AK67&lt;=0.8,"Mayor","Catastrófico"))))),"")</f>
        <v/>
      </c>
      <c r="AK67" s="172" t="str">
        <f t="shared" ref="AK67" si="90">IFERROR(IF(Z67="Impacto",(S67-(+S67*AC67)),IF(Z67="Probabilidad",S67,"")),"")</f>
        <v/>
      </c>
      <c r="AL67" s="175" t="str">
        <f>IFERROR(IF(OR(AND(AH67="Muy Baja",AJ67="Leve"),AND(AH67="Muy Baja",AJ67="Menor"),AND(AH67="Baja",AJ67="Leve")),"Bajo",IF(OR(AND(AH67="Muy baja",AJ67="Moderado"),AND(AH67="Baja",AJ67="Menor"),AND(AH67="Baja",AJ67="Moderado"),AND(AH67="Media",AJ67="Leve"),AND(AH67="Media",AJ67="Menor"),AND(AH67="Media",AJ67="Moderado"),AND(AH67="Alta",AJ67="Leve"),AND(AH67="Alta",AJ67="Menor")),"Moderado",IF(OR(AND(AH67="Muy Baja",AJ67="Mayor"),AND(AH67="Baja",AJ67="Mayor"),AND(AH67="Media",AJ67="Mayor"),AND(AH67="Alta",AJ67="Moderado"),AND(AH67="Alta",AJ67="Mayor"),AND(AH67="Muy Alta",AJ67="Leve"),AND(AH67="Muy Alta",AJ67="Menor"),AND(AH67="Muy Alta",AJ67="Moderado"),AND(AH67="Muy Alta",AJ67="Mayor")),"Alto",IF(OR(AND(AH67="Muy Baja",AJ67="Catastrófico"),AND(AH67="Baja",AJ67="Catastrófico"),AND(AH67="Media",AJ67="Catastrófico"),AND(AH67="Alta",AJ67="Catastrófico"),AND(AH67="Muy Alta",AJ67="Catastrófico")),"Extremo","")))),"")</f>
        <v/>
      </c>
      <c r="AM67" s="176"/>
      <c r="AN67" s="169"/>
      <c r="AO67" s="177"/>
      <c r="AP67" s="177"/>
      <c r="AQ67" s="178"/>
      <c r="AR67" s="459"/>
      <c r="AS67" s="459"/>
      <c r="AT67" s="459"/>
    </row>
    <row r="68" spans="1:46" x14ac:dyDescent="0.2">
      <c r="A68" s="671"/>
      <c r="B68" s="449"/>
      <c r="C68" s="449"/>
      <c r="D68" s="449"/>
      <c r="E68" s="449"/>
      <c r="F68" s="492"/>
      <c r="G68" s="463"/>
      <c r="H68" s="201"/>
      <c r="I68" s="201"/>
      <c r="J68" s="201"/>
      <c r="K68" s="463"/>
      <c r="L68" s="463"/>
      <c r="M68" s="459"/>
      <c r="N68" s="460"/>
      <c r="O68" s="461"/>
      <c r="P68" s="490"/>
      <c r="Q68" s="461">
        <f>IF(NOT(ISERROR(MATCH(P68,_xlfn.ANCHORARRAY(#REF!),0))),P81&amp;"Por favor no seleccionar los criterios de impacto",P68)</f>
        <v>0</v>
      </c>
      <c r="R68" s="460"/>
      <c r="S68" s="461"/>
      <c r="T68" s="489"/>
      <c r="U68" s="193">
        <v>2</v>
      </c>
      <c r="V68" s="193"/>
      <c r="W68" s="193"/>
      <c r="X68" s="193"/>
      <c r="Y68" s="218" t="str">
        <f t="shared" si="1"/>
        <v xml:space="preserve">  </v>
      </c>
      <c r="Z68" s="170" t="str">
        <f>IF(OR(AA68="Preventivo",AA68="Detectivo"),"Probabilidad",IF(AA68="Correctivo","Impacto",""))</f>
        <v/>
      </c>
      <c r="AA68" s="171"/>
      <c r="AB68" s="171"/>
      <c r="AC68" s="172" t="str">
        <f t="shared" ref="AC68:AC72" si="91">IF(AND(AA68="Preventivo",AB68="Automático"),"50%",IF(AND(AA68="Preventivo",AB68="Manual"),"40%",IF(AND(AA68="Detectivo",AB68="Automático"),"40%",IF(AND(AA68="Detectivo",AB68="Manual"),"30%",IF(AND(AA68="Correctivo",AB68="Automático"),"35%",IF(AND(AA68="Correctivo",AB68="Manual"),"25%",""))))))</f>
        <v/>
      </c>
      <c r="AD68" s="171"/>
      <c r="AE68" s="171"/>
      <c r="AF68" s="171"/>
      <c r="AG68" s="173" t="str">
        <f>IFERROR(IF(AND(Z67="Probabilidad",Z68="Probabilidad"),(AI67-(+AI67*AC68)),IF(Z68="Probabilidad",(O67-(+O67*AC68)),IF(Z68="Impacto",AI67,""))),"")</f>
        <v/>
      </c>
      <c r="AH68" s="174" t="str">
        <f t="shared" si="3"/>
        <v/>
      </c>
      <c r="AI68" s="172" t="str">
        <f t="shared" ref="AI68:AI72" si="92">+AG68</f>
        <v/>
      </c>
      <c r="AJ68" s="174" t="str">
        <f t="shared" si="5"/>
        <v/>
      </c>
      <c r="AK68" s="172" t="str">
        <f t="shared" ref="AK68" si="93">IFERROR(IF(AND(Z67="Impacto",Z68="Impacto"),(AK67-(+AK67*AC68)),IF(Z68="Impacto",($S$13-(+$S$13*AC68)),IF(Z68="Probabilidad",AK67,""))),"")</f>
        <v/>
      </c>
      <c r="AL68" s="175" t="str">
        <f t="shared" ref="AL68:AL69" si="94">IFERROR(IF(OR(AND(AH68="Muy Baja",AJ68="Leve"),AND(AH68="Muy Baja",AJ68="Menor"),AND(AH68="Baja",AJ68="Leve")),"Bajo",IF(OR(AND(AH68="Muy baja",AJ68="Moderado"),AND(AH68="Baja",AJ68="Menor"),AND(AH68="Baja",AJ68="Moderado"),AND(AH68="Media",AJ68="Leve"),AND(AH68="Media",AJ68="Menor"),AND(AH68="Media",AJ68="Moderado"),AND(AH68="Alta",AJ68="Leve"),AND(AH68="Alta",AJ68="Menor")),"Moderado",IF(OR(AND(AH68="Muy Baja",AJ68="Mayor"),AND(AH68="Baja",AJ68="Mayor"),AND(AH68="Media",AJ68="Mayor"),AND(AH68="Alta",AJ68="Moderado"),AND(AH68="Alta",AJ68="Mayor"),AND(AH68="Muy Alta",AJ68="Leve"),AND(AH68="Muy Alta",AJ68="Menor"),AND(AH68="Muy Alta",AJ68="Moderado"),AND(AH68="Muy Alta",AJ68="Mayor")),"Alto",IF(OR(AND(AH68="Muy Baja",AJ68="Catastrófico"),AND(AH68="Baja",AJ68="Catastrófico"),AND(AH68="Media",AJ68="Catastrófico"),AND(AH68="Alta",AJ68="Catastrófico"),AND(AH68="Muy Alta",AJ68="Catastrófico")),"Extremo","")))),"")</f>
        <v/>
      </c>
      <c r="AM68" s="176"/>
      <c r="AN68" s="169"/>
      <c r="AO68" s="177"/>
      <c r="AP68" s="177"/>
      <c r="AQ68" s="178"/>
      <c r="AR68" s="459"/>
      <c r="AS68" s="459"/>
      <c r="AT68" s="459"/>
    </row>
    <row r="69" spans="1:46" x14ac:dyDescent="0.2">
      <c r="A69" s="671"/>
      <c r="B69" s="449"/>
      <c r="C69" s="449"/>
      <c r="D69" s="449"/>
      <c r="E69" s="449"/>
      <c r="F69" s="492"/>
      <c r="G69" s="463"/>
      <c r="H69" s="201"/>
      <c r="I69" s="201"/>
      <c r="J69" s="201"/>
      <c r="K69" s="463"/>
      <c r="L69" s="463"/>
      <c r="M69" s="459"/>
      <c r="N69" s="460"/>
      <c r="O69" s="461"/>
      <c r="P69" s="490"/>
      <c r="Q69" s="461">
        <f>IF(NOT(ISERROR(MATCH(P69,_xlfn.ANCHORARRAY(#REF!),0))),P82&amp;"Por favor no seleccionar los criterios de impacto",P69)</f>
        <v>0</v>
      </c>
      <c r="R69" s="460"/>
      <c r="S69" s="461"/>
      <c r="T69" s="489"/>
      <c r="U69" s="193">
        <v>3</v>
      </c>
      <c r="V69" s="193"/>
      <c r="W69" s="193"/>
      <c r="X69" s="193"/>
      <c r="Y69" s="218" t="str">
        <f t="shared" si="1"/>
        <v xml:space="preserve">  </v>
      </c>
      <c r="Z69" s="170" t="str">
        <f>IF(OR(AA69="Preventivo",AA69="Detectivo"),"Probabilidad",IF(AA69="Correctivo","Impacto",""))</f>
        <v/>
      </c>
      <c r="AA69" s="171"/>
      <c r="AB69" s="171"/>
      <c r="AC69" s="172" t="str">
        <f t="shared" si="91"/>
        <v/>
      </c>
      <c r="AD69" s="171"/>
      <c r="AE69" s="171"/>
      <c r="AF69" s="171"/>
      <c r="AG69" s="173" t="str">
        <f>IFERROR(IF(AND(Z68="Probabilidad",Z69="Probabilidad"),(AI68-(+AI68*AC69)),IF(AND(Z68="Impacto",Z69="Probabilidad"),(AI67-(+AI67*AC69)),IF(Z69="Impacto",AI68,""))),"")</f>
        <v/>
      </c>
      <c r="AH69" s="174" t="str">
        <f t="shared" si="3"/>
        <v/>
      </c>
      <c r="AI69" s="172" t="str">
        <f t="shared" si="92"/>
        <v/>
      </c>
      <c r="AJ69" s="174" t="str">
        <f t="shared" si="5"/>
        <v/>
      </c>
      <c r="AK69" s="172" t="str">
        <f t="shared" ref="AK69" si="95">IFERROR(IF(AND(Z68="Impacto",Z69="Impacto"),(AK68-(+AK68*AC69)),IF(AND(Z68="Probabilidad",Z69="Impacto"),(AK67-(+AK67*AC69)),IF(Z69="Probabilidad",AK68,""))),"")</f>
        <v/>
      </c>
      <c r="AL69" s="175" t="str">
        <f t="shared" si="94"/>
        <v/>
      </c>
      <c r="AM69" s="176"/>
      <c r="AN69" s="169"/>
      <c r="AO69" s="177"/>
      <c r="AP69" s="177"/>
      <c r="AQ69" s="178"/>
      <c r="AR69" s="459"/>
      <c r="AS69" s="459"/>
      <c r="AT69" s="459"/>
    </row>
    <row r="70" spans="1:46" x14ac:dyDescent="0.2">
      <c r="A70" s="671"/>
      <c r="B70" s="449"/>
      <c r="C70" s="449"/>
      <c r="D70" s="449"/>
      <c r="E70" s="449"/>
      <c r="F70" s="492"/>
      <c r="G70" s="463"/>
      <c r="H70" s="201"/>
      <c r="I70" s="201"/>
      <c r="J70" s="201"/>
      <c r="K70" s="463"/>
      <c r="L70" s="463"/>
      <c r="M70" s="459"/>
      <c r="N70" s="460"/>
      <c r="O70" s="461"/>
      <c r="P70" s="490"/>
      <c r="Q70" s="461">
        <f>IF(NOT(ISERROR(MATCH(P70,_xlfn.ANCHORARRAY(#REF!),0))),P83&amp;"Por favor no seleccionar los criterios de impacto",P70)</f>
        <v>0</v>
      </c>
      <c r="R70" s="460"/>
      <c r="S70" s="461"/>
      <c r="T70" s="489"/>
      <c r="U70" s="193">
        <v>4</v>
      </c>
      <c r="V70" s="193"/>
      <c r="W70" s="193"/>
      <c r="X70" s="193"/>
      <c r="Y70" s="218" t="str">
        <f t="shared" si="1"/>
        <v xml:space="preserve">  </v>
      </c>
      <c r="Z70" s="170" t="str">
        <f t="shared" ref="Z70:Z72" si="96">IF(OR(AA70="Preventivo",AA70="Detectivo"),"Probabilidad",IF(AA70="Correctivo","Impacto",""))</f>
        <v/>
      </c>
      <c r="AA70" s="171"/>
      <c r="AB70" s="171"/>
      <c r="AC70" s="172" t="str">
        <f t="shared" si="91"/>
        <v/>
      </c>
      <c r="AD70" s="171"/>
      <c r="AE70" s="171"/>
      <c r="AF70" s="171"/>
      <c r="AG70" s="173" t="str">
        <f t="shared" ref="AG70:AG72" si="97">IFERROR(IF(AND(Z69="Probabilidad",Z70="Probabilidad"),(AI69-(+AI69*AC70)),IF(AND(Z69="Impacto",Z70="Probabilidad"),(AI68-(+AI68*AC70)),IF(Z70="Impacto",AI69,""))),"")</f>
        <v/>
      </c>
      <c r="AH70" s="174" t="str">
        <f t="shared" si="3"/>
        <v/>
      </c>
      <c r="AI70" s="172" t="str">
        <f t="shared" si="92"/>
        <v/>
      </c>
      <c r="AJ70" s="174" t="str">
        <f t="shared" si="5"/>
        <v/>
      </c>
      <c r="AK70" s="172" t="str">
        <f t="shared" si="15"/>
        <v/>
      </c>
      <c r="AL70" s="175" t="str">
        <f>IFERROR(IF(OR(AND(AH70="Muy Baja",AJ70="Leve"),AND(AH70="Muy Baja",AJ70="Menor"),AND(AH70="Baja",AJ70="Leve")),"Bajo",IF(OR(AND(AH70="Muy baja",AJ70="Moderado"),AND(AH70="Baja",AJ70="Menor"),AND(AH70="Baja",AJ70="Moderado"),AND(AH70="Media",AJ70="Leve"),AND(AH70="Media",AJ70="Menor"),AND(AH70="Media",AJ70="Moderado"),AND(AH70="Alta",AJ70="Leve"),AND(AH70="Alta",AJ70="Menor")),"Moderado",IF(OR(AND(AH70="Muy Baja",AJ70="Mayor"),AND(AH70="Baja",AJ70="Mayor"),AND(AH70="Media",AJ70="Mayor"),AND(AH70="Alta",AJ70="Moderado"),AND(AH70="Alta",AJ70="Mayor"),AND(AH70="Muy Alta",AJ70="Leve"),AND(AH70="Muy Alta",AJ70="Menor"),AND(AH70="Muy Alta",AJ70="Moderado"),AND(AH70="Muy Alta",AJ70="Mayor")),"Alto",IF(OR(AND(AH70="Muy Baja",AJ70="Catastrófico"),AND(AH70="Baja",AJ70="Catastrófico"),AND(AH70="Media",AJ70="Catastrófico"),AND(AH70="Alta",AJ70="Catastrófico"),AND(AH70="Muy Alta",AJ70="Catastrófico")),"Extremo","")))),"")</f>
        <v/>
      </c>
      <c r="AM70" s="176"/>
      <c r="AN70" s="169"/>
      <c r="AO70" s="177"/>
      <c r="AP70" s="177"/>
      <c r="AQ70" s="178"/>
      <c r="AR70" s="459"/>
      <c r="AS70" s="459"/>
      <c r="AT70" s="459"/>
    </row>
    <row r="71" spans="1:46" x14ac:dyDescent="0.2">
      <c r="A71" s="671"/>
      <c r="B71" s="449"/>
      <c r="C71" s="449"/>
      <c r="D71" s="449"/>
      <c r="E71" s="449"/>
      <c r="F71" s="492"/>
      <c r="G71" s="463"/>
      <c r="H71" s="201"/>
      <c r="I71" s="201"/>
      <c r="J71" s="201"/>
      <c r="K71" s="463"/>
      <c r="L71" s="463"/>
      <c r="M71" s="459"/>
      <c r="N71" s="460"/>
      <c r="O71" s="461"/>
      <c r="P71" s="490"/>
      <c r="Q71" s="461">
        <f>IF(NOT(ISERROR(MATCH(P71,_xlfn.ANCHORARRAY(#REF!),0))),P84&amp;"Por favor no seleccionar los criterios de impacto",P71)</f>
        <v>0</v>
      </c>
      <c r="R71" s="460"/>
      <c r="S71" s="461"/>
      <c r="T71" s="489"/>
      <c r="U71" s="193">
        <v>5</v>
      </c>
      <c r="V71" s="193"/>
      <c r="W71" s="193"/>
      <c r="X71" s="193"/>
      <c r="Y71" s="218" t="str">
        <f t="shared" si="1"/>
        <v xml:space="preserve">  </v>
      </c>
      <c r="Z71" s="170" t="str">
        <f t="shared" si="96"/>
        <v/>
      </c>
      <c r="AA71" s="171"/>
      <c r="AB71" s="171"/>
      <c r="AC71" s="172" t="str">
        <f t="shared" si="91"/>
        <v/>
      </c>
      <c r="AD71" s="171"/>
      <c r="AE71" s="171"/>
      <c r="AF71" s="171"/>
      <c r="AG71" s="173" t="str">
        <f t="shared" si="97"/>
        <v/>
      </c>
      <c r="AH71" s="174" t="str">
        <f t="shared" si="3"/>
        <v/>
      </c>
      <c r="AI71" s="172" t="str">
        <f t="shared" si="92"/>
        <v/>
      </c>
      <c r="AJ71" s="174" t="str">
        <f t="shared" si="5"/>
        <v/>
      </c>
      <c r="AK71" s="172" t="str">
        <f t="shared" si="15"/>
        <v/>
      </c>
      <c r="AL71" s="175" t="str">
        <f t="shared" ref="AL71:AL72" si="98">IFERROR(IF(OR(AND(AH71="Muy Baja",AJ71="Leve"),AND(AH71="Muy Baja",AJ71="Menor"),AND(AH71="Baja",AJ71="Leve")),"Bajo",IF(OR(AND(AH71="Muy baja",AJ71="Moderado"),AND(AH71="Baja",AJ71="Menor"),AND(AH71="Baja",AJ71="Moderado"),AND(AH71="Media",AJ71="Leve"),AND(AH71="Media",AJ71="Menor"),AND(AH71="Media",AJ71="Moderado"),AND(AH71="Alta",AJ71="Leve"),AND(AH71="Alta",AJ71="Menor")),"Moderado",IF(OR(AND(AH71="Muy Baja",AJ71="Mayor"),AND(AH71="Baja",AJ71="Mayor"),AND(AH71="Media",AJ71="Mayor"),AND(AH71="Alta",AJ71="Moderado"),AND(AH71="Alta",AJ71="Mayor"),AND(AH71="Muy Alta",AJ71="Leve"),AND(AH71="Muy Alta",AJ71="Menor"),AND(AH71="Muy Alta",AJ71="Moderado"),AND(AH71="Muy Alta",AJ71="Mayor")),"Alto",IF(OR(AND(AH71="Muy Baja",AJ71="Catastrófico"),AND(AH71="Baja",AJ71="Catastrófico"),AND(AH71="Media",AJ71="Catastrófico"),AND(AH71="Alta",AJ71="Catastrófico"),AND(AH71="Muy Alta",AJ71="Catastrófico")),"Extremo","")))),"")</f>
        <v/>
      </c>
      <c r="AM71" s="176"/>
      <c r="AN71" s="169"/>
      <c r="AO71" s="177"/>
      <c r="AP71" s="177"/>
      <c r="AQ71" s="178"/>
      <c r="AR71" s="459"/>
      <c r="AS71" s="459"/>
      <c r="AT71" s="459"/>
    </row>
    <row r="72" spans="1:46" x14ac:dyDescent="0.2">
      <c r="A72" s="671"/>
      <c r="B72" s="449"/>
      <c r="C72" s="449"/>
      <c r="D72" s="449"/>
      <c r="E72" s="449"/>
      <c r="F72" s="492"/>
      <c r="G72" s="491"/>
      <c r="H72" s="202"/>
      <c r="I72" s="202"/>
      <c r="J72" s="202"/>
      <c r="K72" s="491"/>
      <c r="L72" s="491"/>
      <c r="M72" s="459"/>
      <c r="N72" s="460"/>
      <c r="O72" s="461"/>
      <c r="P72" s="490"/>
      <c r="Q72" s="461">
        <f>IF(NOT(ISERROR(MATCH(P72,_xlfn.ANCHORARRAY(#REF!),0))),P85&amp;"Por favor no seleccionar los criterios de impacto",P72)</f>
        <v>0</v>
      </c>
      <c r="R72" s="460"/>
      <c r="S72" s="461"/>
      <c r="T72" s="489"/>
      <c r="U72" s="193">
        <v>6</v>
      </c>
      <c r="V72" s="193"/>
      <c r="W72" s="193"/>
      <c r="X72" s="193"/>
      <c r="Y72" s="218" t="str">
        <f t="shared" si="1"/>
        <v xml:space="preserve">  </v>
      </c>
      <c r="Z72" s="170" t="str">
        <f t="shared" si="96"/>
        <v/>
      </c>
      <c r="AA72" s="171"/>
      <c r="AB72" s="171"/>
      <c r="AC72" s="172" t="str">
        <f t="shared" si="91"/>
        <v/>
      </c>
      <c r="AD72" s="171"/>
      <c r="AE72" s="171"/>
      <c r="AF72" s="171"/>
      <c r="AG72" s="173" t="str">
        <f t="shared" si="97"/>
        <v/>
      </c>
      <c r="AH72" s="174" t="str">
        <f t="shared" si="3"/>
        <v/>
      </c>
      <c r="AI72" s="172" t="str">
        <f t="shared" si="92"/>
        <v/>
      </c>
      <c r="AJ72" s="174" t="str">
        <f t="shared" si="5"/>
        <v/>
      </c>
      <c r="AK72" s="172" t="str">
        <f t="shared" si="15"/>
        <v/>
      </c>
      <c r="AL72" s="175" t="str">
        <f t="shared" si="98"/>
        <v/>
      </c>
      <c r="AM72" s="176"/>
      <c r="AN72" s="169"/>
      <c r="AO72" s="177"/>
      <c r="AP72" s="177"/>
      <c r="AQ72" s="178"/>
      <c r="AR72" s="459"/>
      <c r="AS72" s="459"/>
      <c r="AT72" s="459"/>
    </row>
    <row r="73" spans="1:46" x14ac:dyDescent="0.2">
      <c r="A73" s="195"/>
      <c r="B73" s="493"/>
      <c r="C73" s="494"/>
      <c r="D73" s="494"/>
      <c r="E73" s="494"/>
      <c r="F73" s="494"/>
      <c r="G73" s="494"/>
      <c r="H73" s="494"/>
      <c r="I73" s="494"/>
      <c r="J73" s="494"/>
      <c r="K73" s="494"/>
      <c r="L73" s="494"/>
      <c r="M73" s="494"/>
      <c r="N73" s="494"/>
      <c r="O73" s="494"/>
      <c r="P73" s="494"/>
      <c r="Q73" s="494"/>
      <c r="R73" s="494"/>
      <c r="S73" s="494"/>
      <c r="T73" s="494"/>
      <c r="U73" s="494"/>
      <c r="V73" s="494"/>
      <c r="W73" s="494"/>
      <c r="X73" s="494"/>
      <c r="Y73" s="494"/>
      <c r="Z73" s="494"/>
      <c r="AA73" s="494"/>
      <c r="AB73" s="494"/>
      <c r="AC73" s="494"/>
      <c r="AD73" s="494"/>
      <c r="AE73" s="494"/>
      <c r="AF73" s="494"/>
      <c r="AG73" s="494"/>
      <c r="AH73" s="494"/>
      <c r="AI73" s="494"/>
      <c r="AJ73" s="494"/>
      <c r="AK73" s="494"/>
      <c r="AL73" s="494"/>
      <c r="AM73" s="494"/>
      <c r="AN73" s="494"/>
      <c r="AO73" s="494"/>
      <c r="AP73" s="494"/>
      <c r="AQ73" s="494"/>
      <c r="AR73" s="494"/>
    </row>
    <row r="75" spans="1:46" ht="15.75" x14ac:dyDescent="0.2">
      <c r="A75" s="179"/>
      <c r="B75" s="186"/>
      <c r="C75" s="179"/>
      <c r="D75" s="179"/>
      <c r="E75" s="179"/>
      <c r="F75" s="179"/>
      <c r="M75" s="179"/>
    </row>
    <row r="76" spans="1:46" s="235" customFormat="1" x14ac:dyDescent="0.2">
      <c r="A76" s="234"/>
      <c r="B76" s="234"/>
      <c r="C76" s="234"/>
      <c r="D76" s="234"/>
      <c r="E76" s="234"/>
      <c r="F76" s="234"/>
      <c r="M76" s="236"/>
      <c r="AN76" s="237"/>
    </row>
  </sheetData>
  <dataConsolidate/>
  <mergeCells count="288">
    <mergeCell ref="AS67:AS72"/>
    <mergeCell ref="AT67:AT72"/>
    <mergeCell ref="B73:AR73"/>
    <mergeCell ref="P67:P72"/>
    <mergeCell ref="Q67:Q72"/>
    <mergeCell ref="R67:R72"/>
    <mergeCell ref="S67:S72"/>
    <mergeCell ref="T67:T72"/>
    <mergeCell ref="AR67:AR72"/>
    <mergeCell ref="G67:G72"/>
    <mergeCell ref="K67:K72"/>
    <mergeCell ref="L67:L72"/>
    <mergeCell ref="M67:M72"/>
    <mergeCell ref="N67:N72"/>
    <mergeCell ref="O67:O72"/>
    <mergeCell ref="A67:A72"/>
    <mergeCell ref="B67:B72"/>
    <mergeCell ref="C67:C72"/>
    <mergeCell ref="D67:D72"/>
    <mergeCell ref="E67:E72"/>
    <mergeCell ref="F67:F72"/>
    <mergeCell ref="O61:O66"/>
    <mergeCell ref="P61:P66"/>
    <mergeCell ref="Q61:Q66"/>
    <mergeCell ref="E61:E66"/>
    <mergeCell ref="F61:F66"/>
    <mergeCell ref="G61:G66"/>
    <mergeCell ref="K61:K66"/>
    <mergeCell ref="L61:L66"/>
    <mergeCell ref="M61:M66"/>
    <mergeCell ref="N61:N66"/>
    <mergeCell ref="A61:A66"/>
    <mergeCell ref="B61:B66"/>
    <mergeCell ref="C61:C66"/>
    <mergeCell ref="D61:D66"/>
    <mergeCell ref="K55:K60"/>
    <mergeCell ref="AR61:AR66"/>
    <mergeCell ref="AS61:AS66"/>
    <mergeCell ref="AT61:AT66"/>
    <mergeCell ref="R61:R66"/>
    <mergeCell ref="S61:S66"/>
    <mergeCell ref="R55:R60"/>
    <mergeCell ref="S55:S60"/>
    <mergeCell ref="T55:T60"/>
    <mergeCell ref="AR55:AR60"/>
    <mergeCell ref="AS55:AS60"/>
    <mergeCell ref="AT55:AT60"/>
    <mergeCell ref="L55:L60"/>
    <mergeCell ref="M55:M60"/>
    <mergeCell ref="N55:N60"/>
    <mergeCell ref="O55:O60"/>
    <mergeCell ref="P55:P60"/>
    <mergeCell ref="Q55:Q60"/>
    <mergeCell ref="T61:T66"/>
    <mergeCell ref="A55:A60"/>
    <mergeCell ref="B55:B60"/>
    <mergeCell ref="C55:C60"/>
    <mergeCell ref="D55:D60"/>
    <mergeCell ref="E55:E60"/>
    <mergeCell ref="F55:F60"/>
    <mergeCell ref="R49:R54"/>
    <mergeCell ref="S49:S54"/>
    <mergeCell ref="T49:T54"/>
    <mergeCell ref="G49:G54"/>
    <mergeCell ref="H49:H54"/>
    <mergeCell ref="I49:I54"/>
    <mergeCell ref="J49:J54"/>
    <mergeCell ref="K49:K54"/>
    <mergeCell ref="A49:A54"/>
    <mergeCell ref="B49:B54"/>
    <mergeCell ref="C49:C54"/>
    <mergeCell ref="D49:D54"/>
    <mergeCell ref="E49:E54"/>
    <mergeCell ref="F49:F54"/>
    <mergeCell ref="G55:G60"/>
    <mergeCell ref="H55:H60"/>
    <mergeCell ref="I55:I60"/>
    <mergeCell ref="J55:J60"/>
    <mergeCell ref="AR49:AR54"/>
    <mergeCell ref="AS49:AS54"/>
    <mergeCell ref="AT49:AT54"/>
    <mergeCell ref="L49:L54"/>
    <mergeCell ref="M49:M54"/>
    <mergeCell ref="N49:N54"/>
    <mergeCell ref="O49:O54"/>
    <mergeCell ref="P49:P54"/>
    <mergeCell ref="Q49:Q54"/>
    <mergeCell ref="R43:R48"/>
    <mergeCell ref="S43:S48"/>
    <mergeCell ref="T43:T48"/>
    <mergeCell ref="AR43:AR48"/>
    <mergeCell ref="AS43:AS48"/>
    <mergeCell ref="AT43:AT48"/>
    <mergeCell ref="L43:L48"/>
    <mergeCell ref="M43:M48"/>
    <mergeCell ref="N43:N48"/>
    <mergeCell ref="O43:O48"/>
    <mergeCell ref="P43:P48"/>
    <mergeCell ref="Q43:Q48"/>
    <mergeCell ref="G43:G48"/>
    <mergeCell ref="H43:H48"/>
    <mergeCell ref="I43:I48"/>
    <mergeCell ref="J43:J48"/>
    <mergeCell ref="K43:K48"/>
    <mergeCell ref="A43:A48"/>
    <mergeCell ref="B43:B48"/>
    <mergeCell ref="C43:C48"/>
    <mergeCell ref="D43:D48"/>
    <mergeCell ref="E43:E48"/>
    <mergeCell ref="F43:F48"/>
    <mergeCell ref="R37:R42"/>
    <mergeCell ref="S37:S42"/>
    <mergeCell ref="T37:T42"/>
    <mergeCell ref="AR37:AR42"/>
    <mergeCell ref="AS37:AS42"/>
    <mergeCell ref="AT37:AT42"/>
    <mergeCell ref="L37:L42"/>
    <mergeCell ref="M37:M42"/>
    <mergeCell ref="N37:N42"/>
    <mergeCell ref="O37:O42"/>
    <mergeCell ref="P37:P42"/>
    <mergeCell ref="Q37:Q42"/>
    <mergeCell ref="G37:G42"/>
    <mergeCell ref="H37:H42"/>
    <mergeCell ref="I37:I42"/>
    <mergeCell ref="J37:J42"/>
    <mergeCell ref="K37:K42"/>
    <mergeCell ref="A37:A42"/>
    <mergeCell ref="B37:B42"/>
    <mergeCell ref="C37:C42"/>
    <mergeCell ref="D37:D42"/>
    <mergeCell ref="E37:E42"/>
    <mergeCell ref="F37:F42"/>
    <mergeCell ref="R31:R36"/>
    <mergeCell ref="S31:S36"/>
    <mergeCell ref="T31:T36"/>
    <mergeCell ref="AR31:AR36"/>
    <mergeCell ref="AS31:AS36"/>
    <mergeCell ref="AT31:AT36"/>
    <mergeCell ref="L31:L36"/>
    <mergeCell ref="M31:M36"/>
    <mergeCell ref="N31:N36"/>
    <mergeCell ref="O31:O36"/>
    <mergeCell ref="P31:P36"/>
    <mergeCell ref="Q31:Q36"/>
    <mergeCell ref="G31:G36"/>
    <mergeCell ref="H31:H36"/>
    <mergeCell ref="I31:I36"/>
    <mergeCell ref="J31:J36"/>
    <mergeCell ref="K31:K36"/>
    <mergeCell ref="A31:A36"/>
    <mergeCell ref="B31:B36"/>
    <mergeCell ref="C31:C36"/>
    <mergeCell ref="D31:D36"/>
    <mergeCell ref="E31:E36"/>
    <mergeCell ref="F31:F36"/>
    <mergeCell ref="R25:R30"/>
    <mergeCell ref="S25:S30"/>
    <mergeCell ref="T25:T30"/>
    <mergeCell ref="AR25:AR30"/>
    <mergeCell ref="AS25:AS30"/>
    <mergeCell ref="AT25:AT30"/>
    <mergeCell ref="L25:L30"/>
    <mergeCell ref="M25:M30"/>
    <mergeCell ref="N25:N30"/>
    <mergeCell ref="O25:O30"/>
    <mergeCell ref="P25:P30"/>
    <mergeCell ref="Q25:Q30"/>
    <mergeCell ref="G25:G30"/>
    <mergeCell ref="H25:H30"/>
    <mergeCell ref="I25:I30"/>
    <mergeCell ref="J25:J30"/>
    <mergeCell ref="K25:K30"/>
    <mergeCell ref="A25:A30"/>
    <mergeCell ref="B25:B30"/>
    <mergeCell ref="C25:C30"/>
    <mergeCell ref="D25:D30"/>
    <mergeCell ref="E25:E30"/>
    <mergeCell ref="F25:F30"/>
    <mergeCell ref="S19:S24"/>
    <mergeCell ref="T19:T24"/>
    <mergeCell ref="AR19:AR24"/>
    <mergeCell ref="AS19:AS24"/>
    <mergeCell ref="AT19:AT24"/>
    <mergeCell ref="L19:L24"/>
    <mergeCell ref="M19:M24"/>
    <mergeCell ref="N19:N24"/>
    <mergeCell ref="O19:O24"/>
    <mergeCell ref="P19:P24"/>
    <mergeCell ref="Q19:Q24"/>
    <mergeCell ref="R19:R24"/>
    <mergeCell ref="G19:G24"/>
    <mergeCell ref="H19:H24"/>
    <mergeCell ref="I19:I24"/>
    <mergeCell ref="J19:J24"/>
    <mergeCell ref="K19:K24"/>
    <mergeCell ref="A19:A24"/>
    <mergeCell ref="B19:B24"/>
    <mergeCell ref="C19:C24"/>
    <mergeCell ref="D19:D24"/>
    <mergeCell ref="E19:E24"/>
    <mergeCell ref="F19:F24"/>
    <mergeCell ref="AR13:AR18"/>
    <mergeCell ref="AS13:AS18"/>
    <mergeCell ref="AT13:AT18"/>
    <mergeCell ref="L13:L18"/>
    <mergeCell ref="M13:M18"/>
    <mergeCell ref="N13:N18"/>
    <mergeCell ref="AQ11:AQ12"/>
    <mergeCell ref="AR11:AR12"/>
    <mergeCell ref="AS11:AS12"/>
    <mergeCell ref="AT11:AT12"/>
    <mergeCell ref="AN11:AN12"/>
    <mergeCell ref="AO11:AO12"/>
    <mergeCell ref="AP11:AP12"/>
    <mergeCell ref="N11:N12"/>
    <mergeCell ref="O11:O12"/>
    <mergeCell ref="P11:P12"/>
    <mergeCell ref="O13:O18"/>
    <mergeCell ref="P13:P18"/>
    <mergeCell ref="Q13:Q18"/>
    <mergeCell ref="AK11:AK12"/>
    <mergeCell ref="AL11:AL12"/>
    <mergeCell ref="AM11:AM12"/>
    <mergeCell ref="Z11:Z12"/>
    <mergeCell ref="AA11:AF11"/>
    <mergeCell ref="R13:R18"/>
    <mergeCell ref="S13:S18"/>
    <mergeCell ref="T13:T18"/>
    <mergeCell ref="G13:G18"/>
    <mergeCell ref="H13:H18"/>
    <mergeCell ref="A8:B8"/>
    <mergeCell ref="C8:S8"/>
    <mergeCell ref="AG11:AG12"/>
    <mergeCell ref="AH11:AH12"/>
    <mergeCell ref="Q11:Q12"/>
    <mergeCell ref="R11:R12"/>
    <mergeCell ref="S11:S12"/>
    <mergeCell ref="T11:T12"/>
    <mergeCell ref="U11:U12"/>
    <mergeCell ref="Y11:Y12"/>
    <mergeCell ref="I13:I18"/>
    <mergeCell ref="J13:J18"/>
    <mergeCell ref="K13:K18"/>
    <mergeCell ref="A13:A18"/>
    <mergeCell ref="B13:B18"/>
    <mergeCell ref="C13:C18"/>
    <mergeCell ref="D13:D18"/>
    <mergeCell ref="E13:E18"/>
    <mergeCell ref="F13:F18"/>
    <mergeCell ref="AB8:AT8"/>
    <mergeCell ref="A10:F10"/>
    <mergeCell ref="G10:J10"/>
    <mergeCell ref="K10:L11"/>
    <mergeCell ref="M10:T10"/>
    <mergeCell ref="U10:AG10"/>
    <mergeCell ref="AH10:AL10"/>
    <mergeCell ref="AM10:AQ10"/>
    <mergeCell ref="AR10:AT10"/>
    <mergeCell ref="A11:A12"/>
    <mergeCell ref="B11:B12"/>
    <mergeCell ref="C11:C12"/>
    <mergeCell ref="D11:D12"/>
    <mergeCell ref="E11:E12"/>
    <mergeCell ref="F11:F12"/>
    <mergeCell ref="G11:G12"/>
    <mergeCell ref="H11:H12"/>
    <mergeCell ref="I11:I12"/>
    <mergeCell ref="J11:J12"/>
    <mergeCell ref="M11:M12"/>
    <mergeCell ref="AI11:AI12"/>
    <mergeCell ref="AJ11:AJ12"/>
    <mergeCell ref="A6:B6"/>
    <mergeCell ref="C6:S6"/>
    <mergeCell ref="Y6:AA6"/>
    <mergeCell ref="AB6:AT6"/>
    <mergeCell ref="A7:B7"/>
    <mergeCell ref="C7:S7"/>
    <mergeCell ref="AB7:AT7"/>
    <mergeCell ref="A1:C4"/>
    <mergeCell ref="D1:S2"/>
    <mergeCell ref="Z1:AT2"/>
    <mergeCell ref="D3:H3"/>
    <mergeCell ref="I3:S3"/>
    <mergeCell ref="Z3:AN3"/>
    <mergeCell ref="AO3:AT3"/>
    <mergeCell ref="D4:S4"/>
    <mergeCell ref="Z4:AT4"/>
  </mergeCells>
  <conditionalFormatting sqref="N13 N19">
    <cfRule type="cellIs" dxfId="344" priority="105" operator="equal">
      <formula>"Muy Baja"</formula>
    </cfRule>
    <cfRule type="cellIs" dxfId="343" priority="104" operator="equal">
      <formula>"Baja"</formula>
    </cfRule>
    <cfRule type="cellIs" dxfId="342" priority="103" operator="equal">
      <formula>"Media"</formula>
    </cfRule>
    <cfRule type="cellIs" dxfId="341" priority="102" operator="equal">
      <formula>"Alta"</formula>
    </cfRule>
    <cfRule type="cellIs" dxfId="340" priority="101" operator="equal">
      <formula>"Muy Alta"</formula>
    </cfRule>
  </conditionalFormatting>
  <conditionalFormatting sqref="N25">
    <cfRule type="cellIs" dxfId="339" priority="84" operator="equal">
      <formula>"Alta"</formula>
    </cfRule>
    <cfRule type="cellIs" dxfId="338" priority="83" operator="equal">
      <formula>"Muy Alta"</formula>
    </cfRule>
    <cfRule type="cellIs" dxfId="337" priority="87" operator="equal">
      <formula>"Muy Baja"</formula>
    </cfRule>
    <cfRule type="cellIs" dxfId="336" priority="86" operator="equal">
      <formula>"Baja"</formula>
    </cfRule>
    <cfRule type="cellIs" dxfId="335" priority="85" operator="equal">
      <formula>"Media"</formula>
    </cfRule>
  </conditionalFormatting>
  <conditionalFormatting sqref="N31">
    <cfRule type="cellIs" dxfId="334" priority="78" operator="equal">
      <formula>"Muy Baja"</formula>
    </cfRule>
    <cfRule type="cellIs" dxfId="333" priority="77" operator="equal">
      <formula>"Baja"</formula>
    </cfRule>
    <cfRule type="cellIs" dxfId="332" priority="74" operator="equal">
      <formula>"Muy Alta"</formula>
    </cfRule>
    <cfRule type="cellIs" dxfId="331" priority="75" operator="equal">
      <formula>"Alta"</formula>
    </cfRule>
    <cfRule type="cellIs" dxfId="330" priority="76" operator="equal">
      <formula>"Media"</formula>
    </cfRule>
  </conditionalFormatting>
  <conditionalFormatting sqref="N37">
    <cfRule type="cellIs" dxfId="329" priority="65" operator="equal">
      <formula>"Muy Alta"</formula>
    </cfRule>
    <cfRule type="cellIs" dxfId="328" priority="67" operator="equal">
      <formula>"Media"</formula>
    </cfRule>
    <cfRule type="cellIs" dxfId="327" priority="66" operator="equal">
      <formula>"Alta"</formula>
    </cfRule>
    <cfRule type="cellIs" dxfId="326" priority="68" operator="equal">
      <formula>"Baja"</formula>
    </cfRule>
    <cfRule type="cellIs" dxfId="325" priority="69" operator="equal">
      <formula>"Muy Baja"</formula>
    </cfRule>
  </conditionalFormatting>
  <conditionalFormatting sqref="N43">
    <cfRule type="cellIs" dxfId="324" priority="56" operator="equal">
      <formula>"Muy Alta"</formula>
    </cfRule>
    <cfRule type="cellIs" dxfId="323" priority="58" operator="equal">
      <formula>"Media"</formula>
    </cfRule>
    <cfRule type="cellIs" dxfId="322" priority="60" operator="equal">
      <formula>"Muy Baja"</formula>
    </cfRule>
    <cfRule type="cellIs" dxfId="321" priority="59" operator="equal">
      <formula>"Baja"</formula>
    </cfRule>
    <cfRule type="cellIs" dxfId="320" priority="57" operator="equal">
      <formula>"Alta"</formula>
    </cfRule>
  </conditionalFormatting>
  <conditionalFormatting sqref="N49">
    <cfRule type="cellIs" dxfId="319" priority="47" operator="equal">
      <formula>"Muy Alta"</formula>
    </cfRule>
    <cfRule type="cellIs" dxfId="318" priority="48" operator="equal">
      <formula>"Alta"</formula>
    </cfRule>
    <cfRule type="cellIs" dxfId="317" priority="49" operator="equal">
      <formula>"Media"</formula>
    </cfRule>
    <cfRule type="cellIs" dxfId="316" priority="50" operator="equal">
      <formula>"Baja"</formula>
    </cfRule>
    <cfRule type="cellIs" dxfId="315" priority="51" operator="equal">
      <formula>"Muy Baja"</formula>
    </cfRule>
  </conditionalFormatting>
  <conditionalFormatting sqref="N55">
    <cfRule type="cellIs" dxfId="314" priority="2" operator="equal">
      <formula>"Alta"</formula>
    </cfRule>
    <cfRule type="cellIs" dxfId="313" priority="3" operator="equal">
      <formula>"Media"</formula>
    </cfRule>
    <cfRule type="cellIs" dxfId="312" priority="4" operator="equal">
      <formula>"Baja"</formula>
    </cfRule>
    <cfRule type="cellIs" dxfId="311" priority="5" operator="equal">
      <formula>"Muy Baja"</formula>
    </cfRule>
    <cfRule type="cellIs" dxfId="310" priority="1" operator="equal">
      <formula>"Muy Alta"</formula>
    </cfRule>
  </conditionalFormatting>
  <conditionalFormatting sqref="N61">
    <cfRule type="cellIs" dxfId="309" priority="34" operator="equal">
      <formula>"Muy Alta"</formula>
    </cfRule>
    <cfRule type="cellIs" dxfId="308" priority="35" operator="equal">
      <formula>"Alta"</formula>
    </cfRule>
    <cfRule type="cellIs" dxfId="307" priority="36" operator="equal">
      <formula>"Media"</formula>
    </cfRule>
    <cfRule type="cellIs" dxfId="306" priority="37" operator="equal">
      <formula>"Baja"</formula>
    </cfRule>
    <cfRule type="cellIs" dxfId="305" priority="38" operator="equal">
      <formula>"Muy Baja"</formula>
    </cfRule>
  </conditionalFormatting>
  <conditionalFormatting sqref="N67">
    <cfRule type="cellIs" dxfId="304" priority="26" operator="equal">
      <formula>"Alta"</formula>
    </cfRule>
    <cfRule type="cellIs" dxfId="303" priority="27" operator="equal">
      <formula>"Media"</formula>
    </cfRule>
    <cfRule type="cellIs" dxfId="302" priority="25" operator="equal">
      <formula>"Muy Alta"</formula>
    </cfRule>
    <cfRule type="cellIs" dxfId="301" priority="28" operator="equal">
      <formula>"Baja"</formula>
    </cfRule>
    <cfRule type="cellIs" dxfId="300" priority="29" operator="equal">
      <formula>"Muy Baja"</formula>
    </cfRule>
  </conditionalFormatting>
  <conditionalFormatting sqref="Q13:Q72">
    <cfRule type="containsText" dxfId="299" priority="6" operator="containsText" text="❌">
      <formula>NOT(ISERROR(SEARCH("❌",Q13)))</formula>
    </cfRule>
  </conditionalFormatting>
  <conditionalFormatting sqref="R13 R19 R25 R31 R37 R43 R49 R55 R61 R67">
    <cfRule type="cellIs" dxfId="298" priority="96" operator="equal">
      <formula>"Catastrófico"</formula>
    </cfRule>
    <cfRule type="cellIs" dxfId="297" priority="97" operator="equal">
      <formula>"Mayor"</formula>
    </cfRule>
    <cfRule type="cellIs" dxfId="296" priority="98" operator="equal">
      <formula>"Moderado"</formula>
    </cfRule>
    <cfRule type="cellIs" dxfId="295" priority="99" operator="equal">
      <formula>"Menor"</formula>
    </cfRule>
    <cfRule type="cellIs" dxfId="294" priority="100" operator="equal">
      <formula>"Leve"</formula>
    </cfRule>
  </conditionalFormatting>
  <conditionalFormatting sqref="T13">
    <cfRule type="cellIs" dxfId="293" priority="95" operator="equal">
      <formula>"Bajo"</formula>
    </cfRule>
    <cfRule type="cellIs" dxfId="292" priority="92" operator="equal">
      <formula>"Extremo"</formula>
    </cfRule>
    <cfRule type="cellIs" dxfId="291" priority="93" operator="equal">
      <formula>"Alto"</formula>
    </cfRule>
    <cfRule type="cellIs" dxfId="290" priority="94" operator="equal">
      <formula>"Moderado"</formula>
    </cfRule>
  </conditionalFormatting>
  <conditionalFormatting sqref="T19">
    <cfRule type="cellIs" dxfId="289" priority="88" operator="equal">
      <formula>"Extremo"</formula>
    </cfRule>
    <cfRule type="cellIs" dxfId="288" priority="91" operator="equal">
      <formula>"Bajo"</formula>
    </cfRule>
    <cfRule type="cellIs" dxfId="287" priority="90" operator="equal">
      <formula>"Moderado"</formula>
    </cfRule>
    <cfRule type="cellIs" dxfId="286" priority="89" operator="equal">
      <formula>"Alto"</formula>
    </cfRule>
  </conditionalFormatting>
  <conditionalFormatting sqref="T25">
    <cfRule type="cellIs" dxfId="285" priority="82" operator="equal">
      <formula>"Bajo"</formula>
    </cfRule>
    <cfRule type="cellIs" dxfId="284" priority="80" operator="equal">
      <formula>"Alto"</formula>
    </cfRule>
    <cfRule type="cellIs" dxfId="283" priority="79" operator="equal">
      <formula>"Extremo"</formula>
    </cfRule>
    <cfRule type="cellIs" dxfId="282" priority="81" operator="equal">
      <formula>"Moderado"</formula>
    </cfRule>
  </conditionalFormatting>
  <conditionalFormatting sqref="T31">
    <cfRule type="cellIs" dxfId="281" priority="70" operator="equal">
      <formula>"Extremo"</formula>
    </cfRule>
    <cfRule type="cellIs" dxfId="280" priority="71" operator="equal">
      <formula>"Alto"</formula>
    </cfRule>
    <cfRule type="cellIs" dxfId="279" priority="72" operator="equal">
      <formula>"Moderado"</formula>
    </cfRule>
    <cfRule type="cellIs" dxfId="278" priority="73" operator="equal">
      <formula>"Bajo"</formula>
    </cfRule>
  </conditionalFormatting>
  <conditionalFormatting sqref="T37">
    <cfRule type="cellIs" dxfId="277" priority="62" operator="equal">
      <formula>"Alto"</formula>
    </cfRule>
    <cfRule type="cellIs" dxfId="276" priority="61" operator="equal">
      <formula>"Extremo"</formula>
    </cfRule>
    <cfRule type="cellIs" dxfId="275" priority="63" operator="equal">
      <formula>"Moderado"</formula>
    </cfRule>
    <cfRule type="cellIs" dxfId="274" priority="64" operator="equal">
      <formula>"Bajo"</formula>
    </cfRule>
  </conditionalFormatting>
  <conditionalFormatting sqref="T43">
    <cfRule type="cellIs" dxfId="273" priority="54" operator="equal">
      <formula>"Moderado"</formula>
    </cfRule>
    <cfRule type="cellIs" dxfId="272" priority="53" operator="equal">
      <formula>"Alto"</formula>
    </cfRule>
    <cfRule type="cellIs" dxfId="271" priority="55" operator="equal">
      <formula>"Bajo"</formula>
    </cfRule>
    <cfRule type="cellIs" dxfId="270" priority="52" operator="equal">
      <formula>"Extremo"</formula>
    </cfRule>
  </conditionalFormatting>
  <conditionalFormatting sqref="T49">
    <cfRule type="cellIs" dxfId="269" priority="46" operator="equal">
      <formula>"Bajo"</formula>
    </cfRule>
    <cfRule type="cellIs" dxfId="268" priority="45" operator="equal">
      <formula>"Moderado"</formula>
    </cfRule>
    <cfRule type="cellIs" dxfId="267" priority="44" operator="equal">
      <formula>"Alto"</formula>
    </cfRule>
    <cfRule type="cellIs" dxfId="266" priority="43" operator="equal">
      <formula>"Extremo"</formula>
    </cfRule>
  </conditionalFormatting>
  <conditionalFormatting sqref="T55">
    <cfRule type="cellIs" dxfId="265" priority="41" operator="equal">
      <formula>"Moderado"</formula>
    </cfRule>
    <cfRule type="cellIs" dxfId="264" priority="39" operator="equal">
      <formula>"Extremo"</formula>
    </cfRule>
    <cfRule type="cellIs" dxfId="263" priority="42" operator="equal">
      <formula>"Bajo"</formula>
    </cfRule>
    <cfRule type="cellIs" dxfId="262" priority="40" operator="equal">
      <formula>"Alto"</formula>
    </cfRule>
  </conditionalFormatting>
  <conditionalFormatting sqref="T61">
    <cfRule type="cellIs" dxfId="261" priority="30" operator="equal">
      <formula>"Extremo"</formula>
    </cfRule>
    <cfRule type="cellIs" dxfId="260" priority="32" operator="equal">
      <formula>"Moderado"</formula>
    </cfRule>
    <cfRule type="cellIs" dxfId="259" priority="33" operator="equal">
      <formula>"Bajo"</formula>
    </cfRule>
    <cfRule type="cellIs" dxfId="258" priority="31" operator="equal">
      <formula>"Alto"</formula>
    </cfRule>
  </conditionalFormatting>
  <conditionalFormatting sqref="T67">
    <cfRule type="cellIs" dxfId="257" priority="21" operator="equal">
      <formula>"Extremo"</formula>
    </cfRule>
    <cfRule type="cellIs" dxfId="256" priority="24" operator="equal">
      <formula>"Bajo"</formula>
    </cfRule>
    <cfRule type="cellIs" dxfId="255" priority="23" operator="equal">
      <formula>"Moderado"</formula>
    </cfRule>
    <cfRule type="cellIs" dxfId="254" priority="22" operator="equal">
      <formula>"Alto"</formula>
    </cfRule>
  </conditionalFormatting>
  <conditionalFormatting sqref="AH13:AH72">
    <cfRule type="cellIs" dxfId="253" priority="20" operator="equal">
      <formula>"Muy Baja"</formula>
    </cfRule>
    <cfRule type="cellIs" dxfId="252" priority="19" operator="equal">
      <formula>"Baja"</formula>
    </cfRule>
    <cfRule type="cellIs" dxfId="251" priority="18" operator="equal">
      <formula>"Media"</formula>
    </cfRule>
    <cfRule type="cellIs" dxfId="250" priority="17" operator="equal">
      <formula>"Alta"</formula>
    </cfRule>
    <cfRule type="cellIs" dxfId="249" priority="16" operator="equal">
      <formula>"Muy Alta"</formula>
    </cfRule>
  </conditionalFormatting>
  <conditionalFormatting sqref="AJ13:AJ72">
    <cfRule type="cellIs" dxfId="248" priority="14" operator="equal">
      <formula>"Menor"</formula>
    </cfRule>
    <cfRule type="cellIs" dxfId="247" priority="15" operator="equal">
      <formula>"Leve"</formula>
    </cfRule>
    <cfRule type="cellIs" dxfId="246" priority="12" operator="equal">
      <formula>"Mayor"</formula>
    </cfRule>
    <cfRule type="cellIs" dxfId="245" priority="11" operator="equal">
      <formula>"Catastrófico"</formula>
    </cfRule>
    <cfRule type="cellIs" dxfId="244" priority="13" operator="equal">
      <formula>"Moderado"</formula>
    </cfRule>
  </conditionalFormatting>
  <conditionalFormatting sqref="AL13:AL72">
    <cfRule type="cellIs" dxfId="243" priority="7" operator="equal">
      <formula>"Extremo"</formula>
    </cfRule>
    <cfRule type="cellIs" dxfId="242" priority="10" operator="equal">
      <formula>"Bajo"</formula>
    </cfRule>
    <cfRule type="cellIs" dxfId="241" priority="9" operator="equal">
      <formula>"Moderado"</formula>
    </cfRule>
    <cfRule type="cellIs" dxfId="240"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www.umv.gov.co&amp;CDESI-FM-018
Página &amp;P de &amp;N</oddFooter>
  </headerFooter>
  <colBreaks count="1" manualBreakCount="1">
    <brk id="19" max="75" man="1"/>
  </col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0000000-0002-0000-0600-000000000000}">
          <x14:formula1>
            <xm:f>'Intructivo control cambio'!$C$294:$C$308</xm:f>
          </x14:formula1>
          <xm:sqref>T6:X6</xm:sqref>
        </x14:dataValidation>
        <x14:dataValidation type="list" allowBlank="1" showInputMessage="1" showErrorMessage="1" xr:uid="{00000000-0002-0000-0600-000001000000}">
          <x14:formula1>
            <xm:f>Listas!$H$4:$H$8</xm:f>
          </x14:formula1>
          <xm:sqref>W13:W72</xm:sqref>
        </x14:dataValidation>
        <x14:dataValidation type="list" allowBlank="1" showInputMessage="1" showErrorMessage="1" xr:uid="{00000000-0002-0000-0600-000002000000}">
          <x14:formula1>
            <xm:f>Listas!$H$11:$H$21</xm:f>
          </x14:formula1>
          <xm:sqref>K13:K72</xm:sqref>
        </x14:dataValidation>
        <x14:dataValidation type="list" allowBlank="1" showInputMessage="1" showErrorMessage="1" xr:uid="{00000000-0002-0000-0600-000003000000}">
          <x14:formula1>
            <xm:f>Listas!$F$11:$F$12</xm:f>
          </x14:formula1>
          <xm:sqref>G13:G72</xm:sqref>
        </x14:dataValidation>
        <x14:dataValidation type="custom" allowBlank="1" showInputMessage="1" showErrorMessage="1" error="Recuerde que las acciones se generan bajo la medida de mitigar el riesgo" xr:uid="{00000000-0002-0000-0600-000004000000}">
          <x14:formula1>
            <xm:f>IF(OR(#REF!=Listas!$B$4,#REF!=Listas!$B$5,#REF!=Listas!$B$6),ISBLANK(#REF!),ISTEXT(#REF!))</xm:f>
          </x14:formula1>
          <xm:sqref>AR19:AT19 AR67:AT67 AR61:AT61 AR55:AT55 AR49:AT49 AR43:AT43 AR37:AT37 AR31:AT31 AR25:AT25</xm:sqref>
        </x14:dataValidation>
        <x14:dataValidation type="list" allowBlank="1" showInputMessage="1" showErrorMessage="1" xr:uid="{00000000-0002-0000-0600-000005000000}">
          <x14:formula1>
            <xm:f>'Tabla Impacto'!$F$211:$F$222</xm:f>
          </x14:formula1>
          <xm:sqref>P13:P72</xm:sqref>
        </x14:dataValidation>
        <x14:dataValidation type="list" allowBlank="1" showInputMessage="1" showErrorMessage="1" xr:uid="{00000000-0002-0000-0600-000006000000}">
          <x14:formula1>
            <xm:f>Listas!$E$7:$E$9</xm:f>
          </x14:formula1>
          <xm:sqref>B13:B72</xm:sqref>
        </x14:dataValidation>
        <x14:dataValidation type="list" allowBlank="1" showInputMessage="1" showErrorMessage="1" xr:uid="{00000000-0002-0000-0600-000007000000}">
          <x14:formula1>
            <xm:f>'Tabla Valoración controles'!$D$13:$D$14</xm:f>
          </x14:formula1>
          <xm:sqref>AF13:AF72</xm:sqref>
        </x14:dataValidation>
        <x14:dataValidation type="list" allowBlank="1" showInputMessage="1" showErrorMessage="1" xr:uid="{00000000-0002-0000-0600-000008000000}">
          <x14:formula1>
            <xm:f>'Tabla Valoración controles'!$D$11:$D$12</xm:f>
          </x14:formula1>
          <xm:sqref>AE13:AE72</xm:sqref>
        </x14:dataValidation>
        <x14:dataValidation type="list" allowBlank="1" showInputMessage="1" showErrorMessage="1" xr:uid="{00000000-0002-0000-0600-000009000000}">
          <x14:formula1>
            <xm:f>'Tabla Valoración controles'!$D$9:$D$10</xm:f>
          </x14:formula1>
          <xm:sqref>AD13:AD72</xm:sqref>
        </x14:dataValidation>
        <x14:dataValidation type="list" allowBlank="1" showInputMessage="1" showErrorMessage="1" xr:uid="{00000000-0002-0000-0600-00000A000000}">
          <x14:formula1>
            <xm:f>'Tabla Valoración controles'!$D$7:$D$8</xm:f>
          </x14:formula1>
          <xm:sqref>AB13:AB72</xm:sqref>
        </x14:dataValidation>
        <x14:dataValidation type="list" allowBlank="1" showInputMessage="1" showErrorMessage="1" xr:uid="{00000000-0002-0000-0600-00000B000000}">
          <x14:formula1>
            <xm:f>'Tabla Valoración controles'!$D$4:$D$6</xm:f>
          </x14:formula1>
          <xm:sqref>AA13:AA72</xm:sqref>
        </x14:dataValidation>
        <x14:dataValidation type="list" allowBlank="1" showInputMessage="1" showErrorMessage="1" xr:uid="{00000000-0002-0000-0600-00000C000000}">
          <x14:formula1>
            <xm:f>'Intructivo control cambio'!$C$294:$C$318</xm:f>
          </x14:formula1>
          <xm:sqref>C6:S6</xm:sqref>
        </x14:dataValidation>
        <x14:dataValidation type="list" allowBlank="1" showInputMessage="1" showErrorMessage="1" xr:uid="{00000000-0002-0000-0600-00000D000000}">
          <x14:formula1>
            <xm:f>Listas!$L$4:$L$9</xm:f>
          </x14:formula1>
          <xm:sqref>L13:L18</xm:sqref>
        </x14:dataValidation>
        <x14:dataValidation type="list" allowBlank="1" showInputMessage="1" showErrorMessage="1" xr:uid="{00000000-0002-0000-0600-00000E000000}">
          <x14:formula1>
            <xm:f>Listas!$L$5:$L$9</xm:f>
          </x14:formula1>
          <xm:sqref>L19:L72</xm:sqref>
        </x14:dataValidation>
        <x14:dataValidation type="list" allowBlank="1" showInputMessage="1" showErrorMessage="1" xr:uid="{00000000-0002-0000-0600-00000F000000}">
          <x14:formula1>
            <xm:f>Listas!$B$4:$B$7</xm:f>
          </x14:formula1>
          <xm:sqref>AM13:AM72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5" tint="0.59999389629810485"/>
  </sheetPr>
  <dimension ref="A1:JO88"/>
  <sheetViews>
    <sheetView tabSelected="1" topLeftCell="A12" zoomScale="70" zoomScaleNormal="70" zoomScaleSheetLayoutView="50" zoomScalePageLayoutView="60" workbookViewId="0">
      <pane xSplit="1" ySplit="1" topLeftCell="D13" activePane="bottomRight" state="frozen"/>
      <selection activeCell="A12" sqref="A12"/>
      <selection pane="topRight" activeCell="B12" sqref="B12"/>
      <selection pane="bottomLeft" activeCell="A13" sqref="A13"/>
      <selection pane="bottomRight" activeCell="F13" sqref="F13:F18"/>
    </sheetView>
  </sheetViews>
  <sheetFormatPr baseColWidth="10" defaultColWidth="11.42578125" defaultRowHeight="15" x14ac:dyDescent="0.2"/>
  <cols>
    <col min="1" max="1" width="6.5703125" style="197" customWidth="1"/>
    <col min="2" max="2" width="22.7109375" style="197" customWidth="1"/>
    <col min="3" max="3" width="32" style="197" customWidth="1"/>
    <col min="4" max="5" width="25.28515625" style="197" customWidth="1"/>
    <col min="6" max="6" width="51.28515625" style="197" customWidth="1"/>
    <col min="7" max="7" width="21" style="179" customWidth="1"/>
    <col min="8" max="8" width="17.7109375" style="179" customWidth="1"/>
    <col min="9" max="10" width="18.7109375" style="179" customWidth="1"/>
    <col min="11" max="11" width="24.28515625" style="179" customWidth="1"/>
    <col min="12" max="12" width="19.42578125" style="179" customWidth="1"/>
    <col min="13" max="13" width="20.5703125" style="179" customWidth="1"/>
    <col min="14" max="14" width="16.7109375" style="198" customWidth="1"/>
    <col min="15" max="15" width="16.7109375" style="179" customWidth="1"/>
    <col min="16" max="16" width="20.42578125" style="179" hidden="1" customWidth="1"/>
    <col min="17" max="17" width="20.42578125" style="179" customWidth="1"/>
    <col min="18" max="18" width="35.7109375" style="179" hidden="1" customWidth="1"/>
    <col min="19" max="19" width="19" style="179" customWidth="1"/>
    <col min="20" max="20" width="17.5703125" style="179" hidden="1" customWidth="1"/>
    <col min="21" max="21" width="15" style="179" customWidth="1"/>
    <col min="22" max="22" width="5.28515625" style="179" customWidth="1"/>
    <col min="23" max="23" width="29.7109375" style="179" customWidth="1"/>
    <col min="24" max="24" width="11.7109375" style="179" customWidth="1"/>
    <col min="25" max="25" width="38.42578125" style="179" customWidth="1"/>
    <col min="26" max="26" width="85.140625" style="179" customWidth="1"/>
    <col min="27" max="27" width="19.7109375" style="179" hidden="1" customWidth="1"/>
    <col min="28" max="28" width="5.7109375" style="179" customWidth="1"/>
    <col min="29" max="29" width="6.7109375" style="179" customWidth="1"/>
    <col min="30" max="30" width="5" style="179" hidden="1" customWidth="1"/>
    <col min="31" max="31" width="5.5703125" style="179" customWidth="1"/>
    <col min="32" max="32" width="7.28515625" style="179" customWidth="1"/>
    <col min="33" max="33" width="6.7109375" style="179" customWidth="1"/>
    <col min="34" max="34" width="7.5703125" style="179" hidden="1" customWidth="1"/>
    <col min="35" max="35" width="8.5703125" style="179" customWidth="1"/>
    <col min="36" max="40" width="10.7109375" style="179" customWidth="1"/>
    <col min="41" max="41" width="33.28515625" style="196" customWidth="1"/>
    <col min="42" max="42" width="23" style="179" customWidth="1"/>
    <col min="43" max="43" width="18.7109375" style="179" customWidth="1"/>
    <col min="44" max="44" width="23.7109375" style="179" customWidth="1"/>
    <col min="45" max="45" width="22.42578125" style="179" customWidth="1"/>
    <col min="46" max="46" width="16.42578125" style="179" customWidth="1"/>
    <col min="47" max="47" width="20.5703125" style="179" customWidth="1"/>
    <col min="48" max="16384" width="11.42578125" style="179"/>
  </cols>
  <sheetData>
    <row r="1" spans="1:275" s="181" customFormat="1" ht="20.25" x14ac:dyDescent="0.3">
      <c r="A1" s="450"/>
      <c r="B1" s="451"/>
      <c r="C1" s="452"/>
      <c r="D1" s="439" t="s">
        <v>419</v>
      </c>
      <c r="E1" s="440"/>
      <c r="F1" s="440"/>
      <c r="G1" s="440"/>
      <c r="H1" s="440"/>
      <c r="I1" s="440"/>
      <c r="J1" s="440"/>
      <c r="K1" s="440"/>
      <c r="L1" s="440"/>
      <c r="M1" s="440"/>
      <c r="N1" s="440"/>
      <c r="O1" s="440"/>
      <c r="P1" s="440"/>
      <c r="Q1" s="440"/>
      <c r="R1" s="440"/>
      <c r="S1" s="440"/>
      <c r="T1" s="441"/>
      <c r="U1" s="228"/>
      <c r="V1" s="228"/>
      <c r="W1" s="228"/>
      <c r="X1" s="228"/>
      <c r="Y1" s="228"/>
      <c r="Z1" s="228"/>
      <c r="AA1" s="465"/>
      <c r="AB1" s="465"/>
      <c r="AC1" s="465"/>
      <c r="AD1" s="465"/>
      <c r="AE1" s="465"/>
      <c r="AF1" s="465"/>
      <c r="AG1" s="465"/>
      <c r="AH1" s="465"/>
      <c r="AI1" s="465"/>
      <c r="AJ1" s="465"/>
      <c r="AK1" s="465"/>
      <c r="AL1" s="465"/>
      <c r="AM1" s="465"/>
      <c r="AN1" s="465"/>
      <c r="AO1" s="465"/>
      <c r="AP1" s="465"/>
      <c r="AQ1" s="465"/>
      <c r="AR1" s="465"/>
      <c r="AS1" s="465"/>
      <c r="AT1" s="465"/>
      <c r="AU1" s="465"/>
      <c r="AV1" s="180"/>
      <c r="AW1" s="180"/>
      <c r="AX1" s="180"/>
      <c r="AY1" s="180"/>
      <c r="AZ1" s="180"/>
      <c r="BA1" s="180"/>
      <c r="BB1" s="180"/>
      <c r="BC1" s="180"/>
      <c r="BD1" s="180"/>
      <c r="BE1" s="180"/>
      <c r="BF1" s="180"/>
      <c r="BG1" s="180"/>
      <c r="BH1" s="180"/>
      <c r="BI1" s="180"/>
      <c r="BJ1" s="180"/>
      <c r="BK1" s="180"/>
      <c r="BL1" s="180"/>
      <c r="BM1" s="180"/>
      <c r="BN1" s="180"/>
      <c r="BO1" s="180"/>
      <c r="BP1" s="180"/>
      <c r="BQ1" s="180"/>
      <c r="BR1" s="180"/>
      <c r="BS1" s="180"/>
    </row>
    <row r="2" spans="1:275" s="181" customFormat="1" ht="21" thickBot="1" x14ac:dyDescent="0.35">
      <c r="A2" s="453"/>
      <c r="B2" s="454"/>
      <c r="C2" s="455"/>
      <c r="D2" s="442"/>
      <c r="E2" s="443"/>
      <c r="F2" s="443"/>
      <c r="G2" s="443"/>
      <c r="H2" s="443"/>
      <c r="I2" s="443"/>
      <c r="J2" s="443"/>
      <c r="K2" s="443"/>
      <c r="L2" s="443"/>
      <c r="M2" s="443"/>
      <c r="N2" s="443"/>
      <c r="O2" s="443"/>
      <c r="P2" s="443"/>
      <c r="Q2" s="443"/>
      <c r="R2" s="443"/>
      <c r="S2" s="443"/>
      <c r="T2" s="444"/>
      <c r="U2" s="228"/>
      <c r="V2" s="228"/>
      <c r="W2" s="228"/>
      <c r="X2" s="228"/>
      <c r="Y2" s="228"/>
      <c r="Z2" s="228"/>
      <c r="AA2" s="465"/>
      <c r="AB2" s="465"/>
      <c r="AC2" s="465"/>
      <c r="AD2" s="465"/>
      <c r="AE2" s="465"/>
      <c r="AF2" s="465"/>
      <c r="AG2" s="465"/>
      <c r="AH2" s="465"/>
      <c r="AI2" s="465"/>
      <c r="AJ2" s="465"/>
      <c r="AK2" s="465"/>
      <c r="AL2" s="465"/>
      <c r="AM2" s="465"/>
      <c r="AN2" s="465"/>
      <c r="AO2" s="465"/>
      <c r="AP2" s="465"/>
      <c r="AQ2" s="465"/>
      <c r="AR2" s="465"/>
      <c r="AS2" s="465"/>
      <c r="AT2" s="465"/>
      <c r="AU2" s="465"/>
      <c r="AV2" s="180"/>
      <c r="AW2" s="180"/>
      <c r="AX2" s="180"/>
      <c r="AY2" s="180"/>
      <c r="AZ2" s="180"/>
      <c r="BA2" s="180"/>
      <c r="BB2" s="180"/>
      <c r="BC2" s="180"/>
      <c r="BD2" s="180"/>
      <c r="BE2" s="180"/>
      <c r="BF2" s="180"/>
      <c r="BG2" s="180"/>
      <c r="BH2" s="180"/>
      <c r="BI2" s="180"/>
      <c r="BJ2" s="180"/>
      <c r="BK2" s="180"/>
      <c r="BL2" s="180"/>
      <c r="BM2" s="180"/>
      <c r="BN2" s="180"/>
      <c r="BO2" s="180"/>
      <c r="BP2" s="180"/>
      <c r="BQ2" s="180"/>
      <c r="BR2" s="180"/>
      <c r="BS2" s="180"/>
    </row>
    <row r="3" spans="1:275" s="181" customFormat="1" ht="27.75" customHeight="1" thickBot="1" x14ac:dyDescent="0.35">
      <c r="A3" s="453"/>
      <c r="B3" s="454"/>
      <c r="C3" s="455"/>
      <c r="D3" s="445" t="s">
        <v>420</v>
      </c>
      <c r="E3" s="446"/>
      <c r="F3" s="446"/>
      <c r="G3" s="446"/>
      <c r="H3" s="446"/>
      <c r="I3" s="447"/>
      <c r="J3" s="445" t="s">
        <v>421</v>
      </c>
      <c r="K3" s="446"/>
      <c r="L3" s="446"/>
      <c r="M3" s="446"/>
      <c r="N3" s="446"/>
      <c r="O3" s="446"/>
      <c r="P3" s="446"/>
      <c r="Q3" s="446"/>
      <c r="R3" s="446"/>
      <c r="S3" s="446"/>
      <c r="T3" s="447"/>
      <c r="U3" s="229"/>
      <c r="V3" s="229"/>
      <c r="W3" s="229"/>
      <c r="X3" s="229"/>
      <c r="Y3" s="229"/>
      <c r="Z3" s="228"/>
      <c r="AA3" s="466"/>
      <c r="AB3" s="466"/>
      <c r="AC3" s="466"/>
      <c r="AD3" s="466"/>
      <c r="AE3" s="466"/>
      <c r="AF3" s="466"/>
      <c r="AG3" s="466"/>
      <c r="AH3" s="466"/>
      <c r="AI3" s="466"/>
      <c r="AJ3" s="466"/>
      <c r="AK3" s="466"/>
      <c r="AL3" s="466"/>
      <c r="AM3" s="466"/>
      <c r="AN3" s="466"/>
      <c r="AO3" s="466"/>
      <c r="AP3" s="466"/>
      <c r="AQ3" s="466"/>
      <c r="AR3" s="466"/>
      <c r="AS3" s="466"/>
      <c r="AT3" s="466"/>
      <c r="AU3" s="466"/>
      <c r="AV3" s="180"/>
      <c r="AW3" s="180"/>
      <c r="AX3" s="180"/>
      <c r="AY3" s="180"/>
      <c r="AZ3" s="180"/>
      <c r="BA3" s="180"/>
      <c r="BB3" s="180"/>
      <c r="BC3" s="180"/>
      <c r="BD3" s="180"/>
      <c r="BE3" s="180"/>
      <c r="BF3" s="180"/>
      <c r="BG3" s="180"/>
      <c r="BH3" s="180"/>
      <c r="BI3" s="180"/>
      <c r="BJ3" s="180"/>
      <c r="BK3" s="180"/>
      <c r="BL3" s="180"/>
      <c r="BM3" s="180"/>
      <c r="BN3" s="180"/>
      <c r="BO3" s="180"/>
      <c r="BP3" s="180"/>
      <c r="BQ3" s="180"/>
      <c r="BR3" s="180"/>
      <c r="BS3" s="180"/>
    </row>
    <row r="4" spans="1:275" s="181" customFormat="1" ht="27.75" customHeight="1" thickBot="1" x14ac:dyDescent="0.35">
      <c r="A4" s="456"/>
      <c r="B4" s="457"/>
      <c r="C4" s="458"/>
      <c r="D4" s="445" t="s">
        <v>422</v>
      </c>
      <c r="E4" s="446"/>
      <c r="F4" s="446"/>
      <c r="G4" s="446"/>
      <c r="H4" s="446"/>
      <c r="I4" s="446"/>
      <c r="J4" s="446"/>
      <c r="K4" s="446"/>
      <c r="L4" s="446"/>
      <c r="M4" s="446"/>
      <c r="N4" s="446"/>
      <c r="O4" s="446"/>
      <c r="P4" s="446"/>
      <c r="Q4" s="446"/>
      <c r="R4" s="446"/>
      <c r="S4" s="446"/>
      <c r="T4" s="447"/>
      <c r="U4" s="228"/>
      <c r="V4" s="228"/>
      <c r="W4" s="228"/>
      <c r="X4" s="228"/>
      <c r="Y4" s="228"/>
      <c r="Z4" s="228"/>
      <c r="AA4" s="466"/>
      <c r="AB4" s="466"/>
      <c r="AC4" s="466"/>
      <c r="AD4" s="466"/>
      <c r="AE4" s="466"/>
      <c r="AF4" s="466"/>
      <c r="AG4" s="466"/>
      <c r="AH4" s="466"/>
      <c r="AI4" s="466"/>
      <c r="AJ4" s="466"/>
      <c r="AK4" s="466"/>
      <c r="AL4" s="466"/>
      <c r="AM4" s="466"/>
      <c r="AN4" s="466"/>
      <c r="AO4" s="466"/>
      <c r="AP4" s="466"/>
      <c r="AQ4" s="466"/>
      <c r="AR4" s="466"/>
      <c r="AS4" s="466"/>
      <c r="AT4" s="466"/>
      <c r="AU4" s="466"/>
      <c r="AV4" s="180"/>
      <c r="AW4" s="180"/>
      <c r="AX4" s="180"/>
      <c r="AY4" s="180"/>
      <c r="AZ4" s="180"/>
      <c r="BA4" s="180"/>
      <c r="BB4" s="180"/>
      <c r="BC4" s="180"/>
      <c r="BD4" s="180"/>
      <c r="BE4" s="180"/>
      <c r="BF4" s="180"/>
      <c r="BG4" s="180"/>
      <c r="BH4" s="180"/>
      <c r="BI4" s="180"/>
      <c r="BJ4" s="180"/>
      <c r="BK4" s="180"/>
      <c r="BL4" s="180"/>
      <c r="BM4" s="180"/>
      <c r="BN4" s="180"/>
      <c r="BO4" s="180"/>
      <c r="BP4" s="180"/>
      <c r="BQ4" s="180"/>
      <c r="BR4" s="180"/>
      <c r="BS4" s="180"/>
    </row>
    <row r="5" spans="1:275" ht="15.75" thickBot="1" x14ac:dyDescent="0.25">
      <c r="A5" s="182"/>
      <c r="B5" s="183"/>
      <c r="C5" s="182"/>
      <c r="D5" s="182"/>
      <c r="E5" s="182"/>
      <c r="F5" s="182"/>
      <c r="G5" s="184"/>
      <c r="H5" s="184"/>
      <c r="I5" s="184"/>
      <c r="J5" s="184"/>
      <c r="K5" s="184"/>
      <c r="L5" s="184"/>
      <c r="M5" s="184"/>
      <c r="N5" s="185"/>
      <c r="O5" s="184"/>
      <c r="P5" s="184"/>
      <c r="Q5" s="184"/>
      <c r="R5" s="184"/>
      <c r="S5" s="184"/>
      <c r="T5" s="184"/>
      <c r="U5" s="184"/>
      <c r="V5" s="184"/>
      <c r="W5" s="184"/>
      <c r="X5" s="184"/>
      <c r="Y5" s="184"/>
      <c r="Z5" s="184"/>
      <c r="AA5" s="184"/>
      <c r="AB5" s="184"/>
      <c r="AC5" s="184"/>
      <c r="AD5" s="184"/>
      <c r="AE5" s="184"/>
      <c r="AF5" s="184"/>
      <c r="AG5" s="184"/>
      <c r="AH5" s="184"/>
      <c r="AI5" s="184"/>
      <c r="AJ5" s="184"/>
      <c r="AK5" s="184"/>
      <c r="AL5" s="184"/>
      <c r="AM5" s="184"/>
      <c r="AN5" s="184"/>
      <c r="AO5" s="230"/>
      <c r="AP5" s="184"/>
      <c r="AQ5" s="184"/>
      <c r="AR5" s="184"/>
      <c r="AS5" s="184"/>
      <c r="AT5" s="184"/>
      <c r="AU5" s="184"/>
      <c r="AV5" s="184"/>
      <c r="AW5" s="184"/>
      <c r="AX5" s="184"/>
      <c r="AY5" s="184"/>
      <c r="AZ5" s="184"/>
      <c r="BA5" s="184"/>
      <c r="BB5" s="184"/>
      <c r="BC5" s="184"/>
      <c r="BD5" s="184"/>
      <c r="BE5" s="184"/>
      <c r="BF5" s="184"/>
      <c r="BG5" s="184"/>
      <c r="BH5" s="184"/>
      <c r="BI5" s="184"/>
      <c r="BJ5" s="184"/>
      <c r="BK5" s="184"/>
      <c r="BL5" s="184"/>
      <c r="BM5" s="184"/>
      <c r="BN5" s="184"/>
      <c r="BO5" s="184"/>
      <c r="BP5" s="184"/>
      <c r="BQ5" s="184"/>
      <c r="BR5" s="184"/>
      <c r="BS5" s="184"/>
    </row>
    <row r="6" spans="1:275" ht="27" customHeight="1" thickBot="1" x14ac:dyDescent="0.25">
      <c r="A6" s="467" t="s">
        <v>423</v>
      </c>
      <c r="B6" s="468"/>
      <c r="C6" s="474" t="s">
        <v>424</v>
      </c>
      <c r="D6" s="475"/>
      <c r="E6" s="475"/>
      <c r="F6" s="475"/>
      <c r="G6" s="475"/>
      <c r="H6" s="475"/>
      <c r="I6" s="475"/>
      <c r="J6" s="475"/>
      <c r="K6" s="475"/>
      <c r="L6" s="475"/>
      <c r="M6" s="475"/>
      <c r="N6" s="475"/>
      <c r="O6" s="475"/>
      <c r="P6" s="475"/>
      <c r="Q6" s="475"/>
      <c r="R6" s="475"/>
      <c r="S6" s="475"/>
      <c r="T6" s="475"/>
      <c r="U6" s="476"/>
      <c r="V6" s="231"/>
      <c r="W6" s="231"/>
      <c r="X6" s="231"/>
      <c r="Y6" s="231"/>
      <c r="Z6" s="473"/>
      <c r="AA6" s="473"/>
      <c r="AB6" s="473"/>
      <c r="AC6" s="464"/>
      <c r="AD6" s="464"/>
      <c r="AE6" s="464"/>
      <c r="AF6" s="464"/>
      <c r="AG6" s="464"/>
      <c r="AH6" s="464"/>
      <c r="AI6" s="464"/>
      <c r="AJ6" s="464"/>
      <c r="AK6" s="464"/>
      <c r="AL6" s="464"/>
      <c r="AM6" s="464"/>
      <c r="AN6" s="464"/>
      <c r="AO6" s="464"/>
      <c r="AP6" s="464"/>
      <c r="AQ6" s="464"/>
      <c r="AR6" s="464"/>
      <c r="AS6" s="464"/>
      <c r="AT6" s="464"/>
      <c r="AU6" s="464"/>
      <c r="AV6" s="184"/>
      <c r="AW6" s="184"/>
      <c r="AX6" s="184"/>
      <c r="AY6" s="184"/>
      <c r="AZ6" s="184"/>
      <c r="BA6" s="184"/>
      <c r="BB6" s="184"/>
      <c r="BC6" s="184"/>
      <c r="BD6" s="184"/>
      <c r="BE6" s="184"/>
      <c r="BF6" s="184"/>
      <c r="BG6" s="184"/>
      <c r="BH6" s="184"/>
      <c r="BI6" s="184"/>
      <c r="BJ6" s="184"/>
      <c r="BK6" s="184"/>
      <c r="BL6" s="184"/>
      <c r="BM6" s="184"/>
      <c r="BN6" s="184"/>
      <c r="BO6" s="184"/>
      <c r="BP6" s="184"/>
      <c r="BQ6" s="184"/>
      <c r="BR6" s="184"/>
      <c r="BS6" s="184"/>
    </row>
    <row r="7" spans="1:275" ht="27" customHeight="1" thickBot="1" x14ac:dyDescent="0.3">
      <c r="A7" s="469" t="s">
        <v>425</v>
      </c>
      <c r="B7" s="470"/>
      <c r="C7" s="664"/>
      <c r="D7" s="665"/>
      <c r="E7" s="665"/>
      <c r="F7" s="665"/>
      <c r="G7" s="665"/>
      <c r="H7" s="665"/>
      <c r="I7" s="665"/>
      <c r="J7" s="665"/>
      <c r="K7" s="665"/>
      <c r="L7" s="665"/>
      <c r="M7" s="665"/>
      <c r="N7" s="665"/>
      <c r="O7" s="665"/>
      <c r="P7" s="665"/>
      <c r="Q7" s="665"/>
      <c r="R7" s="665"/>
      <c r="S7" s="665"/>
      <c r="T7" s="666"/>
      <c r="U7" s="232"/>
      <c r="V7" s="232"/>
      <c r="W7" s="232"/>
      <c r="X7" s="232"/>
      <c r="Y7" s="232"/>
      <c r="Z7" s="233"/>
      <c r="AA7" s="233"/>
      <c r="AB7" s="233"/>
      <c r="AC7" s="464"/>
      <c r="AD7" s="464"/>
      <c r="AE7" s="464"/>
      <c r="AF7" s="464"/>
      <c r="AG7" s="464"/>
      <c r="AH7" s="464"/>
      <c r="AI7" s="464"/>
      <c r="AJ7" s="464"/>
      <c r="AK7" s="464"/>
      <c r="AL7" s="464"/>
      <c r="AM7" s="464"/>
      <c r="AN7" s="464"/>
      <c r="AO7" s="464"/>
      <c r="AP7" s="464"/>
      <c r="AQ7" s="464"/>
      <c r="AR7" s="464"/>
      <c r="AS7" s="464"/>
      <c r="AT7" s="464"/>
      <c r="AU7" s="46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row>
    <row r="8" spans="1:275" ht="27" customHeight="1" thickBot="1" x14ac:dyDescent="0.3">
      <c r="A8" s="471" t="s">
        <v>426</v>
      </c>
      <c r="B8" s="472"/>
      <c r="C8" s="664"/>
      <c r="D8" s="665"/>
      <c r="E8" s="665"/>
      <c r="F8" s="665"/>
      <c r="G8" s="665"/>
      <c r="H8" s="665"/>
      <c r="I8" s="665"/>
      <c r="J8" s="665"/>
      <c r="K8" s="665"/>
      <c r="L8" s="665"/>
      <c r="M8" s="665"/>
      <c r="N8" s="665"/>
      <c r="O8" s="665"/>
      <c r="P8" s="665"/>
      <c r="Q8" s="665"/>
      <c r="R8" s="665"/>
      <c r="S8" s="665"/>
      <c r="T8" s="666"/>
      <c r="U8" s="232"/>
      <c r="V8" s="232"/>
      <c r="W8" s="232"/>
      <c r="X8" s="232"/>
      <c r="Y8" s="232"/>
      <c r="Z8" s="233"/>
      <c r="AA8" s="233"/>
      <c r="AB8" s="233"/>
      <c r="AC8" s="464"/>
      <c r="AD8" s="464"/>
      <c r="AE8" s="464"/>
      <c r="AF8" s="464"/>
      <c r="AG8" s="464"/>
      <c r="AH8" s="464"/>
      <c r="AI8" s="464"/>
      <c r="AJ8" s="464"/>
      <c r="AK8" s="464"/>
      <c r="AL8" s="464"/>
      <c r="AM8" s="464"/>
      <c r="AN8" s="464"/>
      <c r="AO8" s="464"/>
      <c r="AP8" s="464"/>
      <c r="AQ8" s="464"/>
      <c r="AR8" s="464"/>
      <c r="AS8" s="464"/>
      <c r="AT8" s="464"/>
      <c r="AU8" s="464"/>
      <c r="AV8" s="184"/>
      <c r="AW8" s="184"/>
      <c r="AX8" s="184"/>
      <c r="AY8" s="184"/>
      <c r="AZ8" s="184"/>
      <c r="BA8" s="184"/>
      <c r="BB8" s="184"/>
      <c r="BC8" s="184"/>
      <c r="BD8" s="184"/>
      <c r="BE8" s="184"/>
      <c r="BF8" s="184"/>
      <c r="BG8" s="184"/>
      <c r="BH8" s="184"/>
      <c r="BI8" s="184"/>
      <c r="BJ8" s="184"/>
      <c r="BK8" s="184"/>
      <c r="BL8" s="184"/>
      <c r="BM8" s="184"/>
      <c r="BN8" s="184"/>
      <c r="BO8" s="184"/>
      <c r="BP8" s="184"/>
      <c r="BQ8" s="184"/>
      <c r="BR8" s="184"/>
      <c r="BS8" s="184"/>
    </row>
    <row r="9" spans="1:275" ht="15.75" x14ac:dyDescent="0.25">
      <c r="A9" s="186"/>
      <c r="B9" s="186"/>
      <c r="C9" s="187"/>
      <c r="D9" s="187"/>
      <c r="E9" s="187"/>
      <c r="F9" s="187"/>
      <c r="G9" s="187"/>
      <c r="H9" s="187"/>
      <c r="I9" s="187"/>
      <c r="J9" s="187"/>
      <c r="K9" s="187"/>
      <c r="L9" s="187"/>
      <c r="M9" s="187"/>
      <c r="N9" s="187"/>
      <c r="O9" s="187"/>
      <c r="P9" s="187"/>
      <c r="Q9" s="187"/>
      <c r="R9" s="187"/>
      <c r="S9" s="187"/>
      <c r="T9" s="187"/>
      <c r="U9" s="187"/>
      <c r="V9" s="187"/>
      <c r="W9" s="187"/>
      <c r="X9" s="187"/>
      <c r="Y9" s="187"/>
      <c r="Z9" s="188"/>
      <c r="AA9" s="188"/>
      <c r="AB9" s="188"/>
      <c r="AC9" s="189"/>
      <c r="AD9" s="189"/>
      <c r="AE9" s="189"/>
      <c r="AF9" s="189"/>
      <c r="AG9" s="189"/>
      <c r="AH9" s="189"/>
      <c r="AI9" s="189"/>
      <c r="AJ9" s="189"/>
      <c r="AK9" s="189"/>
      <c r="AL9" s="189"/>
      <c r="AM9" s="189"/>
      <c r="AN9" s="189"/>
      <c r="AO9" s="189"/>
      <c r="AP9" s="189"/>
      <c r="AQ9" s="189"/>
      <c r="AR9" s="189"/>
      <c r="AS9" s="189"/>
      <c r="AT9" s="189"/>
      <c r="AU9" s="189"/>
    </row>
    <row r="10" spans="1:275" ht="27.75" customHeight="1" x14ac:dyDescent="0.2">
      <c r="A10" s="674" t="s">
        <v>427</v>
      </c>
      <c r="B10" s="675"/>
      <c r="C10" s="675"/>
      <c r="D10" s="675"/>
      <c r="E10" s="675"/>
      <c r="F10" s="675"/>
      <c r="G10" s="676"/>
      <c r="H10" s="512" t="s">
        <v>428</v>
      </c>
      <c r="I10" s="513"/>
      <c r="J10" s="513"/>
      <c r="K10" s="514"/>
      <c r="L10" s="677" t="s">
        <v>429</v>
      </c>
      <c r="M10" s="678"/>
      <c r="N10" s="512" t="s">
        <v>430</v>
      </c>
      <c r="O10" s="513"/>
      <c r="P10" s="513"/>
      <c r="Q10" s="513"/>
      <c r="R10" s="513"/>
      <c r="S10" s="513"/>
      <c r="T10" s="513"/>
      <c r="U10" s="513"/>
      <c r="V10" s="675" t="s">
        <v>431</v>
      </c>
      <c r="W10" s="675"/>
      <c r="X10" s="675"/>
      <c r="Y10" s="675"/>
      <c r="Z10" s="675"/>
      <c r="AA10" s="675"/>
      <c r="AB10" s="675"/>
      <c r="AC10" s="675"/>
      <c r="AD10" s="675"/>
      <c r="AE10" s="675"/>
      <c r="AF10" s="675"/>
      <c r="AG10" s="675"/>
      <c r="AH10" s="676"/>
      <c r="AI10" s="515" t="s">
        <v>432</v>
      </c>
      <c r="AJ10" s="516"/>
      <c r="AK10" s="516"/>
      <c r="AL10" s="516"/>
      <c r="AM10" s="517"/>
      <c r="AN10" s="674" t="s">
        <v>433</v>
      </c>
      <c r="AO10" s="675"/>
      <c r="AP10" s="675"/>
      <c r="AQ10" s="675"/>
      <c r="AR10" s="676"/>
      <c r="AS10" s="512" t="s">
        <v>434</v>
      </c>
      <c r="AT10" s="513"/>
      <c r="AU10" s="514"/>
      <c r="AV10" s="184"/>
      <c r="AW10" s="184"/>
      <c r="AX10" s="184"/>
      <c r="AY10" s="184"/>
      <c r="AZ10" s="184"/>
      <c r="BA10" s="184"/>
      <c r="BB10" s="184"/>
      <c r="BC10" s="184"/>
      <c r="BD10" s="184"/>
      <c r="BE10" s="184"/>
      <c r="BF10" s="184"/>
      <c r="BG10" s="184"/>
      <c r="BH10" s="184"/>
      <c r="BI10" s="184"/>
      <c r="BJ10" s="184"/>
      <c r="BK10" s="184"/>
      <c r="BL10" s="184"/>
      <c r="BM10" s="184"/>
      <c r="BN10" s="184"/>
      <c r="BO10" s="184"/>
      <c r="BP10" s="184"/>
      <c r="BQ10" s="184"/>
      <c r="BR10" s="184"/>
      <c r="BS10" s="184"/>
    </row>
    <row r="11" spans="1:275" ht="15.75" customHeight="1" x14ac:dyDescent="0.2">
      <c r="A11" s="679" t="s">
        <v>435</v>
      </c>
      <c r="B11" s="680" t="s">
        <v>508</v>
      </c>
      <c r="C11" s="680" t="s">
        <v>509</v>
      </c>
      <c r="D11" s="682" t="s">
        <v>510</v>
      </c>
      <c r="E11" s="680" t="s">
        <v>439</v>
      </c>
      <c r="F11" s="680" t="s">
        <v>440</v>
      </c>
      <c r="G11" s="680" t="s">
        <v>23</v>
      </c>
      <c r="H11" s="500" t="s">
        <v>137</v>
      </c>
      <c r="I11" s="500" t="s">
        <v>441</v>
      </c>
      <c r="J11" s="500" t="s">
        <v>442</v>
      </c>
      <c r="K11" s="500" t="s">
        <v>443</v>
      </c>
      <c r="L11" s="677"/>
      <c r="M11" s="678"/>
      <c r="N11" s="503" t="s">
        <v>444</v>
      </c>
      <c r="O11" s="503" t="s">
        <v>445</v>
      </c>
      <c r="P11" s="685" t="s">
        <v>446</v>
      </c>
      <c r="Q11" s="503" t="s">
        <v>511</v>
      </c>
      <c r="R11" s="503" t="s">
        <v>448</v>
      </c>
      <c r="S11" s="503" t="s">
        <v>449</v>
      </c>
      <c r="T11" s="685" t="s">
        <v>446</v>
      </c>
      <c r="U11" s="503" t="s">
        <v>450</v>
      </c>
      <c r="V11" s="684" t="s">
        <v>451</v>
      </c>
      <c r="W11" s="249"/>
      <c r="X11" s="249"/>
      <c r="Y11" s="249"/>
      <c r="Z11" s="680" t="s">
        <v>31</v>
      </c>
      <c r="AA11" s="680" t="s">
        <v>33</v>
      </c>
      <c r="AB11" s="680" t="s">
        <v>452</v>
      </c>
      <c r="AC11" s="680"/>
      <c r="AD11" s="680"/>
      <c r="AE11" s="680"/>
      <c r="AF11" s="680"/>
      <c r="AG11" s="680"/>
      <c r="AH11" s="684" t="s">
        <v>453</v>
      </c>
      <c r="AI11" s="507" t="s">
        <v>454</v>
      </c>
      <c r="AJ11" s="507" t="s">
        <v>446</v>
      </c>
      <c r="AK11" s="507" t="s">
        <v>455</v>
      </c>
      <c r="AL11" s="507" t="s">
        <v>446</v>
      </c>
      <c r="AM11" s="507" t="s">
        <v>456</v>
      </c>
      <c r="AN11" s="684" t="s">
        <v>49</v>
      </c>
      <c r="AO11" s="680" t="s">
        <v>457</v>
      </c>
      <c r="AP11" s="680" t="s">
        <v>458</v>
      </c>
      <c r="AQ11" s="680" t="s">
        <v>459</v>
      </c>
      <c r="AR11" s="680" t="s">
        <v>460</v>
      </c>
      <c r="AS11" s="503" t="s">
        <v>461</v>
      </c>
      <c r="AT11" s="503" t="s">
        <v>462</v>
      </c>
      <c r="AU11" s="503" t="s">
        <v>465</v>
      </c>
      <c r="AV11" s="184"/>
      <c r="AW11" s="184"/>
      <c r="AX11" s="184"/>
      <c r="AY11" s="184"/>
      <c r="AZ11" s="184"/>
      <c r="BA11" s="184"/>
      <c r="BB11" s="184"/>
      <c r="BC11" s="184"/>
      <c r="BD11" s="184"/>
      <c r="BE11" s="184"/>
      <c r="BF11" s="184"/>
      <c r="BG11" s="184"/>
      <c r="BH11" s="184"/>
      <c r="BI11" s="184"/>
      <c r="BJ11" s="184"/>
      <c r="BK11" s="184"/>
      <c r="BL11" s="184"/>
      <c r="BM11" s="184"/>
      <c r="BN11" s="184"/>
      <c r="BO11" s="184"/>
      <c r="BP11" s="184"/>
      <c r="BQ11" s="184"/>
      <c r="BR11" s="184"/>
    </row>
    <row r="12" spans="1:275" s="192" customFormat="1" ht="66.75" customHeight="1" x14ac:dyDescent="0.25">
      <c r="A12" s="679"/>
      <c r="B12" s="681"/>
      <c r="C12" s="680"/>
      <c r="D12" s="683"/>
      <c r="E12" s="680"/>
      <c r="F12" s="681"/>
      <c r="G12" s="680"/>
      <c r="H12" s="501"/>
      <c r="I12" s="501"/>
      <c r="J12" s="501"/>
      <c r="K12" s="501"/>
      <c r="L12" s="248" t="s">
        <v>463</v>
      </c>
      <c r="M12" s="248" t="s">
        <v>464</v>
      </c>
      <c r="N12" s="503"/>
      <c r="O12" s="503"/>
      <c r="P12" s="685"/>
      <c r="Q12" s="503"/>
      <c r="R12" s="503"/>
      <c r="S12" s="685"/>
      <c r="T12" s="685"/>
      <c r="U12" s="503"/>
      <c r="V12" s="684"/>
      <c r="W12" s="247" t="s">
        <v>465</v>
      </c>
      <c r="X12" s="247" t="s">
        <v>461</v>
      </c>
      <c r="Y12" s="247" t="s">
        <v>466</v>
      </c>
      <c r="Z12" s="680"/>
      <c r="AA12" s="680"/>
      <c r="AB12" s="246" t="s">
        <v>467</v>
      </c>
      <c r="AC12" s="246" t="s">
        <v>468</v>
      </c>
      <c r="AD12" s="246" t="s">
        <v>469</v>
      </c>
      <c r="AE12" s="246" t="s">
        <v>470</v>
      </c>
      <c r="AF12" s="246" t="s">
        <v>471</v>
      </c>
      <c r="AG12" s="246" t="s">
        <v>472</v>
      </c>
      <c r="AH12" s="684"/>
      <c r="AI12" s="507"/>
      <c r="AJ12" s="507"/>
      <c r="AK12" s="507"/>
      <c r="AL12" s="507"/>
      <c r="AM12" s="507"/>
      <c r="AN12" s="684"/>
      <c r="AO12" s="680"/>
      <c r="AP12" s="680"/>
      <c r="AQ12" s="680"/>
      <c r="AR12" s="680"/>
      <c r="AS12" s="503"/>
      <c r="AT12" s="503"/>
      <c r="AU12" s="503"/>
      <c r="AV12" s="190"/>
      <c r="AW12" s="190"/>
      <c r="AX12" s="190"/>
      <c r="AY12" s="190"/>
      <c r="AZ12" s="190"/>
      <c r="BA12" s="190"/>
      <c r="BB12" s="190"/>
      <c r="BC12" s="190"/>
      <c r="BD12" s="190"/>
      <c r="BE12" s="190"/>
      <c r="BF12" s="190"/>
      <c r="BG12" s="190"/>
      <c r="BH12" s="190"/>
      <c r="BI12" s="190"/>
      <c r="BJ12" s="190"/>
      <c r="BK12" s="190"/>
      <c r="BL12" s="190"/>
      <c r="BM12" s="190"/>
      <c r="BN12" s="190"/>
      <c r="BO12" s="190"/>
      <c r="BP12" s="190"/>
      <c r="BQ12" s="190"/>
      <c r="BR12" s="190"/>
      <c r="BS12" s="191"/>
      <c r="BT12" s="191"/>
      <c r="BU12" s="191"/>
      <c r="BV12" s="191"/>
      <c r="BW12" s="191"/>
      <c r="BX12" s="191"/>
      <c r="BY12" s="191"/>
      <c r="BZ12" s="191"/>
      <c r="CA12" s="191"/>
      <c r="CB12" s="191"/>
      <c r="CC12" s="191"/>
      <c r="CD12" s="191"/>
      <c r="CE12" s="191"/>
      <c r="CF12" s="191"/>
      <c r="CG12" s="191"/>
      <c r="CH12" s="191"/>
      <c r="CI12" s="191"/>
      <c r="CJ12" s="191"/>
      <c r="CK12" s="191"/>
      <c r="CL12" s="191"/>
      <c r="CM12" s="191"/>
      <c r="CN12" s="191"/>
      <c r="CO12" s="191"/>
      <c r="CP12" s="191"/>
      <c r="CQ12" s="191"/>
      <c r="CR12" s="191"/>
      <c r="CS12" s="191"/>
      <c r="CT12" s="191"/>
      <c r="CU12" s="191"/>
      <c r="CV12" s="191"/>
      <c r="CW12" s="191"/>
      <c r="CX12" s="191"/>
      <c r="CY12" s="191"/>
      <c r="CZ12" s="191"/>
      <c r="DA12" s="191"/>
      <c r="DB12" s="191"/>
      <c r="DC12" s="191"/>
      <c r="DD12" s="191"/>
      <c r="DE12" s="191"/>
      <c r="DF12" s="191"/>
      <c r="DG12" s="191"/>
      <c r="DH12" s="191"/>
      <c r="DI12" s="191"/>
      <c r="DJ12" s="191"/>
      <c r="DK12" s="191"/>
      <c r="DL12" s="191"/>
      <c r="DM12" s="191"/>
      <c r="DN12" s="191"/>
      <c r="DO12" s="191"/>
      <c r="DP12" s="191"/>
      <c r="DQ12" s="191"/>
      <c r="DR12" s="191"/>
      <c r="DS12" s="191"/>
      <c r="DT12" s="191"/>
      <c r="DU12" s="191"/>
      <c r="DV12" s="191"/>
      <c r="DW12" s="191"/>
      <c r="DX12" s="191"/>
      <c r="DY12" s="191"/>
      <c r="DZ12" s="191"/>
      <c r="EA12" s="191"/>
      <c r="EB12" s="191"/>
      <c r="EC12" s="191"/>
      <c r="ED12" s="191"/>
      <c r="EE12" s="191"/>
      <c r="EF12" s="191"/>
      <c r="EG12" s="191"/>
      <c r="EH12" s="191"/>
      <c r="EI12" s="191"/>
      <c r="EJ12" s="191"/>
      <c r="EK12" s="191"/>
      <c r="EL12" s="191"/>
      <c r="EM12" s="191"/>
      <c r="EN12" s="191"/>
      <c r="EO12" s="191"/>
      <c r="EP12" s="191"/>
      <c r="EQ12" s="191"/>
      <c r="ER12" s="191"/>
      <c r="ES12" s="191"/>
      <c r="ET12" s="191"/>
      <c r="EU12" s="191"/>
      <c r="EV12" s="191"/>
      <c r="EW12" s="191"/>
      <c r="EX12" s="191"/>
      <c r="EY12" s="191"/>
      <c r="EZ12" s="191"/>
      <c r="FA12" s="191"/>
      <c r="FB12" s="191"/>
      <c r="FC12" s="191"/>
      <c r="FD12" s="191"/>
      <c r="FE12" s="191"/>
      <c r="FF12" s="191"/>
      <c r="FG12" s="191"/>
      <c r="FH12" s="191"/>
      <c r="FI12" s="191"/>
      <c r="FJ12" s="191"/>
      <c r="FK12" s="191"/>
      <c r="FL12" s="191"/>
      <c r="FM12" s="191"/>
      <c r="FN12" s="191"/>
      <c r="FO12" s="191"/>
      <c r="FP12" s="191"/>
      <c r="FQ12" s="191"/>
      <c r="FR12" s="191"/>
      <c r="FS12" s="191"/>
      <c r="FT12" s="191"/>
      <c r="FU12" s="191"/>
      <c r="FV12" s="191"/>
      <c r="FW12" s="191"/>
      <c r="FX12" s="191"/>
      <c r="FY12" s="191"/>
      <c r="FZ12" s="191"/>
      <c r="GA12" s="191"/>
      <c r="GB12" s="191"/>
      <c r="GC12" s="191"/>
      <c r="GD12" s="191"/>
      <c r="GE12" s="191"/>
      <c r="GF12" s="191"/>
      <c r="GG12" s="191"/>
      <c r="GH12" s="191"/>
      <c r="GI12" s="191"/>
      <c r="GJ12" s="191"/>
      <c r="GK12" s="191"/>
      <c r="GL12" s="191"/>
      <c r="GM12" s="191"/>
      <c r="GN12" s="191"/>
      <c r="GO12" s="191"/>
      <c r="GP12" s="191"/>
      <c r="GQ12" s="191"/>
      <c r="GR12" s="191"/>
      <c r="GS12" s="191"/>
      <c r="GT12" s="191"/>
      <c r="GU12" s="191"/>
      <c r="GV12" s="191"/>
      <c r="GW12" s="191"/>
      <c r="GX12" s="191"/>
      <c r="GY12" s="191"/>
      <c r="GZ12" s="191"/>
      <c r="HA12" s="191"/>
      <c r="HB12" s="191"/>
      <c r="HC12" s="191"/>
      <c r="HD12" s="191"/>
      <c r="HE12" s="191"/>
      <c r="HF12" s="191"/>
      <c r="HG12" s="191"/>
      <c r="HH12" s="191"/>
      <c r="HI12" s="191"/>
      <c r="HJ12" s="191"/>
      <c r="HK12" s="191"/>
      <c r="HL12" s="191"/>
      <c r="HM12" s="191"/>
      <c r="HN12" s="191"/>
      <c r="HO12" s="191"/>
      <c r="HP12" s="191"/>
      <c r="HQ12" s="191"/>
      <c r="HR12" s="191"/>
      <c r="HS12" s="191"/>
      <c r="HT12" s="191"/>
      <c r="HU12" s="191"/>
      <c r="HV12" s="191"/>
      <c r="HW12" s="191"/>
      <c r="HX12" s="191"/>
      <c r="HY12" s="191"/>
      <c r="HZ12" s="191"/>
      <c r="IA12" s="191"/>
      <c r="IB12" s="191"/>
      <c r="IC12" s="191"/>
      <c r="ID12" s="191"/>
      <c r="IE12" s="191"/>
      <c r="IF12" s="191"/>
      <c r="IG12" s="191"/>
      <c r="IH12" s="191"/>
      <c r="II12" s="191"/>
      <c r="IJ12" s="191"/>
      <c r="IK12" s="191"/>
      <c r="IL12" s="191"/>
      <c r="IM12" s="191"/>
      <c r="IN12" s="191"/>
      <c r="IO12" s="191"/>
      <c r="IP12" s="191"/>
      <c r="IQ12" s="191"/>
      <c r="IR12" s="191"/>
      <c r="IS12" s="191"/>
      <c r="IT12" s="191"/>
      <c r="IU12" s="191"/>
      <c r="IV12" s="191"/>
      <c r="IW12" s="191"/>
      <c r="IX12" s="191"/>
      <c r="IY12" s="191"/>
      <c r="IZ12" s="191"/>
      <c r="JA12" s="191"/>
      <c r="JB12" s="191"/>
      <c r="JC12" s="191"/>
      <c r="JD12" s="191"/>
      <c r="JE12" s="191"/>
      <c r="JF12" s="191"/>
      <c r="JG12" s="191"/>
      <c r="JH12" s="191"/>
      <c r="JI12" s="191"/>
      <c r="JJ12" s="191"/>
      <c r="JK12" s="191"/>
      <c r="JL12" s="191"/>
      <c r="JM12" s="191"/>
      <c r="JN12" s="191"/>
      <c r="JO12" s="191"/>
    </row>
    <row r="13" spans="1:275" s="194" customFormat="1" ht="276.75" customHeight="1" x14ac:dyDescent="0.25">
      <c r="A13" s="671">
        <v>1</v>
      </c>
      <c r="B13" s="449" t="s">
        <v>114</v>
      </c>
      <c r="C13" s="449" t="s">
        <v>774</v>
      </c>
      <c r="D13" s="462" t="s">
        <v>788</v>
      </c>
      <c r="E13" s="449" t="s">
        <v>722</v>
      </c>
      <c r="F13" s="492" t="str">
        <f>+CONCATENATE(B13," ",," ",D13)</f>
        <v>Posibilidad de omitir  debido a la recepción de dadivas para beneficio personal de un funcionario público o un tercero para obtener un beneficio privado</v>
      </c>
      <c r="G13" s="449" t="s">
        <v>166</v>
      </c>
      <c r="H13" s="462" t="s">
        <v>140</v>
      </c>
      <c r="I13" s="462" t="s">
        <v>723</v>
      </c>
      <c r="J13" s="462" t="s">
        <v>775</v>
      </c>
      <c r="K13" s="462" t="s">
        <v>718</v>
      </c>
      <c r="L13" s="462" t="s">
        <v>158</v>
      </c>
      <c r="M13" s="462" t="s">
        <v>127</v>
      </c>
      <c r="N13" s="459">
        <v>90</v>
      </c>
      <c r="O13" s="460" t="str">
        <f>IF(N13&lt;=0,"",IF(N13&lt;=2,"Muy Baja",IF(N13&lt;=24,"Baja",IF(N13&lt;=500,"Media",IF(N13&lt;=5000,"Alta","Muy Alta")))))</f>
        <v>Media</v>
      </c>
      <c r="P13" s="461">
        <f>IF(O13="","",IF(O13="Muy Baja",0.2,IF(O13="Baja",0.4,IF(O13="Media",0.6,IF(O13="Alta",0.8,IF(O13="Muy Alta",1,))))))</f>
        <v>0.6</v>
      </c>
      <c r="Q13" s="490" t="s">
        <v>474</v>
      </c>
      <c r="R13" s="461" t="str">
        <f>IF(NOT(ISERROR(MATCH(Q13,'Tabla Impacto'!$B$245:$B$247,0))),'Tabla Impacto'!$F$224&amp;"Por favor no seleccionar los criterios de impacto(Afectación Económica o presupuestal y Pérdida Reputacional)",Q13)</f>
        <v xml:space="preserve">     El riesgo afecta la imagen de la entidad con algunos usuarios de relevancia frente al logro de los objetivos</v>
      </c>
      <c r="S13" s="460" t="str">
        <f>IF(OR(R13='Tabla Impacto'!$C$12,R13='Tabla Impacto'!$D$12),"Leve",IF(OR(R13='Tabla Impacto'!$C$13,R13='Tabla Impacto'!$D$13),"Menor",IF(OR(R13='Tabla Impacto'!$C$14,R13='Tabla Impacto'!$D$14),"Moderado",IF(OR(R13='Tabla Impacto'!$C$15,R13='Tabla Impacto'!$D$15),"Mayor",IF(OR(R13='Tabla Impacto'!$C$16,R13='Tabla Impacto'!$D$16),"Catastrófico","")))))</f>
        <v>Moderado</v>
      </c>
      <c r="T13" s="461">
        <f>IF(S13="","",IF(S13="Leve",0.2,IF(S13="Menor",0.4,IF(S13="Moderado",0.6,IF(S13="Mayor",0.8,IF(S13="Catastrófico",1,))))))</f>
        <v>0.6</v>
      </c>
      <c r="U13" s="489" t="str">
        <f>IF(OR(AND(O13="Muy Baja",S13="Leve"),AND(O13="Muy Baja",S13="Menor"),AND(O13="Baja",S13="Leve")),"Bajo",IF(OR(AND(O13="Muy baja",S13="Moderado"),AND(O13="Baja",S13="Menor"),AND(O13="Baja",S13="Moderado"),AND(O13="Media",S13="Leve"),AND(O13="Media",S13="Menor"),AND(O13="Media",S13="Moderado"),AND(O13="Alta",S13="Leve"),AND(O13="Alta",S13="Menor")),"Moderado",IF(OR(AND(O13="Muy Baja",S13="Mayor"),AND(O13="Baja",S13="Mayor"),AND(O13="Media",S13="Mayor"),AND(O13="Alta",S13="Moderado"),AND(O13="Alta",S13="Mayor"),AND(O13="Muy Alta",S13="Leve"),AND(O13="Muy Alta",S13="Menor"),AND(O13="Muy Alta",S13="Moderado"),AND(O13="Muy Alta",S13="Mayor")),"Alto",IF(OR(AND(O13="Muy Baja",S13="Catastrófico"),AND(O13="Baja",S13="Catastrófico"),AND(O13="Media",S13="Catastrófico"),AND(O13="Alta",S13="Catastrófico"),AND(O13="Muy Alta",S13="Catastrófico")),"Extremo",""))))</f>
        <v>Moderado</v>
      </c>
      <c r="V13" s="193">
        <v>1</v>
      </c>
      <c r="W13" s="238" t="s">
        <v>776</v>
      </c>
      <c r="X13" s="238" t="s">
        <v>118</v>
      </c>
      <c r="Y13" s="365" t="s">
        <v>789</v>
      </c>
      <c r="Z13" s="357" t="str">
        <f>+CONCATENATE(W13," ",X13," ",Y13)</f>
        <v>Los profesionales (servidores públicos o colaboradores) designados por el ordenador del gasto para la evaluación de las propuestas de acuerdo a lo establecido en el cronograma del proceso contractual  Verifica los requisitos legales durante el proceso de selección de contratistas.
Cada vez que tenga que adelantar un proceso de selección se establece un término para que los participantes y terceros interesados presente observaciones a la evaluación de ofertas. 
Las respuestas a las observaciones son proyectadas por el comite evaluador y revisadas por el profesional de la Gerencia de Contratación antes de su publicación en SECOP
Como evidencia se cuenta con el actas de evaluación por cada proceso selectivo. 
En caso de evidenciar algún tipo de anormalidad durante la evaluación de las ofertas, el ordenador del gasto podrá separarse de esta y dará cumplimiento a lo establecido en el estatuto de contratación para estos casos.</v>
      </c>
      <c r="AA13" s="170" t="str">
        <f t="shared" ref="AA13:AA18" si="0">IF(OR(AB13="Preventivo",AB13="Detectivo"),"Probabilidad",IF(AB13="Correctivo","Impacto",""))</f>
        <v>Probabilidad</v>
      </c>
      <c r="AB13" s="171" t="s">
        <v>475</v>
      </c>
      <c r="AC13" s="171" t="s">
        <v>476</v>
      </c>
      <c r="AD13" s="172" t="str">
        <f>IF(AND(AB13="Preventivo",AC13="Automático"),"50%",IF(AND(AB13="Preventivo",AC13="Manual"),"40%",IF(AND(AB13="Detectivo",AC13="Automático"),"40%",IF(AND(AB13="Detectivo",AC13="Manual"),"30%",IF(AND(AB13="Correctivo",AC13="Automático"),"35%",IF(AND(AB13="Correctivo",AC13="Manual"),"25%",""))))))</f>
        <v>40%</v>
      </c>
      <c r="AE13" s="171" t="s">
        <v>477</v>
      </c>
      <c r="AF13" s="171" t="s">
        <v>478</v>
      </c>
      <c r="AG13" s="171" t="s">
        <v>482</v>
      </c>
      <c r="AH13" s="173">
        <f>IFERROR(IF(AA13="Probabilidad",(P13-(+P13*AD13)),IF(AA13="Impacto",P13,"")),"")</f>
        <v>0.36</v>
      </c>
      <c r="AI13" s="174" t="str">
        <f>IFERROR(IF(AH13="","",IF(AH13&lt;=0.2,"Muy Baja",IF(AH13&lt;=0.4,"Baja",IF(AH13&lt;=0.6,"Media",IF(AH13&lt;=0.8,"Alta","Muy Alta"))))),"")</f>
        <v>Baja</v>
      </c>
      <c r="AJ13" s="172">
        <f>+AH13</f>
        <v>0.36</v>
      </c>
      <c r="AK13" s="174" t="str">
        <f>IFERROR(IF(AL13="","",IF(AL13&lt;=0.2,"Leve",IF(AL13&lt;=0.4,"Menor",IF(AL13&lt;=0.6,"Moderado",IF(AL13&lt;=0.8,"Mayor","Catastrófico"))))),"")</f>
        <v>Moderado</v>
      </c>
      <c r="AL13" s="172">
        <v>0.6</v>
      </c>
      <c r="AM13" s="175" t="str">
        <f>IFERROR(IF(OR(AND(AI13="Muy Baja",AK13="Leve"),AND(AI13="Muy Baja",AK13="Menor"),AND(AI13="Baja",AK13="Leve")),"Bajo",IF(OR(AND(AI13="Muy baja",AK13="Moderado"),AND(AI13="Baja",AK13="Menor"),AND(AI13="Baja",AK13="Moderado"),AND(AI13="Media",AK13="Leve"),AND(AI13="Media",AK13="Menor"),AND(AI13="Media",AK13="Moderado"),AND(AI13="Alta",AK13="Leve"),AND(AI13="Alta",AK13="Menor")),"Moderado",IF(OR(AND(AI13="Muy Baja",AK13="Mayor"),AND(AI13="Baja",AK13="Mayor"),AND(AI13="Media",AK13="Mayor"),AND(AI13="Alta",AK13="Moderado"),AND(AI13="Alta",AK13="Mayor"),AND(AI13="Muy Alta",AK13="Leve"),AND(AI13="Muy Alta",AK13="Menor"),AND(AI13="Muy Alta",AK13="Moderado"),AND(AI13="Muy Alta",AK13="Mayor")),"Alto",IF(OR(AND(AI13="Muy Baja",AK13="Catastrófico"),AND(AI13="Baja",AK13="Catastrófico"),AND(AI13="Media",AK13="Catastrófico"),AND(AI13="Alta",AK13="Catastrófico"),AND(AI13="Muy Alta",AK13="Catastrófico")),"Extremo","")))),"")</f>
        <v>Moderado</v>
      </c>
      <c r="AN13" s="176" t="s">
        <v>124</v>
      </c>
      <c r="AO13" s="169" t="s">
        <v>725</v>
      </c>
      <c r="AP13" s="169" t="s">
        <v>777</v>
      </c>
      <c r="AQ13" s="169" t="s">
        <v>724</v>
      </c>
      <c r="AR13" s="178">
        <v>46022</v>
      </c>
      <c r="AS13" s="449" t="s">
        <v>778</v>
      </c>
      <c r="AT13" s="449" t="s">
        <v>720</v>
      </c>
      <c r="AU13" s="449" t="s">
        <v>779</v>
      </c>
    </row>
    <row r="14" spans="1:275" ht="19.5" customHeight="1" x14ac:dyDescent="0.2">
      <c r="A14" s="671"/>
      <c r="B14" s="449"/>
      <c r="C14" s="449"/>
      <c r="D14" s="463"/>
      <c r="E14" s="449"/>
      <c r="F14" s="492"/>
      <c r="G14" s="449"/>
      <c r="H14" s="463"/>
      <c r="I14" s="463"/>
      <c r="J14" s="463"/>
      <c r="K14" s="463"/>
      <c r="L14" s="463"/>
      <c r="M14" s="463"/>
      <c r="N14" s="459"/>
      <c r="O14" s="460"/>
      <c r="P14" s="461"/>
      <c r="Q14" s="490"/>
      <c r="R14" s="461">
        <f>IF(NOT(ISERROR(MATCH(Q14,_xlfn.ANCHORARRAY(F25),0))),P27&amp;"Por favor no seleccionar los criterios de impacto",Q14)</f>
        <v>0</v>
      </c>
      <c r="S14" s="460"/>
      <c r="T14" s="461"/>
      <c r="U14" s="489"/>
      <c r="V14" s="193">
        <v>2</v>
      </c>
      <c r="W14" s="238"/>
      <c r="X14" s="193"/>
      <c r="Y14" s="193"/>
      <c r="Z14" s="218" t="str">
        <f t="shared" ref="Z14:Z72" si="1">+CONCATENATE(W14," ",X14," ",Y14)</f>
        <v xml:space="preserve">  </v>
      </c>
      <c r="AA14" s="170" t="str">
        <f t="shared" si="0"/>
        <v/>
      </c>
      <c r="AB14" s="171"/>
      <c r="AC14" s="171"/>
      <c r="AD14" s="172" t="str">
        <f t="shared" ref="AD14:AD18" si="2">IF(AND(AB14="Preventivo",AC14="Automático"),"50%",IF(AND(AB14="Preventivo",AC14="Manual"),"40%",IF(AND(AB14="Detectivo",AC14="Automático"),"40%",IF(AND(AB14="Detectivo",AC14="Manual"),"30%",IF(AND(AB14="Correctivo",AC14="Automático"),"35%",IF(AND(AB14="Correctivo",AC14="Manual"),"25%",""))))))</f>
        <v/>
      </c>
      <c r="AE14" s="171"/>
      <c r="AF14" s="171"/>
      <c r="AG14" s="171"/>
      <c r="AH14" s="173" t="str">
        <f>IFERROR(IF(AND(AA13="Probabilidad",AA14="Probabilidad"),(AJ13-(+AJ13*AD14)),IF(AA14="Probabilidad",(P13-(+P13*AD14)),IF(AA14="Impacto",AJ13,""))),"")</f>
        <v/>
      </c>
      <c r="AI14" s="174" t="str">
        <f t="shared" ref="AI14:AI72" si="3">IFERROR(IF(AH14="","",IF(AH14&lt;=0.2,"Muy Baja",IF(AH14&lt;=0.4,"Baja",IF(AH14&lt;=0.6,"Media",IF(AH14&lt;=0.8,"Alta","Muy Alta"))))),"")</f>
        <v/>
      </c>
      <c r="AJ14" s="172" t="str">
        <f t="shared" ref="AJ14:AJ18" si="4">+AH14</f>
        <v/>
      </c>
      <c r="AK14" s="174" t="str">
        <f t="shared" ref="AK14:AK72" si="5">IFERROR(IF(AL14="","",IF(AL14&lt;=0.2,"Leve",IF(AL14&lt;=0.4,"Menor",IF(AL14&lt;=0.6,"Moderado",IF(AL14&lt;=0.8,"Mayor","Catastrófico"))))),"")</f>
        <v/>
      </c>
      <c r="AL14" s="172" t="str">
        <f>IFERROR(IF(AND(AA13="Impacto",AA14="Impacto"),(AL13-(+AL13*AD14)),IF(AA14="Impacto",($T$13-(+$T$13*AD14)),IF(AA14="Probabilidad",AL13,""))),"")</f>
        <v/>
      </c>
      <c r="AM14" s="175" t="str">
        <f t="shared" ref="AM14:AM18" si="6">IFERROR(IF(OR(AND(AI14="Muy Baja",AK14="Leve"),AND(AI14="Muy Baja",AK14="Menor"),AND(AI14="Baja",AK14="Leve")),"Bajo",IF(OR(AND(AI14="Muy baja",AK14="Moderado"),AND(AI14="Baja",AK14="Menor"),AND(AI14="Baja",AK14="Moderado"),AND(AI14="Media",AK14="Leve"),AND(AI14="Media",AK14="Menor"),AND(AI14="Media",AK14="Moderado"),AND(AI14="Alta",AK14="Leve"),AND(AI14="Alta",AK14="Menor")),"Moderado",IF(OR(AND(AI14="Muy Baja",AK14="Mayor"),AND(AI14="Baja",AK14="Mayor"),AND(AI14="Media",AK14="Mayor"),AND(AI14="Alta",AK14="Moderado"),AND(AI14="Alta",AK14="Mayor"),AND(AI14="Muy Alta",AK14="Leve"),AND(AI14="Muy Alta",AK14="Menor"),AND(AI14="Muy Alta",AK14="Moderado"),AND(AI14="Muy Alta",AK14="Mayor")),"Alto",IF(OR(AND(AI14="Muy Baja",AK14="Catastrófico"),AND(AI14="Baja",AK14="Catastrófico"),AND(AI14="Media",AK14="Catastrófico"),AND(AI14="Alta",AK14="Catastrófico"),AND(AI14="Muy Alta",AK14="Catastrófico")),"Extremo","")))),"")</f>
        <v/>
      </c>
      <c r="AN14" s="176"/>
      <c r="AO14" s="169"/>
      <c r="AP14" s="177"/>
      <c r="AQ14" s="169"/>
      <c r="AR14" s="178"/>
      <c r="AS14" s="449"/>
      <c r="AT14" s="449"/>
      <c r="AU14" s="449"/>
    </row>
    <row r="15" spans="1:275" x14ac:dyDescent="0.2">
      <c r="A15" s="671"/>
      <c r="B15" s="449"/>
      <c r="C15" s="449"/>
      <c r="D15" s="463"/>
      <c r="E15" s="449"/>
      <c r="F15" s="492"/>
      <c r="G15" s="449"/>
      <c r="H15" s="463"/>
      <c r="I15" s="463"/>
      <c r="J15" s="463"/>
      <c r="K15" s="463"/>
      <c r="L15" s="463"/>
      <c r="M15" s="463"/>
      <c r="N15" s="459"/>
      <c r="O15" s="460"/>
      <c r="P15" s="461"/>
      <c r="Q15" s="490"/>
      <c r="R15" s="461">
        <f>IF(NOT(ISERROR(MATCH(Q15,_xlfn.ANCHORARRAY(F26),0))),P28&amp;"Por favor no seleccionar los criterios de impacto",Q15)</f>
        <v>0</v>
      </c>
      <c r="S15" s="460"/>
      <c r="T15" s="461"/>
      <c r="U15" s="489"/>
      <c r="V15" s="193">
        <v>3</v>
      </c>
      <c r="W15" s="238"/>
      <c r="X15" s="193"/>
      <c r="Y15" s="193"/>
      <c r="Z15" s="218" t="str">
        <f t="shared" si="1"/>
        <v xml:space="preserve">  </v>
      </c>
      <c r="AA15" s="170" t="str">
        <f t="shared" si="0"/>
        <v/>
      </c>
      <c r="AB15" s="171"/>
      <c r="AC15" s="171"/>
      <c r="AD15" s="172" t="str">
        <f t="shared" si="2"/>
        <v/>
      </c>
      <c r="AE15" s="171"/>
      <c r="AF15" s="171"/>
      <c r="AG15" s="171"/>
      <c r="AH15" s="173" t="str">
        <f>IFERROR(IF(AND(AA14="Probabilidad",AA15="Probabilidad"),(AJ14-(+AJ14*AD15)),IF(AND(AA14="Impacto",AA15="Probabilidad"),(AJ13-(+AJ13*AD15)),IF(AA15="Impacto",AJ14,""))),"")</f>
        <v/>
      </c>
      <c r="AI15" s="174" t="str">
        <f t="shared" si="3"/>
        <v/>
      </c>
      <c r="AJ15" s="172" t="str">
        <f t="shared" si="4"/>
        <v/>
      </c>
      <c r="AK15" s="174" t="str">
        <f t="shared" si="5"/>
        <v/>
      </c>
      <c r="AL15" s="172" t="str">
        <f>IFERROR(IF(AND(AA14="Impacto",AA15="Impacto"),(AL14-(+AL14*AD15)),IF(AND(AA14="Probabilidad",AA15="Impacto"),(AL13-(+AL13*AD15)),IF(AA15="Probabilidad",AL14,""))),"")</f>
        <v/>
      </c>
      <c r="AM15" s="175" t="str">
        <f t="shared" si="6"/>
        <v/>
      </c>
      <c r="AN15" s="176"/>
      <c r="AO15" s="169"/>
      <c r="AP15" s="177"/>
      <c r="AQ15" s="177"/>
      <c r="AR15" s="178"/>
      <c r="AS15" s="449"/>
      <c r="AT15" s="449"/>
      <c r="AU15" s="449"/>
    </row>
    <row r="16" spans="1:275" x14ac:dyDescent="0.2">
      <c r="A16" s="671"/>
      <c r="B16" s="449"/>
      <c r="C16" s="449"/>
      <c r="D16" s="463"/>
      <c r="E16" s="449"/>
      <c r="F16" s="492"/>
      <c r="G16" s="449"/>
      <c r="H16" s="463"/>
      <c r="I16" s="463"/>
      <c r="J16" s="463"/>
      <c r="K16" s="463"/>
      <c r="L16" s="463"/>
      <c r="M16" s="463"/>
      <c r="N16" s="459"/>
      <c r="O16" s="460"/>
      <c r="P16" s="461"/>
      <c r="Q16" s="490"/>
      <c r="R16" s="461">
        <f>IF(NOT(ISERROR(MATCH(Q16,_xlfn.ANCHORARRAY(F27),0))),P29&amp;"Por favor no seleccionar los criterios de impacto",Q16)</f>
        <v>0</v>
      </c>
      <c r="S16" s="460"/>
      <c r="T16" s="461"/>
      <c r="U16" s="489"/>
      <c r="V16" s="193">
        <v>4</v>
      </c>
      <c r="W16" s="238"/>
      <c r="X16" s="193"/>
      <c r="Y16" s="193"/>
      <c r="Z16" s="218" t="str">
        <f t="shared" si="1"/>
        <v xml:space="preserve">  </v>
      </c>
      <c r="AA16" s="170" t="str">
        <f t="shared" si="0"/>
        <v/>
      </c>
      <c r="AB16" s="171"/>
      <c r="AC16" s="171"/>
      <c r="AD16" s="172" t="str">
        <f t="shared" si="2"/>
        <v/>
      </c>
      <c r="AE16" s="171"/>
      <c r="AF16" s="171"/>
      <c r="AG16" s="171"/>
      <c r="AH16" s="173" t="str">
        <f t="shared" ref="AH16:AH18" si="7">IFERROR(IF(AND(AA15="Probabilidad",AA16="Probabilidad"),(AJ15-(+AJ15*AD16)),IF(AND(AA15="Impacto",AA16="Probabilidad"),(AJ14-(+AJ14*AD16)),IF(AA16="Impacto",AJ15,""))),"")</f>
        <v/>
      </c>
      <c r="AI16" s="174" t="str">
        <f t="shared" si="3"/>
        <v/>
      </c>
      <c r="AJ16" s="172" t="str">
        <f t="shared" si="4"/>
        <v/>
      </c>
      <c r="AK16" s="174" t="str">
        <f t="shared" si="5"/>
        <v/>
      </c>
      <c r="AL16" s="172" t="str">
        <f t="shared" ref="AL16:AL18" si="8">IFERROR(IF(AND(AA15="Impacto",AA16="Impacto"),(AL15-(+AL15*AD16)),IF(AND(AA15="Probabilidad",AA16="Impacto"),(AL14-(+AL14*AD16)),IF(AA16="Probabilidad",AL15,""))),"")</f>
        <v/>
      </c>
      <c r="AM16" s="175" t="str">
        <f>IFERROR(IF(OR(AND(AI16="Muy Baja",AK16="Leve"),AND(AI16="Muy Baja",AK16="Menor"),AND(AI16="Baja",AK16="Leve")),"Bajo",IF(OR(AND(AI16="Muy baja",AK16="Moderado"),AND(AI16="Baja",AK16="Menor"),AND(AI16="Baja",AK16="Moderado"),AND(AI16="Media",AK16="Leve"),AND(AI16="Media",AK16="Menor"),AND(AI16="Media",AK16="Moderado"),AND(AI16="Alta",AK16="Leve"),AND(AI16="Alta",AK16="Menor")),"Moderado",IF(OR(AND(AI16="Muy Baja",AK16="Mayor"),AND(AI16="Baja",AK16="Mayor"),AND(AI16="Media",AK16="Mayor"),AND(AI16="Alta",AK16="Moderado"),AND(AI16="Alta",AK16="Mayor"),AND(AI16="Muy Alta",AK16="Leve"),AND(AI16="Muy Alta",AK16="Menor"),AND(AI16="Muy Alta",AK16="Moderado"),AND(AI16="Muy Alta",AK16="Mayor")),"Alto",IF(OR(AND(AI16="Muy Baja",AK16="Catastrófico"),AND(AI16="Baja",AK16="Catastrófico"),AND(AI16="Media",AK16="Catastrófico"),AND(AI16="Alta",AK16="Catastrófico"),AND(AI16="Muy Alta",AK16="Catastrófico")),"Extremo","")))),"")</f>
        <v/>
      </c>
      <c r="AN16" s="176"/>
      <c r="AO16" s="169"/>
      <c r="AP16" s="177"/>
      <c r="AQ16" s="177"/>
      <c r="AR16" s="178"/>
      <c r="AS16" s="449"/>
      <c r="AT16" s="449"/>
      <c r="AU16" s="449"/>
    </row>
    <row r="17" spans="1:47" x14ac:dyDescent="0.2">
      <c r="A17" s="671"/>
      <c r="B17" s="449"/>
      <c r="C17" s="449"/>
      <c r="D17" s="463"/>
      <c r="E17" s="449"/>
      <c r="F17" s="492"/>
      <c r="G17" s="449"/>
      <c r="H17" s="463"/>
      <c r="I17" s="463"/>
      <c r="J17" s="463"/>
      <c r="K17" s="463"/>
      <c r="L17" s="463"/>
      <c r="M17" s="463"/>
      <c r="N17" s="459"/>
      <c r="O17" s="460"/>
      <c r="P17" s="461"/>
      <c r="Q17" s="490"/>
      <c r="R17" s="461">
        <f>IF(NOT(ISERROR(MATCH(Q17,_xlfn.ANCHORARRAY(F28),0))),P30&amp;"Por favor no seleccionar los criterios de impacto",Q17)</f>
        <v>0</v>
      </c>
      <c r="S17" s="460"/>
      <c r="T17" s="461"/>
      <c r="U17" s="489"/>
      <c r="V17" s="193">
        <v>5</v>
      </c>
      <c r="W17" s="238"/>
      <c r="X17" s="193"/>
      <c r="Y17" s="193"/>
      <c r="Z17" s="218" t="str">
        <f t="shared" si="1"/>
        <v xml:space="preserve">  </v>
      </c>
      <c r="AA17" s="170" t="str">
        <f t="shared" si="0"/>
        <v/>
      </c>
      <c r="AB17" s="171"/>
      <c r="AC17" s="171"/>
      <c r="AD17" s="172" t="str">
        <f t="shared" si="2"/>
        <v/>
      </c>
      <c r="AE17" s="171"/>
      <c r="AF17" s="171"/>
      <c r="AG17" s="171"/>
      <c r="AH17" s="173" t="str">
        <f t="shared" si="7"/>
        <v/>
      </c>
      <c r="AI17" s="174" t="str">
        <f t="shared" si="3"/>
        <v/>
      </c>
      <c r="AJ17" s="172" t="str">
        <f t="shared" si="4"/>
        <v/>
      </c>
      <c r="AK17" s="174" t="str">
        <f t="shared" si="5"/>
        <v/>
      </c>
      <c r="AL17" s="172" t="str">
        <f t="shared" si="8"/>
        <v/>
      </c>
      <c r="AM17" s="175" t="str">
        <f t="shared" si="6"/>
        <v/>
      </c>
      <c r="AN17" s="176"/>
      <c r="AO17" s="169"/>
      <c r="AP17" s="177"/>
      <c r="AQ17" s="177"/>
      <c r="AR17" s="178"/>
      <c r="AS17" s="449"/>
      <c r="AT17" s="449"/>
      <c r="AU17" s="449"/>
    </row>
    <row r="18" spans="1:47" x14ac:dyDescent="0.2">
      <c r="A18" s="671"/>
      <c r="B18" s="449"/>
      <c r="C18" s="449"/>
      <c r="D18" s="491"/>
      <c r="E18" s="449"/>
      <c r="F18" s="492"/>
      <c r="G18" s="449"/>
      <c r="H18" s="491"/>
      <c r="I18" s="491"/>
      <c r="J18" s="491"/>
      <c r="K18" s="491"/>
      <c r="L18" s="491"/>
      <c r="M18" s="491"/>
      <c r="N18" s="459"/>
      <c r="O18" s="460"/>
      <c r="P18" s="461"/>
      <c r="Q18" s="490"/>
      <c r="R18" s="461">
        <f>IF(NOT(ISERROR(MATCH(Q18,_xlfn.ANCHORARRAY(F29),0))),P31&amp;"Por favor no seleccionar los criterios de impacto",Q18)</f>
        <v>0</v>
      </c>
      <c r="S18" s="460"/>
      <c r="T18" s="461"/>
      <c r="U18" s="489"/>
      <c r="V18" s="193">
        <v>6</v>
      </c>
      <c r="W18" s="238"/>
      <c r="X18" s="193"/>
      <c r="Y18" s="193"/>
      <c r="Z18" s="218" t="str">
        <f t="shared" si="1"/>
        <v xml:space="preserve">  </v>
      </c>
      <c r="AA18" s="170" t="str">
        <f t="shared" si="0"/>
        <v/>
      </c>
      <c r="AB18" s="171"/>
      <c r="AC18" s="171"/>
      <c r="AD18" s="172" t="str">
        <f t="shared" si="2"/>
        <v/>
      </c>
      <c r="AE18" s="171"/>
      <c r="AF18" s="171"/>
      <c r="AG18" s="171"/>
      <c r="AH18" s="173" t="str">
        <f t="shared" si="7"/>
        <v/>
      </c>
      <c r="AI18" s="174" t="str">
        <f t="shared" si="3"/>
        <v/>
      </c>
      <c r="AJ18" s="172" t="str">
        <f t="shared" si="4"/>
        <v/>
      </c>
      <c r="AK18" s="174" t="str">
        <f t="shared" si="5"/>
        <v/>
      </c>
      <c r="AL18" s="172" t="str">
        <f t="shared" si="8"/>
        <v/>
      </c>
      <c r="AM18" s="175" t="str">
        <f t="shared" si="6"/>
        <v/>
      </c>
      <c r="AN18" s="176"/>
      <c r="AO18" s="169"/>
      <c r="AP18" s="177"/>
      <c r="AQ18" s="177"/>
      <c r="AR18" s="178"/>
      <c r="AS18" s="449"/>
      <c r="AT18" s="449"/>
      <c r="AU18" s="449"/>
    </row>
    <row r="19" spans="1:47" ht="15" customHeight="1" x14ac:dyDescent="0.2">
      <c r="A19" s="671">
        <v>2</v>
      </c>
      <c r="B19" s="672"/>
      <c r="C19" s="672"/>
      <c r="D19" s="668"/>
      <c r="E19" s="672"/>
      <c r="F19" s="673"/>
      <c r="G19" s="672"/>
      <c r="H19" s="668"/>
      <c r="I19" s="668"/>
      <c r="J19" s="668"/>
      <c r="K19" s="668"/>
      <c r="L19" s="668"/>
      <c r="M19" s="668"/>
      <c r="N19" s="459"/>
      <c r="O19" s="460" t="str">
        <f>IF(N19&lt;=0,"",IF(N19&lt;=2,"Muy Baja",IF(N19&lt;=24,"Baja",IF(N19&lt;=500,"Media",IF(N19&lt;=5000,"Alta","Muy Alta")))))</f>
        <v/>
      </c>
      <c r="P19" s="461" t="str">
        <f>IF(O19="","",IF(O19="Muy Baja",0.2,IF(O19="Baja",0.4,IF(O19="Media",0.6,IF(O19="Alta",0.8,IF(O19="Muy Alta",1,))))))</f>
        <v/>
      </c>
      <c r="Q19" s="490"/>
      <c r="R19" s="461">
        <f>IF(NOT(ISERROR(MATCH(Q19,'Tabla Impacto'!$B$245:$B$247,0))),'Tabla Impacto'!$F$224&amp;"Por favor no seleccionar los criterios de impacto(Afectación Económica o presupuestal y Pérdida Reputacional)",Q19)</f>
        <v>0</v>
      </c>
      <c r="S19" s="460" t="str">
        <f>IF(OR(R19='Tabla Impacto'!$C$12,R19='Tabla Impacto'!$D$12),"Leve",IF(OR(R19='Tabla Impacto'!$C$13,R19='Tabla Impacto'!$D$13),"Menor",IF(OR(R19='Tabla Impacto'!$C$14,R19='Tabla Impacto'!$D$14),"Moderado",IF(OR(R19='Tabla Impacto'!$C$15,R19='Tabla Impacto'!$D$15),"Mayor",IF(OR(R19='Tabla Impacto'!$C$16,R19='Tabla Impacto'!$D$16),"Catastrófico","")))))</f>
        <v/>
      </c>
      <c r="T19" s="461" t="str">
        <f>IF(S19="","",IF(S19="Leve",0.2,IF(S19="Menor",0.4,IF(S19="Moderado",0.6,IF(S19="Mayor",0.8,IF(S19="Catastrófico",1,))))))</f>
        <v/>
      </c>
      <c r="U19" s="489" t="str">
        <f>IF(OR(AND(O19="Muy Baja",S19="Leve"),AND(O19="Muy Baja",S19="Menor"),AND(O19="Baja",S19="Leve")),"Bajo",IF(OR(AND(O19="Muy baja",S19="Moderado"),AND(O19="Baja",S19="Menor"),AND(O19="Baja",S19="Moderado"),AND(O19="Media",S19="Leve"),AND(O19="Media",S19="Menor"),AND(O19="Media",S19="Moderado"),AND(O19="Alta",S19="Leve"),AND(O19="Alta",S19="Menor")),"Moderado",IF(OR(AND(O19="Muy Baja",S19="Mayor"),AND(O19="Baja",S19="Mayor"),AND(O19="Media",S19="Mayor"),AND(O19="Alta",S19="Moderado"),AND(O19="Alta",S19="Mayor"),AND(O19="Muy Alta",S19="Leve"),AND(O19="Muy Alta",S19="Menor"),AND(O19="Muy Alta",S19="Moderado"),AND(O19="Muy Alta",S19="Mayor")),"Alto",IF(OR(AND(O19="Muy Baja",S19="Catastrófico"),AND(O19="Baja",S19="Catastrófico"),AND(O19="Media",S19="Catastrófico"),AND(O19="Alta",S19="Catastrófico"),AND(O19="Muy Alta",S19="Catastrófico")),"Extremo",""))))</f>
        <v/>
      </c>
      <c r="V19" s="193">
        <v>1</v>
      </c>
      <c r="W19" s="238"/>
      <c r="X19" s="193"/>
      <c r="Y19" s="193"/>
      <c r="Z19" s="218" t="str">
        <f t="shared" si="1"/>
        <v xml:space="preserve">  </v>
      </c>
      <c r="AA19" s="170" t="str">
        <f>IF(OR(AB19="Preventivo",AB19="Detectivo"),"Probabilidad",IF(AB19="Correctivo","Impacto",""))</f>
        <v/>
      </c>
      <c r="AB19" s="171"/>
      <c r="AC19" s="171"/>
      <c r="AD19" s="172" t="str">
        <f>IF(AND(AB19="Preventivo",AC19="Automático"),"50%",IF(AND(AB19="Preventivo",AC19="Manual"),"40%",IF(AND(AB19="Detectivo",AC19="Automático"),"40%",IF(AND(AB19="Detectivo",AC19="Manual"),"30%",IF(AND(AB19="Correctivo",AC19="Automático"),"35%",IF(AND(AB19="Correctivo",AC19="Manual"),"25%",""))))))</f>
        <v/>
      </c>
      <c r="AE19" s="171"/>
      <c r="AF19" s="171"/>
      <c r="AG19" s="171"/>
      <c r="AH19" s="173" t="str">
        <f>IFERROR(IF(AA19="Probabilidad",(P19-(+P19*AD19)),IF(AA19="Impacto",P19,"")),"")</f>
        <v/>
      </c>
      <c r="AI19" s="174" t="str">
        <f>IFERROR(IF(AH19="","",IF(AH19&lt;=0.2,"Muy Baja",IF(AH19&lt;=0.4,"Baja",IF(AH19&lt;=0.6,"Media",IF(AH19&lt;=0.8,"Alta","Muy Alta"))))),"")</f>
        <v/>
      </c>
      <c r="AJ19" s="172" t="str">
        <f>+AH19</f>
        <v/>
      </c>
      <c r="AK19" s="174" t="str">
        <f>IFERROR(IF(AL19="","",IF(AL19&lt;=0.2,"Leve",IF(AL19&lt;=0.4,"Menor",IF(AL19&lt;=0.6,"Moderado",IF(AL19&lt;=0.8,"Mayor","Catastrófico"))))),"")</f>
        <v/>
      </c>
      <c r="AL19" s="172" t="str">
        <f t="shared" ref="AL19" si="9">IFERROR(IF(AA19="Impacto",(T19-(+T19*AD19)),IF(AA19="Probabilidad",T19,"")),"")</f>
        <v/>
      </c>
      <c r="AM19" s="175" t="str">
        <f>IFERROR(IF(OR(AND(AI19="Muy Baja",AK19="Leve"),AND(AI19="Muy Baja",AK19="Menor"),AND(AI19="Baja",AK19="Leve")),"Bajo",IF(OR(AND(AI19="Muy baja",AK19="Moderado"),AND(AI19="Baja",AK19="Menor"),AND(AI19="Baja",AK19="Moderado"),AND(AI19="Media",AK19="Leve"),AND(AI19="Media",AK19="Menor"),AND(AI19="Media",AK19="Moderado"),AND(AI19="Alta",AK19="Leve"),AND(AI19="Alta",AK19="Menor")),"Moderado",IF(OR(AND(AI19="Muy Baja",AK19="Mayor"),AND(AI19="Baja",AK19="Mayor"),AND(AI19="Media",AK19="Mayor"),AND(AI19="Alta",AK19="Moderado"),AND(AI19="Alta",AK19="Mayor"),AND(AI19="Muy Alta",AK19="Leve"),AND(AI19="Muy Alta",AK19="Menor"),AND(AI19="Muy Alta",AK19="Moderado"),AND(AI19="Muy Alta",AK19="Mayor")),"Alto",IF(OR(AND(AI19="Muy Baja",AK19="Catastrófico"),AND(AI19="Baja",AK19="Catastrófico"),AND(AI19="Media",AK19="Catastrófico"),AND(AI19="Alta",AK19="Catastrófico"),AND(AI19="Muy Alta",AK19="Catastrófico")),"Extremo","")))),"")</f>
        <v/>
      </c>
      <c r="AN19" s="176"/>
      <c r="AO19" s="169"/>
      <c r="AP19" s="177"/>
      <c r="AQ19" s="177"/>
      <c r="AR19" s="178"/>
      <c r="AS19" s="459"/>
      <c r="AT19" s="459"/>
      <c r="AU19" s="459"/>
    </row>
    <row r="20" spans="1:47" x14ac:dyDescent="0.2">
      <c r="A20" s="671"/>
      <c r="B20" s="672"/>
      <c r="C20" s="672"/>
      <c r="D20" s="669"/>
      <c r="E20" s="672"/>
      <c r="F20" s="673"/>
      <c r="G20" s="672"/>
      <c r="H20" s="669"/>
      <c r="I20" s="669"/>
      <c r="J20" s="669"/>
      <c r="K20" s="669"/>
      <c r="L20" s="669"/>
      <c r="M20" s="669"/>
      <c r="N20" s="459"/>
      <c r="O20" s="460"/>
      <c r="P20" s="461"/>
      <c r="Q20" s="490"/>
      <c r="R20" s="461">
        <f>IF(NOT(ISERROR(MATCH(Q20,_xlfn.ANCHORARRAY(F31),0))),P33&amp;"Por favor no seleccionar los criterios de impacto",Q20)</f>
        <v>0</v>
      </c>
      <c r="S20" s="460"/>
      <c r="T20" s="461"/>
      <c r="U20" s="489"/>
      <c r="V20" s="193">
        <v>2</v>
      </c>
      <c r="W20" s="238"/>
      <c r="X20" s="193"/>
      <c r="Y20" s="193"/>
      <c r="Z20" s="218" t="str">
        <f t="shared" si="1"/>
        <v xml:space="preserve">  </v>
      </c>
      <c r="AA20" s="170" t="str">
        <f>IF(OR(AB20="Preventivo",AB20="Detectivo"),"Probabilidad",IF(AB20="Correctivo","Impacto",""))</f>
        <v/>
      </c>
      <c r="AB20" s="171"/>
      <c r="AC20" s="171"/>
      <c r="AD20" s="172" t="str">
        <f t="shared" ref="AD20:AD24" si="10">IF(AND(AB20="Preventivo",AC20="Automático"),"50%",IF(AND(AB20="Preventivo",AC20="Manual"),"40%",IF(AND(AB20="Detectivo",AC20="Automático"),"40%",IF(AND(AB20="Detectivo",AC20="Manual"),"30%",IF(AND(AB20="Correctivo",AC20="Automático"),"35%",IF(AND(AB20="Correctivo",AC20="Manual"),"25%",""))))))</f>
        <v/>
      </c>
      <c r="AE20" s="171"/>
      <c r="AF20" s="171"/>
      <c r="AG20" s="171"/>
      <c r="AH20" s="173" t="str">
        <f>IFERROR(IF(AND(AA19="Probabilidad",AA20="Probabilidad"),(AJ19-(+AJ19*AD20)),IF(AA20="Probabilidad",(P19-(+P19*AD20)),IF(AA20="Impacto",AJ19,""))),"")</f>
        <v/>
      </c>
      <c r="AI20" s="174" t="str">
        <f t="shared" si="3"/>
        <v/>
      </c>
      <c r="AJ20" s="172" t="str">
        <f t="shared" ref="AJ20:AJ24" si="11">+AH20</f>
        <v/>
      </c>
      <c r="AK20" s="174" t="str">
        <f t="shared" si="5"/>
        <v/>
      </c>
      <c r="AL20" s="172" t="str">
        <f t="shared" ref="AL20" si="12">IFERROR(IF(AND(AA19="Impacto",AA20="Impacto"),(AL19-(+AL19*AD20)),IF(AA20="Impacto",($T$13-(+$T$13*AD20)),IF(AA20="Probabilidad",AL19,""))),"")</f>
        <v/>
      </c>
      <c r="AM20" s="175" t="str">
        <f t="shared" ref="AM20:AM21" si="13">IFERROR(IF(OR(AND(AI20="Muy Baja",AK20="Leve"),AND(AI20="Muy Baja",AK20="Menor"),AND(AI20="Baja",AK20="Leve")),"Bajo",IF(OR(AND(AI20="Muy baja",AK20="Moderado"),AND(AI20="Baja",AK20="Menor"),AND(AI20="Baja",AK20="Moderado"),AND(AI20="Media",AK20="Leve"),AND(AI20="Media",AK20="Menor"),AND(AI20="Media",AK20="Moderado"),AND(AI20="Alta",AK20="Leve"),AND(AI20="Alta",AK20="Menor")),"Moderado",IF(OR(AND(AI20="Muy Baja",AK20="Mayor"),AND(AI20="Baja",AK20="Mayor"),AND(AI20="Media",AK20="Mayor"),AND(AI20="Alta",AK20="Moderado"),AND(AI20="Alta",AK20="Mayor"),AND(AI20="Muy Alta",AK20="Leve"),AND(AI20="Muy Alta",AK20="Menor"),AND(AI20="Muy Alta",AK20="Moderado"),AND(AI20="Muy Alta",AK20="Mayor")),"Alto",IF(OR(AND(AI20="Muy Baja",AK20="Catastrófico"),AND(AI20="Baja",AK20="Catastrófico"),AND(AI20="Media",AK20="Catastrófico"),AND(AI20="Alta",AK20="Catastrófico"),AND(AI20="Muy Alta",AK20="Catastrófico")),"Extremo","")))),"")</f>
        <v/>
      </c>
      <c r="AN20" s="176"/>
      <c r="AO20" s="169"/>
      <c r="AP20" s="177"/>
      <c r="AQ20" s="169"/>
      <c r="AR20" s="178"/>
      <c r="AS20" s="459"/>
      <c r="AT20" s="459"/>
      <c r="AU20" s="459"/>
    </row>
    <row r="21" spans="1:47" x14ac:dyDescent="0.2">
      <c r="A21" s="671"/>
      <c r="B21" s="672"/>
      <c r="C21" s="672"/>
      <c r="D21" s="669"/>
      <c r="E21" s="672"/>
      <c r="F21" s="673"/>
      <c r="G21" s="672"/>
      <c r="H21" s="669"/>
      <c r="I21" s="669"/>
      <c r="J21" s="669"/>
      <c r="K21" s="669"/>
      <c r="L21" s="669"/>
      <c r="M21" s="669"/>
      <c r="N21" s="459"/>
      <c r="O21" s="460"/>
      <c r="P21" s="461"/>
      <c r="Q21" s="490"/>
      <c r="R21" s="461">
        <f>IF(NOT(ISERROR(MATCH(Q21,_xlfn.ANCHORARRAY(F32),0))),P34&amp;"Por favor no seleccionar los criterios de impacto",Q21)</f>
        <v>0</v>
      </c>
      <c r="S21" s="460"/>
      <c r="T21" s="461"/>
      <c r="U21" s="489"/>
      <c r="V21" s="193">
        <v>3</v>
      </c>
      <c r="W21" s="238"/>
      <c r="X21" s="193"/>
      <c r="Y21" s="193"/>
      <c r="Z21" s="218" t="str">
        <f t="shared" si="1"/>
        <v xml:space="preserve">  </v>
      </c>
      <c r="AA21" s="170" t="str">
        <f>IF(OR(AB21="Preventivo",AB21="Detectivo"),"Probabilidad",IF(AB21="Correctivo","Impacto",""))</f>
        <v/>
      </c>
      <c r="AB21" s="171"/>
      <c r="AC21" s="171"/>
      <c r="AD21" s="172" t="str">
        <f t="shared" si="10"/>
        <v/>
      </c>
      <c r="AE21" s="171"/>
      <c r="AF21" s="171"/>
      <c r="AG21" s="171"/>
      <c r="AH21" s="173" t="str">
        <f>IFERROR(IF(AND(AA20="Probabilidad",AA21="Probabilidad"),(AJ20-(+AJ20*AD21)),IF(AND(AA20="Impacto",AA21="Probabilidad"),(AJ19-(+AJ19*AD21)),IF(AA21="Impacto",AJ20,""))),"")</f>
        <v/>
      </c>
      <c r="AI21" s="174" t="str">
        <f t="shared" si="3"/>
        <v/>
      </c>
      <c r="AJ21" s="172" t="str">
        <f t="shared" si="11"/>
        <v/>
      </c>
      <c r="AK21" s="174" t="str">
        <f t="shared" si="5"/>
        <v/>
      </c>
      <c r="AL21" s="172" t="str">
        <f t="shared" ref="AL21:AL72" si="14">IFERROR(IF(AND(AA20="Impacto",AA21="Impacto"),(AL20-(+AL20*AD21)),IF(AND(AA20="Probabilidad",AA21="Impacto"),(AL19-(+AL19*AD21)),IF(AA21="Probabilidad",AL20,""))),"")</f>
        <v/>
      </c>
      <c r="AM21" s="175" t="str">
        <f t="shared" si="13"/>
        <v/>
      </c>
      <c r="AN21" s="176"/>
      <c r="AO21" s="169"/>
      <c r="AP21" s="177"/>
      <c r="AQ21" s="177"/>
      <c r="AR21" s="178"/>
      <c r="AS21" s="459"/>
      <c r="AT21" s="459"/>
      <c r="AU21" s="459"/>
    </row>
    <row r="22" spans="1:47" x14ac:dyDescent="0.2">
      <c r="A22" s="671"/>
      <c r="B22" s="672"/>
      <c r="C22" s="672"/>
      <c r="D22" s="669"/>
      <c r="E22" s="672"/>
      <c r="F22" s="673"/>
      <c r="G22" s="672"/>
      <c r="H22" s="669"/>
      <c r="I22" s="669"/>
      <c r="J22" s="669"/>
      <c r="K22" s="669"/>
      <c r="L22" s="669"/>
      <c r="M22" s="669"/>
      <c r="N22" s="459"/>
      <c r="O22" s="460"/>
      <c r="P22" s="461"/>
      <c r="Q22" s="490"/>
      <c r="R22" s="461">
        <f>IF(NOT(ISERROR(MATCH(Q22,_xlfn.ANCHORARRAY(F33),0))),P35&amp;"Por favor no seleccionar los criterios de impacto",Q22)</f>
        <v>0</v>
      </c>
      <c r="S22" s="460"/>
      <c r="T22" s="461"/>
      <c r="U22" s="489"/>
      <c r="V22" s="193">
        <v>4</v>
      </c>
      <c r="W22" s="238"/>
      <c r="X22" s="193"/>
      <c r="Y22" s="193"/>
      <c r="Z22" s="218" t="str">
        <f t="shared" si="1"/>
        <v xml:space="preserve">  </v>
      </c>
      <c r="AA22" s="170" t="str">
        <f t="shared" ref="AA22:AA24" si="15">IF(OR(AB22="Preventivo",AB22="Detectivo"),"Probabilidad",IF(AB22="Correctivo","Impacto",""))</f>
        <v/>
      </c>
      <c r="AB22" s="171"/>
      <c r="AC22" s="171"/>
      <c r="AD22" s="172" t="str">
        <f t="shared" si="10"/>
        <v/>
      </c>
      <c r="AE22" s="171"/>
      <c r="AF22" s="171"/>
      <c r="AG22" s="171"/>
      <c r="AH22" s="173" t="str">
        <f t="shared" ref="AH22:AH24" si="16">IFERROR(IF(AND(AA21="Probabilidad",AA22="Probabilidad"),(AJ21-(+AJ21*AD22)),IF(AND(AA21="Impacto",AA22="Probabilidad"),(AJ20-(+AJ20*AD22)),IF(AA22="Impacto",AJ21,""))),"")</f>
        <v/>
      </c>
      <c r="AI22" s="174" t="str">
        <f t="shared" si="3"/>
        <v/>
      </c>
      <c r="AJ22" s="172" t="str">
        <f t="shared" si="11"/>
        <v/>
      </c>
      <c r="AK22" s="174" t="str">
        <f t="shared" si="5"/>
        <v/>
      </c>
      <c r="AL22" s="172" t="str">
        <f t="shared" si="14"/>
        <v/>
      </c>
      <c r="AM22" s="175" t="str">
        <f>IFERROR(IF(OR(AND(AI22="Muy Baja",AK22="Leve"),AND(AI22="Muy Baja",AK22="Menor"),AND(AI22="Baja",AK22="Leve")),"Bajo",IF(OR(AND(AI22="Muy baja",AK22="Moderado"),AND(AI22="Baja",AK22="Menor"),AND(AI22="Baja",AK22="Moderado"),AND(AI22="Media",AK22="Leve"),AND(AI22="Media",AK22="Menor"),AND(AI22="Media",AK22="Moderado"),AND(AI22="Alta",AK22="Leve"),AND(AI22="Alta",AK22="Menor")),"Moderado",IF(OR(AND(AI22="Muy Baja",AK22="Mayor"),AND(AI22="Baja",AK22="Mayor"),AND(AI22="Media",AK22="Mayor"),AND(AI22="Alta",AK22="Moderado"),AND(AI22="Alta",AK22="Mayor"),AND(AI22="Muy Alta",AK22="Leve"),AND(AI22="Muy Alta",AK22="Menor"),AND(AI22="Muy Alta",AK22="Moderado"),AND(AI22="Muy Alta",AK22="Mayor")),"Alto",IF(OR(AND(AI22="Muy Baja",AK22="Catastrófico"),AND(AI22="Baja",AK22="Catastrófico"),AND(AI22="Media",AK22="Catastrófico"),AND(AI22="Alta",AK22="Catastrófico"),AND(AI22="Muy Alta",AK22="Catastrófico")),"Extremo","")))),"")</f>
        <v/>
      </c>
      <c r="AN22" s="176"/>
      <c r="AO22" s="169"/>
      <c r="AP22" s="177"/>
      <c r="AQ22" s="177"/>
      <c r="AR22" s="178"/>
      <c r="AS22" s="459"/>
      <c r="AT22" s="459"/>
      <c r="AU22" s="459"/>
    </row>
    <row r="23" spans="1:47" x14ac:dyDescent="0.2">
      <c r="A23" s="671"/>
      <c r="B23" s="672"/>
      <c r="C23" s="672"/>
      <c r="D23" s="669"/>
      <c r="E23" s="672"/>
      <c r="F23" s="673"/>
      <c r="G23" s="672"/>
      <c r="H23" s="669"/>
      <c r="I23" s="669"/>
      <c r="J23" s="669"/>
      <c r="K23" s="669"/>
      <c r="L23" s="669"/>
      <c r="M23" s="669"/>
      <c r="N23" s="459"/>
      <c r="O23" s="460"/>
      <c r="P23" s="461"/>
      <c r="Q23" s="490"/>
      <c r="R23" s="461">
        <f>IF(NOT(ISERROR(MATCH(Q23,_xlfn.ANCHORARRAY(F34),0))),P36&amp;"Por favor no seleccionar los criterios de impacto",Q23)</f>
        <v>0</v>
      </c>
      <c r="S23" s="460"/>
      <c r="T23" s="461"/>
      <c r="U23" s="489"/>
      <c r="V23" s="193">
        <v>5</v>
      </c>
      <c r="W23" s="238"/>
      <c r="X23" s="193"/>
      <c r="Y23" s="193"/>
      <c r="Z23" s="218" t="str">
        <f t="shared" si="1"/>
        <v xml:space="preserve">  </v>
      </c>
      <c r="AA23" s="170" t="str">
        <f t="shared" si="15"/>
        <v/>
      </c>
      <c r="AB23" s="171"/>
      <c r="AC23" s="171"/>
      <c r="AD23" s="172" t="str">
        <f t="shared" si="10"/>
        <v/>
      </c>
      <c r="AE23" s="171"/>
      <c r="AF23" s="171"/>
      <c r="AG23" s="171"/>
      <c r="AH23" s="173" t="str">
        <f t="shared" si="16"/>
        <v/>
      </c>
      <c r="AI23" s="174" t="str">
        <f t="shared" si="3"/>
        <v/>
      </c>
      <c r="AJ23" s="172" t="str">
        <f t="shared" si="11"/>
        <v/>
      </c>
      <c r="AK23" s="174" t="str">
        <f t="shared" si="5"/>
        <v/>
      </c>
      <c r="AL23" s="172" t="str">
        <f t="shared" si="14"/>
        <v/>
      </c>
      <c r="AM23" s="175" t="str">
        <f t="shared" ref="AM23:AM24" si="17">IFERROR(IF(OR(AND(AI23="Muy Baja",AK23="Leve"),AND(AI23="Muy Baja",AK23="Menor"),AND(AI23="Baja",AK23="Leve")),"Bajo",IF(OR(AND(AI23="Muy baja",AK23="Moderado"),AND(AI23="Baja",AK23="Menor"),AND(AI23="Baja",AK23="Moderado"),AND(AI23="Media",AK23="Leve"),AND(AI23="Media",AK23="Menor"),AND(AI23="Media",AK23="Moderado"),AND(AI23="Alta",AK23="Leve"),AND(AI23="Alta",AK23="Menor")),"Moderado",IF(OR(AND(AI23="Muy Baja",AK23="Mayor"),AND(AI23="Baja",AK23="Mayor"),AND(AI23="Media",AK23="Mayor"),AND(AI23="Alta",AK23="Moderado"),AND(AI23="Alta",AK23="Mayor"),AND(AI23="Muy Alta",AK23="Leve"),AND(AI23="Muy Alta",AK23="Menor"),AND(AI23="Muy Alta",AK23="Moderado"),AND(AI23="Muy Alta",AK23="Mayor")),"Alto",IF(OR(AND(AI23="Muy Baja",AK23="Catastrófico"),AND(AI23="Baja",AK23="Catastrófico"),AND(AI23="Media",AK23="Catastrófico"),AND(AI23="Alta",AK23="Catastrófico"),AND(AI23="Muy Alta",AK23="Catastrófico")),"Extremo","")))),"")</f>
        <v/>
      </c>
      <c r="AN23" s="176"/>
      <c r="AO23" s="169"/>
      <c r="AP23" s="177"/>
      <c r="AQ23" s="177"/>
      <c r="AR23" s="178"/>
      <c r="AS23" s="459"/>
      <c r="AT23" s="459"/>
      <c r="AU23" s="459"/>
    </row>
    <row r="24" spans="1:47" x14ac:dyDescent="0.2">
      <c r="A24" s="671"/>
      <c r="B24" s="672"/>
      <c r="C24" s="672"/>
      <c r="D24" s="670"/>
      <c r="E24" s="672"/>
      <c r="F24" s="673"/>
      <c r="G24" s="672"/>
      <c r="H24" s="670"/>
      <c r="I24" s="670"/>
      <c r="J24" s="670"/>
      <c r="K24" s="670"/>
      <c r="L24" s="670"/>
      <c r="M24" s="670"/>
      <c r="N24" s="459"/>
      <c r="O24" s="460"/>
      <c r="P24" s="461"/>
      <c r="Q24" s="490"/>
      <c r="R24" s="461">
        <f>IF(NOT(ISERROR(MATCH(Q24,_xlfn.ANCHORARRAY(F35),0))),P37&amp;"Por favor no seleccionar los criterios de impacto",Q24)</f>
        <v>0</v>
      </c>
      <c r="S24" s="460"/>
      <c r="T24" s="461"/>
      <c r="U24" s="489"/>
      <c r="V24" s="193">
        <v>6</v>
      </c>
      <c r="W24" s="193"/>
      <c r="X24" s="193"/>
      <c r="Y24" s="193"/>
      <c r="Z24" s="218" t="str">
        <f t="shared" si="1"/>
        <v xml:space="preserve">  </v>
      </c>
      <c r="AA24" s="170" t="str">
        <f t="shared" si="15"/>
        <v/>
      </c>
      <c r="AB24" s="171"/>
      <c r="AC24" s="171"/>
      <c r="AD24" s="172" t="str">
        <f t="shared" si="10"/>
        <v/>
      </c>
      <c r="AE24" s="171"/>
      <c r="AF24" s="171"/>
      <c r="AG24" s="171"/>
      <c r="AH24" s="173" t="str">
        <f t="shared" si="16"/>
        <v/>
      </c>
      <c r="AI24" s="174" t="str">
        <f t="shared" si="3"/>
        <v/>
      </c>
      <c r="AJ24" s="172" t="str">
        <f t="shared" si="11"/>
        <v/>
      </c>
      <c r="AK24" s="174" t="str">
        <f t="shared" si="5"/>
        <v/>
      </c>
      <c r="AL24" s="172" t="str">
        <f t="shared" si="14"/>
        <v/>
      </c>
      <c r="AM24" s="175" t="str">
        <f t="shared" si="17"/>
        <v/>
      </c>
      <c r="AN24" s="176"/>
      <c r="AO24" s="169"/>
      <c r="AP24" s="177"/>
      <c r="AQ24" s="177"/>
      <c r="AR24" s="178"/>
      <c r="AS24" s="459"/>
      <c r="AT24" s="459"/>
      <c r="AU24" s="459"/>
    </row>
    <row r="25" spans="1:47" ht="15" customHeight="1" x14ac:dyDescent="0.2">
      <c r="A25" s="671">
        <v>3</v>
      </c>
      <c r="B25" s="672"/>
      <c r="C25" s="672"/>
      <c r="D25" s="668"/>
      <c r="E25" s="672"/>
      <c r="F25" s="673"/>
      <c r="G25" s="672"/>
      <c r="H25" s="668"/>
      <c r="I25" s="668"/>
      <c r="J25" s="668"/>
      <c r="K25" s="668"/>
      <c r="L25" s="668"/>
      <c r="M25" s="668"/>
      <c r="N25" s="459"/>
      <c r="O25" s="460" t="str">
        <f>IF(N25&lt;=0,"",IF(N25&lt;=2,"Muy Baja",IF(N25&lt;=24,"Baja",IF(N25&lt;=500,"Media",IF(N25&lt;=5000,"Alta","Muy Alta")))))</f>
        <v/>
      </c>
      <c r="P25" s="461" t="str">
        <f>IF(O25="","",IF(O25="Muy Baja",0.2,IF(O25="Baja",0.4,IF(O25="Media",0.6,IF(O25="Alta",0.8,IF(O25="Muy Alta",1,))))))</f>
        <v/>
      </c>
      <c r="Q25" s="490"/>
      <c r="R25" s="461">
        <f>IF(NOT(ISERROR(MATCH(Q25,'Tabla Impacto'!$B$245:$B$247,0))),'Tabla Impacto'!$F$224&amp;"Por favor no seleccionar los criterios de impacto(Afectación Económica o presupuestal y Pérdida Reputacional)",Q25)</f>
        <v>0</v>
      </c>
      <c r="S25" s="460" t="str">
        <f>IF(OR(R25='Tabla Impacto'!$C$12,R25='Tabla Impacto'!$D$12),"Leve",IF(OR(R25='Tabla Impacto'!$C$13,R25='Tabla Impacto'!$D$13),"Menor",IF(OR(R25='Tabla Impacto'!$C$14,R25='Tabla Impacto'!$D$14),"Moderado",IF(OR(R25='Tabla Impacto'!$C$15,R25='Tabla Impacto'!$D$15),"Mayor",IF(OR(R25='Tabla Impacto'!$C$16,R25='Tabla Impacto'!$D$16),"Catastrófico","")))))</f>
        <v/>
      </c>
      <c r="T25" s="461" t="str">
        <f>IF(S25="","",IF(S25="Leve",0.2,IF(S25="Menor",0.4,IF(S25="Moderado",0.6,IF(S25="Mayor",0.8,IF(S25="Catastrófico",1,))))))</f>
        <v/>
      </c>
      <c r="U25" s="489" t="str">
        <f>IF(OR(AND(O25="Muy Baja",S25="Leve"),AND(O25="Muy Baja",S25="Menor"),AND(O25="Baja",S25="Leve")),"Bajo",IF(OR(AND(O25="Muy baja",S25="Moderado"),AND(O25="Baja",S25="Menor"),AND(O25="Baja",S25="Moderado"),AND(O25="Media",S25="Leve"),AND(O25="Media",S25="Menor"),AND(O25="Media",S25="Moderado"),AND(O25="Alta",S25="Leve"),AND(O25="Alta",S25="Menor")),"Moderado",IF(OR(AND(O25="Muy Baja",S25="Mayor"),AND(O25="Baja",S25="Mayor"),AND(O25="Media",S25="Mayor"),AND(O25="Alta",S25="Moderado"),AND(O25="Alta",S25="Mayor"),AND(O25="Muy Alta",S25="Leve"),AND(O25="Muy Alta",S25="Menor"),AND(O25="Muy Alta",S25="Moderado"),AND(O25="Muy Alta",S25="Mayor")),"Alto",IF(OR(AND(O25="Muy Baja",S25="Catastrófico"),AND(O25="Baja",S25="Catastrófico"),AND(O25="Media",S25="Catastrófico"),AND(O25="Alta",S25="Catastrófico"),AND(O25="Muy Alta",S25="Catastrófico")),"Extremo",""))))</f>
        <v/>
      </c>
      <c r="V25" s="193">
        <v>1</v>
      </c>
      <c r="W25" s="193"/>
      <c r="X25" s="193"/>
      <c r="Y25" s="193"/>
      <c r="Z25" s="218" t="str">
        <f t="shared" si="1"/>
        <v xml:space="preserve">  </v>
      </c>
      <c r="AA25" s="170" t="str">
        <f>IF(OR(AB25="Preventivo",AB25="Detectivo"),"Probabilidad",IF(AB25="Correctivo","Impacto",""))</f>
        <v/>
      </c>
      <c r="AB25" s="171"/>
      <c r="AC25" s="171"/>
      <c r="AD25" s="172" t="str">
        <f>IF(AND(AB25="Preventivo",AC25="Automático"),"50%",IF(AND(AB25="Preventivo",AC25="Manual"),"40%",IF(AND(AB25="Detectivo",AC25="Automático"),"40%",IF(AND(AB25="Detectivo",AC25="Manual"),"30%",IF(AND(AB25="Correctivo",AC25="Automático"),"35%",IF(AND(AB25="Correctivo",AC25="Manual"),"25%",""))))))</f>
        <v/>
      </c>
      <c r="AE25" s="171"/>
      <c r="AF25" s="171"/>
      <c r="AG25" s="171"/>
      <c r="AH25" s="173" t="str">
        <f>IFERROR(IF(AA25="Probabilidad",(P25-(+P25*AD25)),IF(AA25="Impacto",P25,"")),"")</f>
        <v/>
      </c>
      <c r="AI25" s="174" t="str">
        <f>IFERROR(IF(AH25="","",IF(AH25&lt;=0.2,"Muy Baja",IF(AH25&lt;=0.4,"Baja",IF(AH25&lt;=0.6,"Media",IF(AH25&lt;=0.8,"Alta","Muy Alta"))))),"")</f>
        <v/>
      </c>
      <c r="AJ25" s="172" t="str">
        <f>+AH25</f>
        <v/>
      </c>
      <c r="AK25" s="174" t="str">
        <f>IFERROR(IF(AL25="","",IF(AL25&lt;=0.2,"Leve",IF(AL25&lt;=0.4,"Menor",IF(AL25&lt;=0.6,"Moderado",IF(AL25&lt;=0.8,"Mayor","Catastrófico"))))),"")</f>
        <v/>
      </c>
      <c r="AL25" s="172" t="str">
        <f t="shared" ref="AL25" si="18">IFERROR(IF(AA25="Impacto",(T25-(+T25*AD25)),IF(AA25="Probabilidad",T25,"")),"")</f>
        <v/>
      </c>
      <c r="AM25" s="175" t="str">
        <f>IFERROR(IF(OR(AND(AI25="Muy Baja",AK25="Leve"),AND(AI25="Muy Baja",AK25="Menor"),AND(AI25="Baja",AK25="Leve")),"Bajo",IF(OR(AND(AI25="Muy baja",AK25="Moderado"),AND(AI25="Baja",AK25="Menor"),AND(AI25="Baja",AK25="Moderado"),AND(AI25="Media",AK25="Leve"),AND(AI25="Media",AK25="Menor"),AND(AI25="Media",AK25="Moderado"),AND(AI25="Alta",AK25="Leve"),AND(AI25="Alta",AK25="Menor")),"Moderado",IF(OR(AND(AI25="Muy Baja",AK25="Mayor"),AND(AI25="Baja",AK25="Mayor"),AND(AI25="Media",AK25="Mayor"),AND(AI25="Alta",AK25="Moderado"),AND(AI25="Alta",AK25="Mayor"),AND(AI25="Muy Alta",AK25="Leve"),AND(AI25="Muy Alta",AK25="Menor"),AND(AI25="Muy Alta",AK25="Moderado"),AND(AI25="Muy Alta",AK25="Mayor")),"Alto",IF(OR(AND(AI25="Muy Baja",AK25="Catastrófico"),AND(AI25="Baja",AK25="Catastrófico"),AND(AI25="Media",AK25="Catastrófico"),AND(AI25="Alta",AK25="Catastrófico"),AND(AI25="Muy Alta",AK25="Catastrófico")),"Extremo","")))),"")</f>
        <v/>
      </c>
      <c r="AN25" s="176"/>
      <c r="AO25" s="169"/>
      <c r="AP25" s="177"/>
      <c r="AQ25" s="177"/>
      <c r="AR25" s="178"/>
      <c r="AS25" s="459"/>
      <c r="AT25" s="459"/>
      <c r="AU25" s="459"/>
    </row>
    <row r="26" spans="1:47" x14ac:dyDescent="0.2">
      <c r="A26" s="671"/>
      <c r="B26" s="672"/>
      <c r="C26" s="672"/>
      <c r="D26" s="669"/>
      <c r="E26" s="672"/>
      <c r="F26" s="673"/>
      <c r="G26" s="672"/>
      <c r="H26" s="669"/>
      <c r="I26" s="669"/>
      <c r="J26" s="669"/>
      <c r="K26" s="669"/>
      <c r="L26" s="669"/>
      <c r="M26" s="669"/>
      <c r="N26" s="459"/>
      <c r="O26" s="460"/>
      <c r="P26" s="461"/>
      <c r="Q26" s="490"/>
      <c r="R26" s="461">
        <f>IF(NOT(ISERROR(MATCH(Q26,_xlfn.ANCHORARRAY(F37),0))),P39&amp;"Por favor no seleccionar los criterios de impacto",Q26)</f>
        <v>0</v>
      </c>
      <c r="S26" s="460"/>
      <c r="T26" s="461"/>
      <c r="U26" s="489"/>
      <c r="V26" s="193">
        <v>2</v>
      </c>
      <c r="W26" s="193"/>
      <c r="X26" s="193"/>
      <c r="Y26" s="193"/>
      <c r="Z26" s="218" t="str">
        <f t="shared" si="1"/>
        <v xml:space="preserve">  </v>
      </c>
      <c r="AA26" s="170" t="str">
        <f>IF(OR(AB26="Preventivo",AB26="Detectivo"),"Probabilidad",IF(AB26="Correctivo","Impacto",""))</f>
        <v/>
      </c>
      <c r="AB26" s="171"/>
      <c r="AC26" s="171"/>
      <c r="AD26" s="172" t="str">
        <f t="shared" ref="AD26:AD30" si="19">IF(AND(AB26="Preventivo",AC26="Automático"),"50%",IF(AND(AB26="Preventivo",AC26="Manual"),"40%",IF(AND(AB26="Detectivo",AC26="Automático"),"40%",IF(AND(AB26="Detectivo",AC26="Manual"),"30%",IF(AND(AB26="Correctivo",AC26="Automático"),"35%",IF(AND(AB26="Correctivo",AC26="Manual"),"25%",""))))))</f>
        <v/>
      </c>
      <c r="AE26" s="171"/>
      <c r="AF26" s="171"/>
      <c r="AG26" s="171"/>
      <c r="AH26" s="173" t="str">
        <f>IFERROR(IF(AND(AA25="Probabilidad",AA26="Probabilidad"),(AJ25-(+AJ25*AD26)),IF(AA26="Probabilidad",(P25-(+P25*AD26)),IF(AA26="Impacto",AJ25,""))),"")</f>
        <v/>
      </c>
      <c r="AI26" s="174" t="str">
        <f t="shared" si="3"/>
        <v/>
      </c>
      <c r="AJ26" s="172" t="str">
        <f t="shared" ref="AJ26:AJ30" si="20">+AH26</f>
        <v/>
      </c>
      <c r="AK26" s="174" t="str">
        <f t="shared" si="5"/>
        <v/>
      </c>
      <c r="AL26" s="172" t="str">
        <f t="shared" ref="AL26" si="21">IFERROR(IF(AND(AA25="Impacto",AA26="Impacto"),(AL25-(+AL25*AD26)),IF(AA26="Impacto",($T$13-(+$T$13*AD26)),IF(AA26="Probabilidad",AL25,""))),"")</f>
        <v/>
      </c>
      <c r="AM26" s="175" t="str">
        <f t="shared" ref="AM26:AM27" si="22">IFERROR(IF(OR(AND(AI26="Muy Baja",AK26="Leve"),AND(AI26="Muy Baja",AK26="Menor"),AND(AI26="Baja",AK26="Leve")),"Bajo",IF(OR(AND(AI26="Muy baja",AK26="Moderado"),AND(AI26="Baja",AK26="Menor"),AND(AI26="Baja",AK26="Moderado"),AND(AI26="Media",AK26="Leve"),AND(AI26="Media",AK26="Menor"),AND(AI26="Media",AK26="Moderado"),AND(AI26="Alta",AK26="Leve"),AND(AI26="Alta",AK26="Menor")),"Moderado",IF(OR(AND(AI26="Muy Baja",AK26="Mayor"),AND(AI26="Baja",AK26="Mayor"),AND(AI26="Media",AK26="Mayor"),AND(AI26="Alta",AK26="Moderado"),AND(AI26="Alta",AK26="Mayor"),AND(AI26="Muy Alta",AK26="Leve"),AND(AI26="Muy Alta",AK26="Menor"),AND(AI26="Muy Alta",AK26="Moderado"),AND(AI26="Muy Alta",AK26="Mayor")),"Alto",IF(OR(AND(AI26="Muy Baja",AK26="Catastrófico"),AND(AI26="Baja",AK26="Catastrófico"),AND(AI26="Media",AK26="Catastrófico"),AND(AI26="Alta",AK26="Catastrófico"),AND(AI26="Muy Alta",AK26="Catastrófico")),"Extremo","")))),"")</f>
        <v/>
      </c>
      <c r="AN26" s="176"/>
      <c r="AO26" s="169"/>
      <c r="AP26" s="177"/>
      <c r="AQ26" s="177"/>
      <c r="AR26" s="178"/>
      <c r="AS26" s="459"/>
      <c r="AT26" s="459"/>
      <c r="AU26" s="459"/>
    </row>
    <row r="27" spans="1:47" x14ac:dyDescent="0.2">
      <c r="A27" s="671"/>
      <c r="B27" s="672"/>
      <c r="C27" s="672"/>
      <c r="D27" s="669"/>
      <c r="E27" s="672"/>
      <c r="F27" s="673"/>
      <c r="G27" s="672"/>
      <c r="H27" s="669"/>
      <c r="I27" s="669"/>
      <c r="J27" s="669"/>
      <c r="K27" s="669"/>
      <c r="L27" s="669"/>
      <c r="M27" s="669"/>
      <c r="N27" s="459"/>
      <c r="O27" s="460"/>
      <c r="P27" s="461"/>
      <c r="Q27" s="490"/>
      <c r="R27" s="461">
        <f>IF(NOT(ISERROR(MATCH(Q27,_xlfn.ANCHORARRAY(F38),0))),P40&amp;"Por favor no seleccionar los criterios de impacto",Q27)</f>
        <v>0</v>
      </c>
      <c r="S27" s="460"/>
      <c r="T27" s="461"/>
      <c r="U27" s="489"/>
      <c r="V27" s="193">
        <v>3</v>
      </c>
      <c r="W27" s="193"/>
      <c r="X27" s="193"/>
      <c r="Y27" s="193"/>
      <c r="Z27" s="218" t="str">
        <f t="shared" si="1"/>
        <v xml:space="preserve">  </v>
      </c>
      <c r="AA27" s="170" t="str">
        <f>IF(OR(AB27="Preventivo",AB27="Detectivo"),"Probabilidad",IF(AB27="Correctivo","Impacto",""))</f>
        <v/>
      </c>
      <c r="AB27" s="171"/>
      <c r="AC27" s="171"/>
      <c r="AD27" s="172" t="str">
        <f t="shared" si="19"/>
        <v/>
      </c>
      <c r="AE27" s="171"/>
      <c r="AF27" s="171"/>
      <c r="AG27" s="171"/>
      <c r="AH27" s="173" t="str">
        <f>IFERROR(IF(AND(AA26="Probabilidad",AA27="Probabilidad"),(AJ26-(+AJ26*AD27)),IF(AND(AA26="Impacto",AA27="Probabilidad"),(AJ25-(+AJ25*AD27)),IF(AA27="Impacto",AJ26,""))),"")</f>
        <v/>
      </c>
      <c r="AI27" s="174" t="str">
        <f t="shared" si="3"/>
        <v/>
      </c>
      <c r="AJ27" s="172" t="str">
        <f t="shared" si="20"/>
        <v/>
      </c>
      <c r="AK27" s="174" t="str">
        <f t="shared" si="5"/>
        <v/>
      </c>
      <c r="AL27" s="172" t="str">
        <f t="shared" ref="AL27" si="23">IFERROR(IF(AND(AA26="Impacto",AA27="Impacto"),(AL26-(+AL26*AD27)),IF(AND(AA26="Probabilidad",AA27="Impacto"),(AL25-(+AL25*AD27)),IF(AA27="Probabilidad",AL26,""))),"")</f>
        <v/>
      </c>
      <c r="AM27" s="175" t="str">
        <f t="shared" si="22"/>
        <v/>
      </c>
      <c r="AN27" s="176"/>
      <c r="AO27" s="169"/>
      <c r="AP27" s="177"/>
      <c r="AQ27" s="177"/>
      <c r="AR27" s="178"/>
      <c r="AS27" s="459"/>
      <c r="AT27" s="459"/>
      <c r="AU27" s="459"/>
    </row>
    <row r="28" spans="1:47" x14ac:dyDescent="0.2">
      <c r="A28" s="671"/>
      <c r="B28" s="672"/>
      <c r="C28" s="672"/>
      <c r="D28" s="669"/>
      <c r="E28" s="672"/>
      <c r="F28" s="673"/>
      <c r="G28" s="672"/>
      <c r="H28" s="669"/>
      <c r="I28" s="669"/>
      <c r="J28" s="669"/>
      <c r="K28" s="669"/>
      <c r="L28" s="669"/>
      <c r="M28" s="669"/>
      <c r="N28" s="459"/>
      <c r="O28" s="460"/>
      <c r="P28" s="461"/>
      <c r="Q28" s="490"/>
      <c r="R28" s="461">
        <f>IF(NOT(ISERROR(MATCH(Q28,_xlfn.ANCHORARRAY(F39),0))),P41&amp;"Por favor no seleccionar los criterios de impacto",Q28)</f>
        <v>0</v>
      </c>
      <c r="S28" s="460"/>
      <c r="T28" s="461"/>
      <c r="U28" s="489"/>
      <c r="V28" s="193">
        <v>4</v>
      </c>
      <c r="W28" s="193"/>
      <c r="X28" s="193"/>
      <c r="Y28" s="193"/>
      <c r="Z28" s="218" t="str">
        <f t="shared" si="1"/>
        <v xml:space="preserve">  </v>
      </c>
      <c r="AA28" s="170" t="str">
        <f t="shared" ref="AA28:AA30" si="24">IF(OR(AB28="Preventivo",AB28="Detectivo"),"Probabilidad",IF(AB28="Correctivo","Impacto",""))</f>
        <v/>
      </c>
      <c r="AB28" s="171"/>
      <c r="AC28" s="171"/>
      <c r="AD28" s="172" t="str">
        <f t="shared" si="19"/>
        <v/>
      </c>
      <c r="AE28" s="171"/>
      <c r="AF28" s="171"/>
      <c r="AG28" s="171"/>
      <c r="AH28" s="173" t="str">
        <f t="shared" ref="AH28:AH30" si="25">IFERROR(IF(AND(AA27="Probabilidad",AA28="Probabilidad"),(AJ27-(+AJ27*AD28)),IF(AND(AA27="Impacto",AA28="Probabilidad"),(AJ26-(+AJ26*AD28)),IF(AA28="Impacto",AJ27,""))),"")</f>
        <v/>
      </c>
      <c r="AI28" s="174" t="str">
        <f t="shared" si="3"/>
        <v/>
      </c>
      <c r="AJ28" s="172" t="str">
        <f t="shared" si="20"/>
        <v/>
      </c>
      <c r="AK28" s="174" t="str">
        <f t="shared" si="5"/>
        <v/>
      </c>
      <c r="AL28" s="172" t="str">
        <f t="shared" si="14"/>
        <v/>
      </c>
      <c r="AM28" s="175" t="str">
        <f>IFERROR(IF(OR(AND(AI28="Muy Baja",AK28="Leve"),AND(AI28="Muy Baja",AK28="Menor"),AND(AI28="Baja",AK28="Leve")),"Bajo",IF(OR(AND(AI28="Muy baja",AK28="Moderado"),AND(AI28="Baja",AK28="Menor"),AND(AI28="Baja",AK28="Moderado"),AND(AI28="Media",AK28="Leve"),AND(AI28="Media",AK28="Menor"),AND(AI28="Media",AK28="Moderado"),AND(AI28="Alta",AK28="Leve"),AND(AI28="Alta",AK28="Menor")),"Moderado",IF(OR(AND(AI28="Muy Baja",AK28="Mayor"),AND(AI28="Baja",AK28="Mayor"),AND(AI28="Media",AK28="Mayor"),AND(AI28="Alta",AK28="Moderado"),AND(AI28="Alta",AK28="Mayor"),AND(AI28="Muy Alta",AK28="Leve"),AND(AI28="Muy Alta",AK28="Menor"),AND(AI28="Muy Alta",AK28="Moderado"),AND(AI28="Muy Alta",AK28="Mayor")),"Alto",IF(OR(AND(AI28="Muy Baja",AK28="Catastrófico"),AND(AI28="Baja",AK28="Catastrófico"),AND(AI28="Media",AK28="Catastrófico"),AND(AI28="Alta",AK28="Catastrófico"),AND(AI28="Muy Alta",AK28="Catastrófico")),"Extremo","")))),"")</f>
        <v/>
      </c>
      <c r="AN28" s="176"/>
      <c r="AO28" s="169"/>
      <c r="AP28" s="177"/>
      <c r="AQ28" s="177"/>
      <c r="AR28" s="178"/>
      <c r="AS28" s="459"/>
      <c r="AT28" s="459"/>
      <c r="AU28" s="459"/>
    </row>
    <row r="29" spans="1:47" x14ac:dyDescent="0.2">
      <c r="A29" s="671"/>
      <c r="B29" s="672"/>
      <c r="C29" s="672"/>
      <c r="D29" s="669"/>
      <c r="E29" s="672"/>
      <c r="F29" s="673"/>
      <c r="G29" s="672"/>
      <c r="H29" s="669"/>
      <c r="I29" s="669"/>
      <c r="J29" s="669"/>
      <c r="K29" s="669"/>
      <c r="L29" s="669"/>
      <c r="M29" s="669"/>
      <c r="N29" s="459"/>
      <c r="O29" s="460"/>
      <c r="P29" s="461"/>
      <c r="Q29" s="490"/>
      <c r="R29" s="461">
        <f>IF(NOT(ISERROR(MATCH(Q29,_xlfn.ANCHORARRAY(F40),0))),P42&amp;"Por favor no seleccionar los criterios de impacto",Q29)</f>
        <v>0</v>
      </c>
      <c r="S29" s="460"/>
      <c r="T29" s="461"/>
      <c r="U29" s="489"/>
      <c r="V29" s="193">
        <v>5</v>
      </c>
      <c r="W29" s="193"/>
      <c r="X29" s="193"/>
      <c r="Y29" s="193"/>
      <c r="Z29" s="218" t="str">
        <f t="shared" si="1"/>
        <v xml:space="preserve">  </v>
      </c>
      <c r="AA29" s="170" t="str">
        <f t="shared" si="24"/>
        <v/>
      </c>
      <c r="AB29" s="171"/>
      <c r="AC29" s="171"/>
      <c r="AD29" s="172" t="str">
        <f t="shared" si="19"/>
        <v/>
      </c>
      <c r="AE29" s="171"/>
      <c r="AF29" s="171"/>
      <c r="AG29" s="171"/>
      <c r="AH29" s="173" t="str">
        <f t="shared" si="25"/>
        <v/>
      </c>
      <c r="AI29" s="174" t="str">
        <f t="shared" si="3"/>
        <v/>
      </c>
      <c r="AJ29" s="172" t="str">
        <f t="shared" si="20"/>
        <v/>
      </c>
      <c r="AK29" s="174" t="str">
        <f t="shared" si="5"/>
        <v/>
      </c>
      <c r="AL29" s="172" t="str">
        <f t="shared" si="14"/>
        <v/>
      </c>
      <c r="AM29" s="175" t="str">
        <f t="shared" ref="AM29:AM30" si="26">IFERROR(IF(OR(AND(AI29="Muy Baja",AK29="Leve"),AND(AI29="Muy Baja",AK29="Menor"),AND(AI29="Baja",AK29="Leve")),"Bajo",IF(OR(AND(AI29="Muy baja",AK29="Moderado"),AND(AI29="Baja",AK29="Menor"),AND(AI29="Baja",AK29="Moderado"),AND(AI29="Media",AK29="Leve"),AND(AI29="Media",AK29="Menor"),AND(AI29="Media",AK29="Moderado"),AND(AI29="Alta",AK29="Leve"),AND(AI29="Alta",AK29="Menor")),"Moderado",IF(OR(AND(AI29="Muy Baja",AK29="Mayor"),AND(AI29="Baja",AK29="Mayor"),AND(AI29="Media",AK29="Mayor"),AND(AI29="Alta",AK29="Moderado"),AND(AI29="Alta",AK29="Mayor"),AND(AI29="Muy Alta",AK29="Leve"),AND(AI29="Muy Alta",AK29="Menor"),AND(AI29="Muy Alta",AK29="Moderado"),AND(AI29="Muy Alta",AK29="Mayor")),"Alto",IF(OR(AND(AI29="Muy Baja",AK29="Catastrófico"),AND(AI29="Baja",AK29="Catastrófico"),AND(AI29="Media",AK29="Catastrófico"),AND(AI29="Alta",AK29="Catastrófico"),AND(AI29="Muy Alta",AK29="Catastrófico")),"Extremo","")))),"")</f>
        <v/>
      </c>
      <c r="AN29" s="176"/>
      <c r="AO29" s="169"/>
      <c r="AP29" s="177"/>
      <c r="AQ29" s="177"/>
      <c r="AR29" s="178"/>
      <c r="AS29" s="459"/>
      <c r="AT29" s="459"/>
      <c r="AU29" s="459"/>
    </row>
    <row r="30" spans="1:47" x14ac:dyDescent="0.2">
      <c r="A30" s="671"/>
      <c r="B30" s="672"/>
      <c r="C30" s="672"/>
      <c r="D30" s="670"/>
      <c r="E30" s="672"/>
      <c r="F30" s="673"/>
      <c r="G30" s="672"/>
      <c r="H30" s="670"/>
      <c r="I30" s="670"/>
      <c r="J30" s="670"/>
      <c r="K30" s="670"/>
      <c r="L30" s="670"/>
      <c r="M30" s="670"/>
      <c r="N30" s="459"/>
      <c r="O30" s="460"/>
      <c r="P30" s="461"/>
      <c r="Q30" s="490"/>
      <c r="R30" s="461">
        <f>IF(NOT(ISERROR(MATCH(Q30,_xlfn.ANCHORARRAY(F41),0))),P43&amp;"Por favor no seleccionar los criterios de impacto",Q30)</f>
        <v>0</v>
      </c>
      <c r="S30" s="460"/>
      <c r="T30" s="461"/>
      <c r="U30" s="489"/>
      <c r="V30" s="193">
        <v>6</v>
      </c>
      <c r="W30" s="193"/>
      <c r="X30" s="193"/>
      <c r="Y30" s="193"/>
      <c r="Z30" s="218" t="str">
        <f t="shared" si="1"/>
        <v xml:space="preserve">  </v>
      </c>
      <c r="AA30" s="170" t="str">
        <f t="shared" si="24"/>
        <v/>
      </c>
      <c r="AB30" s="171"/>
      <c r="AC30" s="171"/>
      <c r="AD30" s="172" t="str">
        <f t="shared" si="19"/>
        <v/>
      </c>
      <c r="AE30" s="171"/>
      <c r="AF30" s="171"/>
      <c r="AG30" s="171"/>
      <c r="AH30" s="173" t="str">
        <f t="shared" si="25"/>
        <v/>
      </c>
      <c r="AI30" s="174" t="str">
        <f t="shared" si="3"/>
        <v/>
      </c>
      <c r="AJ30" s="172" t="str">
        <f t="shared" si="20"/>
        <v/>
      </c>
      <c r="AK30" s="174" t="str">
        <f t="shared" si="5"/>
        <v/>
      </c>
      <c r="AL30" s="172" t="str">
        <f t="shared" si="14"/>
        <v/>
      </c>
      <c r="AM30" s="175" t="str">
        <f t="shared" si="26"/>
        <v/>
      </c>
      <c r="AN30" s="176"/>
      <c r="AO30" s="169"/>
      <c r="AP30" s="177"/>
      <c r="AQ30" s="177"/>
      <c r="AR30" s="178"/>
      <c r="AS30" s="459"/>
      <c r="AT30" s="459"/>
      <c r="AU30" s="459"/>
    </row>
    <row r="31" spans="1:47" x14ac:dyDescent="0.2">
      <c r="A31" s="671">
        <v>4</v>
      </c>
      <c r="B31" s="449"/>
      <c r="C31" s="449"/>
      <c r="D31" s="462"/>
      <c r="E31" s="449"/>
      <c r="F31" s="492" t="str">
        <f t="shared" ref="F31" si="27">+CONCATENATE(B31," ",C31)</f>
        <v xml:space="preserve"> </v>
      </c>
      <c r="G31" s="449"/>
      <c r="H31" s="462"/>
      <c r="I31" s="462"/>
      <c r="J31" s="462"/>
      <c r="K31" s="462"/>
      <c r="L31" s="462"/>
      <c r="M31" s="462"/>
      <c r="N31" s="459"/>
      <c r="O31" s="460" t="str">
        <f>IF(N31&lt;=0,"",IF(N31&lt;=2,"Muy Baja",IF(N31&lt;=24,"Baja",IF(N31&lt;=500,"Media",IF(N31&lt;=5000,"Alta","Muy Alta")))))</f>
        <v/>
      </c>
      <c r="P31" s="461" t="str">
        <f>IF(O31="","",IF(O31="Muy Baja",0.2,IF(O31="Baja",0.4,IF(O31="Media",0.6,IF(O31="Alta",0.8,IF(O31="Muy Alta",1,))))))</f>
        <v/>
      </c>
      <c r="Q31" s="490"/>
      <c r="R31" s="461">
        <f>IF(NOT(ISERROR(MATCH(Q31,'Tabla Impacto'!$B$245:$B$247,0))),'Tabla Impacto'!$F$224&amp;"Por favor no seleccionar los criterios de impacto(Afectación Económica o presupuestal y Pérdida Reputacional)",Q31)</f>
        <v>0</v>
      </c>
      <c r="S31" s="460" t="str">
        <f>IF(OR(R31='Tabla Impacto'!$C$12,R31='Tabla Impacto'!$D$12),"Leve",IF(OR(R31='Tabla Impacto'!$C$13,R31='Tabla Impacto'!$D$13),"Menor",IF(OR(R31='Tabla Impacto'!$C$14,R31='Tabla Impacto'!$D$14),"Moderado",IF(OR(R31='Tabla Impacto'!$C$15,R31='Tabla Impacto'!$D$15),"Mayor",IF(OR(R31='Tabla Impacto'!$C$16,R31='Tabla Impacto'!$D$16),"Catastrófico","")))))</f>
        <v/>
      </c>
      <c r="T31" s="461" t="str">
        <f>IF(S31="","",IF(S31="Leve",0.2,IF(S31="Menor",0.4,IF(S31="Moderado",0.6,IF(S31="Mayor",0.8,IF(S31="Catastrófico",1,))))))</f>
        <v/>
      </c>
      <c r="U31" s="489" t="str">
        <f>IF(OR(AND(O31="Muy Baja",S31="Leve"),AND(O31="Muy Baja",S31="Menor"),AND(O31="Baja",S31="Leve")),"Bajo",IF(OR(AND(O31="Muy baja",S31="Moderado"),AND(O31="Baja",S31="Menor"),AND(O31="Baja",S31="Moderado"),AND(O31="Media",S31="Leve"),AND(O31="Media",S31="Menor"),AND(O31="Media",S31="Moderado"),AND(O31="Alta",S31="Leve"),AND(O31="Alta",S31="Menor")),"Moderado",IF(OR(AND(O31="Muy Baja",S31="Mayor"),AND(O31="Baja",S31="Mayor"),AND(O31="Media",S31="Mayor"),AND(O31="Alta",S31="Moderado"),AND(O31="Alta",S31="Mayor"),AND(O31="Muy Alta",S31="Leve"),AND(O31="Muy Alta",S31="Menor"),AND(O31="Muy Alta",S31="Moderado"),AND(O31="Muy Alta",S31="Mayor")),"Alto",IF(OR(AND(O31="Muy Baja",S31="Catastrófico"),AND(O31="Baja",S31="Catastrófico"),AND(O31="Media",S31="Catastrófico"),AND(O31="Alta",S31="Catastrófico"),AND(O31="Muy Alta",S31="Catastrófico")),"Extremo",""))))</f>
        <v/>
      </c>
      <c r="V31" s="193">
        <v>1</v>
      </c>
      <c r="W31" s="193"/>
      <c r="X31" s="193"/>
      <c r="Y31" s="193"/>
      <c r="Z31" s="218" t="str">
        <f t="shared" si="1"/>
        <v xml:space="preserve">  </v>
      </c>
      <c r="AA31" s="170" t="str">
        <f>IF(OR(AB31="Preventivo",AB31="Detectivo"),"Probabilidad",IF(AB31="Correctivo","Impacto",""))</f>
        <v/>
      </c>
      <c r="AB31" s="171"/>
      <c r="AC31" s="171"/>
      <c r="AD31" s="172" t="str">
        <f>IF(AND(AB31="Preventivo",AC31="Automático"),"50%",IF(AND(AB31="Preventivo",AC31="Manual"),"40%",IF(AND(AB31="Detectivo",AC31="Automático"),"40%",IF(AND(AB31="Detectivo",AC31="Manual"),"30%",IF(AND(AB31="Correctivo",AC31="Automático"),"35%",IF(AND(AB31="Correctivo",AC31="Manual"),"25%",""))))))</f>
        <v/>
      </c>
      <c r="AE31" s="171"/>
      <c r="AF31" s="171"/>
      <c r="AG31" s="171"/>
      <c r="AH31" s="173" t="str">
        <f>IFERROR(IF(AA31="Probabilidad",(P31-(+P31*AD31)),IF(AA31="Impacto",P31,"")),"")</f>
        <v/>
      </c>
      <c r="AI31" s="174" t="str">
        <f>IFERROR(IF(AH31="","",IF(AH31&lt;=0.2,"Muy Baja",IF(AH31&lt;=0.4,"Baja",IF(AH31&lt;=0.6,"Media",IF(AH31&lt;=0.8,"Alta","Muy Alta"))))),"")</f>
        <v/>
      </c>
      <c r="AJ31" s="172" t="str">
        <f>+AH31</f>
        <v/>
      </c>
      <c r="AK31" s="174" t="str">
        <f>IFERROR(IF(AL31="","",IF(AL31&lt;=0.2,"Leve",IF(AL31&lt;=0.4,"Menor",IF(AL31&lt;=0.6,"Moderado",IF(AL31&lt;=0.8,"Mayor","Catastrófico"))))),"")</f>
        <v/>
      </c>
      <c r="AL31" s="172" t="str">
        <f t="shared" ref="AL31" si="28">IFERROR(IF(AA31="Impacto",(T31-(+T31*AD31)),IF(AA31="Probabilidad",T31,"")),"")</f>
        <v/>
      </c>
      <c r="AM31" s="175" t="str">
        <f>IFERROR(IF(OR(AND(AI31="Muy Baja",AK31="Leve"),AND(AI31="Muy Baja",AK31="Menor"),AND(AI31="Baja",AK31="Leve")),"Bajo",IF(OR(AND(AI31="Muy baja",AK31="Moderado"),AND(AI31="Baja",AK31="Menor"),AND(AI31="Baja",AK31="Moderado"),AND(AI31="Media",AK31="Leve"),AND(AI31="Media",AK31="Menor"),AND(AI31="Media",AK31="Moderado"),AND(AI31="Alta",AK31="Leve"),AND(AI31="Alta",AK31="Menor")),"Moderado",IF(OR(AND(AI31="Muy Baja",AK31="Mayor"),AND(AI31="Baja",AK31="Mayor"),AND(AI31="Media",AK31="Mayor"),AND(AI31="Alta",AK31="Moderado"),AND(AI31="Alta",AK31="Mayor"),AND(AI31="Muy Alta",AK31="Leve"),AND(AI31="Muy Alta",AK31="Menor"),AND(AI31="Muy Alta",AK31="Moderado"),AND(AI31="Muy Alta",AK31="Mayor")),"Alto",IF(OR(AND(AI31="Muy Baja",AK31="Catastrófico"),AND(AI31="Baja",AK31="Catastrófico"),AND(AI31="Media",AK31="Catastrófico"),AND(AI31="Alta",AK31="Catastrófico"),AND(AI31="Muy Alta",AK31="Catastrófico")),"Extremo","")))),"")</f>
        <v/>
      </c>
      <c r="AN31" s="176"/>
      <c r="AO31" s="169"/>
      <c r="AP31" s="177"/>
      <c r="AQ31" s="177"/>
      <c r="AR31" s="178"/>
      <c r="AS31" s="459"/>
      <c r="AT31" s="459"/>
      <c r="AU31" s="459"/>
    </row>
    <row r="32" spans="1:47" x14ac:dyDescent="0.2">
      <c r="A32" s="671"/>
      <c r="B32" s="449"/>
      <c r="C32" s="449"/>
      <c r="D32" s="463"/>
      <c r="E32" s="449"/>
      <c r="F32" s="492"/>
      <c r="G32" s="449"/>
      <c r="H32" s="463"/>
      <c r="I32" s="463"/>
      <c r="J32" s="463"/>
      <c r="K32" s="463"/>
      <c r="L32" s="463"/>
      <c r="M32" s="463"/>
      <c r="N32" s="459"/>
      <c r="O32" s="460"/>
      <c r="P32" s="461"/>
      <c r="Q32" s="490"/>
      <c r="R32" s="461">
        <f>IF(NOT(ISERROR(MATCH(Q32,_xlfn.ANCHORARRAY(F43),0))),P45&amp;"Por favor no seleccionar los criterios de impacto",Q32)</f>
        <v>0</v>
      </c>
      <c r="S32" s="460"/>
      <c r="T32" s="461"/>
      <c r="U32" s="489"/>
      <c r="V32" s="193">
        <v>2</v>
      </c>
      <c r="W32" s="193"/>
      <c r="X32" s="193"/>
      <c r="Y32" s="193"/>
      <c r="Z32" s="218" t="str">
        <f t="shared" si="1"/>
        <v xml:space="preserve">  </v>
      </c>
      <c r="AA32" s="170" t="str">
        <f>IF(OR(AB32="Preventivo",AB32="Detectivo"),"Probabilidad",IF(AB32="Correctivo","Impacto",""))</f>
        <v/>
      </c>
      <c r="AB32" s="171"/>
      <c r="AC32" s="171"/>
      <c r="AD32" s="172" t="str">
        <f t="shared" ref="AD32:AD36" si="29">IF(AND(AB32="Preventivo",AC32="Automático"),"50%",IF(AND(AB32="Preventivo",AC32="Manual"),"40%",IF(AND(AB32="Detectivo",AC32="Automático"),"40%",IF(AND(AB32="Detectivo",AC32="Manual"),"30%",IF(AND(AB32="Correctivo",AC32="Automático"),"35%",IF(AND(AB32="Correctivo",AC32="Manual"),"25%",""))))))</f>
        <v/>
      </c>
      <c r="AE32" s="171"/>
      <c r="AF32" s="171"/>
      <c r="AG32" s="171"/>
      <c r="AH32" s="173" t="str">
        <f>IFERROR(IF(AND(AA31="Probabilidad",AA32="Probabilidad"),(AJ31-(+AJ31*AD32)),IF(AA32="Probabilidad",(P31-(+P31*AD32)),IF(AA32="Impacto",AJ31,""))),"")</f>
        <v/>
      </c>
      <c r="AI32" s="174" t="str">
        <f t="shared" si="3"/>
        <v/>
      </c>
      <c r="AJ32" s="172" t="str">
        <f t="shared" ref="AJ32:AJ36" si="30">+AH32</f>
        <v/>
      </c>
      <c r="AK32" s="174" t="str">
        <f t="shared" si="5"/>
        <v/>
      </c>
      <c r="AL32" s="172" t="str">
        <f t="shared" ref="AL32" si="31">IFERROR(IF(AND(AA31="Impacto",AA32="Impacto"),(AL31-(+AL31*AD32)),IF(AA32="Impacto",($T$13-(+$T$13*AD32)),IF(AA32="Probabilidad",AL31,""))),"")</f>
        <v/>
      </c>
      <c r="AM32" s="175" t="str">
        <f t="shared" ref="AM32:AM33" si="32">IFERROR(IF(OR(AND(AI32="Muy Baja",AK32="Leve"),AND(AI32="Muy Baja",AK32="Menor"),AND(AI32="Baja",AK32="Leve")),"Bajo",IF(OR(AND(AI32="Muy baja",AK32="Moderado"),AND(AI32="Baja",AK32="Menor"),AND(AI32="Baja",AK32="Moderado"),AND(AI32="Media",AK32="Leve"),AND(AI32="Media",AK32="Menor"),AND(AI32="Media",AK32="Moderado"),AND(AI32="Alta",AK32="Leve"),AND(AI32="Alta",AK32="Menor")),"Moderado",IF(OR(AND(AI32="Muy Baja",AK32="Mayor"),AND(AI32="Baja",AK32="Mayor"),AND(AI32="Media",AK32="Mayor"),AND(AI32="Alta",AK32="Moderado"),AND(AI32="Alta",AK32="Mayor"),AND(AI32="Muy Alta",AK32="Leve"),AND(AI32="Muy Alta",AK32="Menor"),AND(AI32="Muy Alta",AK32="Moderado"),AND(AI32="Muy Alta",AK32="Mayor")),"Alto",IF(OR(AND(AI32="Muy Baja",AK32="Catastrófico"),AND(AI32="Baja",AK32="Catastrófico"),AND(AI32="Media",AK32="Catastrófico"),AND(AI32="Alta",AK32="Catastrófico"),AND(AI32="Muy Alta",AK32="Catastrófico")),"Extremo","")))),"")</f>
        <v/>
      </c>
      <c r="AN32" s="176"/>
      <c r="AO32" s="169"/>
      <c r="AP32" s="177"/>
      <c r="AQ32" s="177"/>
      <c r="AR32" s="178"/>
      <c r="AS32" s="459"/>
      <c r="AT32" s="459"/>
      <c r="AU32" s="459"/>
    </row>
    <row r="33" spans="1:47" x14ac:dyDescent="0.2">
      <c r="A33" s="671"/>
      <c r="B33" s="449"/>
      <c r="C33" s="449"/>
      <c r="D33" s="463"/>
      <c r="E33" s="449"/>
      <c r="F33" s="492"/>
      <c r="G33" s="449"/>
      <c r="H33" s="463"/>
      <c r="I33" s="463"/>
      <c r="J33" s="463"/>
      <c r="K33" s="463"/>
      <c r="L33" s="463"/>
      <c r="M33" s="463"/>
      <c r="N33" s="459"/>
      <c r="O33" s="460"/>
      <c r="P33" s="461"/>
      <c r="Q33" s="490"/>
      <c r="R33" s="461">
        <f>IF(NOT(ISERROR(MATCH(Q33,_xlfn.ANCHORARRAY(F44),0))),P46&amp;"Por favor no seleccionar los criterios de impacto",Q33)</f>
        <v>0</v>
      </c>
      <c r="S33" s="460"/>
      <c r="T33" s="461"/>
      <c r="U33" s="489"/>
      <c r="V33" s="193">
        <v>3</v>
      </c>
      <c r="W33" s="193"/>
      <c r="X33" s="193"/>
      <c r="Y33" s="193"/>
      <c r="Z33" s="218" t="str">
        <f t="shared" si="1"/>
        <v xml:space="preserve">  </v>
      </c>
      <c r="AA33" s="170" t="str">
        <f>IF(OR(AB33="Preventivo",AB33="Detectivo"),"Probabilidad",IF(AB33="Correctivo","Impacto",""))</f>
        <v/>
      </c>
      <c r="AB33" s="171"/>
      <c r="AC33" s="171"/>
      <c r="AD33" s="172" t="str">
        <f t="shared" si="29"/>
        <v/>
      </c>
      <c r="AE33" s="171"/>
      <c r="AF33" s="171"/>
      <c r="AG33" s="171"/>
      <c r="AH33" s="173" t="str">
        <f>IFERROR(IF(AND(AA32="Probabilidad",AA33="Probabilidad"),(AJ32-(+AJ32*AD33)),IF(AND(AA32="Impacto",AA33="Probabilidad"),(AJ31-(+AJ31*AD33)),IF(AA33="Impacto",AJ32,""))),"")</f>
        <v/>
      </c>
      <c r="AI33" s="174" t="str">
        <f t="shared" si="3"/>
        <v/>
      </c>
      <c r="AJ33" s="172" t="str">
        <f t="shared" si="30"/>
        <v/>
      </c>
      <c r="AK33" s="174" t="str">
        <f t="shared" si="5"/>
        <v/>
      </c>
      <c r="AL33" s="172" t="str">
        <f t="shared" ref="AL33" si="33">IFERROR(IF(AND(AA32="Impacto",AA33="Impacto"),(AL32-(+AL32*AD33)),IF(AND(AA32="Probabilidad",AA33="Impacto"),(AL31-(+AL31*AD33)),IF(AA33="Probabilidad",AL32,""))),"")</f>
        <v/>
      </c>
      <c r="AM33" s="175" t="str">
        <f t="shared" si="32"/>
        <v/>
      </c>
      <c r="AN33" s="176"/>
      <c r="AO33" s="169"/>
      <c r="AP33" s="177"/>
      <c r="AQ33" s="177"/>
      <c r="AR33" s="178"/>
      <c r="AS33" s="459"/>
      <c r="AT33" s="459"/>
      <c r="AU33" s="459"/>
    </row>
    <row r="34" spans="1:47" x14ac:dyDescent="0.2">
      <c r="A34" s="671"/>
      <c r="B34" s="449"/>
      <c r="C34" s="449"/>
      <c r="D34" s="463"/>
      <c r="E34" s="449"/>
      <c r="F34" s="492"/>
      <c r="G34" s="449"/>
      <c r="H34" s="463"/>
      <c r="I34" s="463"/>
      <c r="J34" s="463"/>
      <c r="K34" s="463"/>
      <c r="L34" s="463"/>
      <c r="M34" s="463"/>
      <c r="N34" s="459"/>
      <c r="O34" s="460"/>
      <c r="P34" s="461"/>
      <c r="Q34" s="490"/>
      <c r="R34" s="461">
        <f>IF(NOT(ISERROR(MATCH(Q34,_xlfn.ANCHORARRAY(F45),0))),P47&amp;"Por favor no seleccionar los criterios de impacto",Q34)</f>
        <v>0</v>
      </c>
      <c r="S34" s="460"/>
      <c r="T34" s="461"/>
      <c r="U34" s="489"/>
      <c r="V34" s="193">
        <v>4</v>
      </c>
      <c r="W34" s="193"/>
      <c r="X34" s="193"/>
      <c r="Y34" s="193"/>
      <c r="Z34" s="218" t="str">
        <f t="shared" si="1"/>
        <v xml:space="preserve">  </v>
      </c>
      <c r="AA34" s="170" t="str">
        <f t="shared" ref="AA34:AA36" si="34">IF(OR(AB34="Preventivo",AB34="Detectivo"),"Probabilidad",IF(AB34="Correctivo","Impacto",""))</f>
        <v/>
      </c>
      <c r="AB34" s="171"/>
      <c r="AC34" s="171"/>
      <c r="AD34" s="172" t="str">
        <f t="shared" si="29"/>
        <v/>
      </c>
      <c r="AE34" s="171"/>
      <c r="AF34" s="171"/>
      <c r="AG34" s="171"/>
      <c r="AH34" s="173" t="str">
        <f t="shared" ref="AH34:AH36" si="35">IFERROR(IF(AND(AA33="Probabilidad",AA34="Probabilidad"),(AJ33-(+AJ33*AD34)),IF(AND(AA33="Impacto",AA34="Probabilidad"),(AJ32-(+AJ32*AD34)),IF(AA34="Impacto",AJ33,""))),"")</f>
        <v/>
      </c>
      <c r="AI34" s="174" t="str">
        <f t="shared" si="3"/>
        <v/>
      </c>
      <c r="AJ34" s="172" t="str">
        <f t="shared" si="30"/>
        <v/>
      </c>
      <c r="AK34" s="174" t="str">
        <f t="shared" si="5"/>
        <v/>
      </c>
      <c r="AL34" s="172" t="str">
        <f t="shared" si="14"/>
        <v/>
      </c>
      <c r="AM34" s="175" t="str">
        <f>IFERROR(IF(OR(AND(AI34="Muy Baja",AK34="Leve"),AND(AI34="Muy Baja",AK34="Menor"),AND(AI34="Baja",AK34="Leve")),"Bajo",IF(OR(AND(AI34="Muy baja",AK34="Moderado"),AND(AI34="Baja",AK34="Menor"),AND(AI34="Baja",AK34="Moderado"),AND(AI34="Media",AK34="Leve"),AND(AI34="Media",AK34="Menor"),AND(AI34="Media",AK34="Moderado"),AND(AI34="Alta",AK34="Leve"),AND(AI34="Alta",AK34="Menor")),"Moderado",IF(OR(AND(AI34="Muy Baja",AK34="Mayor"),AND(AI34="Baja",AK34="Mayor"),AND(AI34="Media",AK34="Mayor"),AND(AI34="Alta",AK34="Moderado"),AND(AI34="Alta",AK34="Mayor"),AND(AI34="Muy Alta",AK34="Leve"),AND(AI34="Muy Alta",AK34="Menor"),AND(AI34="Muy Alta",AK34="Moderado"),AND(AI34="Muy Alta",AK34="Mayor")),"Alto",IF(OR(AND(AI34="Muy Baja",AK34="Catastrófico"),AND(AI34="Baja",AK34="Catastrófico"),AND(AI34="Media",AK34="Catastrófico"),AND(AI34="Alta",AK34="Catastrófico"),AND(AI34="Muy Alta",AK34="Catastrófico")),"Extremo","")))),"")</f>
        <v/>
      </c>
      <c r="AN34" s="176"/>
      <c r="AO34" s="169"/>
      <c r="AP34" s="177"/>
      <c r="AQ34" s="177"/>
      <c r="AR34" s="178"/>
      <c r="AS34" s="459"/>
      <c r="AT34" s="459"/>
      <c r="AU34" s="459"/>
    </row>
    <row r="35" spans="1:47" x14ac:dyDescent="0.2">
      <c r="A35" s="671"/>
      <c r="B35" s="449"/>
      <c r="C35" s="449"/>
      <c r="D35" s="463"/>
      <c r="E35" s="449"/>
      <c r="F35" s="492"/>
      <c r="G35" s="449"/>
      <c r="H35" s="463"/>
      <c r="I35" s="463"/>
      <c r="J35" s="463"/>
      <c r="K35" s="463"/>
      <c r="L35" s="463"/>
      <c r="M35" s="463"/>
      <c r="N35" s="459"/>
      <c r="O35" s="460"/>
      <c r="P35" s="461"/>
      <c r="Q35" s="490"/>
      <c r="R35" s="461">
        <f>IF(NOT(ISERROR(MATCH(Q35,_xlfn.ANCHORARRAY(F46),0))),P48&amp;"Por favor no seleccionar los criterios de impacto",Q35)</f>
        <v>0</v>
      </c>
      <c r="S35" s="460"/>
      <c r="T35" s="461"/>
      <c r="U35" s="489"/>
      <c r="V35" s="193">
        <v>5</v>
      </c>
      <c r="W35" s="193"/>
      <c r="X35" s="193"/>
      <c r="Y35" s="193"/>
      <c r="Z35" s="218" t="str">
        <f t="shared" si="1"/>
        <v xml:space="preserve">  </v>
      </c>
      <c r="AA35" s="170" t="str">
        <f t="shared" si="34"/>
        <v/>
      </c>
      <c r="AB35" s="171"/>
      <c r="AC35" s="171"/>
      <c r="AD35" s="172" t="str">
        <f t="shared" si="29"/>
        <v/>
      </c>
      <c r="AE35" s="171"/>
      <c r="AF35" s="171"/>
      <c r="AG35" s="171"/>
      <c r="AH35" s="173" t="str">
        <f t="shared" si="35"/>
        <v/>
      </c>
      <c r="AI35" s="174" t="str">
        <f>IFERROR(IF(AH35="","",IF(AH35&lt;=0.2,"Muy Baja",IF(AH35&lt;=0.4,"Baja",IF(AH35&lt;=0.6,"Media",IF(AH35&lt;=0.8,"Alta","Muy Alta"))))),"")</f>
        <v/>
      </c>
      <c r="AJ35" s="172" t="str">
        <f t="shared" si="30"/>
        <v/>
      </c>
      <c r="AK35" s="174" t="str">
        <f t="shared" si="5"/>
        <v/>
      </c>
      <c r="AL35" s="172" t="str">
        <f t="shared" si="14"/>
        <v/>
      </c>
      <c r="AM35" s="175" t="str">
        <f t="shared" ref="AM35:AM36" si="36">IFERROR(IF(OR(AND(AI35="Muy Baja",AK35="Leve"),AND(AI35="Muy Baja",AK35="Menor"),AND(AI35="Baja",AK35="Leve")),"Bajo",IF(OR(AND(AI35="Muy baja",AK35="Moderado"),AND(AI35="Baja",AK35="Menor"),AND(AI35="Baja",AK35="Moderado"),AND(AI35="Media",AK35="Leve"),AND(AI35="Media",AK35="Menor"),AND(AI35="Media",AK35="Moderado"),AND(AI35="Alta",AK35="Leve"),AND(AI35="Alta",AK35="Menor")),"Moderado",IF(OR(AND(AI35="Muy Baja",AK35="Mayor"),AND(AI35="Baja",AK35="Mayor"),AND(AI35="Media",AK35="Mayor"),AND(AI35="Alta",AK35="Moderado"),AND(AI35="Alta",AK35="Mayor"),AND(AI35="Muy Alta",AK35="Leve"),AND(AI35="Muy Alta",AK35="Menor"),AND(AI35="Muy Alta",AK35="Moderado"),AND(AI35="Muy Alta",AK35="Mayor")),"Alto",IF(OR(AND(AI35="Muy Baja",AK35="Catastrófico"),AND(AI35="Baja",AK35="Catastrófico"),AND(AI35="Media",AK35="Catastrófico"),AND(AI35="Alta",AK35="Catastrófico"),AND(AI35="Muy Alta",AK35="Catastrófico")),"Extremo","")))),"")</f>
        <v/>
      </c>
      <c r="AN35" s="176"/>
      <c r="AO35" s="169"/>
      <c r="AP35" s="177"/>
      <c r="AQ35" s="177"/>
      <c r="AR35" s="178"/>
      <c r="AS35" s="459"/>
      <c r="AT35" s="459"/>
      <c r="AU35" s="459"/>
    </row>
    <row r="36" spans="1:47" x14ac:dyDescent="0.2">
      <c r="A36" s="671"/>
      <c r="B36" s="449"/>
      <c r="C36" s="449"/>
      <c r="D36" s="491"/>
      <c r="E36" s="449"/>
      <c r="F36" s="492"/>
      <c r="G36" s="449"/>
      <c r="H36" s="491"/>
      <c r="I36" s="491"/>
      <c r="J36" s="491"/>
      <c r="K36" s="491"/>
      <c r="L36" s="491"/>
      <c r="M36" s="491"/>
      <c r="N36" s="459"/>
      <c r="O36" s="460"/>
      <c r="P36" s="461"/>
      <c r="Q36" s="490"/>
      <c r="R36" s="461">
        <f>IF(NOT(ISERROR(MATCH(Q36,_xlfn.ANCHORARRAY(F47),0))),P49&amp;"Por favor no seleccionar los criterios de impacto",Q36)</f>
        <v>0</v>
      </c>
      <c r="S36" s="460"/>
      <c r="T36" s="461"/>
      <c r="U36" s="489"/>
      <c r="V36" s="193">
        <v>6</v>
      </c>
      <c r="W36" s="193"/>
      <c r="X36" s="193"/>
      <c r="Y36" s="193"/>
      <c r="Z36" s="218" t="str">
        <f t="shared" si="1"/>
        <v xml:space="preserve">  </v>
      </c>
      <c r="AA36" s="170" t="str">
        <f t="shared" si="34"/>
        <v/>
      </c>
      <c r="AB36" s="171"/>
      <c r="AC36" s="171"/>
      <c r="AD36" s="172" t="str">
        <f t="shared" si="29"/>
        <v/>
      </c>
      <c r="AE36" s="171"/>
      <c r="AF36" s="171"/>
      <c r="AG36" s="171"/>
      <c r="AH36" s="173" t="str">
        <f t="shared" si="35"/>
        <v/>
      </c>
      <c r="AI36" s="174" t="str">
        <f t="shared" si="3"/>
        <v/>
      </c>
      <c r="AJ36" s="172" t="str">
        <f t="shared" si="30"/>
        <v/>
      </c>
      <c r="AK36" s="174" t="str">
        <f t="shared" si="5"/>
        <v/>
      </c>
      <c r="AL36" s="172" t="str">
        <f t="shared" si="14"/>
        <v/>
      </c>
      <c r="AM36" s="175" t="str">
        <f t="shared" si="36"/>
        <v/>
      </c>
      <c r="AN36" s="176"/>
      <c r="AO36" s="169"/>
      <c r="AP36" s="177"/>
      <c r="AQ36" s="177"/>
      <c r="AR36" s="178"/>
      <c r="AS36" s="459"/>
      <c r="AT36" s="459"/>
      <c r="AU36" s="459"/>
    </row>
    <row r="37" spans="1:47" x14ac:dyDescent="0.2">
      <c r="A37" s="671">
        <v>5</v>
      </c>
      <c r="B37" s="449"/>
      <c r="C37" s="449"/>
      <c r="D37" s="462"/>
      <c r="E37" s="449"/>
      <c r="F37" s="492" t="str">
        <f t="shared" ref="F37" si="37">+CONCATENATE(B37," ",C37)</f>
        <v xml:space="preserve"> </v>
      </c>
      <c r="G37" s="449"/>
      <c r="H37" s="462"/>
      <c r="I37" s="462"/>
      <c r="J37" s="462"/>
      <c r="K37" s="462"/>
      <c r="L37" s="462"/>
      <c r="M37" s="462"/>
      <c r="N37" s="459"/>
      <c r="O37" s="460" t="str">
        <f>IF(N37&lt;=0,"",IF(N37&lt;=2,"Muy Baja",IF(N37&lt;=24,"Baja",IF(N37&lt;=500,"Media",IF(N37&lt;=5000,"Alta","Muy Alta")))))</f>
        <v/>
      </c>
      <c r="P37" s="461" t="str">
        <f>IF(O37="","",IF(O37="Muy Baja",0.2,IF(O37="Baja",0.4,IF(O37="Media",0.6,IF(O37="Alta",0.8,IF(O37="Muy Alta",1,))))))</f>
        <v/>
      </c>
      <c r="Q37" s="490"/>
      <c r="R37" s="461">
        <f>IF(NOT(ISERROR(MATCH(Q37,'Tabla Impacto'!$B$245:$B$247,0))),'Tabla Impacto'!$F$224&amp;"Por favor no seleccionar los criterios de impacto(Afectación Económica o presupuestal y Pérdida Reputacional)",Q37)</f>
        <v>0</v>
      </c>
      <c r="S37" s="460" t="str">
        <f>IF(OR(R37='Tabla Impacto'!$C$12,R37='Tabla Impacto'!$D$12),"Leve",IF(OR(R37='Tabla Impacto'!$C$13,R37='Tabla Impacto'!$D$13),"Menor",IF(OR(R37='Tabla Impacto'!$C$14,R37='Tabla Impacto'!$D$14),"Moderado",IF(OR(R37='Tabla Impacto'!$C$15,R37='Tabla Impacto'!$D$15),"Mayor",IF(OR(R37='Tabla Impacto'!$C$16,R37='Tabla Impacto'!$D$16),"Catastrófico","")))))</f>
        <v/>
      </c>
      <c r="T37" s="461" t="str">
        <f>IF(S37="","",IF(S37="Leve",0.2,IF(S37="Menor",0.4,IF(S37="Moderado",0.6,IF(S37="Mayor",0.8,IF(S37="Catastrófico",1,))))))</f>
        <v/>
      </c>
      <c r="U37" s="489" t="str">
        <f>IF(OR(AND(O37="Muy Baja",S37="Leve"),AND(O37="Muy Baja",S37="Menor"),AND(O37="Baja",S37="Leve")),"Bajo",IF(OR(AND(O37="Muy baja",S37="Moderado"),AND(O37="Baja",S37="Menor"),AND(O37="Baja",S37="Moderado"),AND(O37="Media",S37="Leve"),AND(O37="Media",S37="Menor"),AND(O37="Media",S37="Moderado"),AND(O37="Alta",S37="Leve"),AND(O37="Alta",S37="Menor")),"Moderado",IF(OR(AND(O37="Muy Baja",S37="Mayor"),AND(O37="Baja",S37="Mayor"),AND(O37="Media",S37="Mayor"),AND(O37="Alta",S37="Moderado"),AND(O37="Alta",S37="Mayor"),AND(O37="Muy Alta",S37="Leve"),AND(O37="Muy Alta",S37="Menor"),AND(O37="Muy Alta",S37="Moderado"),AND(O37="Muy Alta",S37="Mayor")),"Alto",IF(OR(AND(O37="Muy Baja",S37="Catastrófico"),AND(O37="Baja",S37="Catastrófico"),AND(O37="Media",S37="Catastrófico"),AND(O37="Alta",S37="Catastrófico"),AND(O37="Muy Alta",S37="Catastrófico")),"Extremo",""))))</f>
        <v/>
      </c>
      <c r="V37" s="193">
        <v>1</v>
      </c>
      <c r="W37" s="193"/>
      <c r="X37" s="193"/>
      <c r="Y37" s="193"/>
      <c r="Z37" s="218" t="str">
        <f t="shared" si="1"/>
        <v xml:space="preserve">  </v>
      </c>
      <c r="AA37" s="170" t="str">
        <f>IF(OR(AB37="Preventivo",AB37="Detectivo"),"Probabilidad",IF(AB37="Correctivo","Impacto",""))</f>
        <v/>
      </c>
      <c r="AB37" s="171"/>
      <c r="AC37" s="171"/>
      <c r="AD37" s="172" t="str">
        <f>IF(AND(AB37="Preventivo",AC37="Automático"),"50%",IF(AND(AB37="Preventivo",AC37="Manual"),"40%",IF(AND(AB37="Detectivo",AC37="Automático"),"40%",IF(AND(AB37="Detectivo",AC37="Manual"),"30%",IF(AND(AB37="Correctivo",AC37="Automático"),"35%",IF(AND(AB37="Correctivo",AC37="Manual"),"25%",""))))))</f>
        <v/>
      </c>
      <c r="AE37" s="171"/>
      <c r="AF37" s="171"/>
      <c r="AG37" s="171"/>
      <c r="AH37" s="173" t="str">
        <f>IFERROR(IF(AA37="Probabilidad",(P37-(+P37*AD37)),IF(AA37="Impacto",P37,"")),"")</f>
        <v/>
      </c>
      <c r="AI37" s="174" t="str">
        <f>IFERROR(IF(AH37="","",IF(AH37&lt;=0.2,"Muy Baja",IF(AH37&lt;=0.4,"Baja",IF(AH37&lt;=0.6,"Media",IF(AH37&lt;=0.8,"Alta","Muy Alta"))))),"")</f>
        <v/>
      </c>
      <c r="AJ37" s="172" t="str">
        <f>+AH37</f>
        <v/>
      </c>
      <c r="AK37" s="174" t="str">
        <f>IFERROR(IF(AL37="","",IF(AL37&lt;=0.2,"Leve",IF(AL37&lt;=0.4,"Menor",IF(AL37&lt;=0.6,"Moderado",IF(AL37&lt;=0.8,"Mayor","Catastrófico"))))),"")</f>
        <v/>
      </c>
      <c r="AL37" s="172" t="str">
        <f t="shared" ref="AL37" si="38">IFERROR(IF(AA37="Impacto",(T37-(+T37*AD37)),IF(AA37="Probabilidad",T37,"")),"")</f>
        <v/>
      </c>
      <c r="AM37" s="175" t="str">
        <f>IFERROR(IF(OR(AND(AI37="Muy Baja",AK37="Leve"),AND(AI37="Muy Baja",AK37="Menor"),AND(AI37="Baja",AK37="Leve")),"Bajo",IF(OR(AND(AI37="Muy baja",AK37="Moderado"),AND(AI37="Baja",AK37="Menor"),AND(AI37="Baja",AK37="Moderado"),AND(AI37="Media",AK37="Leve"),AND(AI37="Media",AK37="Menor"),AND(AI37="Media",AK37="Moderado"),AND(AI37="Alta",AK37="Leve"),AND(AI37="Alta",AK37="Menor")),"Moderado",IF(OR(AND(AI37="Muy Baja",AK37="Mayor"),AND(AI37="Baja",AK37="Mayor"),AND(AI37="Media",AK37="Mayor"),AND(AI37="Alta",AK37="Moderado"),AND(AI37="Alta",AK37="Mayor"),AND(AI37="Muy Alta",AK37="Leve"),AND(AI37="Muy Alta",AK37="Menor"),AND(AI37="Muy Alta",AK37="Moderado"),AND(AI37="Muy Alta",AK37="Mayor")),"Alto",IF(OR(AND(AI37="Muy Baja",AK37="Catastrófico"),AND(AI37="Baja",AK37="Catastrófico"),AND(AI37="Media",AK37="Catastrófico"),AND(AI37="Alta",AK37="Catastrófico"),AND(AI37="Muy Alta",AK37="Catastrófico")),"Extremo","")))),"")</f>
        <v/>
      </c>
      <c r="AN37" s="176"/>
      <c r="AO37" s="169"/>
      <c r="AP37" s="177"/>
      <c r="AQ37" s="177"/>
      <c r="AR37" s="178"/>
      <c r="AS37" s="459"/>
      <c r="AT37" s="459"/>
      <c r="AU37" s="459"/>
    </row>
    <row r="38" spans="1:47" x14ac:dyDescent="0.2">
      <c r="A38" s="671"/>
      <c r="B38" s="449"/>
      <c r="C38" s="449"/>
      <c r="D38" s="463"/>
      <c r="E38" s="449"/>
      <c r="F38" s="492"/>
      <c r="G38" s="449"/>
      <c r="H38" s="463"/>
      <c r="I38" s="463"/>
      <c r="J38" s="463"/>
      <c r="K38" s="463"/>
      <c r="L38" s="463"/>
      <c r="M38" s="463"/>
      <c r="N38" s="459"/>
      <c r="O38" s="460"/>
      <c r="P38" s="461"/>
      <c r="Q38" s="490"/>
      <c r="R38" s="461">
        <f>IF(NOT(ISERROR(MATCH(Q38,_xlfn.ANCHORARRAY(F49),0))),P51&amp;"Por favor no seleccionar los criterios de impacto",Q38)</f>
        <v>0</v>
      </c>
      <c r="S38" s="460"/>
      <c r="T38" s="461"/>
      <c r="U38" s="489"/>
      <c r="V38" s="193">
        <v>2</v>
      </c>
      <c r="W38" s="193"/>
      <c r="X38" s="193"/>
      <c r="Y38" s="193"/>
      <c r="Z38" s="218" t="str">
        <f t="shared" si="1"/>
        <v xml:space="preserve">  </v>
      </c>
      <c r="AA38" s="170" t="str">
        <f>IF(OR(AB38="Preventivo",AB38="Detectivo"),"Probabilidad",IF(AB38="Correctivo","Impacto",""))</f>
        <v/>
      </c>
      <c r="AB38" s="171"/>
      <c r="AC38" s="171"/>
      <c r="AD38" s="172" t="str">
        <f t="shared" ref="AD38:AD42" si="39">IF(AND(AB38="Preventivo",AC38="Automático"),"50%",IF(AND(AB38="Preventivo",AC38="Manual"),"40%",IF(AND(AB38="Detectivo",AC38="Automático"),"40%",IF(AND(AB38="Detectivo",AC38="Manual"),"30%",IF(AND(AB38="Correctivo",AC38="Automático"),"35%",IF(AND(AB38="Correctivo",AC38="Manual"),"25%",""))))))</f>
        <v/>
      </c>
      <c r="AE38" s="171"/>
      <c r="AF38" s="171"/>
      <c r="AG38" s="171"/>
      <c r="AH38" s="173" t="str">
        <f>IFERROR(IF(AND(AA37="Probabilidad",AA38="Probabilidad"),(AJ37-(+AJ37*AD38)),IF(AA38="Probabilidad",(P37-(+P37*AD38)),IF(AA38="Impacto",AJ37,""))),"")</f>
        <v/>
      </c>
      <c r="AI38" s="174" t="str">
        <f t="shared" si="3"/>
        <v/>
      </c>
      <c r="AJ38" s="172" t="str">
        <f t="shared" ref="AJ38:AJ42" si="40">+AH38</f>
        <v/>
      </c>
      <c r="AK38" s="174" t="str">
        <f t="shared" si="5"/>
        <v/>
      </c>
      <c r="AL38" s="172" t="str">
        <f t="shared" ref="AL38" si="41">IFERROR(IF(AND(AA37="Impacto",AA38="Impacto"),(AL37-(+AL37*AD38)),IF(AA38="Impacto",($T$13-(+$T$13*AD38)),IF(AA38="Probabilidad",AL37,""))),"")</f>
        <v/>
      </c>
      <c r="AM38" s="175" t="str">
        <f t="shared" ref="AM38:AM39" si="42">IFERROR(IF(OR(AND(AI38="Muy Baja",AK38="Leve"),AND(AI38="Muy Baja",AK38="Menor"),AND(AI38="Baja",AK38="Leve")),"Bajo",IF(OR(AND(AI38="Muy baja",AK38="Moderado"),AND(AI38="Baja",AK38="Menor"),AND(AI38="Baja",AK38="Moderado"),AND(AI38="Media",AK38="Leve"),AND(AI38="Media",AK38="Menor"),AND(AI38="Media",AK38="Moderado"),AND(AI38="Alta",AK38="Leve"),AND(AI38="Alta",AK38="Menor")),"Moderado",IF(OR(AND(AI38="Muy Baja",AK38="Mayor"),AND(AI38="Baja",AK38="Mayor"),AND(AI38="Media",AK38="Mayor"),AND(AI38="Alta",AK38="Moderado"),AND(AI38="Alta",AK38="Mayor"),AND(AI38="Muy Alta",AK38="Leve"),AND(AI38="Muy Alta",AK38="Menor"),AND(AI38="Muy Alta",AK38="Moderado"),AND(AI38="Muy Alta",AK38="Mayor")),"Alto",IF(OR(AND(AI38="Muy Baja",AK38="Catastrófico"),AND(AI38="Baja",AK38="Catastrófico"),AND(AI38="Media",AK38="Catastrófico"),AND(AI38="Alta",AK38="Catastrófico"),AND(AI38="Muy Alta",AK38="Catastrófico")),"Extremo","")))),"")</f>
        <v/>
      </c>
      <c r="AN38" s="176"/>
      <c r="AO38" s="169"/>
      <c r="AP38" s="177"/>
      <c r="AQ38" s="177"/>
      <c r="AR38" s="178"/>
      <c r="AS38" s="459"/>
      <c r="AT38" s="459"/>
      <c r="AU38" s="459"/>
    </row>
    <row r="39" spans="1:47" x14ac:dyDescent="0.2">
      <c r="A39" s="671"/>
      <c r="B39" s="449"/>
      <c r="C39" s="449"/>
      <c r="D39" s="463"/>
      <c r="E39" s="449"/>
      <c r="F39" s="492"/>
      <c r="G39" s="449"/>
      <c r="H39" s="463"/>
      <c r="I39" s="463"/>
      <c r="J39" s="463"/>
      <c r="K39" s="463"/>
      <c r="L39" s="463"/>
      <c r="M39" s="463"/>
      <c r="N39" s="459"/>
      <c r="O39" s="460"/>
      <c r="P39" s="461"/>
      <c r="Q39" s="490"/>
      <c r="R39" s="461">
        <f>IF(NOT(ISERROR(MATCH(Q39,_xlfn.ANCHORARRAY(F50),0))),P52&amp;"Por favor no seleccionar los criterios de impacto",Q39)</f>
        <v>0</v>
      </c>
      <c r="S39" s="460"/>
      <c r="T39" s="461"/>
      <c r="U39" s="489"/>
      <c r="V39" s="193">
        <v>3</v>
      </c>
      <c r="W39" s="193"/>
      <c r="X39" s="193"/>
      <c r="Y39" s="193"/>
      <c r="Z39" s="218" t="str">
        <f t="shared" si="1"/>
        <v xml:space="preserve">  </v>
      </c>
      <c r="AA39" s="170" t="str">
        <f>IF(OR(AB39="Preventivo",AB39="Detectivo"),"Probabilidad",IF(AB39="Correctivo","Impacto",""))</f>
        <v/>
      </c>
      <c r="AB39" s="171"/>
      <c r="AC39" s="171"/>
      <c r="AD39" s="172" t="str">
        <f t="shared" si="39"/>
        <v/>
      </c>
      <c r="AE39" s="171"/>
      <c r="AF39" s="171"/>
      <c r="AG39" s="171"/>
      <c r="AH39" s="173" t="str">
        <f>IFERROR(IF(AND(AA38="Probabilidad",AA39="Probabilidad"),(AJ38-(+AJ38*AD39)),IF(AND(AA38="Impacto",AA39="Probabilidad"),(AJ37-(+AJ37*AD39)),IF(AA39="Impacto",AJ38,""))),"")</f>
        <v/>
      </c>
      <c r="AI39" s="174" t="str">
        <f t="shared" si="3"/>
        <v/>
      </c>
      <c r="AJ39" s="172" t="str">
        <f t="shared" si="40"/>
        <v/>
      </c>
      <c r="AK39" s="174" t="str">
        <f t="shared" si="5"/>
        <v/>
      </c>
      <c r="AL39" s="172" t="str">
        <f t="shared" ref="AL39" si="43">IFERROR(IF(AND(AA38="Impacto",AA39="Impacto"),(AL38-(+AL38*AD39)),IF(AND(AA38="Probabilidad",AA39="Impacto"),(AL37-(+AL37*AD39)),IF(AA39="Probabilidad",AL38,""))),"")</f>
        <v/>
      </c>
      <c r="AM39" s="175" t="str">
        <f t="shared" si="42"/>
        <v/>
      </c>
      <c r="AN39" s="176"/>
      <c r="AO39" s="169"/>
      <c r="AP39" s="177"/>
      <c r="AQ39" s="177"/>
      <c r="AR39" s="178"/>
      <c r="AS39" s="459"/>
      <c r="AT39" s="459"/>
      <c r="AU39" s="459"/>
    </row>
    <row r="40" spans="1:47" x14ac:dyDescent="0.2">
      <c r="A40" s="671"/>
      <c r="B40" s="449"/>
      <c r="C40" s="449"/>
      <c r="D40" s="463"/>
      <c r="E40" s="449"/>
      <c r="F40" s="492"/>
      <c r="G40" s="449"/>
      <c r="H40" s="463"/>
      <c r="I40" s="463"/>
      <c r="J40" s="463"/>
      <c r="K40" s="463"/>
      <c r="L40" s="463"/>
      <c r="M40" s="463"/>
      <c r="N40" s="459"/>
      <c r="O40" s="460"/>
      <c r="P40" s="461"/>
      <c r="Q40" s="490"/>
      <c r="R40" s="461">
        <f>IF(NOT(ISERROR(MATCH(Q40,_xlfn.ANCHORARRAY(F51),0))),P53&amp;"Por favor no seleccionar los criterios de impacto",Q40)</f>
        <v>0</v>
      </c>
      <c r="S40" s="460"/>
      <c r="T40" s="461"/>
      <c r="U40" s="489"/>
      <c r="V40" s="193">
        <v>4</v>
      </c>
      <c r="W40" s="193"/>
      <c r="X40" s="193"/>
      <c r="Y40" s="193"/>
      <c r="Z40" s="218" t="str">
        <f t="shared" si="1"/>
        <v xml:space="preserve">  </v>
      </c>
      <c r="AA40" s="170" t="str">
        <f t="shared" ref="AA40:AA42" si="44">IF(OR(AB40="Preventivo",AB40="Detectivo"),"Probabilidad",IF(AB40="Correctivo","Impacto",""))</f>
        <v/>
      </c>
      <c r="AB40" s="171"/>
      <c r="AC40" s="171"/>
      <c r="AD40" s="172" t="str">
        <f t="shared" si="39"/>
        <v/>
      </c>
      <c r="AE40" s="171"/>
      <c r="AF40" s="171"/>
      <c r="AG40" s="171"/>
      <c r="AH40" s="173" t="str">
        <f t="shared" ref="AH40:AH42" si="45">IFERROR(IF(AND(AA39="Probabilidad",AA40="Probabilidad"),(AJ39-(+AJ39*AD40)),IF(AND(AA39="Impacto",AA40="Probabilidad"),(AJ38-(+AJ38*AD40)),IF(AA40="Impacto",AJ39,""))),"")</f>
        <v/>
      </c>
      <c r="AI40" s="174" t="str">
        <f t="shared" si="3"/>
        <v/>
      </c>
      <c r="AJ40" s="172" t="str">
        <f t="shared" si="40"/>
        <v/>
      </c>
      <c r="AK40" s="174" t="str">
        <f t="shared" si="5"/>
        <v/>
      </c>
      <c r="AL40" s="172" t="str">
        <f t="shared" si="14"/>
        <v/>
      </c>
      <c r="AM40" s="175" t="str">
        <f>IFERROR(IF(OR(AND(AI40="Muy Baja",AK40="Leve"),AND(AI40="Muy Baja",AK40="Menor"),AND(AI40="Baja",AK40="Leve")),"Bajo",IF(OR(AND(AI40="Muy baja",AK40="Moderado"),AND(AI40="Baja",AK40="Menor"),AND(AI40="Baja",AK40="Moderado"),AND(AI40="Media",AK40="Leve"),AND(AI40="Media",AK40="Menor"),AND(AI40="Media",AK40="Moderado"),AND(AI40="Alta",AK40="Leve"),AND(AI40="Alta",AK40="Menor")),"Moderado",IF(OR(AND(AI40="Muy Baja",AK40="Mayor"),AND(AI40="Baja",AK40="Mayor"),AND(AI40="Media",AK40="Mayor"),AND(AI40="Alta",AK40="Moderado"),AND(AI40="Alta",AK40="Mayor"),AND(AI40="Muy Alta",AK40="Leve"),AND(AI40="Muy Alta",AK40="Menor"),AND(AI40="Muy Alta",AK40="Moderado"),AND(AI40="Muy Alta",AK40="Mayor")),"Alto",IF(OR(AND(AI40="Muy Baja",AK40="Catastrófico"),AND(AI40="Baja",AK40="Catastrófico"),AND(AI40="Media",AK40="Catastrófico"),AND(AI40="Alta",AK40="Catastrófico"),AND(AI40="Muy Alta",AK40="Catastrófico")),"Extremo","")))),"")</f>
        <v/>
      </c>
      <c r="AN40" s="176"/>
      <c r="AO40" s="169"/>
      <c r="AP40" s="177"/>
      <c r="AQ40" s="177"/>
      <c r="AR40" s="178"/>
      <c r="AS40" s="459"/>
      <c r="AT40" s="459"/>
      <c r="AU40" s="459"/>
    </row>
    <row r="41" spans="1:47" x14ac:dyDescent="0.2">
      <c r="A41" s="671"/>
      <c r="B41" s="449"/>
      <c r="C41" s="449"/>
      <c r="D41" s="463"/>
      <c r="E41" s="449"/>
      <c r="F41" s="492"/>
      <c r="G41" s="449"/>
      <c r="H41" s="463"/>
      <c r="I41" s="463"/>
      <c r="J41" s="463"/>
      <c r="K41" s="463"/>
      <c r="L41" s="463"/>
      <c r="M41" s="463"/>
      <c r="N41" s="459"/>
      <c r="O41" s="460"/>
      <c r="P41" s="461"/>
      <c r="Q41" s="490"/>
      <c r="R41" s="461">
        <f>IF(NOT(ISERROR(MATCH(Q41,_xlfn.ANCHORARRAY(F52),0))),P54&amp;"Por favor no seleccionar los criterios de impacto",Q41)</f>
        <v>0</v>
      </c>
      <c r="S41" s="460"/>
      <c r="T41" s="461"/>
      <c r="U41" s="489"/>
      <c r="V41" s="193">
        <v>5</v>
      </c>
      <c r="W41" s="193"/>
      <c r="X41" s="193"/>
      <c r="Y41" s="193"/>
      <c r="Z41" s="218" t="str">
        <f t="shared" si="1"/>
        <v xml:space="preserve">  </v>
      </c>
      <c r="AA41" s="170" t="str">
        <f t="shared" si="44"/>
        <v/>
      </c>
      <c r="AB41" s="171"/>
      <c r="AC41" s="171"/>
      <c r="AD41" s="172" t="str">
        <f t="shared" si="39"/>
        <v/>
      </c>
      <c r="AE41" s="171"/>
      <c r="AF41" s="171"/>
      <c r="AG41" s="171"/>
      <c r="AH41" s="173" t="str">
        <f t="shared" si="45"/>
        <v/>
      </c>
      <c r="AI41" s="174" t="str">
        <f t="shared" si="3"/>
        <v/>
      </c>
      <c r="AJ41" s="172" t="str">
        <f t="shared" si="40"/>
        <v/>
      </c>
      <c r="AK41" s="174" t="str">
        <f t="shared" si="5"/>
        <v/>
      </c>
      <c r="AL41" s="172" t="str">
        <f t="shared" si="14"/>
        <v/>
      </c>
      <c r="AM41" s="175" t="str">
        <f t="shared" ref="AM41:AM42" si="46">IFERROR(IF(OR(AND(AI41="Muy Baja",AK41="Leve"),AND(AI41="Muy Baja",AK41="Menor"),AND(AI41="Baja",AK41="Leve")),"Bajo",IF(OR(AND(AI41="Muy baja",AK41="Moderado"),AND(AI41="Baja",AK41="Menor"),AND(AI41="Baja",AK41="Moderado"),AND(AI41="Media",AK41="Leve"),AND(AI41="Media",AK41="Menor"),AND(AI41="Media",AK41="Moderado"),AND(AI41="Alta",AK41="Leve"),AND(AI41="Alta",AK41="Menor")),"Moderado",IF(OR(AND(AI41="Muy Baja",AK41="Mayor"),AND(AI41="Baja",AK41="Mayor"),AND(AI41="Media",AK41="Mayor"),AND(AI41="Alta",AK41="Moderado"),AND(AI41="Alta",AK41="Mayor"),AND(AI41="Muy Alta",AK41="Leve"),AND(AI41="Muy Alta",AK41="Menor"),AND(AI41="Muy Alta",AK41="Moderado"),AND(AI41="Muy Alta",AK41="Mayor")),"Alto",IF(OR(AND(AI41="Muy Baja",AK41="Catastrófico"),AND(AI41="Baja",AK41="Catastrófico"),AND(AI41="Media",AK41="Catastrófico"),AND(AI41="Alta",AK41="Catastrófico"),AND(AI41="Muy Alta",AK41="Catastrófico")),"Extremo","")))),"")</f>
        <v/>
      </c>
      <c r="AN41" s="176"/>
      <c r="AO41" s="169"/>
      <c r="AP41" s="177"/>
      <c r="AQ41" s="177"/>
      <c r="AR41" s="178"/>
      <c r="AS41" s="459"/>
      <c r="AT41" s="459"/>
      <c r="AU41" s="459"/>
    </row>
    <row r="42" spans="1:47" x14ac:dyDescent="0.2">
      <c r="A42" s="671"/>
      <c r="B42" s="449"/>
      <c r="C42" s="449"/>
      <c r="D42" s="491"/>
      <c r="E42" s="449"/>
      <c r="F42" s="492"/>
      <c r="G42" s="449"/>
      <c r="H42" s="491"/>
      <c r="I42" s="491"/>
      <c r="J42" s="491"/>
      <c r="K42" s="491"/>
      <c r="L42" s="491"/>
      <c r="M42" s="491"/>
      <c r="N42" s="459"/>
      <c r="O42" s="460"/>
      <c r="P42" s="461"/>
      <c r="Q42" s="490"/>
      <c r="R42" s="461">
        <f>IF(NOT(ISERROR(MATCH(Q42,_xlfn.ANCHORARRAY(F53),0))),P55&amp;"Por favor no seleccionar los criterios de impacto",Q42)</f>
        <v>0</v>
      </c>
      <c r="S42" s="460"/>
      <c r="T42" s="461"/>
      <c r="U42" s="489"/>
      <c r="V42" s="193">
        <v>6</v>
      </c>
      <c r="W42" s="193"/>
      <c r="X42" s="193"/>
      <c r="Y42" s="193"/>
      <c r="Z42" s="218" t="str">
        <f t="shared" si="1"/>
        <v xml:space="preserve">  </v>
      </c>
      <c r="AA42" s="170" t="str">
        <f t="shared" si="44"/>
        <v/>
      </c>
      <c r="AB42" s="171"/>
      <c r="AC42" s="171"/>
      <c r="AD42" s="172" t="str">
        <f t="shared" si="39"/>
        <v/>
      </c>
      <c r="AE42" s="171"/>
      <c r="AF42" s="171"/>
      <c r="AG42" s="171"/>
      <c r="AH42" s="173" t="str">
        <f t="shared" si="45"/>
        <v/>
      </c>
      <c r="AI42" s="174" t="str">
        <f t="shared" si="3"/>
        <v/>
      </c>
      <c r="AJ42" s="172" t="str">
        <f t="shared" si="40"/>
        <v/>
      </c>
      <c r="AK42" s="174" t="str">
        <f t="shared" si="5"/>
        <v/>
      </c>
      <c r="AL42" s="172" t="str">
        <f t="shared" si="14"/>
        <v/>
      </c>
      <c r="AM42" s="175" t="str">
        <f t="shared" si="46"/>
        <v/>
      </c>
      <c r="AN42" s="176"/>
      <c r="AO42" s="169"/>
      <c r="AP42" s="177"/>
      <c r="AQ42" s="177"/>
      <c r="AR42" s="178"/>
      <c r="AS42" s="459"/>
      <c r="AT42" s="459"/>
      <c r="AU42" s="459"/>
    </row>
    <row r="43" spans="1:47" x14ac:dyDescent="0.2">
      <c r="A43" s="671">
        <v>6</v>
      </c>
      <c r="B43" s="449"/>
      <c r="C43" s="449"/>
      <c r="D43" s="462"/>
      <c r="E43" s="449"/>
      <c r="F43" s="492" t="str">
        <f t="shared" ref="F43" si="47">+CONCATENATE(B43," ",C43)</f>
        <v xml:space="preserve"> </v>
      </c>
      <c r="G43" s="449"/>
      <c r="H43" s="462"/>
      <c r="I43" s="462"/>
      <c r="J43" s="462"/>
      <c r="K43" s="462"/>
      <c r="L43" s="462"/>
      <c r="M43" s="462"/>
      <c r="N43" s="459"/>
      <c r="O43" s="460" t="str">
        <f>IF(N43&lt;=0,"",IF(N43&lt;=2,"Muy Baja",IF(N43&lt;=24,"Baja",IF(N43&lt;=500,"Media",IF(N43&lt;=5000,"Alta","Muy Alta")))))</f>
        <v/>
      </c>
      <c r="P43" s="461" t="str">
        <f>IF(O43="","",IF(O43="Muy Baja",0.2,IF(O43="Baja",0.4,IF(O43="Media",0.6,IF(O43="Alta",0.8,IF(O43="Muy Alta",1,))))))</f>
        <v/>
      </c>
      <c r="Q43" s="490"/>
      <c r="R43" s="461">
        <f>IF(NOT(ISERROR(MATCH(Q43,'Tabla Impacto'!$B$245:$B$247,0))),'Tabla Impacto'!$F$224&amp;"Por favor no seleccionar los criterios de impacto(Afectación Económica o presupuestal y Pérdida Reputacional)",Q43)</f>
        <v>0</v>
      </c>
      <c r="S43" s="460" t="str">
        <f>IF(OR(R43='Tabla Impacto'!$C$12,R43='Tabla Impacto'!$D$12),"Leve",IF(OR(R43='Tabla Impacto'!$C$13,R43='Tabla Impacto'!$D$13),"Menor",IF(OR(R43='Tabla Impacto'!$C$14,R43='Tabla Impacto'!$D$14),"Moderado",IF(OR(R43='Tabla Impacto'!$C$15,R43='Tabla Impacto'!$D$15),"Mayor",IF(OR(R43='Tabla Impacto'!$C$16,R43='Tabla Impacto'!$D$16),"Catastrófico","")))))</f>
        <v/>
      </c>
      <c r="T43" s="461" t="str">
        <f>IF(S43="","",IF(S43="Leve",0.2,IF(S43="Menor",0.4,IF(S43="Moderado",0.6,IF(S43="Mayor",0.8,IF(S43="Catastrófico",1,))))))</f>
        <v/>
      </c>
      <c r="U43" s="489" t="str">
        <f>IF(OR(AND(O43="Muy Baja",S43="Leve"),AND(O43="Muy Baja",S43="Menor"),AND(O43="Baja",S43="Leve")),"Bajo",IF(OR(AND(O43="Muy baja",S43="Moderado"),AND(O43="Baja",S43="Menor"),AND(O43="Baja",S43="Moderado"),AND(O43="Media",S43="Leve"),AND(O43="Media",S43="Menor"),AND(O43="Media",S43="Moderado"),AND(O43="Alta",S43="Leve"),AND(O43="Alta",S43="Menor")),"Moderado",IF(OR(AND(O43="Muy Baja",S43="Mayor"),AND(O43="Baja",S43="Mayor"),AND(O43="Media",S43="Mayor"),AND(O43="Alta",S43="Moderado"),AND(O43="Alta",S43="Mayor"),AND(O43="Muy Alta",S43="Leve"),AND(O43="Muy Alta",S43="Menor"),AND(O43="Muy Alta",S43="Moderado"),AND(O43="Muy Alta",S43="Mayor")),"Alto",IF(OR(AND(O43="Muy Baja",S43="Catastrófico"),AND(O43="Baja",S43="Catastrófico"),AND(O43="Media",S43="Catastrófico"),AND(O43="Alta",S43="Catastrófico"),AND(O43="Muy Alta",S43="Catastrófico")),"Extremo",""))))</f>
        <v/>
      </c>
      <c r="V43" s="193">
        <v>1</v>
      </c>
      <c r="W43" s="193"/>
      <c r="X43" s="193"/>
      <c r="Y43" s="193"/>
      <c r="Z43" s="218" t="str">
        <f t="shared" si="1"/>
        <v xml:space="preserve">  </v>
      </c>
      <c r="AA43" s="170" t="str">
        <f>IF(OR(AB43="Preventivo",AB43="Detectivo"),"Probabilidad",IF(AB43="Correctivo","Impacto",""))</f>
        <v/>
      </c>
      <c r="AB43" s="171"/>
      <c r="AC43" s="171"/>
      <c r="AD43" s="172" t="str">
        <f>IF(AND(AB43="Preventivo",AC43="Automático"),"50%",IF(AND(AB43="Preventivo",AC43="Manual"),"40%",IF(AND(AB43="Detectivo",AC43="Automático"),"40%",IF(AND(AB43="Detectivo",AC43="Manual"),"30%",IF(AND(AB43="Correctivo",AC43="Automático"),"35%",IF(AND(AB43="Correctivo",AC43="Manual"),"25%",""))))))</f>
        <v/>
      </c>
      <c r="AE43" s="171"/>
      <c r="AF43" s="171"/>
      <c r="AG43" s="171"/>
      <c r="AH43" s="173" t="str">
        <f>IFERROR(IF(AA43="Probabilidad",(P43-(+P43*AD43)),IF(AA43="Impacto",P43,"")),"")</f>
        <v/>
      </c>
      <c r="AI43" s="174" t="str">
        <f>IFERROR(IF(AH43="","",IF(AH43&lt;=0.2,"Muy Baja",IF(AH43&lt;=0.4,"Baja",IF(AH43&lt;=0.6,"Media",IF(AH43&lt;=0.8,"Alta","Muy Alta"))))),"")</f>
        <v/>
      </c>
      <c r="AJ43" s="172" t="str">
        <f>+AH43</f>
        <v/>
      </c>
      <c r="AK43" s="174" t="str">
        <f>IFERROR(IF(AL43="","",IF(AL43&lt;=0.2,"Leve",IF(AL43&lt;=0.4,"Menor",IF(AL43&lt;=0.6,"Moderado",IF(AL43&lt;=0.8,"Mayor","Catastrófico"))))),"")</f>
        <v/>
      </c>
      <c r="AL43" s="172" t="str">
        <f t="shared" ref="AL43" si="48">IFERROR(IF(AA43="Impacto",(T43-(+T43*AD43)),IF(AA43="Probabilidad",T43,"")),"")</f>
        <v/>
      </c>
      <c r="AM43" s="175" t="str">
        <f>IFERROR(IF(OR(AND(AI43="Muy Baja",AK43="Leve"),AND(AI43="Muy Baja",AK43="Menor"),AND(AI43="Baja",AK43="Leve")),"Bajo",IF(OR(AND(AI43="Muy baja",AK43="Moderado"),AND(AI43="Baja",AK43="Menor"),AND(AI43="Baja",AK43="Moderado"),AND(AI43="Media",AK43="Leve"),AND(AI43="Media",AK43="Menor"),AND(AI43="Media",AK43="Moderado"),AND(AI43="Alta",AK43="Leve"),AND(AI43="Alta",AK43="Menor")),"Moderado",IF(OR(AND(AI43="Muy Baja",AK43="Mayor"),AND(AI43="Baja",AK43="Mayor"),AND(AI43="Media",AK43="Mayor"),AND(AI43="Alta",AK43="Moderado"),AND(AI43="Alta",AK43="Mayor"),AND(AI43="Muy Alta",AK43="Leve"),AND(AI43="Muy Alta",AK43="Menor"),AND(AI43="Muy Alta",AK43="Moderado"),AND(AI43="Muy Alta",AK43="Mayor")),"Alto",IF(OR(AND(AI43="Muy Baja",AK43="Catastrófico"),AND(AI43="Baja",AK43="Catastrófico"),AND(AI43="Media",AK43="Catastrófico"),AND(AI43="Alta",AK43="Catastrófico"),AND(AI43="Muy Alta",AK43="Catastrófico")),"Extremo","")))),"")</f>
        <v/>
      </c>
      <c r="AN43" s="171"/>
      <c r="AO43" s="169"/>
      <c r="AP43" s="177"/>
      <c r="AQ43" s="177"/>
      <c r="AR43" s="178"/>
      <c r="AS43" s="459"/>
      <c r="AT43" s="459"/>
      <c r="AU43" s="459"/>
    </row>
    <row r="44" spans="1:47" x14ac:dyDescent="0.2">
      <c r="A44" s="671"/>
      <c r="B44" s="449"/>
      <c r="C44" s="449"/>
      <c r="D44" s="463"/>
      <c r="E44" s="449"/>
      <c r="F44" s="492"/>
      <c r="G44" s="449"/>
      <c r="H44" s="463"/>
      <c r="I44" s="463"/>
      <c r="J44" s="463"/>
      <c r="K44" s="463"/>
      <c r="L44" s="463"/>
      <c r="M44" s="463"/>
      <c r="N44" s="459"/>
      <c r="O44" s="460"/>
      <c r="P44" s="461"/>
      <c r="Q44" s="490"/>
      <c r="R44" s="461">
        <f>IF(NOT(ISERROR(MATCH(Q44,_xlfn.ANCHORARRAY(F55),0))),P57&amp;"Por favor no seleccionar los criterios de impacto",Q44)</f>
        <v>0</v>
      </c>
      <c r="S44" s="460"/>
      <c r="T44" s="461"/>
      <c r="U44" s="489"/>
      <c r="V44" s="193">
        <v>2</v>
      </c>
      <c r="W44" s="193"/>
      <c r="X44" s="193"/>
      <c r="Y44" s="193"/>
      <c r="Z44" s="218" t="str">
        <f t="shared" si="1"/>
        <v xml:space="preserve">  </v>
      </c>
      <c r="AA44" s="170" t="str">
        <f>IF(OR(AB44="Preventivo",AB44="Detectivo"),"Probabilidad",IF(AB44="Correctivo","Impacto",""))</f>
        <v/>
      </c>
      <c r="AB44" s="171"/>
      <c r="AC44" s="171"/>
      <c r="AD44" s="172" t="str">
        <f t="shared" ref="AD44:AD48" si="49">IF(AND(AB44="Preventivo",AC44="Automático"),"50%",IF(AND(AB44="Preventivo",AC44="Manual"),"40%",IF(AND(AB44="Detectivo",AC44="Automático"),"40%",IF(AND(AB44="Detectivo",AC44="Manual"),"30%",IF(AND(AB44="Correctivo",AC44="Automático"),"35%",IF(AND(AB44="Correctivo",AC44="Manual"),"25%",""))))))</f>
        <v/>
      </c>
      <c r="AE44" s="171"/>
      <c r="AF44" s="171"/>
      <c r="AG44" s="171"/>
      <c r="AH44" s="173" t="str">
        <f>IFERROR(IF(AND(AA43="Probabilidad",AA44="Probabilidad"),(AJ43-(+AJ43*AD44)),IF(AA44="Probabilidad",(P43-(+P43*AD44)),IF(AA44="Impacto",AJ43,""))),"")</f>
        <v/>
      </c>
      <c r="AI44" s="174" t="str">
        <f t="shared" si="3"/>
        <v/>
      </c>
      <c r="AJ44" s="172" t="str">
        <f t="shared" ref="AJ44:AJ48" si="50">+AH44</f>
        <v/>
      </c>
      <c r="AK44" s="174" t="str">
        <f t="shared" si="5"/>
        <v/>
      </c>
      <c r="AL44" s="172" t="str">
        <f t="shared" ref="AL44" si="51">IFERROR(IF(AND(AA43="Impacto",AA44="Impacto"),(AL43-(+AL43*AD44)),IF(AA44="Impacto",($T$13-(+$T$13*AD44)),IF(AA44="Probabilidad",AL43,""))),"")</f>
        <v/>
      </c>
      <c r="AM44" s="175" t="str">
        <f t="shared" ref="AM44:AM45" si="52">IFERROR(IF(OR(AND(AI44="Muy Baja",AK44="Leve"),AND(AI44="Muy Baja",AK44="Menor"),AND(AI44="Baja",AK44="Leve")),"Bajo",IF(OR(AND(AI44="Muy baja",AK44="Moderado"),AND(AI44="Baja",AK44="Menor"),AND(AI44="Baja",AK44="Moderado"),AND(AI44="Media",AK44="Leve"),AND(AI44="Media",AK44="Menor"),AND(AI44="Media",AK44="Moderado"),AND(AI44="Alta",AK44="Leve"),AND(AI44="Alta",AK44="Menor")),"Moderado",IF(OR(AND(AI44="Muy Baja",AK44="Mayor"),AND(AI44="Baja",AK44="Mayor"),AND(AI44="Media",AK44="Mayor"),AND(AI44="Alta",AK44="Moderado"),AND(AI44="Alta",AK44="Mayor"),AND(AI44="Muy Alta",AK44="Leve"),AND(AI44="Muy Alta",AK44="Menor"),AND(AI44="Muy Alta",AK44="Moderado"),AND(AI44="Muy Alta",AK44="Mayor")),"Alto",IF(OR(AND(AI44="Muy Baja",AK44="Catastrófico"),AND(AI44="Baja",AK44="Catastrófico"),AND(AI44="Media",AK44="Catastrófico"),AND(AI44="Alta",AK44="Catastrófico"),AND(AI44="Muy Alta",AK44="Catastrófico")),"Extremo","")))),"")</f>
        <v/>
      </c>
      <c r="AN44" s="176"/>
      <c r="AO44" s="169"/>
      <c r="AP44" s="177"/>
      <c r="AQ44" s="177"/>
      <c r="AR44" s="178"/>
      <c r="AS44" s="459"/>
      <c r="AT44" s="459"/>
      <c r="AU44" s="459"/>
    </row>
    <row r="45" spans="1:47" x14ac:dyDescent="0.2">
      <c r="A45" s="671"/>
      <c r="B45" s="449"/>
      <c r="C45" s="449"/>
      <c r="D45" s="463"/>
      <c r="E45" s="449"/>
      <c r="F45" s="492"/>
      <c r="G45" s="449"/>
      <c r="H45" s="463"/>
      <c r="I45" s="463"/>
      <c r="J45" s="463"/>
      <c r="K45" s="463"/>
      <c r="L45" s="463"/>
      <c r="M45" s="463"/>
      <c r="N45" s="459"/>
      <c r="O45" s="460"/>
      <c r="P45" s="461"/>
      <c r="Q45" s="490"/>
      <c r="R45" s="461">
        <f>IF(NOT(ISERROR(MATCH(Q45,_xlfn.ANCHORARRAY(F56),0))),P58&amp;"Por favor no seleccionar los criterios de impacto",Q45)</f>
        <v>0</v>
      </c>
      <c r="S45" s="460"/>
      <c r="T45" s="461"/>
      <c r="U45" s="489"/>
      <c r="V45" s="193">
        <v>3</v>
      </c>
      <c r="W45" s="193"/>
      <c r="X45" s="193"/>
      <c r="Y45" s="193"/>
      <c r="Z45" s="218" t="str">
        <f t="shared" si="1"/>
        <v xml:space="preserve">  </v>
      </c>
      <c r="AA45" s="170" t="str">
        <f>IF(OR(AB45="Preventivo",AB45="Detectivo"),"Probabilidad",IF(AB45="Correctivo","Impacto",""))</f>
        <v/>
      </c>
      <c r="AB45" s="171"/>
      <c r="AC45" s="171"/>
      <c r="AD45" s="172" t="str">
        <f t="shared" si="49"/>
        <v/>
      </c>
      <c r="AE45" s="171"/>
      <c r="AF45" s="171"/>
      <c r="AG45" s="171"/>
      <c r="AH45" s="173" t="str">
        <f>IFERROR(IF(AND(AA44="Probabilidad",AA45="Probabilidad"),(AJ44-(+AJ44*AD45)),IF(AND(AA44="Impacto",AA45="Probabilidad"),(AJ43-(+AJ43*AD45)),IF(AA45="Impacto",AJ44,""))),"")</f>
        <v/>
      </c>
      <c r="AI45" s="174" t="str">
        <f t="shared" si="3"/>
        <v/>
      </c>
      <c r="AJ45" s="172" t="str">
        <f t="shared" si="50"/>
        <v/>
      </c>
      <c r="AK45" s="174" t="str">
        <f t="shared" si="5"/>
        <v/>
      </c>
      <c r="AL45" s="172" t="str">
        <f t="shared" ref="AL45" si="53">IFERROR(IF(AND(AA44="Impacto",AA45="Impacto"),(AL44-(+AL44*AD45)),IF(AND(AA44="Probabilidad",AA45="Impacto"),(AL43-(+AL43*AD45)),IF(AA45="Probabilidad",AL44,""))),"")</f>
        <v/>
      </c>
      <c r="AM45" s="175" t="str">
        <f t="shared" si="52"/>
        <v/>
      </c>
      <c r="AN45" s="176"/>
      <c r="AO45" s="169"/>
      <c r="AP45" s="177"/>
      <c r="AQ45" s="177"/>
      <c r="AR45" s="178"/>
      <c r="AS45" s="459"/>
      <c r="AT45" s="459"/>
      <c r="AU45" s="459"/>
    </row>
    <row r="46" spans="1:47" x14ac:dyDescent="0.2">
      <c r="A46" s="671"/>
      <c r="B46" s="449"/>
      <c r="C46" s="449"/>
      <c r="D46" s="463"/>
      <c r="E46" s="449"/>
      <c r="F46" s="492"/>
      <c r="G46" s="449"/>
      <c r="H46" s="463"/>
      <c r="I46" s="463"/>
      <c r="J46" s="463"/>
      <c r="K46" s="463"/>
      <c r="L46" s="463"/>
      <c r="M46" s="463"/>
      <c r="N46" s="459"/>
      <c r="O46" s="460"/>
      <c r="P46" s="461"/>
      <c r="Q46" s="490"/>
      <c r="R46" s="461">
        <f>IF(NOT(ISERROR(MATCH(Q46,_xlfn.ANCHORARRAY(F57),0))),P59&amp;"Por favor no seleccionar los criterios de impacto",Q46)</f>
        <v>0</v>
      </c>
      <c r="S46" s="460"/>
      <c r="T46" s="461"/>
      <c r="U46" s="489"/>
      <c r="V46" s="193">
        <v>4</v>
      </c>
      <c r="W46" s="193"/>
      <c r="X46" s="193"/>
      <c r="Y46" s="193"/>
      <c r="Z46" s="218" t="str">
        <f t="shared" si="1"/>
        <v xml:space="preserve">  </v>
      </c>
      <c r="AA46" s="170" t="str">
        <f t="shared" ref="AA46:AA48" si="54">IF(OR(AB46="Preventivo",AB46="Detectivo"),"Probabilidad",IF(AB46="Correctivo","Impacto",""))</f>
        <v/>
      </c>
      <c r="AB46" s="171"/>
      <c r="AC46" s="171"/>
      <c r="AD46" s="172" t="str">
        <f t="shared" si="49"/>
        <v/>
      </c>
      <c r="AE46" s="171"/>
      <c r="AF46" s="171"/>
      <c r="AG46" s="171"/>
      <c r="AH46" s="173" t="str">
        <f t="shared" ref="AH46:AH48" si="55">IFERROR(IF(AND(AA45="Probabilidad",AA46="Probabilidad"),(AJ45-(+AJ45*AD46)),IF(AND(AA45="Impacto",AA46="Probabilidad"),(AJ44-(+AJ44*AD46)),IF(AA46="Impacto",AJ45,""))),"")</f>
        <v/>
      </c>
      <c r="AI46" s="174" t="str">
        <f t="shared" si="3"/>
        <v/>
      </c>
      <c r="AJ46" s="172" t="str">
        <f t="shared" si="50"/>
        <v/>
      </c>
      <c r="AK46" s="174" t="str">
        <f t="shared" si="5"/>
        <v/>
      </c>
      <c r="AL46" s="172" t="str">
        <f t="shared" si="14"/>
        <v/>
      </c>
      <c r="AM46" s="175" t="str">
        <f>IFERROR(IF(OR(AND(AI46="Muy Baja",AK46="Leve"),AND(AI46="Muy Baja",AK46="Menor"),AND(AI46="Baja",AK46="Leve")),"Bajo",IF(OR(AND(AI46="Muy baja",AK46="Moderado"),AND(AI46="Baja",AK46="Menor"),AND(AI46="Baja",AK46="Moderado"),AND(AI46="Media",AK46="Leve"),AND(AI46="Media",AK46="Menor"),AND(AI46="Media",AK46="Moderado"),AND(AI46="Alta",AK46="Leve"),AND(AI46="Alta",AK46="Menor")),"Moderado",IF(OR(AND(AI46="Muy Baja",AK46="Mayor"),AND(AI46="Baja",AK46="Mayor"),AND(AI46="Media",AK46="Mayor"),AND(AI46="Alta",AK46="Moderado"),AND(AI46="Alta",AK46="Mayor"),AND(AI46="Muy Alta",AK46="Leve"),AND(AI46="Muy Alta",AK46="Menor"),AND(AI46="Muy Alta",AK46="Moderado"),AND(AI46="Muy Alta",AK46="Mayor")),"Alto",IF(OR(AND(AI46="Muy Baja",AK46="Catastrófico"),AND(AI46="Baja",AK46="Catastrófico"),AND(AI46="Media",AK46="Catastrófico"),AND(AI46="Alta",AK46="Catastrófico"),AND(AI46="Muy Alta",AK46="Catastrófico")),"Extremo","")))),"")</f>
        <v/>
      </c>
      <c r="AN46" s="176"/>
      <c r="AO46" s="169"/>
      <c r="AP46" s="177"/>
      <c r="AQ46" s="177"/>
      <c r="AR46" s="178"/>
      <c r="AS46" s="459"/>
      <c r="AT46" s="459"/>
      <c r="AU46" s="459"/>
    </row>
    <row r="47" spans="1:47" x14ac:dyDescent="0.2">
      <c r="A47" s="671"/>
      <c r="B47" s="449"/>
      <c r="C47" s="449"/>
      <c r="D47" s="463"/>
      <c r="E47" s="449"/>
      <c r="F47" s="492"/>
      <c r="G47" s="449"/>
      <c r="H47" s="463"/>
      <c r="I47" s="463"/>
      <c r="J47" s="463"/>
      <c r="K47" s="463"/>
      <c r="L47" s="463"/>
      <c r="M47" s="463"/>
      <c r="N47" s="459"/>
      <c r="O47" s="460"/>
      <c r="P47" s="461"/>
      <c r="Q47" s="490"/>
      <c r="R47" s="461">
        <f>IF(NOT(ISERROR(MATCH(Q47,_xlfn.ANCHORARRAY(F58),0))),P60&amp;"Por favor no seleccionar los criterios de impacto",Q47)</f>
        <v>0</v>
      </c>
      <c r="S47" s="460"/>
      <c r="T47" s="461"/>
      <c r="U47" s="489"/>
      <c r="V47" s="193">
        <v>5</v>
      </c>
      <c r="W47" s="193"/>
      <c r="X47" s="193"/>
      <c r="Y47" s="193"/>
      <c r="Z47" s="218" t="str">
        <f t="shared" si="1"/>
        <v xml:space="preserve">  </v>
      </c>
      <c r="AA47" s="170" t="str">
        <f t="shared" si="54"/>
        <v/>
      </c>
      <c r="AB47" s="171"/>
      <c r="AC47" s="171"/>
      <c r="AD47" s="172" t="str">
        <f t="shared" si="49"/>
        <v/>
      </c>
      <c r="AE47" s="171"/>
      <c r="AF47" s="171"/>
      <c r="AG47" s="171"/>
      <c r="AH47" s="173" t="str">
        <f t="shared" si="55"/>
        <v/>
      </c>
      <c r="AI47" s="174" t="str">
        <f t="shared" si="3"/>
        <v/>
      </c>
      <c r="AJ47" s="172" t="str">
        <f t="shared" si="50"/>
        <v/>
      </c>
      <c r="AK47" s="174" t="str">
        <f t="shared" si="5"/>
        <v/>
      </c>
      <c r="AL47" s="172" t="str">
        <f t="shared" si="14"/>
        <v/>
      </c>
      <c r="AM47" s="175" t="str">
        <f t="shared" ref="AM47" si="56">IFERROR(IF(OR(AND(AI47="Muy Baja",AK47="Leve"),AND(AI47="Muy Baja",AK47="Menor"),AND(AI47="Baja",AK47="Leve")),"Bajo",IF(OR(AND(AI47="Muy baja",AK47="Moderado"),AND(AI47="Baja",AK47="Menor"),AND(AI47="Baja",AK47="Moderado"),AND(AI47="Media",AK47="Leve"),AND(AI47="Media",AK47="Menor"),AND(AI47="Media",AK47="Moderado"),AND(AI47="Alta",AK47="Leve"),AND(AI47="Alta",AK47="Menor")),"Moderado",IF(OR(AND(AI47="Muy Baja",AK47="Mayor"),AND(AI47="Baja",AK47="Mayor"),AND(AI47="Media",AK47="Mayor"),AND(AI47="Alta",AK47="Moderado"),AND(AI47="Alta",AK47="Mayor"),AND(AI47="Muy Alta",AK47="Leve"),AND(AI47="Muy Alta",AK47="Menor"),AND(AI47="Muy Alta",AK47="Moderado"),AND(AI47="Muy Alta",AK47="Mayor")),"Alto",IF(OR(AND(AI47="Muy Baja",AK47="Catastrófico"),AND(AI47="Baja",AK47="Catastrófico"),AND(AI47="Media",AK47="Catastrófico"),AND(AI47="Alta",AK47="Catastrófico"),AND(AI47="Muy Alta",AK47="Catastrófico")),"Extremo","")))),"")</f>
        <v/>
      </c>
      <c r="AN47" s="176"/>
      <c r="AO47" s="169"/>
      <c r="AP47" s="177"/>
      <c r="AQ47" s="177"/>
      <c r="AR47" s="178"/>
      <c r="AS47" s="459"/>
      <c r="AT47" s="459"/>
      <c r="AU47" s="459"/>
    </row>
    <row r="48" spans="1:47" x14ac:dyDescent="0.2">
      <c r="A48" s="671"/>
      <c r="B48" s="449"/>
      <c r="C48" s="449"/>
      <c r="D48" s="491"/>
      <c r="E48" s="449"/>
      <c r="F48" s="492"/>
      <c r="G48" s="449"/>
      <c r="H48" s="491"/>
      <c r="I48" s="491"/>
      <c r="J48" s="491"/>
      <c r="K48" s="491"/>
      <c r="L48" s="491"/>
      <c r="M48" s="491"/>
      <c r="N48" s="459"/>
      <c r="O48" s="460"/>
      <c r="P48" s="461"/>
      <c r="Q48" s="490"/>
      <c r="R48" s="461">
        <f>IF(NOT(ISERROR(MATCH(Q48,_xlfn.ANCHORARRAY(F59),0))),P61&amp;"Por favor no seleccionar los criterios de impacto",Q48)</f>
        <v>0</v>
      </c>
      <c r="S48" s="460"/>
      <c r="T48" s="461"/>
      <c r="U48" s="489"/>
      <c r="V48" s="193">
        <v>6</v>
      </c>
      <c r="W48" s="193"/>
      <c r="X48" s="193"/>
      <c r="Y48" s="193"/>
      <c r="Z48" s="218" t="str">
        <f t="shared" si="1"/>
        <v xml:space="preserve">  </v>
      </c>
      <c r="AA48" s="170" t="str">
        <f t="shared" si="54"/>
        <v/>
      </c>
      <c r="AB48" s="171"/>
      <c r="AC48" s="171"/>
      <c r="AD48" s="172" t="str">
        <f t="shared" si="49"/>
        <v/>
      </c>
      <c r="AE48" s="171"/>
      <c r="AF48" s="171"/>
      <c r="AG48" s="171"/>
      <c r="AH48" s="173" t="str">
        <f t="shared" si="55"/>
        <v/>
      </c>
      <c r="AI48" s="174" t="str">
        <f t="shared" si="3"/>
        <v/>
      </c>
      <c r="AJ48" s="172" t="str">
        <f t="shared" si="50"/>
        <v/>
      </c>
      <c r="AK48" s="174" t="str">
        <f>IFERROR(IF(AL48="","",IF(AL48&lt;=0.2,"Leve",IF(AL48&lt;=0.4,"Menor",IF(AL48&lt;=0.6,"Moderado",IF(AL48&lt;=0.8,"Mayor","Catastrófico"))))),"")</f>
        <v/>
      </c>
      <c r="AL48" s="172" t="str">
        <f t="shared" si="14"/>
        <v/>
      </c>
      <c r="AM48" s="175" t="str">
        <f>IFERROR(IF(OR(AND(AI48="Muy Baja",AK48="Leve"),AND(AI48="Muy Baja",AK48="Menor"),AND(AI48="Baja",AK48="Leve")),"Bajo",IF(OR(AND(AI48="Muy baja",AK48="Moderado"),AND(AI48="Baja",AK48="Menor"),AND(AI48="Baja",AK48="Moderado"),AND(AI48="Media",AK48="Leve"),AND(AI48="Media",AK48="Menor"),AND(AI48="Media",AK48="Moderado"),AND(AI48="Alta",AK48="Leve"),AND(AI48="Alta",AK48="Menor")),"Moderado",IF(OR(AND(AI48="Muy Baja",AK48="Mayor"),AND(AI48="Baja",AK48="Mayor"),AND(AI48="Media",AK48="Mayor"),AND(AI48="Alta",AK48="Moderado"),AND(AI48="Alta",AK48="Mayor"),AND(AI48="Muy Alta",AK48="Leve"),AND(AI48="Muy Alta",AK48="Menor"),AND(AI48="Muy Alta",AK48="Moderado"),AND(AI48="Muy Alta",AK48="Mayor")),"Alto",IF(OR(AND(AI48="Muy Baja",AK48="Catastrófico"),AND(AI48="Baja",AK48="Catastrófico"),AND(AI48="Media",AK48="Catastrófico"),AND(AI48="Alta",AK48="Catastrófico"),AND(AI48="Muy Alta",AK48="Catastrófico")),"Extremo","")))),"")</f>
        <v/>
      </c>
      <c r="AN48" s="176"/>
      <c r="AO48" s="169"/>
      <c r="AP48" s="177"/>
      <c r="AQ48" s="177"/>
      <c r="AR48" s="178"/>
      <c r="AS48" s="459"/>
      <c r="AT48" s="459"/>
      <c r="AU48" s="459"/>
    </row>
    <row r="49" spans="1:47" x14ac:dyDescent="0.2">
      <c r="A49" s="671">
        <v>7</v>
      </c>
      <c r="B49" s="449"/>
      <c r="C49" s="449"/>
      <c r="D49" s="686"/>
      <c r="E49" s="495"/>
      <c r="F49" s="492" t="str">
        <f t="shared" ref="F49" si="57">+CONCATENATE(B49," ",C49)</f>
        <v xml:space="preserve"> </v>
      </c>
      <c r="G49" s="449"/>
      <c r="H49" s="462"/>
      <c r="I49" s="462"/>
      <c r="J49" s="462"/>
      <c r="K49" s="462"/>
      <c r="L49" s="462"/>
      <c r="M49" s="462"/>
      <c r="N49" s="459"/>
      <c r="O49" s="460" t="str">
        <f>IF(N49&lt;=0,"",IF(N49&lt;=2,"Muy Baja",IF(N49&lt;=24,"Baja",IF(N49&lt;=500,"Media",IF(N49&lt;=5000,"Alta","Muy Alta")))))</f>
        <v/>
      </c>
      <c r="P49" s="461" t="str">
        <f>IF(O49="","",IF(O49="Muy Baja",0.2,IF(O49="Baja",0.4,IF(O49="Media",0.6,IF(O49="Alta",0.8,IF(O49="Muy Alta",1,))))))</f>
        <v/>
      </c>
      <c r="Q49" s="490"/>
      <c r="R49" s="461">
        <f>IF(NOT(ISERROR(MATCH(Q49,'Tabla Impacto'!$B$245:$B$247,0))),'Tabla Impacto'!$F$224&amp;"Por favor no seleccionar los criterios de impacto(Afectación Económica o presupuestal y Pérdida Reputacional)",Q49)</f>
        <v>0</v>
      </c>
      <c r="S49" s="460" t="str">
        <f>IF(OR(R49='Tabla Impacto'!$C$12,R49='Tabla Impacto'!$D$12),"Leve",IF(OR(R49='Tabla Impacto'!$C$13,R49='Tabla Impacto'!$D$13),"Menor",IF(OR(R49='Tabla Impacto'!$C$14,R49='Tabla Impacto'!$D$14),"Moderado",IF(OR(R49='Tabla Impacto'!$C$15,R49='Tabla Impacto'!$D$15),"Mayor",IF(OR(R49='Tabla Impacto'!$C$16,R49='Tabla Impacto'!$D$16),"Catastrófico","")))))</f>
        <v/>
      </c>
      <c r="T49" s="461" t="str">
        <f>IF(S49="","",IF(S49="Leve",0.2,IF(S49="Menor",0.4,IF(S49="Moderado",0.6,IF(S49="Mayor",0.8,IF(S49="Catastrófico",1,))))))</f>
        <v/>
      </c>
      <c r="U49" s="489" t="str">
        <f>IF(OR(AND(O49="Muy Baja",S49="Leve"),AND(O49="Muy Baja",S49="Menor"),AND(O49="Baja",S49="Leve")),"Bajo",IF(OR(AND(O49="Muy baja",S49="Moderado"),AND(O49="Baja",S49="Menor"),AND(O49="Baja",S49="Moderado"),AND(O49="Media",S49="Leve"),AND(O49="Media",S49="Menor"),AND(O49="Media",S49="Moderado"),AND(O49="Alta",S49="Leve"),AND(O49="Alta",S49="Menor")),"Moderado",IF(OR(AND(O49="Muy Baja",S49="Mayor"),AND(O49="Baja",S49="Mayor"),AND(O49="Media",S49="Mayor"),AND(O49="Alta",S49="Moderado"),AND(O49="Alta",S49="Mayor"),AND(O49="Muy Alta",S49="Leve"),AND(O49="Muy Alta",S49="Menor"),AND(O49="Muy Alta",S49="Moderado"),AND(O49="Muy Alta",S49="Mayor")),"Alto",IF(OR(AND(O49="Muy Baja",S49="Catastrófico"),AND(O49="Baja",S49="Catastrófico"),AND(O49="Media",S49="Catastrófico"),AND(O49="Alta",S49="Catastrófico"),AND(O49="Muy Alta",S49="Catastrófico")),"Extremo",""))))</f>
        <v/>
      </c>
      <c r="V49" s="193">
        <v>1</v>
      </c>
      <c r="W49" s="193"/>
      <c r="X49" s="193"/>
      <c r="Y49" s="193"/>
      <c r="Z49" s="218" t="str">
        <f t="shared" si="1"/>
        <v xml:space="preserve">  </v>
      </c>
      <c r="AA49" s="170" t="str">
        <f>IF(OR(AB49="Preventivo",AB49="Detectivo"),"Probabilidad",IF(AB49="Correctivo","Impacto",""))</f>
        <v/>
      </c>
      <c r="AB49" s="171"/>
      <c r="AC49" s="171"/>
      <c r="AD49" s="172" t="str">
        <f>IF(AND(AB49="Preventivo",AC49="Automático"),"50%",IF(AND(AB49="Preventivo",AC49="Manual"),"40%",IF(AND(AB49="Detectivo",AC49="Automático"),"40%",IF(AND(AB49="Detectivo",AC49="Manual"),"30%",IF(AND(AB49="Correctivo",AC49="Automático"),"35%",IF(AND(AB49="Correctivo",AC49="Manual"),"25%",""))))))</f>
        <v/>
      </c>
      <c r="AE49" s="171"/>
      <c r="AF49" s="171"/>
      <c r="AG49" s="171"/>
      <c r="AH49" s="173" t="str">
        <f>IFERROR(IF(AA49="Probabilidad",(P49-(+P49*AD49)),IF(AA49="Impacto",P49,"")),"")</f>
        <v/>
      </c>
      <c r="AI49" s="174" t="str">
        <f>IFERROR(IF(AH49="","",IF(AH49&lt;=0.2,"Muy Baja",IF(AH49&lt;=0.4,"Baja",IF(AH49&lt;=0.6,"Media",IF(AH49&lt;=0.8,"Alta","Muy Alta"))))),"")</f>
        <v/>
      </c>
      <c r="AJ49" s="172" t="str">
        <f>+AH49</f>
        <v/>
      </c>
      <c r="AK49" s="174" t="str">
        <f>IFERROR(IF(AL49="","",IF(AL49&lt;=0.2,"Leve",IF(AL49&lt;=0.4,"Menor",IF(AL49&lt;=0.6,"Moderado",IF(AL49&lt;=0.8,"Mayor","Catastrófico"))))),"")</f>
        <v/>
      </c>
      <c r="AL49" s="172" t="str">
        <f t="shared" ref="AL49" si="58">IFERROR(IF(AA49="Impacto",(T49-(+T49*AD49)),IF(AA49="Probabilidad",T49,"")),"")</f>
        <v/>
      </c>
      <c r="AM49" s="175" t="str">
        <f>IFERROR(IF(OR(AND(AI49="Muy Baja",AK49="Leve"),AND(AI49="Muy Baja",AK49="Menor"),AND(AI49="Baja",AK49="Leve")),"Bajo",IF(OR(AND(AI49="Muy baja",AK49="Moderado"),AND(AI49="Baja",AK49="Menor"),AND(AI49="Baja",AK49="Moderado"),AND(AI49="Media",AK49="Leve"),AND(AI49="Media",AK49="Menor"),AND(AI49="Media",AK49="Moderado"),AND(AI49="Alta",AK49="Leve"),AND(AI49="Alta",AK49="Menor")),"Moderado",IF(OR(AND(AI49="Muy Baja",AK49="Mayor"),AND(AI49="Baja",AK49="Mayor"),AND(AI49="Media",AK49="Mayor"),AND(AI49="Alta",AK49="Moderado"),AND(AI49="Alta",AK49="Mayor"),AND(AI49="Muy Alta",AK49="Leve"),AND(AI49="Muy Alta",AK49="Menor"),AND(AI49="Muy Alta",AK49="Moderado"),AND(AI49="Muy Alta",AK49="Mayor")),"Alto",IF(OR(AND(AI49="Muy Baja",AK49="Catastrófico"),AND(AI49="Baja",AK49="Catastrófico"),AND(AI49="Media",AK49="Catastrófico"),AND(AI49="Alta",AK49="Catastrófico"),AND(AI49="Muy Alta",AK49="Catastrófico")),"Extremo","")))),"")</f>
        <v/>
      </c>
      <c r="AN49" s="176"/>
      <c r="AO49" s="169"/>
      <c r="AP49" s="177"/>
      <c r="AQ49" s="177"/>
      <c r="AR49" s="178"/>
      <c r="AS49" s="459"/>
      <c r="AT49" s="459"/>
      <c r="AU49" s="459"/>
    </row>
    <row r="50" spans="1:47" x14ac:dyDescent="0.2">
      <c r="A50" s="671"/>
      <c r="B50" s="449"/>
      <c r="C50" s="449"/>
      <c r="D50" s="687"/>
      <c r="E50" s="495"/>
      <c r="F50" s="492"/>
      <c r="G50" s="449"/>
      <c r="H50" s="463"/>
      <c r="I50" s="463"/>
      <c r="J50" s="463"/>
      <c r="K50" s="463"/>
      <c r="L50" s="463"/>
      <c r="M50" s="463"/>
      <c r="N50" s="459"/>
      <c r="O50" s="460"/>
      <c r="P50" s="461"/>
      <c r="Q50" s="490"/>
      <c r="R50" s="461">
        <f>IF(NOT(ISERROR(MATCH(Q50,_xlfn.ANCHORARRAY(F61),0))),P63&amp;"Por favor no seleccionar los criterios de impacto",Q50)</f>
        <v>0</v>
      </c>
      <c r="S50" s="460"/>
      <c r="T50" s="461"/>
      <c r="U50" s="489"/>
      <c r="V50" s="193">
        <v>2</v>
      </c>
      <c r="W50" s="193"/>
      <c r="X50" s="193"/>
      <c r="Y50" s="193"/>
      <c r="Z50" s="218" t="str">
        <f t="shared" si="1"/>
        <v xml:space="preserve">  </v>
      </c>
      <c r="AA50" s="170" t="str">
        <f>IF(OR(AB50="Preventivo",AB50="Detectivo"),"Probabilidad",IF(AB50="Correctivo","Impacto",""))</f>
        <v/>
      </c>
      <c r="AB50" s="171"/>
      <c r="AC50" s="171"/>
      <c r="AD50" s="172" t="str">
        <f t="shared" ref="AD50:AD54" si="59">IF(AND(AB50="Preventivo",AC50="Automático"),"50%",IF(AND(AB50="Preventivo",AC50="Manual"),"40%",IF(AND(AB50="Detectivo",AC50="Automático"),"40%",IF(AND(AB50="Detectivo",AC50="Manual"),"30%",IF(AND(AB50="Correctivo",AC50="Automático"),"35%",IF(AND(AB50="Correctivo",AC50="Manual"),"25%",""))))))</f>
        <v/>
      </c>
      <c r="AE50" s="171"/>
      <c r="AF50" s="171"/>
      <c r="AG50" s="171"/>
      <c r="AH50" s="173" t="str">
        <f>IFERROR(IF(AND(AA49="Probabilidad",AA50="Probabilidad"),(AJ49-(+AJ49*AD50)),IF(AA50="Probabilidad",(P49-(+P49*AD50)),IF(AA50="Impacto",AJ49,""))),"")</f>
        <v/>
      </c>
      <c r="AI50" s="174" t="str">
        <f t="shared" si="3"/>
        <v/>
      </c>
      <c r="AJ50" s="172" t="str">
        <f t="shared" ref="AJ50:AJ54" si="60">+AH50</f>
        <v/>
      </c>
      <c r="AK50" s="174" t="str">
        <f t="shared" si="5"/>
        <v/>
      </c>
      <c r="AL50" s="172" t="str">
        <f t="shared" ref="AL50" si="61">IFERROR(IF(AND(AA49="Impacto",AA50="Impacto"),(AL49-(+AL49*AD50)),IF(AA50="Impacto",($T$13-(+$T$13*AD50)),IF(AA50="Probabilidad",AL49,""))),"")</f>
        <v/>
      </c>
      <c r="AM50" s="175" t="str">
        <f t="shared" ref="AM50:AM51" si="62">IFERROR(IF(OR(AND(AI50="Muy Baja",AK50="Leve"),AND(AI50="Muy Baja",AK50="Menor"),AND(AI50="Baja",AK50="Leve")),"Bajo",IF(OR(AND(AI50="Muy baja",AK50="Moderado"),AND(AI50="Baja",AK50="Menor"),AND(AI50="Baja",AK50="Moderado"),AND(AI50="Media",AK50="Leve"),AND(AI50="Media",AK50="Menor"),AND(AI50="Media",AK50="Moderado"),AND(AI50="Alta",AK50="Leve"),AND(AI50="Alta",AK50="Menor")),"Moderado",IF(OR(AND(AI50="Muy Baja",AK50="Mayor"),AND(AI50="Baja",AK50="Mayor"),AND(AI50="Media",AK50="Mayor"),AND(AI50="Alta",AK50="Moderado"),AND(AI50="Alta",AK50="Mayor"),AND(AI50="Muy Alta",AK50="Leve"),AND(AI50="Muy Alta",AK50="Menor"),AND(AI50="Muy Alta",AK50="Moderado"),AND(AI50="Muy Alta",AK50="Mayor")),"Alto",IF(OR(AND(AI50="Muy Baja",AK50="Catastrófico"),AND(AI50="Baja",AK50="Catastrófico"),AND(AI50="Media",AK50="Catastrófico"),AND(AI50="Alta",AK50="Catastrófico"),AND(AI50="Muy Alta",AK50="Catastrófico")),"Extremo","")))),"")</f>
        <v/>
      </c>
      <c r="AN50" s="176"/>
      <c r="AO50" s="169"/>
      <c r="AP50" s="177"/>
      <c r="AQ50" s="177"/>
      <c r="AR50" s="178"/>
      <c r="AS50" s="459"/>
      <c r="AT50" s="459"/>
      <c r="AU50" s="459"/>
    </row>
    <row r="51" spans="1:47" x14ac:dyDescent="0.2">
      <c r="A51" s="671"/>
      <c r="B51" s="449"/>
      <c r="C51" s="449"/>
      <c r="D51" s="687"/>
      <c r="E51" s="495"/>
      <c r="F51" s="492"/>
      <c r="G51" s="449"/>
      <c r="H51" s="463"/>
      <c r="I51" s="463"/>
      <c r="J51" s="463"/>
      <c r="K51" s="463"/>
      <c r="L51" s="463"/>
      <c r="M51" s="463"/>
      <c r="N51" s="459"/>
      <c r="O51" s="460"/>
      <c r="P51" s="461"/>
      <c r="Q51" s="490"/>
      <c r="R51" s="461">
        <f>IF(NOT(ISERROR(MATCH(Q51,_xlfn.ANCHORARRAY(F62),0))),P64&amp;"Por favor no seleccionar los criterios de impacto",Q51)</f>
        <v>0</v>
      </c>
      <c r="S51" s="460"/>
      <c r="T51" s="461"/>
      <c r="U51" s="489"/>
      <c r="V51" s="193">
        <v>3</v>
      </c>
      <c r="W51" s="193"/>
      <c r="X51" s="193"/>
      <c r="Y51" s="193"/>
      <c r="Z51" s="218" t="str">
        <f t="shared" si="1"/>
        <v xml:space="preserve">  </v>
      </c>
      <c r="AA51" s="170" t="str">
        <f>IF(OR(AB51="Preventivo",AB51="Detectivo"),"Probabilidad",IF(AB51="Correctivo","Impacto",""))</f>
        <v/>
      </c>
      <c r="AB51" s="171"/>
      <c r="AC51" s="171"/>
      <c r="AD51" s="172" t="str">
        <f t="shared" si="59"/>
        <v/>
      </c>
      <c r="AE51" s="171"/>
      <c r="AF51" s="171"/>
      <c r="AG51" s="171"/>
      <c r="AH51" s="173" t="str">
        <f>IFERROR(IF(AND(AA50="Probabilidad",AA51="Probabilidad"),(AJ50-(+AJ50*AD51)),IF(AND(AA50="Impacto",AA51="Probabilidad"),(AJ49-(+AJ49*AD51)),IF(AA51="Impacto",AJ50,""))),"")</f>
        <v/>
      </c>
      <c r="AI51" s="174" t="str">
        <f t="shared" si="3"/>
        <v/>
      </c>
      <c r="AJ51" s="172" t="str">
        <f t="shared" si="60"/>
        <v/>
      </c>
      <c r="AK51" s="174" t="str">
        <f t="shared" si="5"/>
        <v/>
      </c>
      <c r="AL51" s="172" t="str">
        <f t="shared" ref="AL51" si="63">IFERROR(IF(AND(AA50="Impacto",AA51="Impacto"),(AL50-(+AL50*AD51)),IF(AND(AA50="Probabilidad",AA51="Impacto"),(AL49-(+AL49*AD51)),IF(AA51="Probabilidad",AL50,""))),"")</f>
        <v/>
      </c>
      <c r="AM51" s="175" t="str">
        <f t="shared" si="62"/>
        <v/>
      </c>
      <c r="AN51" s="176"/>
      <c r="AO51" s="169"/>
      <c r="AP51" s="177"/>
      <c r="AQ51" s="177"/>
      <c r="AR51" s="178"/>
      <c r="AS51" s="459"/>
      <c r="AT51" s="459"/>
      <c r="AU51" s="459"/>
    </row>
    <row r="52" spans="1:47" x14ac:dyDescent="0.2">
      <c r="A52" s="671"/>
      <c r="B52" s="449"/>
      <c r="C52" s="449"/>
      <c r="D52" s="687"/>
      <c r="E52" s="495"/>
      <c r="F52" s="492"/>
      <c r="G52" s="449"/>
      <c r="H52" s="463"/>
      <c r="I52" s="463"/>
      <c r="J52" s="463"/>
      <c r="K52" s="463"/>
      <c r="L52" s="463"/>
      <c r="M52" s="463"/>
      <c r="N52" s="459"/>
      <c r="O52" s="460"/>
      <c r="P52" s="461"/>
      <c r="Q52" s="490"/>
      <c r="R52" s="461">
        <f>IF(NOT(ISERROR(MATCH(Q52,_xlfn.ANCHORARRAY(F63),0))),P65&amp;"Por favor no seleccionar los criterios de impacto",Q52)</f>
        <v>0</v>
      </c>
      <c r="S52" s="460"/>
      <c r="T52" s="461"/>
      <c r="U52" s="489"/>
      <c r="V52" s="193">
        <v>4</v>
      </c>
      <c r="W52" s="193"/>
      <c r="X52" s="193"/>
      <c r="Y52" s="193"/>
      <c r="Z52" s="218" t="str">
        <f t="shared" si="1"/>
        <v xml:space="preserve">  </v>
      </c>
      <c r="AA52" s="170" t="str">
        <f t="shared" ref="AA52:AA54" si="64">IF(OR(AB52="Preventivo",AB52="Detectivo"),"Probabilidad",IF(AB52="Correctivo","Impacto",""))</f>
        <v/>
      </c>
      <c r="AB52" s="171"/>
      <c r="AC52" s="171"/>
      <c r="AD52" s="172" t="str">
        <f t="shared" si="59"/>
        <v/>
      </c>
      <c r="AE52" s="171"/>
      <c r="AF52" s="171"/>
      <c r="AG52" s="171"/>
      <c r="AH52" s="173" t="str">
        <f t="shared" ref="AH52:AH54" si="65">IFERROR(IF(AND(AA51="Probabilidad",AA52="Probabilidad"),(AJ51-(+AJ51*AD52)),IF(AND(AA51="Impacto",AA52="Probabilidad"),(AJ50-(+AJ50*AD52)),IF(AA52="Impacto",AJ51,""))),"")</f>
        <v/>
      </c>
      <c r="AI52" s="174" t="str">
        <f t="shared" si="3"/>
        <v/>
      </c>
      <c r="AJ52" s="172" t="str">
        <f t="shared" si="60"/>
        <v/>
      </c>
      <c r="AK52" s="174" t="str">
        <f t="shared" si="5"/>
        <v/>
      </c>
      <c r="AL52" s="172" t="str">
        <f t="shared" si="14"/>
        <v/>
      </c>
      <c r="AM52" s="175" t="str">
        <f>IFERROR(IF(OR(AND(AI52="Muy Baja",AK52="Leve"),AND(AI52="Muy Baja",AK52="Menor"),AND(AI52="Baja",AK52="Leve")),"Bajo",IF(OR(AND(AI52="Muy baja",AK52="Moderado"),AND(AI52="Baja",AK52="Menor"),AND(AI52="Baja",AK52="Moderado"),AND(AI52="Media",AK52="Leve"),AND(AI52="Media",AK52="Menor"),AND(AI52="Media",AK52="Moderado"),AND(AI52="Alta",AK52="Leve"),AND(AI52="Alta",AK52="Menor")),"Moderado",IF(OR(AND(AI52="Muy Baja",AK52="Mayor"),AND(AI52="Baja",AK52="Mayor"),AND(AI52="Media",AK52="Mayor"),AND(AI52="Alta",AK52="Moderado"),AND(AI52="Alta",AK52="Mayor"),AND(AI52="Muy Alta",AK52="Leve"),AND(AI52="Muy Alta",AK52="Menor"),AND(AI52="Muy Alta",AK52="Moderado"),AND(AI52="Muy Alta",AK52="Mayor")),"Alto",IF(OR(AND(AI52="Muy Baja",AK52="Catastrófico"),AND(AI52="Baja",AK52="Catastrófico"),AND(AI52="Media",AK52="Catastrófico"),AND(AI52="Alta",AK52="Catastrófico"),AND(AI52="Muy Alta",AK52="Catastrófico")),"Extremo","")))),"")</f>
        <v/>
      </c>
      <c r="AN52" s="176"/>
      <c r="AO52" s="169"/>
      <c r="AP52" s="177"/>
      <c r="AQ52" s="177"/>
      <c r="AR52" s="178"/>
      <c r="AS52" s="459"/>
      <c r="AT52" s="459"/>
      <c r="AU52" s="459"/>
    </row>
    <row r="53" spans="1:47" x14ac:dyDescent="0.2">
      <c r="A53" s="671"/>
      <c r="B53" s="449"/>
      <c r="C53" s="449"/>
      <c r="D53" s="687"/>
      <c r="E53" s="495"/>
      <c r="F53" s="492"/>
      <c r="G53" s="449"/>
      <c r="H53" s="463"/>
      <c r="I53" s="463"/>
      <c r="J53" s="463"/>
      <c r="K53" s="463"/>
      <c r="L53" s="463"/>
      <c r="M53" s="463"/>
      <c r="N53" s="459"/>
      <c r="O53" s="460"/>
      <c r="P53" s="461"/>
      <c r="Q53" s="490"/>
      <c r="R53" s="461">
        <f>IF(NOT(ISERROR(MATCH(Q53,_xlfn.ANCHORARRAY(F64),0))),P66&amp;"Por favor no seleccionar los criterios de impacto",Q53)</f>
        <v>0</v>
      </c>
      <c r="S53" s="460"/>
      <c r="T53" s="461"/>
      <c r="U53" s="489"/>
      <c r="V53" s="193">
        <v>5</v>
      </c>
      <c r="W53" s="193"/>
      <c r="X53" s="193"/>
      <c r="Y53" s="193"/>
      <c r="Z53" s="218" t="str">
        <f t="shared" si="1"/>
        <v xml:space="preserve">  </v>
      </c>
      <c r="AA53" s="170" t="str">
        <f t="shared" si="64"/>
        <v/>
      </c>
      <c r="AB53" s="171"/>
      <c r="AC53" s="171"/>
      <c r="AD53" s="172" t="str">
        <f t="shared" si="59"/>
        <v/>
      </c>
      <c r="AE53" s="171"/>
      <c r="AF53" s="171"/>
      <c r="AG53" s="171"/>
      <c r="AH53" s="173" t="str">
        <f t="shared" si="65"/>
        <v/>
      </c>
      <c r="AI53" s="174" t="str">
        <f t="shared" si="3"/>
        <v/>
      </c>
      <c r="AJ53" s="172" t="str">
        <f t="shared" si="60"/>
        <v/>
      </c>
      <c r="AK53" s="174" t="str">
        <f t="shared" si="5"/>
        <v/>
      </c>
      <c r="AL53" s="172" t="str">
        <f t="shared" si="14"/>
        <v/>
      </c>
      <c r="AM53" s="175" t="str">
        <f t="shared" ref="AM53:AM54" si="66">IFERROR(IF(OR(AND(AI53="Muy Baja",AK53="Leve"),AND(AI53="Muy Baja",AK53="Menor"),AND(AI53="Baja",AK53="Leve")),"Bajo",IF(OR(AND(AI53="Muy baja",AK53="Moderado"),AND(AI53="Baja",AK53="Menor"),AND(AI53="Baja",AK53="Moderado"),AND(AI53="Media",AK53="Leve"),AND(AI53="Media",AK53="Menor"),AND(AI53="Media",AK53="Moderado"),AND(AI53="Alta",AK53="Leve"),AND(AI53="Alta",AK53="Menor")),"Moderado",IF(OR(AND(AI53="Muy Baja",AK53="Mayor"),AND(AI53="Baja",AK53="Mayor"),AND(AI53="Media",AK53="Mayor"),AND(AI53="Alta",AK53="Moderado"),AND(AI53="Alta",AK53="Mayor"),AND(AI53="Muy Alta",AK53="Leve"),AND(AI53="Muy Alta",AK53="Menor"),AND(AI53="Muy Alta",AK53="Moderado"),AND(AI53="Muy Alta",AK53="Mayor")),"Alto",IF(OR(AND(AI53="Muy Baja",AK53="Catastrófico"),AND(AI53="Baja",AK53="Catastrófico"),AND(AI53="Media",AK53="Catastrófico"),AND(AI53="Alta",AK53="Catastrófico"),AND(AI53="Muy Alta",AK53="Catastrófico")),"Extremo","")))),"")</f>
        <v/>
      </c>
      <c r="AN53" s="176"/>
      <c r="AO53" s="169"/>
      <c r="AP53" s="177"/>
      <c r="AQ53" s="177"/>
      <c r="AR53" s="178"/>
      <c r="AS53" s="459"/>
      <c r="AT53" s="459"/>
      <c r="AU53" s="459"/>
    </row>
    <row r="54" spans="1:47" x14ac:dyDescent="0.2">
      <c r="A54" s="671"/>
      <c r="B54" s="449"/>
      <c r="C54" s="449"/>
      <c r="D54" s="688"/>
      <c r="E54" s="495"/>
      <c r="F54" s="492"/>
      <c r="G54" s="449"/>
      <c r="H54" s="491"/>
      <c r="I54" s="491"/>
      <c r="J54" s="491"/>
      <c r="K54" s="491"/>
      <c r="L54" s="491"/>
      <c r="M54" s="491"/>
      <c r="N54" s="459"/>
      <c r="O54" s="460"/>
      <c r="P54" s="461"/>
      <c r="Q54" s="490"/>
      <c r="R54" s="461">
        <f>IF(NOT(ISERROR(MATCH(Q54,_xlfn.ANCHORARRAY(F65),0))),P67&amp;"Por favor no seleccionar los criterios de impacto",Q54)</f>
        <v>0</v>
      </c>
      <c r="S54" s="460"/>
      <c r="T54" s="461"/>
      <c r="U54" s="489"/>
      <c r="V54" s="193">
        <v>6</v>
      </c>
      <c r="W54" s="193"/>
      <c r="X54" s="193"/>
      <c r="Y54" s="193"/>
      <c r="Z54" s="218" t="str">
        <f t="shared" si="1"/>
        <v xml:space="preserve">  </v>
      </c>
      <c r="AA54" s="170" t="str">
        <f t="shared" si="64"/>
        <v/>
      </c>
      <c r="AB54" s="171"/>
      <c r="AC54" s="171"/>
      <c r="AD54" s="172" t="str">
        <f t="shared" si="59"/>
        <v/>
      </c>
      <c r="AE54" s="171"/>
      <c r="AF54" s="171"/>
      <c r="AG54" s="171"/>
      <c r="AH54" s="173" t="str">
        <f t="shared" si="65"/>
        <v/>
      </c>
      <c r="AI54" s="174" t="str">
        <f t="shared" si="3"/>
        <v/>
      </c>
      <c r="AJ54" s="172" t="str">
        <f t="shared" si="60"/>
        <v/>
      </c>
      <c r="AK54" s="174" t="str">
        <f t="shared" si="5"/>
        <v/>
      </c>
      <c r="AL54" s="172" t="str">
        <f t="shared" si="14"/>
        <v/>
      </c>
      <c r="AM54" s="175" t="str">
        <f t="shared" si="66"/>
        <v/>
      </c>
      <c r="AN54" s="176"/>
      <c r="AO54" s="169"/>
      <c r="AP54" s="177"/>
      <c r="AQ54" s="177"/>
      <c r="AR54" s="178"/>
      <c r="AS54" s="459"/>
      <c r="AT54" s="459"/>
      <c r="AU54" s="459"/>
    </row>
    <row r="55" spans="1:47" x14ac:dyDescent="0.2">
      <c r="A55" s="671">
        <v>8</v>
      </c>
      <c r="B55" s="449"/>
      <c r="C55" s="449"/>
      <c r="D55" s="462"/>
      <c r="E55" s="449"/>
      <c r="F55" s="492" t="str">
        <f t="shared" ref="F55" si="67">+CONCATENATE(B55," ",C55)</f>
        <v xml:space="preserve"> </v>
      </c>
      <c r="G55" s="449"/>
      <c r="H55" s="462"/>
      <c r="I55" s="462"/>
      <c r="J55" s="462"/>
      <c r="K55" s="462"/>
      <c r="L55" s="462"/>
      <c r="M55" s="462"/>
      <c r="N55" s="459"/>
      <c r="O55" s="460" t="str">
        <f>IF(N55&lt;=0,"",IF(N55&lt;=2,"Muy Baja",IF(N55&lt;=24,"Baja",IF(N55&lt;=500,"Media",IF(N55&lt;=5000,"Alta","Muy Alta")))))</f>
        <v/>
      </c>
      <c r="P55" s="461" t="str">
        <f>IF(O55="","",IF(O55="Muy Baja",0.2,IF(O55="Baja",0.4,IF(O55="Media",0.6,IF(O55="Alta",0.8,IF(O55="Muy Alta",1,))))))</f>
        <v/>
      </c>
      <c r="Q55" s="490"/>
      <c r="R55" s="461">
        <f>IF(NOT(ISERROR(MATCH(Q55,'Tabla Impacto'!$B$245:$B$247,0))),'Tabla Impacto'!$F$224&amp;"Por favor no seleccionar los criterios de impacto(Afectación Económica o presupuestal y Pérdida Reputacional)",Q55)</f>
        <v>0</v>
      </c>
      <c r="S55" s="460" t="str">
        <f>IF(OR(R55='Tabla Impacto'!$C$12,R55='Tabla Impacto'!$D$12),"Leve",IF(OR(R55='Tabla Impacto'!$C$13,R55='Tabla Impacto'!$D$13),"Menor",IF(OR(R55='Tabla Impacto'!$C$14,R55='Tabla Impacto'!$D$14),"Moderado",IF(OR(R55='Tabla Impacto'!$C$15,R55='Tabla Impacto'!$D$15),"Mayor",IF(OR(R55='Tabla Impacto'!$C$16,R55='Tabla Impacto'!$D$16),"Catastrófico","")))))</f>
        <v/>
      </c>
      <c r="T55" s="461" t="str">
        <f>IF(S55="","",IF(S55="Leve",0.2,IF(S55="Menor",0.4,IF(S55="Moderado",0.6,IF(S55="Mayor",0.8,IF(S55="Catastrófico",1,))))))</f>
        <v/>
      </c>
      <c r="U55" s="489" t="str">
        <f>IF(OR(AND(O55="Muy Baja",S55="Leve"),AND(O55="Muy Baja",S55="Menor"),AND(O55="Baja",S55="Leve")),"Bajo",IF(OR(AND(O55="Muy baja",S55="Moderado"),AND(O55="Baja",S55="Menor"),AND(O55="Baja",S55="Moderado"),AND(O55="Media",S55="Leve"),AND(O55="Media",S55="Menor"),AND(O55="Media",S55="Moderado"),AND(O55="Alta",S55="Leve"),AND(O55="Alta",S55="Menor")),"Moderado",IF(OR(AND(O55="Muy Baja",S55="Mayor"),AND(O55="Baja",S55="Mayor"),AND(O55="Media",S55="Mayor"),AND(O55="Alta",S55="Moderado"),AND(O55="Alta",S55="Mayor"),AND(O55="Muy Alta",S55="Leve"),AND(O55="Muy Alta",S55="Menor"),AND(O55="Muy Alta",S55="Moderado"),AND(O55="Muy Alta",S55="Mayor")),"Alto",IF(OR(AND(O55="Muy Baja",S55="Catastrófico"),AND(O55="Baja",S55="Catastrófico"),AND(O55="Media",S55="Catastrófico"),AND(O55="Alta",S55="Catastrófico"),AND(O55="Muy Alta",S55="Catastrófico")),"Extremo",""))))</f>
        <v/>
      </c>
      <c r="V55" s="193">
        <v>1</v>
      </c>
      <c r="W55" s="193"/>
      <c r="X55" s="193"/>
      <c r="Y55" s="193"/>
      <c r="Z55" s="218" t="str">
        <f t="shared" si="1"/>
        <v xml:space="preserve">  </v>
      </c>
      <c r="AA55" s="170" t="str">
        <f>IF(OR(AB55="Preventivo",AB55="Detectivo"),"Probabilidad",IF(AB55="Correctivo","Impacto",""))</f>
        <v/>
      </c>
      <c r="AB55" s="171"/>
      <c r="AC55" s="171"/>
      <c r="AD55" s="172" t="str">
        <f>IF(AND(AB55="Preventivo",AC55="Automático"),"50%",IF(AND(AB55="Preventivo",AC55="Manual"),"40%",IF(AND(AB55="Detectivo",AC55="Automático"),"40%",IF(AND(AB55="Detectivo",AC55="Manual"),"30%",IF(AND(AB55="Correctivo",AC55="Automático"),"35%",IF(AND(AB55="Correctivo",AC55="Manual"),"25%",""))))))</f>
        <v/>
      </c>
      <c r="AE55" s="171"/>
      <c r="AF55" s="171"/>
      <c r="AG55" s="171"/>
      <c r="AH55" s="173" t="str">
        <f>IFERROR(IF(AA55="Probabilidad",(P55-(+P55*AD55)),IF(AA55="Impacto",P55,"")),"")</f>
        <v/>
      </c>
      <c r="AI55" s="174" t="str">
        <f>IFERROR(IF(AH55="","",IF(AH55&lt;=0.2,"Muy Baja",IF(AH55&lt;=0.4,"Baja",IF(AH55&lt;=0.6,"Media",IF(AH55&lt;=0.8,"Alta","Muy Alta"))))),"")</f>
        <v/>
      </c>
      <c r="AJ55" s="172" t="str">
        <f>+AH55</f>
        <v/>
      </c>
      <c r="AK55" s="174" t="str">
        <f>IFERROR(IF(AL55="","",IF(AL55&lt;=0.2,"Leve",IF(AL55&lt;=0.4,"Menor",IF(AL55&lt;=0.6,"Moderado",IF(AL55&lt;=0.8,"Mayor","Catastrófico"))))),"")</f>
        <v/>
      </c>
      <c r="AL55" s="172" t="str">
        <f t="shared" ref="AL55" si="68">IFERROR(IF(AA55="Impacto",(T55-(+T55*AD55)),IF(AA55="Probabilidad",T55,"")),"")</f>
        <v/>
      </c>
      <c r="AM55" s="175" t="str">
        <f>IFERROR(IF(OR(AND(AI55="Muy Baja",AK55="Leve"),AND(AI55="Muy Baja",AK55="Menor"),AND(AI55="Baja",AK55="Leve")),"Bajo",IF(OR(AND(AI55="Muy baja",AK55="Moderado"),AND(AI55="Baja",AK55="Menor"),AND(AI55="Baja",AK55="Moderado"),AND(AI55="Media",AK55="Leve"),AND(AI55="Media",AK55="Menor"),AND(AI55="Media",AK55="Moderado"),AND(AI55="Alta",AK55="Leve"),AND(AI55="Alta",AK55="Menor")),"Moderado",IF(OR(AND(AI55="Muy Baja",AK55="Mayor"),AND(AI55="Baja",AK55="Mayor"),AND(AI55="Media",AK55="Mayor"),AND(AI55="Alta",AK55="Moderado"),AND(AI55="Alta",AK55="Mayor"),AND(AI55="Muy Alta",AK55="Leve"),AND(AI55="Muy Alta",AK55="Menor"),AND(AI55="Muy Alta",AK55="Moderado"),AND(AI55="Muy Alta",AK55="Mayor")),"Alto",IF(OR(AND(AI55="Muy Baja",AK55="Catastrófico"),AND(AI55="Baja",AK55="Catastrófico"),AND(AI55="Media",AK55="Catastrófico"),AND(AI55="Alta",AK55="Catastrófico"),AND(AI55="Muy Alta",AK55="Catastrófico")),"Extremo","")))),"")</f>
        <v/>
      </c>
      <c r="AN55" s="176"/>
      <c r="AO55" s="169"/>
      <c r="AP55" s="177"/>
      <c r="AQ55" s="177"/>
      <c r="AR55" s="178"/>
      <c r="AS55" s="459"/>
      <c r="AT55" s="459"/>
      <c r="AU55" s="459"/>
    </row>
    <row r="56" spans="1:47" x14ac:dyDescent="0.2">
      <c r="A56" s="671"/>
      <c r="B56" s="449"/>
      <c r="C56" s="449"/>
      <c r="D56" s="463"/>
      <c r="E56" s="449"/>
      <c r="F56" s="492"/>
      <c r="G56" s="449"/>
      <c r="H56" s="463"/>
      <c r="I56" s="463"/>
      <c r="J56" s="463"/>
      <c r="K56" s="463"/>
      <c r="L56" s="463"/>
      <c r="M56" s="463"/>
      <c r="N56" s="459"/>
      <c r="O56" s="460"/>
      <c r="P56" s="461"/>
      <c r="Q56" s="490"/>
      <c r="R56" s="461">
        <f>IF(NOT(ISERROR(MATCH(Q56,_xlfn.ANCHORARRAY(F67),0))),P69&amp;"Por favor no seleccionar los criterios de impacto",Q56)</f>
        <v>0</v>
      </c>
      <c r="S56" s="460"/>
      <c r="T56" s="461"/>
      <c r="U56" s="489"/>
      <c r="V56" s="193">
        <v>2</v>
      </c>
      <c r="W56" s="193"/>
      <c r="X56" s="193"/>
      <c r="Y56" s="193"/>
      <c r="Z56" s="218" t="str">
        <f t="shared" si="1"/>
        <v xml:space="preserve">  </v>
      </c>
      <c r="AA56" s="170" t="str">
        <f>IF(OR(AB56="Preventivo",AB56="Detectivo"),"Probabilidad",IF(AB56="Correctivo","Impacto",""))</f>
        <v/>
      </c>
      <c r="AB56" s="171"/>
      <c r="AC56" s="171"/>
      <c r="AD56" s="172" t="str">
        <f t="shared" ref="AD56:AD60" si="69">IF(AND(AB56="Preventivo",AC56="Automático"),"50%",IF(AND(AB56="Preventivo",AC56="Manual"),"40%",IF(AND(AB56="Detectivo",AC56="Automático"),"40%",IF(AND(AB56="Detectivo",AC56="Manual"),"30%",IF(AND(AB56="Correctivo",AC56="Automático"),"35%",IF(AND(AB56="Correctivo",AC56="Manual"),"25%",""))))))</f>
        <v/>
      </c>
      <c r="AE56" s="171"/>
      <c r="AF56" s="171"/>
      <c r="AG56" s="171"/>
      <c r="AH56" s="173" t="str">
        <f>IFERROR(IF(AND(AA55="Probabilidad",AA56="Probabilidad"),(AJ55-(+AJ55*AD56)),IF(AA56="Probabilidad",(P55-(+P55*AD56)),IF(AA56="Impacto",AJ55,""))),"")</f>
        <v/>
      </c>
      <c r="AI56" s="174" t="str">
        <f t="shared" si="3"/>
        <v/>
      </c>
      <c r="AJ56" s="172" t="str">
        <f t="shared" ref="AJ56:AJ60" si="70">+AH56</f>
        <v/>
      </c>
      <c r="AK56" s="174" t="str">
        <f t="shared" si="5"/>
        <v/>
      </c>
      <c r="AL56" s="172" t="str">
        <f t="shared" ref="AL56" si="71">IFERROR(IF(AND(AA55="Impacto",AA56="Impacto"),(AL55-(+AL55*AD56)),IF(AA56="Impacto",($T$13-(+$T$13*AD56)),IF(AA56="Probabilidad",AL55,""))),"")</f>
        <v/>
      </c>
      <c r="AM56" s="175" t="str">
        <f t="shared" ref="AM56:AM57" si="72">IFERROR(IF(OR(AND(AI56="Muy Baja",AK56="Leve"),AND(AI56="Muy Baja",AK56="Menor"),AND(AI56="Baja",AK56="Leve")),"Bajo",IF(OR(AND(AI56="Muy baja",AK56="Moderado"),AND(AI56="Baja",AK56="Menor"),AND(AI56="Baja",AK56="Moderado"),AND(AI56="Media",AK56="Leve"),AND(AI56="Media",AK56="Menor"),AND(AI56="Media",AK56="Moderado"),AND(AI56="Alta",AK56="Leve"),AND(AI56="Alta",AK56="Menor")),"Moderado",IF(OR(AND(AI56="Muy Baja",AK56="Mayor"),AND(AI56="Baja",AK56="Mayor"),AND(AI56="Media",AK56="Mayor"),AND(AI56="Alta",AK56="Moderado"),AND(AI56="Alta",AK56="Mayor"),AND(AI56="Muy Alta",AK56="Leve"),AND(AI56="Muy Alta",AK56="Menor"),AND(AI56="Muy Alta",AK56="Moderado"),AND(AI56="Muy Alta",AK56="Mayor")),"Alto",IF(OR(AND(AI56="Muy Baja",AK56="Catastrófico"),AND(AI56="Baja",AK56="Catastrófico"),AND(AI56="Media",AK56="Catastrófico"),AND(AI56="Alta",AK56="Catastrófico"),AND(AI56="Muy Alta",AK56="Catastrófico")),"Extremo","")))),"")</f>
        <v/>
      </c>
      <c r="AN56" s="176"/>
      <c r="AO56" s="169"/>
      <c r="AP56" s="177"/>
      <c r="AQ56" s="177"/>
      <c r="AR56" s="178"/>
      <c r="AS56" s="459"/>
      <c r="AT56" s="459"/>
      <c r="AU56" s="459"/>
    </row>
    <row r="57" spans="1:47" x14ac:dyDescent="0.2">
      <c r="A57" s="671"/>
      <c r="B57" s="449"/>
      <c r="C57" s="449"/>
      <c r="D57" s="463"/>
      <c r="E57" s="449"/>
      <c r="F57" s="492"/>
      <c r="G57" s="449"/>
      <c r="H57" s="463"/>
      <c r="I57" s="463"/>
      <c r="J57" s="463"/>
      <c r="K57" s="463"/>
      <c r="L57" s="463"/>
      <c r="M57" s="463"/>
      <c r="N57" s="459"/>
      <c r="O57" s="460"/>
      <c r="P57" s="461"/>
      <c r="Q57" s="490"/>
      <c r="R57" s="461">
        <f>IF(NOT(ISERROR(MATCH(Q57,_xlfn.ANCHORARRAY(F68),0))),P70&amp;"Por favor no seleccionar los criterios de impacto",Q57)</f>
        <v>0</v>
      </c>
      <c r="S57" s="460"/>
      <c r="T57" s="461"/>
      <c r="U57" s="489"/>
      <c r="V57" s="193">
        <v>3</v>
      </c>
      <c r="W57" s="193"/>
      <c r="X57" s="193"/>
      <c r="Y57" s="193"/>
      <c r="Z57" s="218" t="str">
        <f t="shared" si="1"/>
        <v xml:space="preserve">  </v>
      </c>
      <c r="AA57" s="170" t="str">
        <f>IF(OR(AB57="Preventivo",AB57="Detectivo"),"Probabilidad",IF(AB57="Correctivo","Impacto",""))</f>
        <v/>
      </c>
      <c r="AB57" s="171"/>
      <c r="AC57" s="171"/>
      <c r="AD57" s="172" t="str">
        <f t="shared" si="69"/>
        <v/>
      </c>
      <c r="AE57" s="171"/>
      <c r="AF57" s="171"/>
      <c r="AG57" s="171"/>
      <c r="AH57" s="173" t="str">
        <f>IFERROR(IF(AND(AA56="Probabilidad",AA57="Probabilidad"),(AJ56-(+AJ56*AD57)),IF(AND(AA56="Impacto",AA57="Probabilidad"),(AJ55-(+AJ55*AD57)),IF(AA57="Impacto",AJ56,""))),"")</f>
        <v/>
      </c>
      <c r="AI57" s="174" t="str">
        <f t="shared" si="3"/>
        <v/>
      </c>
      <c r="AJ57" s="172" t="str">
        <f t="shared" si="70"/>
        <v/>
      </c>
      <c r="AK57" s="174" t="str">
        <f t="shared" si="5"/>
        <v/>
      </c>
      <c r="AL57" s="172" t="str">
        <f t="shared" ref="AL57" si="73">IFERROR(IF(AND(AA56="Impacto",AA57="Impacto"),(AL56-(+AL56*AD57)),IF(AND(AA56="Probabilidad",AA57="Impacto"),(AL55-(+AL55*AD57)),IF(AA57="Probabilidad",AL56,""))),"")</f>
        <v/>
      </c>
      <c r="AM57" s="175" t="str">
        <f t="shared" si="72"/>
        <v/>
      </c>
      <c r="AN57" s="176"/>
      <c r="AO57" s="169"/>
      <c r="AP57" s="177"/>
      <c r="AQ57" s="177"/>
      <c r="AR57" s="178"/>
      <c r="AS57" s="459"/>
      <c r="AT57" s="459"/>
      <c r="AU57" s="459"/>
    </row>
    <row r="58" spans="1:47" x14ac:dyDescent="0.2">
      <c r="A58" s="671"/>
      <c r="B58" s="449"/>
      <c r="C58" s="449"/>
      <c r="D58" s="463"/>
      <c r="E58" s="449"/>
      <c r="F58" s="492"/>
      <c r="G58" s="449"/>
      <c r="H58" s="463"/>
      <c r="I58" s="463"/>
      <c r="J58" s="463"/>
      <c r="K58" s="463"/>
      <c r="L58" s="463"/>
      <c r="M58" s="463"/>
      <c r="N58" s="459"/>
      <c r="O58" s="460"/>
      <c r="P58" s="461"/>
      <c r="Q58" s="490"/>
      <c r="R58" s="461">
        <f>IF(NOT(ISERROR(MATCH(Q58,_xlfn.ANCHORARRAY(F69),0))),P71&amp;"Por favor no seleccionar los criterios de impacto",Q58)</f>
        <v>0</v>
      </c>
      <c r="S58" s="460"/>
      <c r="T58" s="461"/>
      <c r="U58" s="489"/>
      <c r="V58" s="193">
        <v>4</v>
      </c>
      <c r="W58" s="193"/>
      <c r="X58" s="193"/>
      <c r="Y58" s="193"/>
      <c r="Z58" s="218" t="str">
        <f t="shared" si="1"/>
        <v xml:space="preserve">  </v>
      </c>
      <c r="AA58" s="170" t="str">
        <f t="shared" ref="AA58:AA60" si="74">IF(OR(AB58="Preventivo",AB58="Detectivo"),"Probabilidad",IF(AB58="Correctivo","Impacto",""))</f>
        <v/>
      </c>
      <c r="AB58" s="171"/>
      <c r="AC58" s="171"/>
      <c r="AD58" s="172" t="str">
        <f t="shared" si="69"/>
        <v/>
      </c>
      <c r="AE58" s="171"/>
      <c r="AF58" s="171"/>
      <c r="AG58" s="171"/>
      <c r="AH58" s="173" t="str">
        <f t="shared" ref="AH58:AH60" si="75">IFERROR(IF(AND(AA57="Probabilidad",AA58="Probabilidad"),(AJ57-(+AJ57*AD58)),IF(AND(AA57="Impacto",AA58="Probabilidad"),(AJ56-(+AJ56*AD58)),IF(AA58="Impacto",AJ57,""))),"")</f>
        <v/>
      </c>
      <c r="AI58" s="174" t="str">
        <f t="shared" si="3"/>
        <v/>
      </c>
      <c r="AJ58" s="172" t="str">
        <f t="shared" si="70"/>
        <v/>
      </c>
      <c r="AK58" s="174" t="str">
        <f t="shared" si="5"/>
        <v/>
      </c>
      <c r="AL58" s="172" t="str">
        <f t="shared" si="14"/>
        <v/>
      </c>
      <c r="AM58" s="175" t="str">
        <f>IFERROR(IF(OR(AND(AI58="Muy Baja",AK58="Leve"),AND(AI58="Muy Baja",AK58="Menor"),AND(AI58="Baja",AK58="Leve")),"Bajo",IF(OR(AND(AI58="Muy baja",AK58="Moderado"),AND(AI58="Baja",AK58="Menor"),AND(AI58="Baja",AK58="Moderado"),AND(AI58="Media",AK58="Leve"),AND(AI58="Media",AK58="Menor"),AND(AI58="Media",AK58="Moderado"),AND(AI58="Alta",AK58="Leve"),AND(AI58="Alta",AK58="Menor")),"Moderado",IF(OR(AND(AI58="Muy Baja",AK58="Mayor"),AND(AI58="Baja",AK58="Mayor"),AND(AI58="Media",AK58="Mayor"),AND(AI58="Alta",AK58="Moderado"),AND(AI58="Alta",AK58="Mayor"),AND(AI58="Muy Alta",AK58="Leve"),AND(AI58="Muy Alta",AK58="Menor"),AND(AI58="Muy Alta",AK58="Moderado"),AND(AI58="Muy Alta",AK58="Mayor")),"Alto",IF(OR(AND(AI58="Muy Baja",AK58="Catastrófico"),AND(AI58="Baja",AK58="Catastrófico"),AND(AI58="Media",AK58="Catastrófico"),AND(AI58="Alta",AK58="Catastrófico"),AND(AI58="Muy Alta",AK58="Catastrófico")),"Extremo","")))),"")</f>
        <v/>
      </c>
      <c r="AN58" s="176"/>
      <c r="AO58" s="169"/>
      <c r="AP58" s="177"/>
      <c r="AQ58" s="177"/>
      <c r="AR58" s="178"/>
      <c r="AS58" s="459"/>
      <c r="AT58" s="459"/>
      <c r="AU58" s="459"/>
    </row>
    <row r="59" spans="1:47" x14ac:dyDescent="0.2">
      <c r="A59" s="671"/>
      <c r="B59" s="449"/>
      <c r="C59" s="449"/>
      <c r="D59" s="463"/>
      <c r="E59" s="449"/>
      <c r="F59" s="492"/>
      <c r="G59" s="449"/>
      <c r="H59" s="463"/>
      <c r="I59" s="463"/>
      <c r="J59" s="463"/>
      <c r="K59" s="463"/>
      <c r="L59" s="463"/>
      <c r="M59" s="463"/>
      <c r="N59" s="459"/>
      <c r="O59" s="460"/>
      <c r="P59" s="461"/>
      <c r="Q59" s="490"/>
      <c r="R59" s="461">
        <f>IF(NOT(ISERROR(MATCH(Q59,_xlfn.ANCHORARRAY(F70),0))),P72&amp;"Por favor no seleccionar los criterios de impacto",Q59)</f>
        <v>0</v>
      </c>
      <c r="S59" s="460"/>
      <c r="T59" s="461"/>
      <c r="U59" s="489"/>
      <c r="V59" s="193">
        <v>5</v>
      </c>
      <c r="W59" s="193"/>
      <c r="X59" s="193"/>
      <c r="Y59" s="193"/>
      <c r="Z59" s="218" t="str">
        <f t="shared" si="1"/>
        <v xml:space="preserve">  </v>
      </c>
      <c r="AA59" s="170" t="str">
        <f t="shared" si="74"/>
        <v/>
      </c>
      <c r="AB59" s="171"/>
      <c r="AC59" s="171"/>
      <c r="AD59" s="172" t="str">
        <f t="shared" si="69"/>
        <v/>
      </c>
      <c r="AE59" s="171"/>
      <c r="AF59" s="171"/>
      <c r="AG59" s="171"/>
      <c r="AH59" s="173" t="str">
        <f t="shared" si="75"/>
        <v/>
      </c>
      <c r="AI59" s="174" t="str">
        <f t="shared" si="3"/>
        <v/>
      </c>
      <c r="AJ59" s="172" t="str">
        <f t="shared" si="70"/>
        <v/>
      </c>
      <c r="AK59" s="174" t="str">
        <f t="shared" si="5"/>
        <v/>
      </c>
      <c r="AL59" s="172" t="str">
        <f t="shared" si="14"/>
        <v/>
      </c>
      <c r="AM59" s="175" t="str">
        <f t="shared" ref="AM59:AM60" si="76">IFERROR(IF(OR(AND(AI59="Muy Baja",AK59="Leve"),AND(AI59="Muy Baja",AK59="Menor"),AND(AI59="Baja",AK59="Leve")),"Bajo",IF(OR(AND(AI59="Muy baja",AK59="Moderado"),AND(AI59="Baja",AK59="Menor"),AND(AI59="Baja",AK59="Moderado"),AND(AI59="Media",AK59="Leve"),AND(AI59="Media",AK59="Menor"),AND(AI59="Media",AK59="Moderado"),AND(AI59="Alta",AK59="Leve"),AND(AI59="Alta",AK59="Menor")),"Moderado",IF(OR(AND(AI59="Muy Baja",AK59="Mayor"),AND(AI59="Baja",AK59="Mayor"),AND(AI59="Media",AK59="Mayor"),AND(AI59="Alta",AK59="Moderado"),AND(AI59="Alta",AK59="Mayor"),AND(AI59="Muy Alta",AK59="Leve"),AND(AI59="Muy Alta",AK59="Menor"),AND(AI59="Muy Alta",AK59="Moderado"),AND(AI59="Muy Alta",AK59="Mayor")),"Alto",IF(OR(AND(AI59="Muy Baja",AK59="Catastrófico"),AND(AI59="Baja",AK59="Catastrófico"),AND(AI59="Media",AK59="Catastrófico"),AND(AI59="Alta",AK59="Catastrófico"),AND(AI59="Muy Alta",AK59="Catastrófico")),"Extremo","")))),"")</f>
        <v/>
      </c>
      <c r="AN59" s="176"/>
      <c r="AO59" s="169"/>
      <c r="AP59" s="177"/>
      <c r="AQ59" s="177"/>
      <c r="AR59" s="178"/>
      <c r="AS59" s="459"/>
      <c r="AT59" s="459"/>
      <c r="AU59" s="459"/>
    </row>
    <row r="60" spans="1:47" x14ac:dyDescent="0.2">
      <c r="A60" s="671"/>
      <c r="B60" s="449"/>
      <c r="C60" s="449"/>
      <c r="D60" s="491"/>
      <c r="E60" s="449"/>
      <c r="F60" s="492"/>
      <c r="G60" s="449"/>
      <c r="H60" s="491"/>
      <c r="I60" s="491"/>
      <c r="J60" s="491"/>
      <c r="K60" s="491"/>
      <c r="L60" s="491"/>
      <c r="M60" s="491"/>
      <c r="N60" s="459"/>
      <c r="O60" s="460"/>
      <c r="P60" s="461"/>
      <c r="Q60" s="490"/>
      <c r="R60" s="461">
        <f>IF(NOT(ISERROR(MATCH(Q60,_xlfn.ANCHORARRAY(F71),0))),Q73&amp;"Por favor no seleccionar los criterios de impacto",Q60)</f>
        <v>0</v>
      </c>
      <c r="S60" s="460"/>
      <c r="T60" s="461"/>
      <c r="U60" s="489"/>
      <c r="V60" s="193">
        <v>6</v>
      </c>
      <c r="W60" s="193"/>
      <c r="X60" s="193"/>
      <c r="Y60" s="193"/>
      <c r="Z60" s="218" t="str">
        <f t="shared" si="1"/>
        <v xml:space="preserve">  </v>
      </c>
      <c r="AA60" s="170" t="str">
        <f t="shared" si="74"/>
        <v/>
      </c>
      <c r="AB60" s="171"/>
      <c r="AC60" s="171"/>
      <c r="AD60" s="172" t="str">
        <f t="shared" si="69"/>
        <v/>
      </c>
      <c r="AE60" s="171"/>
      <c r="AF60" s="171"/>
      <c r="AG60" s="171"/>
      <c r="AH60" s="173" t="str">
        <f t="shared" si="75"/>
        <v/>
      </c>
      <c r="AI60" s="174" t="str">
        <f t="shared" si="3"/>
        <v/>
      </c>
      <c r="AJ60" s="172" t="str">
        <f t="shared" si="70"/>
        <v/>
      </c>
      <c r="AK60" s="174" t="str">
        <f t="shared" si="5"/>
        <v/>
      </c>
      <c r="AL60" s="172" t="str">
        <f t="shared" si="14"/>
        <v/>
      </c>
      <c r="AM60" s="175" t="str">
        <f t="shared" si="76"/>
        <v/>
      </c>
      <c r="AN60" s="176"/>
      <c r="AO60" s="169"/>
      <c r="AP60" s="177"/>
      <c r="AQ60" s="177"/>
      <c r="AR60" s="178"/>
      <c r="AS60" s="459"/>
      <c r="AT60" s="459"/>
      <c r="AU60" s="459"/>
    </row>
    <row r="61" spans="1:47" x14ac:dyDescent="0.2">
      <c r="A61" s="671">
        <v>9</v>
      </c>
      <c r="B61" s="449"/>
      <c r="C61" s="449"/>
      <c r="D61" s="462"/>
      <c r="E61" s="449"/>
      <c r="F61" s="492" t="str">
        <f t="shared" ref="F61" si="77">+CONCATENATE(B61," ",C61)</f>
        <v xml:space="preserve"> </v>
      </c>
      <c r="G61" s="449"/>
      <c r="H61" s="462"/>
      <c r="I61" s="200"/>
      <c r="J61" s="200"/>
      <c r="K61" s="200"/>
      <c r="L61" s="462"/>
      <c r="M61" s="462"/>
      <c r="N61" s="459"/>
      <c r="O61" s="460" t="str">
        <f>IF(N61&lt;=0,"",IF(N61&lt;=2,"Muy Baja",IF(N61&lt;=24,"Baja",IF(N61&lt;=500,"Media",IF(N61&lt;=5000,"Alta","Muy Alta")))))</f>
        <v/>
      </c>
      <c r="P61" s="461" t="str">
        <f>IF(O61="","",IF(O61="Muy Baja",0.2,IF(O61="Baja",0.4,IF(O61="Media",0.6,IF(O61="Alta",0.8,IF(O61="Muy Alta",1,))))))</f>
        <v/>
      </c>
      <c r="Q61" s="490"/>
      <c r="R61" s="461">
        <f>IF(NOT(ISERROR(MATCH(Q61,'Tabla Impacto'!$B$245:$B$247,0))),'Tabla Impacto'!$F$224&amp;"Por favor no seleccionar los criterios de impacto(Afectación Económica o presupuestal y Pérdida Reputacional)",Q61)</f>
        <v>0</v>
      </c>
      <c r="S61" s="460" t="str">
        <f>IF(OR(R61='Tabla Impacto'!$C$12,R61='Tabla Impacto'!$D$12),"Leve",IF(OR(R61='Tabla Impacto'!$C$13,R61='Tabla Impacto'!$D$13),"Menor",IF(OR(R61='Tabla Impacto'!$C$14,R61='Tabla Impacto'!$D$14),"Moderado",IF(OR(R61='Tabla Impacto'!$C$15,R61='Tabla Impacto'!$D$15),"Mayor",IF(OR(R61='Tabla Impacto'!$C$16,R61='Tabla Impacto'!$D$16),"Catastrófico","")))))</f>
        <v/>
      </c>
      <c r="T61" s="461" t="str">
        <f>IF(S61="","",IF(S61="Leve",0.2,IF(S61="Menor",0.4,IF(S61="Moderado",0.6,IF(S61="Mayor",0.8,IF(S61="Catastrófico",1,))))))</f>
        <v/>
      </c>
      <c r="U61" s="489" t="str">
        <f>IF(OR(AND(O61="Muy Baja",S61="Leve"),AND(O61="Muy Baja",S61="Menor"),AND(O61="Baja",S61="Leve")),"Bajo",IF(OR(AND(O61="Muy baja",S61="Moderado"),AND(O61="Baja",S61="Menor"),AND(O61="Baja",S61="Moderado"),AND(O61="Media",S61="Leve"),AND(O61="Media",S61="Menor"),AND(O61="Media",S61="Moderado"),AND(O61="Alta",S61="Leve"),AND(O61="Alta",S61="Menor")),"Moderado",IF(OR(AND(O61="Muy Baja",S61="Mayor"),AND(O61="Baja",S61="Mayor"),AND(O61="Media",S61="Mayor"),AND(O61="Alta",S61="Moderado"),AND(O61="Alta",S61="Mayor"),AND(O61="Muy Alta",S61="Leve"),AND(O61="Muy Alta",S61="Menor"),AND(O61="Muy Alta",S61="Moderado"),AND(O61="Muy Alta",S61="Mayor")),"Alto",IF(OR(AND(O61="Muy Baja",S61="Catastrófico"),AND(O61="Baja",S61="Catastrófico"),AND(O61="Media",S61="Catastrófico"),AND(O61="Alta",S61="Catastrófico"),AND(O61="Muy Alta",S61="Catastrófico")),"Extremo",""))))</f>
        <v/>
      </c>
      <c r="V61" s="193">
        <v>1</v>
      </c>
      <c r="W61" s="193"/>
      <c r="X61" s="193"/>
      <c r="Y61" s="193"/>
      <c r="Z61" s="218" t="str">
        <f t="shared" si="1"/>
        <v xml:space="preserve">  </v>
      </c>
      <c r="AA61" s="170" t="str">
        <f>IF(OR(AB61="Preventivo",AB61="Detectivo"),"Probabilidad",IF(AB61="Correctivo","Impacto",""))</f>
        <v/>
      </c>
      <c r="AB61" s="171"/>
      <c r="AC61" s="171"/>
      <c r="AD61" s="172" t="str">
        <f>IF(AND(AB61="Preventivo",AC61="Automático"),"50%",IF(AND(AB61="Preventivo",AC61="Manual"),"40%",IF(AND(AB61="Detectivo",AC61="Automático"),"40%",IF(AND(AB61="Detectivo",AC61="Manual"),"30%",IF(AND(AB61="Correctivo",AC61="Automático"),"35%",IF(AND(AB61="Correctivo",AC61="Manual"),"25%",""))))))</f>
        <v/>
      </c>
      <c r="AE61" s="171"/>
      <c r="AF61" s="171"/>
      <c r="AG61" s="171"/>
      <c r="AH61" s="173" t="str">
        <f>IFERROR(IF(AA61="Probabilidad",(P61-(+P61*AD61)),IF(AA61="Impacto",P61,"")),"")</f>
        <v/>
      </c>
      <c r="AI61" s="174" t="str">
        <f>IFERROR(IF(AH61="","",IF(AH61&lt;=0.2,"Muy Baja",IF(AH61&lt;=0.4,"Baja",IF(AH61&lt;=0.6,"Media",IF(AH61&lt;=0.8,"Alta","Muy Alta"))))),"")</f>
        <v/>
      </c>
      <c r="AJ61" s="172" t="str">
        <f>+AH61</f>
        <v/>
      </c>
      <c r="AK61" s="174" t="str">
        <f>IFERROR(IF(AL61="","",IF(AL61&lt;=0.2,"Leve",IF(AL61&lt;=0.4,"Menor",IF(AL61&lt;=0.6,"Moderado",IF(AL61&lt;=0.8,"Mayor","Catastrófico"))))),"")</f>
        <v/>
      </c>
      <c r="AL61" s="172" t="str">
        <f t="shared" ref="AL61" si="78">IFERROR(IF(AA61="Impacto",(T61-(+T61*AD61)),IF(AA61="Probabilidad",T61,"")),"")</f>
        <v/>
      </c>
      <c r="AM61" s="175" t="str">
        <f>IFERROR(IF(OR(AND(AI61="Muy Baja",AK61="Leve"),AND(AI61="Muy Baja",AK61="Menor"),AND(AI61="Baja",AK61="Leve")),"Bajo",IF(OR(AND(AI61="Muy baja",AK61="Moderado"),AND(AI61="Baja",AK61="Menor"),AND(AI61="Baja",AK61="Moderado"),AND(AI61="Media",AK61="Leve"),AND(AI61="Media",AK61="Menor"),AND(AI61="Media",AK61="Moderado"),AND(AI61="Alta",AK61="Leve"),AND(AI61="Alta",AK61="Menor")),"Moderado",IF(OR(AND(AI61="Muy Baja",AK61="Mayor"),AND(AI61="Baja",AK61="Mayor"),AND(AI61="Media",AK61="Mayor"),AND(AI61="Alta",AK61="Moderado"),AND(AI61="Alta",AK61="Mayor"),AND(AI61="Muy Alta",AK61="Leve"),AND(AI61="Muy Alta",AK61="Menor"),AND(AI61="Muy Alta",AK61="Moderado"),AND(AI61="Muy Alta",AK61="Mayor")),"Alto",IF(OR(AND(AI61="Muy Baja",AK61="Catastrófico"),AND(AI61="Baja",AK61="Catastrófico"),AND(AI61="Media",AK61="Catastrófico"),AND(AI61="Alta",AK61="Catastrófico"),AND(AI61="Muy Alta",AK61="Catastrófico")),"Extremo","")))),"")</f>
        <v/>
      </c>
      <c r="AN61" s="176"/>
      <c r="AO61" s="169"/>
      <c r="AP61" s="177"/>
      <c r="AQ61" s="177"/>
      <c r="AR61" s="178"/>
      <c r="AS61" s="459"/>
      <c r="AT61" s="459"/>
      <c r="AU61" s="459"/>
    </row>
    <row r="62" spans="1:47" x14ac:dyDescent="0.2">
      <c r="A62" s="671"/>
      <c r="B62" s="449"/>
      <c r="C62" s="449"/>
      <c r="D62" s="463"/>
      <c r="E62" s="449"/>
      <c r="F62" s="492"/>
      <c r="G62" s="449"/>
      <c r="H62" s="463"/>
      <c r="I62" s="201"/>
      <c r="J62" s="201"/>
      <c r="K62" s="201"/>
      <c r="L62" s="463"/>
      <c r="M62" s="463"/>
      <c r="N62" s="459"/>
      <c r="O62" s="460"/>
      <c r="P62" s="461"/>
      <c r="Q62" s="490"/>
      <c r="R62" s="461">
        <f>IF(NOT(ISERROR(MATCH(Q62,_xlfn.ANCHORARRAY(G73),0))),Q75&amp;"Por favor no seleccionar los criterios de impacto",Q62)</f>
        <v>0</v>
      </c>
      <c r="S62" s="460"/>
      <c r="T62" s="461"/>
      <c r="U62" s="489"/>
      <c r="V62" s="193">
        <v>2</v>
      </c>
      <c r="W62" s="193"/>
      <c r="X62" s="193"/>
      <c r="Y62" s="193"/>
      <c r="Z62" s="218" t="str">
        <f t="shared" si="1"/>
        <v xml:space="preserve">  </v>
      </c>
      <c r="AA62" s="170" t="str">
        <f>IF(OR(AB62="Preventivo",AB62="Detectivo"),"Probabilidad",IF(AB62="Correctivo","Impacto",""))</f>
        <v/>
      </c>
      <c r="AB62" s="171"/>
      <c r="AC62" s="171"/>
      <c r="AD62" s="172" t="str">
        <f t="shared" ref="AD62:AD66" si="79">IF(AND(AB62="Preventivo",AC62="Automático"),"50%",IF(AND(AB62="Preventivo",AC62="Manual"),"40%",IF(AND(AB62="Detectivo",AC62="Automático"),"40%",IF(AND(AB62="Detectivo",AC62="Manual"),"30%",IF(AND(AB62="Correctivo",AC62="Automático"),"35%",IF(AND(AB62="Correctivo",AC62="Manual"),"25%",""))))))</f>
        <v/>
      </c>
      <c r="AE62" s="171"/>
      <c r="AF62" s="171"/>
      <c r="AG62" s="171"/>
      <c r="AH62" s="173" t="str">
        <f>IFERROR(IF(AND(AA61="Probabilidad",AA62="Probabilidad"),(AJ61-(+AJ61*AD62)),IF(AA62="Probabilidad",(P61-(+P61*AD62)),IF(AA62="Impacto",AJ61,""))),"")</f>
        <v/>
      </c>
      <c r="AI62" s="174" t="str">
        <f t="shared" si="3"/>
        <v/>
      </c>
      <c r="AJ62" s="172" t="str">
        <f t="shared" ref="AJ62:AJ66" si="80">+AH62</f>
        <v/>
      </c>
      <c r="AK62" s="174" t="str">
        <f t="shared" si="5"/>
        <v/>
      </c>
      <c r="AL62" s="172" t="str">
        <f t="shared" ref="AL62" si="81">IFERROR(IF(AND(AA61="Impacto",AA62="Impacto"),(AL61-(+AL61*AD62)),IF(AA62="Impacto",($T$13-(+$T$13*AD62)),IF(AA62="Probabilidad",AL61,""))),"")</f>
        <v/>
      </c>
      <c r="AM62" s="175" t="str">
        <f t="shared" ref="AM62:AM63" si="82">IFERROR(IF(OR(AND(AI62="Muy Baja",AK62="Leve"),AND(AI62="Muy Baja",AK62="Menor"),AND(AI62="Baja",AK62="Leve")),"Bajo",IF(OR(AND(AI62="Muy baja",AK62="Moderado"),AND(AI62="Baja",AK62="Menor"),AND(AI62="Baja",AK62="Moderado"),AND(AI62="Media",AK62="Leve"),AND(AI62="Media",AK62="Menor"),AND(AI62="Media",AK62="Moderado"),AND(AI62="Alta",AK62="Leve"),AND(AI62="Alta",AK62="Menor")),"Moderado",IF(OR(AND(AI62="Muy Baja",AK62="Mayor"),AND(AI62="Baja",AK62="Mayor"),AND(AI62="Media",AK62="Mayor"),AND(AI62="Alta",AK62="Moderado"),AND(AI62="Alta",AK62="Mayor"),AND(AI62="Muy Alta",AK62="Leve"),AND(AI62="Muy Alta",AK62="Menor"),AND(AI62="Muy Alta",AK62="Moderado"),AND(AI62="Muy Alta",AK62="Mayor")),"Alto",IF(OR(AND(AI62="Muy Baja",AK62="Catastrófico"),AND(AI62="Baja",AK62="Catastrófico"),AND(AI62="Media",AK62="Catastrófico"),AND(AI62="Alta",AK62="Catastrófico"),AND(AI62="Muy Alta",AK62="Catastrófico")),"Extremo","")))),"")</f>
        <v/>
      </c>
      <c r="AN62" s="176"/>
      <c r="AO62" s="169"/>
      <c r="AP62" s="177"/>
      <c r="AQ62" s="177"/>
      <c r="AR62" s="178"/>
      <c r="AS62" s="459"/>
      <c r="AT62" s="459"/>
      <c r="AU62" s="459"/>
    </row>
    <row r="63" spans="1:47" x14ac:dyDescent="0.2">
      <c r="A63" s="671"/>
      <c r="B63" s="449"/>
      <c r="C63" s="449"/>
      <c r="D63" s="463"/>
      <c r="E63" s="449"/>
      <c r="F63" s="492"/>
      <c r="G63" s="449"/>
      <c r="H63" s="463"/>
      <c r="I63" s="201"/>
      <c r="J63" s="201"/>
      <c r="K63" s="201"/>
      <c r="L63" s="463"/>
      <c r="M63" s="463"/>
      <c r="N63" s="459"/>
      <c r="O63" s="460"/>
      <c r="P63" s="461"/>
      <c r="Q63" s="490"/>
      <c r="R63" s="461">
        <f>IF(NOT(ISERROR(MATCH(Q63,_xlfn.ANCHORARRAY(G74),0))),Q76&amp;"Por favor no seleccionar los criterios de impacto",Q63)</f>
        <v>0</v>
      </c>
      <c r="S63" s="460"/>
      <c r="T63" s="461"/>
      <c r="U63" s="489"/>
      <c r="V63" s="193">
        <v>3</v>
      </c>
      <c r="W63" s="193"/>
      <c r="X63" s="193"/>
      <c r="Y63" s="193"/>
      <c r="Z63" s="218" t="str">
        <f t="shared" si="1"/>
        <v xml:space="preserve">  </v>
      </c>
      <c r="AA63" s="170" t="str">
        <f>IF(OR(AB63="Preventivo",AB63="Detectivo"),"Probabilidad",IF(AB63="Correctivo","Impacto",""))</f>
        <v/>
      </c>
      <c r="AB63" s="171"/>
      <c r="AC63" s="171"/>
      <c r="AD63" s="172" t="str">
        <f t="shared" si="79"/>
        <v/>
      </c>
      <c r="AE63" s="171"/>
      <c r="AF63" s="171"/>
      <c r="AG63" s="171"/>
      <c r="AH63" s="173" t="str">
        <f>IFERROR(IF(AND(AA62="Probabilidad",AA63="Probabilidad"),(AJ62-(+AJ62*AD63)),IF(AND(AA62="Impacto",AA63="Probabilidad"),(AJ61-(+AJ61*AD63)),IF(AA63="Impacto",AJ62,""))),"")</f>
        <v/>
      </c>
      <c r="AI63" s="174" t="str">
        <f t="shared" si="3"/>
        <v/>
      </c>
      <c r="AJ63" s="172" t="str">
        <f t="shared" si="80"/>
        <v/>
      </c>
      <c r="AK63" s="174" t="str">
        <f t="shared" si="5"/>
        <v/>
      </c>
      <c r="AL63" s="172" t="str">
        <f t="shared" ref="AL63" si="83">IFERROR(IF(AND(AA62="Impacto",AA63="Impacto"),(AL62-(+AL62*AD63)),IF(AND(AA62="Probabilidad",AA63="Impacto"),(AL61-(+AL61*AD63)),IF(AA63="Probabilidad",AL62,""))),"")</f>
        <v/>
      </c>
      <c r="AM63" s="175" t="str">
        <f t="shared" si="82"/>
        <v/>
      </c>
      <c r="AN63" s="176"/>
      <c r="AO63" s="169"/>
      <c r="AP63" s="177"/>
      <c r="AQ63" s="177"/>
      <c r="AR63" s="178"/>
      <c r="AS63" s="459"/>
      <c r="AT63" s="459"/>
      <c r="AU63" s="459"/>
    </row>
    <row r="64" spans="1:47" x14ac:dyDescent="0.2">
      <c r="A64" s="671"/>
      <c r="B64" s="449"/>
      <c r="C64" s="449"/>
      <c r="D64" s="463"/>
      <c r="E64" s="449"/>
      <c r="F64" s="492"/>
      <c r="G64" s="449"/>
      <c r="H64" s="463"/>
      <c r="I64" s="201"/>
      <c r="J64" s="201"/>
      <c r="K64" s="201"/>
      <c r="L64" s="463"/>
      <c r="M64" s="463"/>
      <c r="N64" s="459"/>
      <c r="O64" s="460"/>
      <c r="P64" s="461"/>
      <c r="Q64" s="490"/>
      <c r="R64" s="461">
        <f>IF(NOT(ISERROR(MATCH(Q64,_xlfn.ANCHORARRAY(G75),0))),Q77&amp;"Por favor no seleccionar los criterios de impacto",Q64)</f>
        <v>0</v>
      </c>
      <c r="S64" s="460"/>
      <c r="T64" s="461"/>
      <c r="U64" s="489"/>
      <c r="V64" s="193">
        <v>4</v>
      </c>
      <c r="W64" s="193"/>
      <c r="X64" s="193"/>
      <c r="Y64" s="193"/>
      <c r="Z64" s="218" t="str">
        <f t="shared" si="1"/>
        <v xml:space="preserve">  </v>
      </c>
      <c r="AA64" s="170" t="str">
        <f t="shared" ref="AA64:AA66" si="84">IF(OR(AB64="Preventivo",AB64="Detectivo"),"Probabilidad",IF(AB64="Correctivo","Impacto",""))</f>
        <v/>
      </c>
      <c r="AB64" s="171"/>
      <c r="AC64" s="171"/>
      <c r="AD64" s="172" t="str">
        <f t="shared" si="79"/>
        <v/>
      </c>
      <c r="AE64" s="171"/>
      <c r="AF64" s="171"/>
      <c r="AG64" s="171"/>
      <c r="AH64" s="173" t="str">
        <f t="shared" ref="AH64:AH66" si="85">IFERROR(IF(AND(AA63="Probabilidad",AA64="Probabilidad"),(AJ63-(+AJ63*AD64)),IF(AND(AA63="Impacto",AA64="Probabilidad"),(AJ62-(+AJ62*AD64)),IF(AA64="Impacto",AJ63,""))),"")</f>
        <v/>
      </c>
      <c r="AI64" s="174" t="str">
        <f t="shared" si="3"/>
        <v/>
      </c>
      <c r="AJ64" s="172" t="str">
        <f t="shared" si="80"/>
        <v/>
      </c>
      <c r="AK64" s="174" t="str">
        <f t="shared" si="5"/>
        <v/>
      </c>
      <c r="AL64" s="172" t="str">
        <f t="shared" si="14"/>
        <v/>
      </c>
      <c r="AM64" s="175" t="str">
        <f>IFERROR(IF(OR(AND(AI64="Muy Baja",AK64="Leve"),AND(AI64="Muy Baja",AK64="Menor"),AND(AI64="Baja",AK64="Leve")),"Bajo",IF(OR(AND(AI64="Muy baja",AK64="Moderado"),AND(AI64="Baja",AK64="Menor"),AND(AI64="Baja",AK64="Moderado"),AND(AI64="Media",AK64="Leve"),AND(AI64="Media",AK64="Menor"),AND(AI64="Media",AK64="Moderado"),AND(AI64="Alta",AK64="Leve"),AND(AI64="Alta",AK64="Menor")),"Moderado",IF(OR(AND(AI64="Muy Baja",AK64="Mayor"),AND(AI64="Baja",AK64="Mayor"),AND(AI64="Media",AK64="Mayor"),AND(AI64="Alta",AK64="Moderado"),AND(AI64="Alta",AK64="Mayor"),AND(AI64="Muy Alta",AK64="Leve"),AND(AI64="Muy Alta",AK64="Menor"),AND(AI64="Muy Alta",AK64="Moderado"),AND(AI64="Muy Alta",AK64="Mayor")),"Alto",IF(OR(AND(AI64="Muy Baja",AK64="Catastrófico"),AND(AI64="Baja",AK64="Catastrófico"),AND(AI64="Media",AK64="Catastrófico"),AND(AI64="Alta",AK64="Catastrófico"),AND(AI64="Muy Alta",AK64="Catastrófico")),"Extremo","")))),"")</f>
        <v/>
      </c>
      <c r="AN64" s="176"/>
      <c r="AO64" s="169"/>
      <c r="AP64" s="177"/>
      <c r="AQ64" s="177"/>
      <c r="AR64" s="178"/>
      <c r="AS64" s="459"/>
      <c r="AT64" s="459"/>
      <c r="AU64" s="459"/>
    </row>
    <row r="65" spans="1:47" x14ac:dyDescent="0.2">
      <c r="A65" s="671"/>
      <c r="B65" s="449"/>
      <c r="C65" s="449"/>
      <c r="D65" s="463"/>
      <c r="E65" s="449"/>
      <c r="F65" s="492"/>
      <c r="G65" s="449"/>
      <c r="H65" s="463"/>
      <c r="I65" s="201"/>
      <c r="J65" s="201"/>
      <c r="K65" s="201"/>
      <c r="L65" s="463"/>
      <c r="M65" s="463"/>
      <c r="N65" s="459"/>
      <c r="O65" s="460"/>
      <c r="P65" s="461"/>
      <c r="Q65" s="490"/>
      <c r="R65" s="461">
        <f>IF(NOT(ISERROR(MATCH(Q65,_xlfn.ANCHORARRAY(G76),0))),Q78&amp;"Por favor no seleccionar los criterios de impacto",Q65)</f>
        <v>0</v>
      </c>
      <c r="S65" s="460"/>
      <c r="T65" s="461"/>
      <c r="U65" s="489"/>
      <c r="V65" s="193">
        <v>5</v>
      </c>
      <c r="W65" s="193"/>
      <c r="X65" s="193"/>
      <c r="Y65" s="193"/>
      <c r="Z65" s="218" t="str">
        <f t="shared" si="1"/>
        <v xml:space="preserve">  </v>
      </c>
      <c r="AA65" s="170" t="str">
        <f t="shared" si="84"/>
        <v/>
      </c>
      <c r="AB65" s="171"/>
      <c r="AC65" s="171"/>
      <c r="AD65" s="172" t="str">
        <f t="shared" si="79"/>
        <v/>
      </c>
      <c r="AE65" s="171"/>
      <c r="AF65" s="171"/>
      <c r="AG65" s="171"/>
      <c r="AH65" s="173" t="str">
        <f t="shared" si="85"/>
        <v/>
      </c>
      <c r="AI65" s="174" t="str">
        <f t="shared" si="3"/>
        <v/>
      </c>
      <c r="AJ65" s="172" t="str">
        <f t="shared" si="80"/>
        <v/>
      </c>
      <c r="AK65" s="174" t="str">
        <f t="shared" si="5"/>
        <v/>
      </c>
      <c r="AL65" s="172" t="str">
        <f t="shared" si="14"/>
        <v/>
      </c>
      <c r="AM65" s="175" t="str">
        <f t="shared" ref="AM65:AM66" si="86">IFERROR(IF(OR(AND(AI65="Muy Baja",AK65="Leve"),AND(AI65="Muy Baja",AK65="Menor"),AND(AI65="Baja",AK65="Leve")),"Bajo",IF(OR(AND(AI65="Muy baja",AK65="Moderado"),AND(AI65="Baja",AK65="Menor"),AND(AI65="Baja",AK65="Moderado"),AND(AI65="Media",AK65="Leve"),AND(AI65="Media",AK65="Menor"),AND(AI65="Media",AK65="Moderado"),AND(AI65="Alta",AK65="Leve"),AND(AI65="Alta",AK65="Menor")),"Moderado",IF(OR(AND(AI65="Muy Baja",AK65="Mayor"),AND(AI65="Baja",AK65="Mayor"),AND(AI65="Media",AK65="Mayor"),AND(AI65="Alta",AK65="Moderado"),AND(AI65="Alta",AK65="Mayor"),AND(AI65="Muy Alta",AK65="Leve"),AND(AI65="Muy Alta",AK65="Menor"),AND(AI65="Muy Alta",AK65="Moderado"),AND(AI65="Muy Alta",AK65="Mayor")),"Alto",IF(OR(AND(AI65="Muy Baja",AK65="Catastrófico"),AND(AI65="Baja",AK65="Catastrófico"),AND(AI65="Media",AK65="Catastrófico"),AND(AI65="Alta",AK65="Catastrófico"),AND(AI65="Muy Alta",AK65="Catastrófico")),"Extremo","")))),"")</f>
        <v/>
      </c>
      <c r="AN65" s="176"/>
      <c r="AO65" s="169"/>
      <c r="AP65" s="177"/>
      <c r="AQ65" s="177"/>
      <c r="AR65" s="178"/>
      <c r="AS65" s="459"/>
      <c r="AT65" s="459"/>
      <c r="AU65" s="459"/>
    </row>
    <row r="66" spans="1:47" x14ac:dyDescent="0.2">
      <c r="A66" s="671"/>
      <c r="B66" s="449"/>
      <c r="C66" s="449"/>
      <c r="D66" s="491"/>
      <c r="E66" s="449"/>
      <c r="F66" s="492"/>
      <c r="G66" s="449"/>
      <c r="H66" s="491"/>
      <c r="I66" s="202"/>
      <c r="J66" s="202"/>
      <c r="K66" s="202"/>
      <c r="L66" s="491"/>
      <c r="M66" s="491"/>
      <c r="N66" s="459"/>
      <c r="O66" s="460"/>
      <c r="P66" s="461"/>
      <c r="Q66" s="490"/>
      <c r="R66" s="461">
        <f>IF(NOT(ISERROR(MATCH(Q66,_xlfn.ANCHORARRAY(G77),0))),Q79&amp;"Por favor no seleccionar los criterios de impacto",Q66)</f>
        <v>0</v>
      </c>
      <c r="S66" s="460"/>
      <c r="T66" s="461"/>
      <c r="U66" s="489"/>
      <c r="V66" s="193">
        <v>6</v>
      </c>
      <c r="W66" s="193"/>
      <c r="X66" s="193"/>
      <c r="Y66" s="193"/>
      <c r="Z66" s="218" t="str">
        <f t="shared" si="1"/>
        <v xml:space="preserve">  </v>
      </c>
      <c r="AA66" s="170" t="str">
        <f t="shared" si="84"/>
        <v/>
      </c>
      <c r="AB66" s="171"/>
      <c r="AC66" s="171"/>
      <c r="AD66" s="172" t="str">
        <f t="shared" si="79"/>
        <v/>
      </c>
      <c r="AE66" s="171"/>
      <c r="AF66" s="171"/>
      <c r="AG66" s="171"/>
      <c r="AH66" s="173" t="str">
        <f t="shared" si="85"/>
        <v/>
      </c>
      <c r="AI66" s="174" t="str">
        <f t="shared" si="3"/>
        <v/>
      </c>
      <c r="AJ66" s="172" t="str">
        <f t="shared" si="80"/>
        <v/>
      </c>
      <c r="AK66" s="174" t="str">
        <f t="shared" si="5"/>
        <v/>
      </c>
      <c r="AL66" s="172" t="str">
        <f t="shared" si="14"/>
        <v/>
      </c>
      <c r="AM66" s="175" t="str">
        <f t="shared" si="86"/>
        <v/>
      </c>
      <c r="AN66" s="176"/>
      <c r="AO66" s="169"/>
      <c r="AP66" s="177"/>
      <c r="AQ66" s="177"/>
      <c r="AR66" s="178"/>
      <c r="AS66" s="459"/>
      <c r="AT66" s="459"/>
      <c r="AU66" s="459"/>
    </row>
    <row r="67" spans="1:47" x14ac:dyDescent="0.2">
      <c r="A67" s="671">
        <v>10</v>
      </c>
      <c r="B67" s="449"/>
      <c r="C67" s="449"/>
      <c r="D67" s="462"/>
      <c r="E67" s="449"/>
      <c r="F67" s="492" t="str">
        <f t="shared" ref="F67" si="87">+CONCATENATE(B67," ",C67)</f>
        <v xml:space="preserve"> </v>
      </c>
      <c r="G67" s="449"/>
      <c r="H67" s="462"/>
      <c r="I67" s="200"/>
      <c r="J67" s="200"/>
      <c r="K67" s="200"/>
      <c r="L67" s="462"/>
      <c r="M67" s="462"/>
      <c r="N67" s="459"/>
      <c r="O67" s="460" t="str">
        <f>IF(N67&lt;=0,"",IF(N67&lt;=2,"Muy Baja",IF(N67&lt;=24,"Baja",IF(N67&lt;=500,"Media",IF(N67&lt;=5000,"Alta","Muy Alta")))))</f>
        <v/>
      </c>
      <c r="P67" s="461" t="str">
        <f>IF(O67="","",IF(O67="Muy Baja",0.2,IF(O67="Baja",0.4,IF(O67="Media",0.6,IF(O67="Alta",0.8,IF(O67="Muy Alta",1,))))))</f>
        <v/>
      </c>
      <c r="Q67" s="490"/>
      <c r="R67" s="461">
        <f>IF(NOT(ISERROR(MATCH(Q67,'Tabla Impacto'!$B$245:$B$247,0))),'Tabla Impacto'!$F$224&amp;"Por favor no seleccionar los criterios de impacto(Afectación Económica o presupuestal y Pérdida Reputacional)",Q67)</f>
        <v>0</v>
      </c>
      <c r="S67" s="460" t="str">
        <f>IF(OR(R67='Tabla Impacto'!$C$12,R67='Tabla Impacto'!$D$12),"Leve",IF(OR(R67='Tabla Impacto'!$C$13,R67='Tabla Impacto'!$D$13),"Menor",IF(OR(R67='Tabla Impacto'!$C$14,R67='Tabla Impacto'!$D$14),"Moderado",IF(OR(R67='Tabla Impacto'!$C$15,R67='Tabla Impacto'!$D$15),"Mayor",IF(OR(R67='Tabla Impacto'!$C$16,R67='Tabla Impacto'!$D$16),"Catastrófico","")))))</f>
        <v/>
      </c>
      <c r="T67" s="461" t="str">
        <f>IF(S67="","",IF(S67="Leve",0.2,IF(S67="Menor",0.4,IF(S67="Moderado",0.6,IF(S67="Mayor",0.8,IF(S67="Catastrófico",1,))))))</f>
        <v/>
      </c>
      <c r="U67" s="489" t="str">
        <f>IF(OR(AND(O67="Muy Baja",S67="Leve"),AND(O67="Muy Baja",S67="Menor"),AND(O67="Baja",S67="Leve")),"Bajo",IF(OR(AND(O67="Muy baja",S67="Moderado"),AND(O67="Baja",S67="Menor"),AND(O67="Baja",S67="Moderado"),AND(O67="Media",S67="Leve"),AND(O67="Media",S67="Menor"),AND(O67="Media",S67="Moderado"),AND(O67="Alta",S67="Leve"),AND(O67="Alta",S67="Menor")),"Moderado",IF(OR(AND(O67="Muy Baja",S67="Mayor"),AND(O67="Baja",S67="Mayor"),AND(O67="Media",S67="Mayor"),AND(O67="Alta",S67="Moderado"),AND(O67="Alta",S67="Mayor"),AND(O67="Muy Alta",S67="Leve"),AND(O67="Muy Alta",S67="Menor"),AND(O67="Muy Alta",S67="Moderado"),AND(O67="Muy Alta",S67="Mayor")),"Alto",IF(OR(AND(O67="Muy Baja",S67="Catastrófico"),AND(O67="Baja",S67="Catastrófico"),AND(O67="Media",S67="Catastrófico"),AND(O67="Alta",S67="Catastrófico"),AND(O67="Muy Alta",S67="Catastrófico")),"Extremo",""))))</f>
        <v/>
      </c>
      <c r="V67" s="193">
        <v>1</v>
      </c>
      <c r="W67" s="193"/>
      <c r="X67" s="193"/>
      <c r="Y67" s="193"/>
      <c r="Z67" s="218" t="str">
        <f t="shared" si="1"/>
        <v xml:space="preserve">  </v>
      </c>
      <c r="AA67" s="170" t="str">
        <f>IF(OR(AB67="Preventivo",AB67="Detectivo"),"Probabilidad",IF(AB67="Correctivo","Impacto",""))</f>
        <v/>
      </c>
      <c r="AB67" s="171"/>
      <c r="AC67" s="171"/>
      <c r="AD67" s="172" t="str">
        <f>IF(AND(AB67="Preventivo",AC67="Automático"),"50%",IF(AND(AB67="Preventivo",AC67="Manual"),"40%",IF(AND(AB67="Detectivo",AC67="Automático"),"40%",IF(AND(AB67="Detectivo",AC67="Manual"),"30%",IF(AND(AB67="Correctivo",AC67="Automático"),"35%",IF(AND(AB67="Correctivo",AC67="Manual"),"25%",""))))))</f>
        <v/>
      </c>
      <c r="AE67" s="171"/>
      <c r="AF67" s="171"/>
      <c r="AG67" s="171"/>
      <c r="AH67" s="173" t="str">
        <f>IFERROR(IF(AA67="Probabilidad",(P67-(+P67*AD67)),IF(AA67="Impacto",P67,"")),"")</f>
        <v/>
      </c>
      <c r="AI67" s="174" t="str">
        <f>IFERROR(IF(AH67="","",IF(AH67&lt;=0.2,"Muy Baja",IF(AH67&lt;=0.4,"Baja",IF(AH67&lt;=0.6,"Media",IF(AH67&lt;=0.8,"Alta","Muy Alta"))))),"")</f>
        <v/>
      </c>
      <c r="AJ67" s="172" t="str">
        <f>+AH67</f>
        <v/>
      </c>
      <c r="AK67" s="174" t="str">
        <f>IFERROR(IF(AL67="","",IF(AL67&lt;=0.2,"Leve",IF(AL67&lt;=0.4,"Menor",IF(AL67&lt;=0.6,"Moderado",IF(AL67&lt;=0.8,"Mayor","Catastrófico"))))),"")</f>
        <v/>
      </c>
      <c r="AL67" s="172" t="str">
        <f t="shared" ref="AL67" si="88">IFERROR(IF(AA67="Impacto",(T67-(+T67*AD67)),IF(AA67="Probabilidad",T67,"")),"")</f>
        <v/>
      </c>
      <c r="AM67" s="175" t="str">
        <f>IFERROR(IF(OR(AND(AI67="Muy Baja",AK67="Leve"),AND(AI67="Muy Baja",AK67="Menor"),AND(AI67="Baja",AK67="Leve")),"Bajo",IF(OR(AND(AI67="Muy baja",AK67="Moderado"),AND(AI67="Baja",AK67="Menor"),AND(AI67="Baja",AK67="Moderado"),AND(AI67="Media",AK67="Leve"),AND(AI67="Media",AK67="Menor"),AND(AI67="Media",AK67="Moderado"),AND(AI67="Alta",AK67="Leve"),AND(AI67="Alta",AK67="Menor")),"Moderado",IF(OR(AND(AI67="Muy Baja",AK67="Mayor"),AND(AI67="Baja",AK67="Mayor"),AND(AI67="Media",AK67="Mayor"),AND(AI67="Alta",AK67="Moderado"),AND(AI67="Alta",AK67="Mayor"),AND(AI67="Muy Alta",AK67="Leve"),AND(AI67="Muy Alta",AK67="Menor"),AND(AI67="Muy Alta",AK67="Moderado"),AND(AI67="Muy Alta",AK67="Mayor")),"Alto",IF(OR(AND(AI67="Muy Baja",AK67="Catastrófico"),AND(AI67="Baja",AK67="Catastrófico"),AND(AI67="Media",AK67="Catastrófico"),AND(AI67="Alta",AK67="Catastrófico"),AND(AI67="Muy Alta",AK67="Catastrófico")),"Extremo","")))),"")</f>
        <v/>
      </c>
      <c r="AN67" s="176"/>
      <c r="AO67" s="169"/>
      <c r="AP67" s="177"/>
      <c r="AQ67" s="177"/>
      <c r="AR67" s="178"/>
      <c r="AS67" s="459"/>
      <c r="AT67" s="459"/>
      <c r="AU67" s="459"/>
    </row>
    <row r="68" spans="1:47" x14ac:dyDescent="0.2">
      <c r="A68" s="671"/>
      <c r="B68" s="449"/>
      <c r="C68" s="449"/>
      <c r="D68" s="463"/>
      <c r="E68" s="449"/>
      <c r="F68" s="492"/>
      <c r="G68" s="449"/>
      <c r="H68" s="463"/>
      <c r="I68" s="201"/>
      <c r="J68" s="201"/>
      <c r="K68" s="201"/>
      <c r="L68" s="463"/>
      <c r="M68" s="463"/>
      <c r="N68" s="459"/>
      <c r="O68" s="460"/>
      <c r="P68" s="461"/>
      <c r="Q68" s="490"/>
      <c r="R68" s="461">
        <f>IF(NOT(ISERROR(MATCH(Q68,_xlfn.ANCHORARRAY(G79),0))),Q81&amp;"Por favor no seleccionar los criterios de impacto",Q68)</f>
        <v>0</v>
      </c>
      <c r="S68" s="460"/>
      <c r="T68" s="461"/>
      <c r="U68" s="489"/>
      <c r="V68" s="193">
        <v>2</v>
      </c>
      <c r="W68" s="193"/>
      <c r="X68" s="193"/>
      <c r="Y68" s="193"/>
      <c r="Z68" s="218" t="str">
        <f t="shared" si="1"/>
        <v xml:space="preserve">  </v>
      </c>
      <c r="AA68" s="170" t="str">
        <f>IF(OR(AB68="Preventivo",AB68="Detectivo"),"Probabilidad",IF(AB68="Correctivo","Impacto",""))</f>
        <v/>
      </c>
      <c r="AB68" s="171"/>
      <c r="AC68" s="171"/>
      <c r="AD68" s="172" t="str">
        <f t="shared" ref="AD68:AD72" si="89">IF(AND(AB68="Preventivo",AC68="Automático"),"50%",IF(AND(AB68="Preventivo",AC68="Manual"),"40%",IF(AND(AB68="Detectivo",AC68="Automático"),"40%",IF(AND(AB68="Detectivo",AC68="Manual"),"30%",IF(AND(AB68="Correctivo",AC68="Automático"),"35%",IF(AND(AB68="Correctivo",AC68="Manual"),"25%",""))))))</f>
        <v/>
      </c>
      <c r="AE68" s="171"/>
      <c r="AF68" s="171"/>
      <c r="AG68" s="171"/>
      <c r="AH68" s="173" t="str">
        <f>IFERROR(IF(AND(AA67="Probabilidad",AA68="Probabilidad"),(AJ67-(+AJ67*AD68)),IF(AA68="Probabilidad",(P67-(+P67*AD68)),IF(AA68="Impacto",AJ67,""))),"")</f>
        <v/>
      </c>
      <c r="AI68" s="174" t="str">
        <f t="shared" si="3"/>
        <v/>
      </c>
      <c r="AJ68" s="172" t="str">
        <f t="shared" ref="AJ68:AJ72" si="90">+AH68</f>
        <v/>
      </c>
      <c r="AK68" s="174" t="str">
        <f t="shared" si="5"/>
        <v/>
      </c>
      <c r="AL68" s="172" t="str">
        <f t="shared" ref="AL68" si="91">IFERROR(IF(AND(AA67="Impacto",AA68="Impacto"),(AL67-(+AL67*AD68)),IF(AA68="Impacto",($T$13-(+$T$13*AD68)),IF(AA68="Probabilidad",AL67,""))),"")</f>
        <v/>
      </c>
      <c r="AM68" s="175" t="str">
        <f t="shared" ref="AM68:AM69" si="92">IFERROR(IF(OR(AND(AI68="Muy Baja",AK68="Leve"),AND(AI68="Muy Baja",AK68="Menor"),AND(AI68="Baja",AK68="Leve")),"Bajo",IF(OR(AND(AI68="Muy baja",AK68="Moderado"),AND(AI68="Baja",AK68="Menor"),AND(AI68="Baja",AK68="Moderado"),AND(AI68="Media",AK68="Leve"),AND(AI68="Media",AK68="Menor"),AND(AI68="Media",AK68="Moderado"),AND(AI68="Alta",AK68="Leve"),AND(AI68="Alta",AK68="Menor")),"Moderado",IF(OR(AND(AI68="Muy Baja",AK68="Mayor"),AND(AI68="Baja",AK68="Mayor"),AND(AI68="Media",AK68="Mayor"),AND(AI68="Alta",AK68="Moderado"),AND(AI68="Alta",AK68="Mayor"),AND(AI68="Muy Alta",AK68="Leve"),AND(AI68="Muy Alta",AK68="Menor"),AND(AI68="Muy Alta",AK68="Moderado"),AND(AI68="Muy Alta",AK68="Mayor")),"Alto",IF(OR(AND(AI68="Muy Baja",AK68="Catastrófico"),AND(AI68="Baja",AK68="Catastrófico"),AND(AI68="Media",AK68="Catastrófico"),AND(AI68="Alta",AK68="Catastrófico"),AND(AI68="Muy Alta",AK68="Catastrófico")),"Extremo","")))),"")</f>
        <v/>
      </c>
      <c r="AN68" s="176"/>
      <c r="AO68" s="169"/>
      <c r="AP68" s="177"/>
      <c r="AQ68" s="177"/>
      <c r="AR68" s="178"/>
      <c r="AS68" s="459"/>
      <c r="AT68" s="459"/>
      <c r="AU68" s="459"/>
    </row>
    <row r="69" spans="1:47" x14ac:dyDescent="0.2">
      <c r="A69" s="671"/>
      <c r="B69" s="449"/>
      <c r="C69" s="449"/>
      <c r="D69" s="463"/>
      <c r="E69" s="449"/>
      <c r="F69" s="492"/>
      <c r="G69" s="449"/>
      <c r="H69" s="463"/>
      <c r="I69" s="201"/>
      <c r="J69" s="201"/>
      <c r="K69" s="201"/>
      <c r="L69" s="463"/>
      <c r="M69" s="463"/>
      <c r="N69" s="459"/>
      <c r="O69" s="460"/>
      <c r="P69" s="461"/>
      <c r="Q69" s="490"/>
      <c r="R69" s="461">
        <f>IF(NOT(ISERROR(MATCH(Q69,_xlfn.ANCHORARRAY(G80),0))),Q82&amp;"Por favor no seleccionar los criterios de impacto",Q69)</f>
        <v>0</v>
      </c>
      <c r="S69" s="460"/>
      <c r="T69" s="461"/>
      <c r="U69" s="489"/>
      <c r="V69" s="193">
        <v>3</v>
      </c>
      <c r="W69" s="193"/>
      <c r="X69" s="193"/>
      <c r="Y69" s="193"/>
      <c r="Z69" s="218" t="str">
        <f t="shared" si="1"/>
        <v xml:space="preserve">  </v>
      </c>
      <c r="AA69" s="170" t="str">
        <f>IF(OR(AB69="Preventivo",AB69="Detectivo"),"Probabilidad",IF(AB69="Correctivo","Impacto",""))</f>
        <v/>
      </c>
      <c r="AB69" s="171"/>
      <c r="AC69" s="171"/>
      <c r="AD69" s="172" t="str">
        <f t="shared" si="89"/>
        <v/>
      </c>
      <c r="AE69" s="171"/>
      <c r="AF69" s="171"/>
      <c r="AG69" s="171"/>
      <c r="AH69" s="173" t="str">
        <f>IFERROR(IF(AND(AA68="Probabilidad",AA69="Probabilidad"),(AJ68-(+AJ68*AD69)),IF(AND(AA68="Impacto",AA69="Probabilidad"),(AJ67-(+AJ67*AD69)),IF(AA69="Impacto",AJ68,""))),"")</f>
        <v/>
      </c>
      <c r="AI69" s="174" t="str">
        <f t="shared" si="3"/>
        <v/>
      </c>
      <c r="AJ69" s="172" t="str">
        <f t="shared" si="90"/>
        <v/>
      </c>
      <c r="AK69" s="174" t="str">
        <f t="shared" si="5"/>
        <v/>
      </c>
      <c r="AL69" s="172" t="str">
        <f t="shared" ref="AL69" si="93">IFERROR(IF(AND(AA68="Impacto",AA69="Impacto"),(AL68-(+AL68*AD69)),IF(AND(AA68="Probabilidad",AA69="Impacto"),(AL67-(+AL67*AD69)),IF(AA69="Probabilidad",AL68,""))),"")</f>
        <v/>
      </c>
      <c r="AM69" s="175" t="str">
        <f t="shared" si="92"/>
        <v/>
      </c>
      <c r="AN69" s="176"/>
      <c r="AO69" s="169"/>
      <c r="AP69" s="177"/>
      <c r="AQ69" s="177"/>
      <c r="AR69" s="178"/>
      <c r="AS69" s="459"/>
      <c r="AT69" s="459"/>
      <c r="AU69" s="459"/>
    </row>
    <row r="70" spans="1:47" x14ac:dyDescent="0.2">
      <c r="A70" s="671"/>
      <c r="B70" s="449"/>
      <c r="C70" s="449"/>
      <c r="D70" s="463"/>
      <c r="E70" s="449"/>
      <c r="F70" s="492"/>
      <c r="G70" s="449"/>
      <c r="H70" s="463"/>
      <c r="I70" s="201"/>
      <c r="J70" s="201"/>
      <c r="K70" s="201"/>
      <c r="L70" s="463"/>
      <c r="M70" s="463"/>
      <c r="N70" s="459"/>
      <c r="O70" s="460"/>
      <c r="P70" s="461"/>
      <c r="Q70" s="490"/>
      <c r="R70" s="461">
        <f>IF(NOT(ISERROR(MATCH(Q70,_xlfn.ANCHORARRAY(G81),0))),Q83&amp;"Por favor no seleccionar los criterios de impacto",Q70)</f>
        <v>0</v>
      </c>
      <c r="S70" s="460"/>
      <c r="T70" s="461"/>
      <c r="U70" s="489"/>
      <c r="V70" s="193">
        <v>4</v>
      </c>
      <c r="W70" s="193"/>
      <c r="X70" s="193"/>
      <c r="Y70" s="193"/>
      <c r="Z70" s="218" t="str">
        <f t="shared" si="1"/>
        <v xml:space="preserve">  </v>
      </c>
      <c r="AA70" s="170" t="str">
        <f t="shared" ref="AA70:AA72" si="94">IF(OR(AB70="Preventivo",AB70="Detectivo"),"Probabilidad",IF(AB70="Correctivo","Impacto",""))</f>
        <v/>
      </c>
      <c r="AB70" s="171"/>
      <c r="AC70" s="171"/>
      <c r="AD70" s="172" t="str">
        <f t="shared" si="89"/>
        <v/>
      </c>
      <c r="AE70" s="171"/>
      <c r="AF70" s="171"/>
      <c r="AG70" s="171"/>
      <c r="AH70" s="173" t="str">
        <f t="shared" ref="AH70:AH72" si="95">IFERROR(IF(AND(AA69="Probabilidad",AA70="Probabilidad"),(AJ69-(+AJ69*AD70)),IF(AND(AA69="Impacto",AA70="Probabilidad"),(AJ68-(+AJ68*AD70)),IF(AA70="Impacto",AJ69,""))),"")</f>
        <v/>
      </c>
      <c r="AI70" s="174" t="str">
        <f t="shared" si="3"/>
        <v/>
      </c>
      <c r="AJ70" s="172" t="str">
        <f t="shared" si="90"/>
        <v/>
      </c>
      <c r="AK70" s="174" t="str">
        <f t="shared" si="5"/>
        <v/>
      </c>
      <c r="AL70" s="172" t="str">
        <f t="shared" si="14"/>
        <v/>
      </c>
      <c r="AM70" s="175" t="str">
        <f>IFERROR(IF(OR(AND(AI70="Muy Baja",AK70="Leve"),AND(AI70="Muy Baja",AK70="Menor"),AND(AI70="Baja",AK70="Leve")),"Bajo",IF(OR(AND(AI70="Muy baja",AK70="Moderado"),AND(AI70="Baja",AK70="Menor"),AND(AI70="Baja",AK70="Moderado"),AND(AI70="Media",AK70="Leve"),AND(AI70="Media",AK70="Menor"),AND(AI70="Media",AK70="Moderado"),AND(AI70="Alta",AK70="Leve"),AND(AI70="Alta",AK70="Menor")),"Moderado",IF(OR(AND(AI70="Muy Baja",AK70="Mayor"),AND(AI70="Baja",AK70="Mayor"),AND(AI70="Media",AK70="Mayor"),AND(AI70="Alta",AK70="Moderado"),AND(AI70="Alta",AK70="Mayor"),AND(AI70="Muy Alta",AK70="Leve"),AND(AI70="Muy Alta",AK70="Menor"),AND(AI70="Muy Alta",AK70="Moderado"),AND(AI70="Muy Alta",AK70="Mayor")),"Alto",IF(OR(AND(AI70="Muy Baja",AK70="Catastrófico"),AND(AI70="Baja",AK70="Catastrófico"),AND(AI70="Media",AK70="Catastrófico"),AND(AI70="Alta",AK70="Catastrófico"),AND(AI70="Muy Alta",AK70="Catastrófico")),"Extremo","")))),"")</f>
        <v/>
      </c>
      <c r="AN70" s="176"/>
      <c r="AO70" s="169"/>
      <c r="AP70" s="177"/>
      <c r="AQ70" s="177"/>
      <c r="AR70" s="178"/>
      <c r="AS70" s="459"/>
      <c r="AT70" s="459"/>
      <c r="AU70" s="459"/>
    </row>
    <row r="71" spans="1:47" x14ac:dyDescent="0.2">
      <c r="A71" s="671"/>
      <c r="B71" s="449"/>
      <c r="C71" s="449"/>
      <c r="D71" s="463"/>
      <c r="E71" s="449"/>
      <c r="F71" s="492"/>
      <c r="G71" s="449"/>
      <c r="H71" s="463"/>
      <c r="I71" s="201"/>
      <c r="J71" s="201"/>
      <c r="K71" s="201"/>
      <c r="L71" s="463"/>
      <c r="M71" s="463"/>
      <c r="N71" s="459"/>
      <c r="O71" s="460"/>
      <c r="P71" s="461"/>
      <c r="Q71" s="490"/>
      <c r="R71" s="461">
        <f>IF(NOT(ISERROR(MATCH(Q71,_xlfn.ANCHORARRAY(G82),0))),Q84&amp;"Por favor no seleccionar los criterios de impacto",Q71)</f>
        <v>0</v>
      </c>
      <c r="S71" s="460"/>
      <c r="T71" s="461"/>
      <c r="U71" s="489"/>
      <c r="V71" s="193">
        <v>5</v>
      </c>
      <c r="W71" s="193"/>
      <c r="X71" s="193"/>
      <c r="Y71" s="193"/>
      <c r="Z71" s="218" t="str">
        <f t="shared" si="1"/>
        <v xml:space="preserve">  </v>
      </c>
      <c r="AA71" s="170" t="str">
        <f t="shared" si="94"/>
        <v/>
      </c>
      <c r="AB71" s="171"/>
      <c r="AC71" s="171"/>
      <c r="AD71" s="172" t="str">
        <f t="shared" si="89"/>
        <v/>
      </c>
      <c r="AE71" s="171"/>
      <c r="AF71" s="171"/>
      <c r="AG71" s="171"/>
      <c r="AH71" s="173" t="str">
        <f t="shared" si="95"/>
        <v/>
      </c>
      <c r="AI71" s="174" t="str">
        <f t="shared" si="3"/>
        <v/>
      </c>
      <c r="AJ71" s="172" t="str">
        <f t="shared" si="90"/>
        <v/>
      </c>
      <c r="AK71" s="174" t="str">
        <f t="shared" si="5"/>
        <v/>
      </c>
      <c r="AL71" s="172" t="str">
        <f t="shared" si="14"/>
        <v/>
      </c>
      <c r="AM71" s="175" t="str">
        <f t="shared" ref="AM71:AM72" si="96">IFERROR(IF(OR(AND(AI71="Muy Baja",AK71="Leve"),AND(AI71="Muy Baja",AK71="Menor"),AND(AI71="Baja",AK71="Leve")),"Bajo",IF(OR(AND(AI71="Muy baja",AK71="Moderado"),AND(AI71="Baja",AK71="Menor"),AND(AI71="Baja",AK71="Moderado"),AND(AI71="Media",AK71="Leve"),AND(AI71="Media",AK71="Menor"),AND(AI71="Media",AK71="Moderado"),AND(AI71="Alta",AK71="Leve"),AND(AI71="Alta",AK71="Menor")),"Moderado",IF(OR(AND(AI71="Muy Baja",AK71="Mayor"),AND(AI71="Baja",AK71="Mayor"),AND(AI71="Media",AK71="Mayor"),AND(AI71="Alta",AK71="Moderado"),AND(AI71="Alta",AK71="Mayor"),AND(AI71="Muy Alta",AK71="Leve"),AND(AI71="Muy Alta",AK71="Menor"),AND(AI71="Muy Alta",AK71="Moderado"),AND(AI71="Muy Alta",AK71="Mayor")),"Alto",IF(OR(AND(AI71="Muy Baja",AK71="Catastrófico"),AND(AI71="Baja",AK71="Catastrófico"),AND(AI71="Media",AK71="Catastrófico"),AND(AI71="Alta",AK71="Catastrófico"),AND(AI71="Muy Alta",AK71="Catastrófico")),"Extremo","")))),"")</f>
        <v/>
      </c>
      <c r="AN71" s="176"/>
      <c r="AO71" s="169"/>
      <c r="AP71" s="177"/>
      <c r="AQ71" s="177"/>
      <c r="AR71" s="178"/>
      <c r="AS71" s="459"/>
      <c r="AT71" s="459"/>
      <c r="AU71" s="459"/>
    </row>
    <row r="72" spans="1:47" x14ac:dyDescent="0.2">
      <c r="A72" s="671"/>
      <c r="B72" s="449"/>
      <c r="C72" s="449"/>
      <c r="D72" s="491"/>
      <c r="E72" s="449"/>
      <c r="F72" s="492"/>
      <c r="G72" s="449"/>
      <c r="H72" s="491"/>
      <c r="I72" s="202"/>
      <c r="J72" s="202"/>
      <c r="K72" s="202"/>
      <c r="L72" s="491"/>
      <c r="M72" s="491"/>
      <c r="N72" s="459"/>
      <c r="O72" s="460"/>
      <c r="P72" s="461"/>
      <c r="Q72" s="490"/>
      <c r="R72" s="461">
        <f>IF(NOT(ISERROR(MATCH(Q72,_xlfn.ANCHORARRAY(G83),0))),Q85&amp;"Por favor no seleccionar los criterios de impacto",Q72)</f>
        <v>0</v>
      </c>
      <c r="S72" s="460"/>
      <c r="T72" s="461"/>
      <c r="U72" s="489"/>
      <c r="V72" s="193">
        <v>6</v>
      </c>
      <c r="W72" s="193"/>
      <c r="X72" s="193"/>
      <c r="Y72" s="193"/>
      <c r="Z72" s="218" t="str">
        <f t="shared" si="1"/>
        <v xml:space="preserve">  </v>
      </c>
      <c r="AA72" s="170" t="str">
        <f t="shared" si="94"/>
        <v/>
      </c>
      <c r="AB72" s="171"/>
      <c r="AC72" s="171"/>
      <c r="AD72" s="172" t="str">
        <f t="shared" si="89"/>
        <v/>
      </c>
      <c r="AE72" s="171"/>
      <c r="AF72" s="171"/>
      <c r="AG72" s="171"/>
      <c r="AH72" s="173" t="str">
        <f t="shared" si="95"/>
        <v/>
      </c>
      <c r="AI72" s="174" t="str">
        <f t="shared" si="3"/>
        <v/>
      </c>
      <c r="AJ72" s="172" t="str">
        <f t="shared" si="90"/>
        <v/>
      </c>
      <c r="AK72" s="174" t="str">
        <f t="shared" si="5"/>
        <v/>
      </c>
      <c r="AL72" s="172" t="str">
        <f t="shared" si="14"/>
        <v/>
      </c>
      <c r="AM72" s="175" t="str">
        <f t="shared" si="96"/>
        <v/>
      </c>
      <c r="AN72" s="176"/>
      <c r="AO72" s="169"/>
      <c r="AP72" s="177"/>
      <c r="AQ72" s="177"/>
      <c r="AR72" s="178"/>
      <c r="AS72" s="459"/>
      <c r="AT72" s="459"/>
      <c r="AU72" s="459"/>
    </row>
    <row r="73" spans="1:47" x14ac:dyDescent="0.2">
      <c r="A73" s="195"/>
      <c r="B73" s="493"/>
      <c r="C73" s="494"/>
      <c r="D73" s="494"/>
      <c r="E73" s="494"/>
      <c r="F73" s="494"/>
      <c r="G73" s="494"/>
      <c r="H73" s="494"/>
      <c r="I73" s="494"/>
      <c r="J73" s="494"/>
      <c r="K73" s="494"/>
      <c r="L73" s="494"/>
      <c r="M73" s="494"/>
      <c r="N73" s="494"/>
      <c r="O73" s="494"/>
      <c r="P73" s="494"/>
      <c r="Q73" s="494"/>
      <c r="R73" s="494"/>
      <c r="S73" s="494"/>
      <c r="T73" s="494"/>
      <c r="U73" s="494"/>
      <c r="V73" s="494"/>
      <c r="W73" s="494"/>
      <c r="X73" s="494"/>
      <c r="Y73" s="494"/>
      <c r="Z73" s="494"/>
      <c r="AA73" s="494"/>
      <c r="AB73" s="494"/>
      <c r="AC73" s="494"/>
      <c r="AD73" s="494"/>
      <c r="AE73" s="494"/>
      <c r="AF73" s="494"/>
      <c r="AG73" s="494"/>
      <c r="AH73" s="494"/>
      <c r="AI73" s="494"/>
      <c r="AJ73" s="494"/>
      <c r="AK73" s="494"/>
      <c r="AL73" s="494"/>
      <c r="AM73" s="494"/>
      <c r="AN73" s="494"/>
      <c r="AO73" s="494"/>
      <c r="AP73" s="494"/>
      <c r="AQ73" s="494"/>
      <c r="AR73" s="494"/>
      <c r="AS73" s="494"/>
    </row>
    <row r="75" spans="1:47" ht="15.75" x14ac:dyDescent="0.2">
      <c r="A75" s="179"/>
      <c r="B75" s="186"/>
      <c r="C75" s="179"/>
      <c r="D75" s="179"/>
      <c r="E75" s="179"/>
      <c r="F75" s="179"/>
      <c r="N75" s="179"/>
    </row>
    <row r="76" spans="1:47" s="235" customFormat="1" x14ac:dyDescent="0.2">
      <c r="A76" s="234"/>
      <c r="B76" s="234"/>
      <c r="C76" s="234"/>
      <c r="D76" s="234"/>
      <c r="E76" s="234"/>
      <c r="F76" s="234"/>
      <c r="N76" s="236"/>
      <c r="AO76" s="237"/>
    </row>
    <row r="87" spans="23:23" x14ac:dyDescent="0.2">
      <c r="W87" s="179">
        <f>35/2</f>
        <v>17.5</v>
      </c>
    </row>
    <row r="88" spans="23:23" x14ac:dyDescent="0.2">
      <c r="W88" s="179">
        <f>70/4</f>
        <v>17.5</v>
      </c>
    </row>
  </sheetData>
  <dataConsolidate/>
  <mergeCells count="299">
    <mergeCell ref="D61:D66"/>
    <mergeCell ref="A55:A60"/>
    <mergeCell ref="B55:B60"/>
    <mergeCell ref="AT67:AT72"/>
    <mergeCell ref="AU67:AU72"/>
    <mergeCell ref="B73:AS73"/>
    <mergeCell ref="Q67:Q72"/>
    <mergeCell ref="R67:R72"/>
    <mergeCell ref="S67:S72"/>
    <mergeCell ref="T67:T72"/>
    <mergeCell ref="U67:U72"/>
    <mergeCell ref="AS67:AS72"/>
    <mergeCell ref="H67:H72"/>
    <mergeCell ref="L67:L72"/>
    <mergeCell ref="M67:M72"/>
    <mergeCell ref="N67:N72"/>
    <mergeCell ref="O67:O72"/>
    <mergeCell ref="P67:P72"/>
    <mergeCell ref="A67:A72"/>
    <mergeCell ref="B67:B72"/>
    <mergeCell ref="C67:C72"/>
    <mergeCell ref="D67:D72"/>
    <mergeCell ref="F67:F72"/>
    <mergeCell ref="G67:G72"/>
    <mergeCell ref="P61:P66"/>
    <mergeCell ref="K55:K60"/>
    <mergeCell ref="L55:L60"/>
    <mergeCell ref="Q61:Q66"/>
    <mergeCell ref="R61:R66"/>
    <mergeCell ref="F61:F66"/>
    <mergeCell ref="E67:E72"/>
    <mergeCell ref="G61:G66"/>
    <mergeCell ref="H61:H66"/>
    <mergeCell ref="L61:L66"/>
    <mergeCell ref="M61:M66"/>
    <mergeCell ref="N61:N66"/>
    <mergeCell ref="O61:O66"/>
    <mergeCell ref="M55:M60"/>
    <mergeCell ref="N55:N60"/>
    <mergeCell ref="O55:O60"/>
    <mergeCell ref="P55:P60"/>
    <mergeCell ref="Q55:Q60"/>
    <mergeCell ref="R55:R60"/>
    <mergeCell ref="K49:K54"/>
    <mergeCell ref="L49:L54"/>
    <mergeCell ref="A61:A66"/>
    <mergeCell ref="B61:B66"/>
    <mergeCell ref="C61:C66"/>
    <mergeCell ref="AS61:AS66"/>
    <mergeCell ref="AT61:AT66"/>
    <mergeCell ref="AU61:AU66"/>
    <mergeCell ref="S61:S66"/>
    <mergeCell ref="S55:S60"/>
    <mergeCell ref="T55:T60"/>
    <mergeCell ref="U55:U60"/>
    <mergeCell ref="AS55:AS60"/>
    <mergeCell ref="AT55:AT60"/>
    <mergeCell ref="AU55:AU60"/>
    <mergeCell ref="T61:T66"/>
    <mergeCell ref="U61:U66"/>
    <mergeCell ref="C55:C60"/>
    <mergeCell ref="D55:D60"/>
    <mergeCell ref="F55:F60"/>
    <mergeCell ref="G55:G60"/>
    <mergeCell ref="H55:H60"/>
    <mergeCell ref="I55:I60"/>
    <mergeCell ref="J55:J60"/>
    <mergeCell ref="A49:A54"/>
    <mergeCell ref="B49:B54"/>
    <mergeCell ref="C49:C54"/>
    <mergeCell ref="D49:D54"/>
    <mergeCell ref="F49:F54"/>
    <mergeCell ref="G49:G54"/>
    <mergeCell ref="H49:H54"/>
    <mergeCell ref="I49:I54"/>
    <mergeCell ref="J49:J54"/>
    <mergeCell ref="AT49:AT54"/>
    <mergeCell ref="AU49:AU54"/>
    <mergeCell ref="M49:M54"/>
    <mergeCell ref="N49:N54"/>
    <mergeCell ref="O49:O54"/>
    <mergeCell ref="P49:P54"/>
    <mergeCell ref="Q49:Q54"/>
    <mergeCell ref="R49:R54"/>
    <mergeCell ref="S49:S54"/>
    <mergeCell ref="T49:T54"/>
    <mergeCell ref="U49:U54"/>
    <mergeCell ref="AS49:AS54"/>
    <mergeCell ref="S43:S48"/>
    <mergeCell ref="T43:T48"/>
    <mergeCell ref="U43:U48"/>
    <mergeCell ref="AS43:AS48"/>
    <mergeCell ref="AT43:AT48"/>
    <mergeCell ref="AU43:AU48"/>
    <mergeCell ref="M43:M48"/>
    <mergeCell ref="N43:N48"/>
    <mergeCell ref="O43:O48"/>
    <mergeCell ref="P43:P48"/>
    <mergeCell ref="Q43:Q48"/>
    <mergeCell ref="R43:R48"/>
    <mergeCell ref="G43:G48"/>
    <mergeCell ref="H43:H48"/>
    <mergeCell ref="I43:I48"/>
    <mergeCell ref="J43:J48"/>
    <mergeCell ref="K43:K48"/>
    <mergeCell ref="L43:L48"/>
    <mergeCell ref="A43:A48"/>
    <mergeCell ref="B43:B48"/>
    <mergeCell ref="C43:C48"/>
    <mergeCell ref="D43:D48"/>
    <mergeCell ref="F43:F48"/>
    <mergeCell ref="S37:S42"/>
    <mergeCell ref="T37:T42"/>
    <mergeCell ref="U37:U42"/>
    <mergeCell ref="AS37:AS42"/>
    <mergeCell ref="AT37:AT42"/>
    <mergeCell ref="AU37:AU42"/>
    <mergeCell ref="M37:M42"/>
    <mergeCell ref="N37:N42"/>
    <mergeCell ref="O37:O42"/>
    <mergeCell ref="P37:P42"/>
    <mergeCell ref="Q37:Q42"/>
    <mergeCell ref="R37:R42"/>
    <mergeCell ref="G37:G42"/>
    <mergeCell ref="H37:H42"/>
    <mergeCell ref="I37:I42"/>
    <mergeCell ref="J37:J42"/>
    <mergeCell ref="K37:K42"/>
    <mergeCell ref="L37:L42"/>
    <mergeCell ref="A37:A42"/>
    <mergeCell ref="B37:B42"/>
    <mergeCell ref="C37:C42"/>
    <mergeCell ref="D37:D42"/>
    <mergeCell ref="F37:F42"/>
    <mergeCell ref="S31:S36"/>
    <mergeCell ref="T31:T36"/>
    <mergeCell ref="U31:U36"/>
    <mergeCell ref="AS31:AS36"/>
    <mergeCell ref="AT31:AT36"/>
    <mergeCell ref="AU31:AU36"/>
    <mergeCell ref="M31:M36"/>
    <mergeCell ref="N31:N36"/>
    <mergeCell ref="O31:O36"/>
    <mergeCell ref="P31:P36"/>
    <mergeCell ref="Q31:Q36"/>
    <mergeCell ref="R31:R36"/>
    <mergeCell ref="G31:G36"/>
    <mergeCell ref="H31:H36"/>
    <mergeCell ref="I31:I36"/>
    <mergeCell ref="J31:J36"/>
    <mergeCell ref="K31:K36"/>
    <mergeCell ref="L31:L36"/>
    <mergeCell ref="A31:A36"/>
    <mergeCell ref="B31:B36"/>
    <mergeCell ref="C31:C36"/>
    <mergeCell ref="D31:D36"/>
    <mergeCell ref="F31:F36"/>
    <mergeCell ref="S25:S30"/>
    <mergeCell ref="T25:T30"/>
    <mergeCell ref="U25:U30"/>
    <mergeCell ref="AS25:AS30"/>
    <mergeCell ref="AT25:AT30"/>
    <mergeCell ref="AU25:AU30"/>
    <mergeCell ref="M25:M30"/>
    <mergeCell ref="N25:N30"/>
    <mergeCell ref="O25:O30"/>
    <mergeCell ref="P25:P30"/>
    <mergeCell ref="Q25:Q30"/>
    <mergeCell ref="R25:R30"/>
    <mergeCell ref="G25:G30"/>
    <mergeCell ref="H25:H30"/>
    <mergeCell ref="I25:I30"/>
    <mergeCell ref="J25:J30"/>
    <mergeCell ref="K25:K30"/>
    <mergeCell ref="L25:L30"/>
    <mergeCell ref="A25:A30"/>
    <mergeCell ref="B25:B30"/>
    <mergeCell ref="C25:C30"/>
    <mergeCell ref="D25:D30"/>
    <mergeCell ref="F25:F30"/>
    <mergeCell ref="A19:A24"/>
    <mergeCell ref="B19:B24"/>
    <mergeCell ref="C19:C24"/>
    <mergeCell ref="D19:D24"/>
    <mergeCell ref="F19:F24"/>
    <mergeCell ref="S19:S24"/>
    <mergeCell ref="T19:T24"/>
    <mergeCell ref="U19:U24"/>
    <mergeCell ref="AS19:AS24"/>
    <mergeCell ref="M19:M24"/>
    <mergeCell ref="N19:N24"/>
    <mergeCell ref="O19:O24"/>
    <mergeCell ref="P19:P24"/>
    <mergeCell ref="Q19:Q24"/>
    <mergeCell ref="R19:R24"/>
    <mergeCell ref="G19:G24"/>
    <mergeCell ref="H19:H24"/>
    <mergeCell ref="I19:I24"/>
    <mergeCell ref="J19:J24"/>
    <mergeCell ref="K19:K24"/>
    <mergeCell ref="L19:L24"/>
    <mergeCell ref="AT19:AT24"/>
    <mergeCell ref="AU19:AU24"/>
    <mergeCell ref="J13:J18"/>
    <mergeCell ref="K13:K18"/>
    <mergeCell ref="L13:L18"/>
    <mergeCell ref="S13:S18"/>
    <mergeCell ref="T13:T18"/>
    <mergeCell ref="U13:U18"/>
    <mergeCell ref="AS13:AS18"/>
    <mergeCell ref="AT13:AT18"/>
    <mergeCell ref="AS11:AS12"/>
    <mergeCell ref="AT11:AT12"/>
    <mergeCell ref="J11:J12"/>
    <mergeCell ref="K11:K12"/>
    <mergeCell ref="N11:N12"/>
    <mergeCell ref="O11:O12"/>
    <mergeCell ref="P11:P12"/>
    <mergeCell ref="Q11:Q12"/>
    <mergeCell ref="AU13:AU18"/>
    <mergeCell ref="M13:M18"/>
    <mergeCell ref="N13:N18"/>
    <mergeCell ref="O13:O18"/>
    <mergeCell ref="P13:P18"/>
    <mergeCell ref="Q13:Q18"/>
    <mergeCell ref="R13:R18"/>
    <mergeCell ref="A13:A18"/>
    <mergeCell ref="B13:B18"/>
    <mergeCell ref="C13:C18"/>
    <mergeCell ref="D13:D18"/>
    <mergeCell ref="F13:F18"/>
    <mergeCell ref="AL11:AL12"/>
    <mergeCell ref="AM11:AM12"/>
    <mergeCell ref="AN11:AN12"/>
    <mergeCell ref="AO11:AO12"/>
    <mergeCell ref="AA11:AA12"/>
    <mergeCell ref="AB11:AG11"/>
    <mergeCell ref="AH11:AH12"/>
    <mergeCell ref="AI11:AI12"/>
    <mergeCell ref="AJ11:AJ12"/>
    <mergeCell ref="AK11:AK12"/>
    <mergeCell ref="R11:R12"/>
    <mergeCell ref="S11:S12"/>
    <mergeCell ref="T11:T12"/>
    <mergeCell ref="U11:U12"/>
    <mergeCell ref="V11:V12"/>
    <mergeCell ref="Z11:Z12"/>
    <mergeCell ref="G13:G18"/>
    <mergeCell ref="H13:H18"/>
    <mergeCell ref="I13:I18"/>
    <mergeCell ref="A8:B8"/>
    <mergeCell ref="C8:T8"/>
    <mergeCell ref="AC8:AU8"/>
    <mergeCell ref="A10:G10"/>
    <mergeCell ref="H10:K10"/>
    <mergeCell ref="L10:M11"/>
    <mergeCell ref="N10:U10"/>
    <mergeCell ref="V10:AH10"/>
    <mergeCell ref="AI10:AM10"/>
    <mergeCell ref="AN10:AR10"/>
    <mergeCell ref="AS10:AU10"/>
    <mergeCell ref="A11:A12"/>
    <mergeCell ref="B11:B12"/>
    <mergeCell ref="C11:C12"/>
    <mergeCell ref="D11:D12"/>
    <mergeCell ref="F11:F12"/>
    <mergeCell ref="G11:G12"/>
    <mergeCell ref="H11:H12"/>
    <mergeCell ref="I11:I12"/>
    <mergeCell ref="AU11:AU12"/>
    <mergeCell ref="AP11:AP12"/>
    <mergeCell ref="AQ11:AQ12"/>
    <mergeCell ref="E11:E12"/>
    <mergeCell ref="AR11:AR12"/>
    <mergeCell ref="A6:B6"/>
    <mergeCell ref="Z6:AB6"/>
    <mergeCell ref="AC6:AU6"/>
    <mergeCell ref="A7:B7"/>
    <mergeCell ref="C7:T7"/>
    <mergeCell ref="AC7:AU7"/>
    <mergeCell ref="A1:C4"/>
    <mergeCell ref="D1:T2"/>
    <mergeCell ref="AA1:AU2"/>
    <mergeCell ref="D3:I3"/>
    <mergeCell ref="J3:T3"/>
    <mergeCell ref="AA3:AO3"/>
    <mergeCell ref="AP3:AU3"/>
    <mergeCell ref="D4:T4"/>
    <mergeCell ref="AA4:AU4"/>
    <mergeCell ref="C6:U6"/>
    <mergeCell ref="E13:E18"/>
    <mergeCell ref="E19:E24"/>
    <mergeCell ref="E25:E30"/>
    <mergeCell ref="E31:E36"/>
    <mergeCell ref="E37:E42"/>
    <mergeCell ref="E43:E48"/>
    <mergeCell ref="E49:E54"/>
    <mergeCell ref="E55:E60"/>
    <mergeCell ref="E61:E66"/>
  </mergeCells>
  <conditionalFormatting sqref="O13 O19">
    <cfRule type="cellIs" dxfId="239" priority="105" operator="equal">
      <formula>"Muy Baja"</formula>
    </cfRule>
    <cfRule type="cellIs" dxfId="238" priority="104" operator="equal">
      <formula>"Baja"</formula>
    </cfRule>
    <cfRule type="cellIs" dxfId="237" priority="103" operator="equal">
      <formula>"Media"</formula>
    </cfRule>
    <cfRule type="cellIs" dxfId="236" priority="102" operator="equal">
      <formula>"Alta"</formula>
    </cfRule>
    <cfRule type="cellIs" dxfId="235" priority="101" operator="equal">
      <formula>"Muy Alta"</formula>
    </cfRule>
  </conditionalFormatting>
  <conditionalFormatting sqref="O25">
    <cfRule type="cellIs" dxfId="234" priority="84" operator="equal">
      <formula>"Alta"</formula>
    </cfRule>
    <cfRule type="cellIs" dxfId="233" priority="83" operator="equal">
      <formula>"Muy Alta"</formula>
    </cfRule>
    <cfRule type="cellIs" dxfId="232" priority="87" operator="equal">
      <formula>"Muy Baja"</formula>
    </cfRule>
    <cfRule type="cellIs" dxfId="231" priority="86" operator="equal">
      <formula>"Baja"</formula>
    </cfRule>
    <cfRule type="cellIs" dxfId="230" priority="85" operator="equal">
      <formula>"Media"</formula>
    </cfRule>
  </conditionalFormatting>
  <conditionalFormatting sqref="O31">
    <cfRule type="cellIs" dxfId="229" priority="78" operator="equal">
      <formula>"Muy Baja"</formula>
    </cfRule>
    <cfRule type="cellIs" dxfId="228" priority="77" operator="equal">
      <formula>"Baja"</formula>
    </cfRule>
    <cfRule type="cellIs" dxfId="227" priority="74" operator="equal">
      <formula>"Muy Alta"</formula>
    </cfRule>
    <cfRule type="cellIs" dxfId="226" priority="75" operator="equal">
      <formula>"Alta"</formula>
    </cfRule>
    <cfRule type="cellIs" dxfId="225" priority="76" operator="equal">
      <formula>"Media"</formula>
    </cfRule>
  </conditionalFormatting>
  <conditionalFormatting sqref="O37">
    <cfRule type="cellIs" dxfId="224" priority="65" operator="equal">
      <formula>"Muy Alta"</formula>
    </cfRule>
    <cfRule type="cellIs" dxfId="223" priority="67" operator="equal">
      <formula>"Media"</formula>
    </cfRule>
    <cfRule type="cellIs" dxfId="222" priority="66" operator="equal">
      <formula>"Alta"</formula>
    </cfRule>
    <cfRule type="cellIs" dxfId="221" priority="68" operator="equal">
      <formula>"Baja"</formula>
    </cfRule>
    <cfRule type="cellIs" dxfId="220" priority="69" operator="equal">
      <formula>"Muy Baja"</formula>
    </cfRule>
  </conditionalFormatting>
  <conditionalFormatting sqref="O43">
    <cfRule type="cellIs" dxfId="219" priority="56" operator="equal">
      <formula>"Muy Alta"</formula>
    </cfRule>
    <cfRule type="cellIs" dxfId="218" priority="58" operator="equal">
      <formula>"Media"</formula>
    </cfRule>
    <cfRule type="cellIs" dxfId="217" priority="60" operator="equal">
      <formula>"Muy Baja"</formula>
    </cfRule>
    <cfRule type="cellIs" dxfId="216" priority="59" operator="equal">
      <formula>"Baja"</formula>
    </cfRule>
    <cfRule type="cellIs" dxfId="215" priority="57" operator="equal">
      <formula>"Alta"</formula>
    </cfRule>
  </conditionalFormatting>
  <conditionalFormatting sqref="O49">
    <cfRule type="cellIs" dxfId="214" priority="47" operator="equal">
      <formula>"Muy Alta"</formula>
    </cfRule>
    <cfRule type="cellIs" dxfId="213" priority="48" operator="equal">
      <formula>"Alta"</formula>
    </cfRule>
    <cfRule type="cellIs" dxfId="212" priority="49" operator="equal">
      <formula>"Media"</formula>
    </cfRule>
    <cfRule type="cellIs" dxfId="211" priority="50" operator="equal">
      <formula>"Baja"</formula>
    </cfRule>
    <cfRule type="cellIs" dxfId="210" priority="51" operator="equal">
      <formula>"Muy Baja"</formula>
    </cfRule>
  </conditionalFormatting>
  <conditionalFormatting sqref="O55">
    <cfRule type="cellIs" dxfId="209" priority="2" operator="equal">
      <formula>"Alta"</formula>
    </cfRule>
    <cfRule type="cellIs" dxfId="208" priority="3" operator="equal">
      <formula>"Media"</formula>
    </cfRule>
    <cfRule type="cellIs" dxfId="207" priority="4" operator="equal">
      <formula>"Baja"</formula>
    </cfRule>
    <cfRule type="cellIs" dxfId="206" priority="5" operator="equal">
      <formula>"Muy Baja"</formula>
    </cfRule>
    <cfRule type="cellIs" dxfId="205" priority="1" operator="equal">
      <formula>"Muy Alta"</formula>
    </cfRule>
  </conditionalFormatting>
  <conditionalFormatting sqref="O61">
    <cfRule type="cellIs" dxfId="204" priority="34" operator="equal">
      <formula>"Muy Alta"</formula>
    </cfRule>
    <cfRule type="cellIs" dxfId="203" priority="35" operator="equal">
      <formula>"Alta"</formula>
    </cfRule>
    <cfRule type="cellIs" dxfId="202" priority="36" operator="equal">
      <formula>"Media"</formula>
    </cfRule>
    <cfRule type="cellIs" dxfId="201" priority="37" operator="equal">
      <formula>"Baja"</formula>
    </cfRule>
    <cfRule type="cellIs" dxfId="200" priority="38" operator="equal">
      <formula>"Muy Baja"</formula>
    </cfRule>
  </conditionalFormatting>
  <conditionalFormatting sqref="O67">
    <cfRule type="cellIs" dxfId="199" priority="26" operator="equal">
      <formula>"Alta"</formula>
    </cfRule>
    <cfRule type="cellIs" dxfId="198" priority="27" operator="equal">
      <formula>"Media"</formula>
    </cfRule>
    <cfRule type="cellIs" dxfId="197" priority="25" operator="equal">
      <formula>"Muy Alta"</formula>
    </cfRule>
    <cfRule type="cellIs" dxfId="196" priority="28" operator="equal">
      <formula>"Baja"</formula>
    </cfRule>
    <cfRule type="cellIs" dxfId="195" priority="29" operator="equal">
      <formula>"Muy Baja"</formula>
    </cfRule>
  </conditionalFormatting>
  <conditionalFormatting sqref="R13:R72">
    <cfRule type="containsText" dxfId="194" priority="6" operator="containsText" text="❌">
      <formula>NOT(ISERROR(SEARCH("❌",R13)))</formula>
    </cfRule>
  </conditionalFormatting>
  <conditionalFormatting sqref="S13 S19 S25 S31 S37 S43 S49 S55 S61 S67">
    <cfRule type="cellIs" dxfId="193" priority="96" operator="equal">
      <formula>"Catastrófico"</formula>
    </cfRule>
    <cfRule type="cellIs" dxfId="192" priority="97" operator="equal">
      <formula>"Mayor"</formula>
    </cfRule>
    <cfRule type="cellIs" dxfId="191" priority="98" operator="equal">
      <formula>"Moderado"</formula>
    </cfRule>
    <cfRule type="cellIs" dxfId="190" priority="99" operator="equal">
      <formula>"Menor"</formula>
    </cfRule>
    <cfRule type="cellIs" dxfId="189" priority="100" operator="equal">
      <formula>"Leve"</formula>
    </cfRule>
  </conditionalFormatting>
  <conditionalFormatting sqref="U13">
    <cfRule type="cellIs" dxfId="188" priority="95" operator="equal">
      <formula>"Bajo"</formula>
    </cfRule>
    <cfRule type="cellIs" dxfId="187" priority="92" operator="equal">
      <formula>"Extremo"</formula>
    </cfRule>
    <cfRule type="cellIs" dxfId="186" priority="93" operator="equal">
      <formula>"Alto"</formula>
    </cfRule>
    <cfRule type="cellIs" dxfId="185" priority="94" operator="equal">
      <formula>"Moderado"</formula>
    </cfRule>
  </conditionalFormatting>
  <conditionalFormatting sqref="U19">
    <cfRule type="cellIs" dxfId="184" priority="88" operator="equal">
      <formula>"Extremo"</formula>
    </cfRule>
    <cfRule type="cellIs" dxfId="183" priority="91" operator="equal">
      <formula>"Bajo"</formula>
    </cfRule>
    <cfRule type="cellIs" dxfId="182" priority="90" operator="equal">
      <formula>"Moderado"</formula>
    </cfRule>
    <cfRule type="cellIs" dxfId="181" priority="89" operator="equal">
      <formula>"Alto"</formula>
    </cfRule>
  </conditionalFormatting>
  <conditionalFormatting sqref="U25">
    <cfRule type="cellIs" dxfId="180" priority="82" operator="equal">
      <formula>"Bajo"</formula>
    </cfRule>
    <cfRule type="cellIs" dxfId="179" priority="80" operator="equal">
      <formula>"Alto"</formula>
    </cfRule>
    <cfRule type="cellIs" dxfId="178" priority="79" operator="equal">
      <formula>"Extremo"</formula>
    </cfRule>
    <cfRule type="cellIs" dxfId="177" priority="81" operator="equal">
      <formula>"Moderado"</formula>
    </cfRule>
  </conditionalFormatting>
  <conditionalFormatting sqref="U31">
    <cfRule type="cellIs" dxfId="176" priority="70" operator="equal">
      <formula>"Extremo"</formula>
    </cfRule>
    <cfRule type="cellIs" dxfId="175" priority="71" operator="equal">
      <formula>"Alto"</formula>
    </cfRule>
    <cfRule type="cellIs" dxfId="174" priority="72" operator="equal">
      <formula>"Moderado"</formula>
    </cfRule>
    <cfRule type="cellIs" dxfId="173" priority="73" operator="equal">
      <formula>"Bajo"</formula>
    </cfRule>
  </conditionalFormatting>
  <conditionalFormatting sqref="U37">
    <cfRule type="cellIs" dxfId="172" priority="62" operator="equal">
      <formula>"Alto"</formula>
    </cfRule>
    <cfRule type="cellIs" dxfId="171" priority="61" operator="equal">
      <formula>"Extremo"</formula>
    </cfRule>
    <cfRule type="cellIs" dxfId="170" priority="63" operator="equal">
      <formula>"Moderado"</formula>
    </cfRule>
    <cfRule type="cellIs" dxfId="169" priority="64" operator="equal">
      <formula>"Bajo"</formula>
    </cfRule>
  </conditionalFormatting>
  <conditionalFormatting sqref="U43">
    <cfRule type="cellIs" dxfId="168" priority="54" operator="equal">
      <formula>"Moderado"</formula>
    </cfRule>
    <cfRule type="cellIs" dxfId="167" priority="53" operator="equal">
      <formula>"Alto"</formula>
    </cfRule>
    <cfRule type="cellIs" dxfId="166" priority="55" operator="equal">
      <formula>"Bajo"</formula>
    </cfRule>
    <cfRule type="cellIs" dxfId="165" priority="52" operator="equal">
      <formula>"Extremo"</formula>
    </cfRule>
  </conditionalFormatting>
  <conditionalFormatting sqref="U49">
    <cfRule type="cellIs" dxfId="164" priority="46" operator="equal">
      <formula>"Bajo"</formula>
    </cfRule>
    <cfRule type="cellIs" dxfId="163" priority="45" operator="equal">
      <formula>"Moderado"</formula>
    </cfRule>
    <cfRule type="cellIs" dxfId="162" priority="44" operator="equal">
      <formula>"Alto"</formula>
    </cfRule>
    <cfRule type="cellIs" dxfId="161" priority="43" operator="equal">
      <formula>"Extremo"</formula>
    </cfRule>
  </conditionalFormatting>
  <conditionalFormatting sqref="U55">
    <cfRule type="cellIs" dxfId="160" priority="41" operator="equal">
      <formula>"Moderado"</formula>
    </cfRule>
    <cfRule type="cellIs" dxfId="159" priority="39" operator="equal">
      <formula>"Extremo"</formula>
    </cfRule>
    <cfRule type="cellIs" dxfId="158" priority="42" operator="equal">
      <formula>"Bajo"</formula>
    </cfRule>
    <cfRule type="cellIs" dxfId="157" priority="40" operator="equal">
      <formula>"Alto"</formula>
    </cfRule>
  </conditionalFormatting>
  <conditionalFormatting sqref="U61">
    <cfRule type="cellIs" dxfId="156" priority="30" operator="equal">
      <formula>"Extremo"</formula>
    </cfRule>
    <cfRule type="cellIs" dxfId="155" priority="32" operator="equal">
      <formula>"Moderado"</formula>
    </cfRule>
    <cfRule type="cellIs" dxfId="154" priority="33" operator="equal">
      <formula>"Bajo"</formula>
    </cfRule>
    <cfRule type="cellIs" dxfId="153" priority="31" operator="equal">
      <formula>"Alto"</formula>
    </cfRule>
  </conditionalFormatting>
  <conditionalFormatting sqref="U67">
    <cfRule type="cellIs" dxfId="152" priority="21" operator="equal">
      <formula>"Extremo"</formula>
    </cfRule>
    <cfRule type="cellIs" dxfId="151" priority="24" operator="equal">
      <formula>"Bajo"</formula>
    </cfRule>
    <cfRule type="cellIs" dxfId="150" priority="23" operator="equal">
      <formula>"Moderado"</formula>
    </cfRule>
    <cfRule type="cellIs" dxfId="149" priority="22" operator="equal">
      <formula>"Alto"</formula>
    </cfRule>
  </conditionalFormatting>
  <conditionalFormatting sqref="AI13:AI72">
    <cfRule type="cellIs" dxfId="148" priority="20" operator="equal">
      <formula>"Muy Baja"</formula>
    </cfRule>
    <cfRule type="cellIs" dxfId="147" priority="19" operator="equal">
      <formula>"Baja"</formula>
    </cfRule>
    <cfRule type="cellIs" dxfId="146" priority="18" operator="equal">
      <formula>"Media"</formula>
    </cfRule>
    <cfRule type="cellIs" dxfId="145" priority="17" operator="equal">
      <formula>"Alta"</formula>
    </cfRule>
    <cfRule type="cellIs" dxfId="144" priority="16" operator="equal">
      <formula>"Muy Alta"</formula>
    </cfRule>
  </conditionalFormatting>
  <conditionalFormatting sqref="AK13:AK72">
    <cfRule type="cellIs" dxfId="143" priority="14" operator="equal">
      <formula>"Menor"</formula>
    </cfRule>
    <cfRule type="cellIs" dxfId="142" priority="15" operator="equal">
      <formula>"Leve"</formula>
    </cfRule>
    <cfRule type="cellIs" dxfId="141" priority="12" operator="equal">
      <formula>"Mayor"</formula>
    </cfRule>
    <cfRule type="cellIs" dxfId="140" priority="11" operator="equal">
      <formula>"Catastrófico"</formula>
    </cfRule>
    <cfRule type="cellIs" dxfId="139" priority="13" operator="equal">
      <formula>"Moderado"</formula>
    </cfRule>
  </conditionalFormatting>
  <conditionalFormatting sqref="AM13:AM72">
    <cfRule type="cellIs" dxfId="138" priority="7" operator="equal">
      <formula>"Extremo"</formula>
    </cfRule>
    <cfRule type="cellIs" dxfId="137" priority="10" operator="equal">
      <formula>"Bajo"</formula>
    </cfRule>
    <cfRule type="cellIs" dxfId="136" priority="9" operator="equal">
      <formula>"Moderado"</formula>
    </cfRule>
    <cfRule type="cellIs" dxfId="135" priority="8" operator="equal">
      <formula>"Alto"</formula>
    </cfRule>
  </conditionalFormatting>
  <pageMargins left="0.70866141732283472" right="0.70866141732283472" top="0.74803149606299213" bottom="0.74803149606299213" header="0.31496062992125984" footer="0.31496062992125984"/>
  <pageSetup scale="31" orientation="landscape" r:id="rId1"/>
  <headerFooter>
    <oddFooter>&amp;LCalle 26 No. 69-76,Edificio Elemento ,   Torre Aire , Piso 3, CP-111071
PBX:(+57) 601-3779555 - Información: Línea 195
Sede Operativa: Calle 22D No. 120-40 
www.umv.gov.co&amp;CDES-FM-018
Página &amp;P de &amp;N</oddFooter>
  </headerFooter>
  <colBreaks count="1" manualBreakCount="1">
    <brk id="20" max="75" man="1"/>
  </colBreaks>
  <drawing r:id="rId2"/>
  <extLst>
    <ext xmlns:x14="http://schemas.microsoft.com/office/spreadsheetml/2009/9/main" uri="{CCE6A557-97BC-4b89-ADB6-D9C93CAAB3DF}">
      <x14:dataValidations xmlns:xm="http://schemas.microsoft.com/office/excel/2006/main" count="17">
        <x14:dataValidation type="list" allowBlank="1" showInputMessage="1" showErrorMessage="1" xr:uid="{00000000-0002-0000-0700-000000000000}">
          <x14:formula1>
            <xm:f>Listas!$H$4:$H$8</xm:f>
          </x14:formula1>
          <xm:sqref>X13:X72</xm:sqref>
        </x14:dataValidation>
        <x14:dataValidation type="list" allowBlank="1" showInputMessage="1" showErrorMessage="1" xr:uid="{00000000-0002-0000-0700-000001000000}">
          <x14:formula1>
            <xm:f>Listas!$H$11:$H$21</xm:f>
          </x14:formula1>
          <xm:sqref>L13:L72</xm:sqref>
        </x14:dataValidation>
        <x14:dataValidation type="list" allowBlank="1" showInputMessage="1" showErrorMessage="1" xr:uid="{00000000-0002-0000-0700-000002000000}">
          <x14:formula1>
            <xm:f>Listas!$F$11:$F$12</xm:f>
          </x14:formula1>
          <xm:sqref>H13:H72</xm:sqref>
        </x14:dataValidation>
        <x14:dataValidation type="custom" allowBlank="1" showInputMessage="1" showErrorMessage="1" error="Recuerde que las acciones se generan bajo la medida de mitigar el riesgo" xr:uid="{00000000-0002-0000-0700-000003000000}">
          <x14:formula1>
            <xm:f>IF(OR(#REF!=Listas!$B$4,#REF!=Listas!$B$5,#REF!=Listas!$B$6),ISBLANK(#REF!),ISTEXT(#REF!))</xm:f>
          </x14:formula1>
          <xm:sqref>AS19:AU19 AS67:AU67 AS61:AU61 AS55:AU55 AS49:AU49 AS43:AU43 AS37:AU37 AS31:AU31 AS25:AU25</xm:sqref>
        </x14:dataValidation>
        <x14:dataValidation type="list" allowBlank="1" showInputMessage="1" showErrorMessage="1" xr:uid="{00000000-0002-0000-0700-000004000000}">
          <x14:formula1>
            <xm:f>'Tabla Impacto'!$F$234:$F$237</xm:f>
          </x14:formula1>
          <xm:sqref>Q13:Q72</xm:sqref>
        </x14:dataValidation>
        <x14:dataValidation type="list" allowBlank="1" showInputMessage="1" showErrorMessage="1" xr:uid="{00000000-0002-0000-0700-000005000000}">
          <x14:formula1>
            <xm:f>Listas!$E$2:$E$3</xm:f>
          </x14:formula1>
          <xm:sqref>B19:B72</xm:sqref>
        </x14:dataValidation>
        <x14:dataValidation type="list" allowBlank="1" showInputMessage="1" showErrorMessage="1" xr:uid="{00000000-0002-0000-0700-000006000000}">
          <x14:formula1>
            <xm:f>'Tabla Valoración controles'!$D$13:$D$14</xm:f>
          </x14:formula1>
          <xm:sqref>AG13:AG72</xm:sqref>
        </x14:dataValidation>
        <x14:dataValidation type="list" allowBlank="1" showInputMessage="1" showErrorMessage="1" xr:uid="{00000000-0002-0000-0700-000007000000}">
          <x14:formula1>
            <xm:f>'Tabla Valoración controles'!$D$11:$D$12</xm:f>
          </x14:formula1>
          <xm:sqref>AF13:AF72</xm:sqref>
        </x14:dataValidation>
        <x14:dataValidation type="list" allowBlank="1" showInputMessage="1" showErrorMessage="1" xr:uid="{00000000-0002-0000-0700-000008000000}">
          <x14:formula1>
            <xm:f>'Tabla Valoración controles'!$D$9:$D$10</xm:f>
          </x14:formula1>
          <xm:sqref>AE13:AE72</xm:sqref>
        </x14:dataValidation>
        <x14:dataValidation type="list" allowBlank="1" showInputMessage="1" showErrorMessage="1" xr:uid="{00000000-0002-0000-0700-000009000000}">
          <x14:formula1>
            <xm:f>'Tabla Valoración controles'!$D$7:$D$8</xm:f>
          </x14:formula1>
          <xm:sqref>AC13:AC72</xm:sqref>
        </x14:dataValidation>
        <x14:dataValidation type="list" allowBlank="1" showInputMessage="1" showErrorMessage="1" xr:uid="{00000000-0002-0000-0700-00000A000000}">
          <x14:formula1>
            <xm:f>'Tabla Valoración controles'!$D$4:$D$5</xm:f>
          </x14:formula1>
          <xm:sqref>AB13:AB72</xm:sqref>
        </x14:dataValidation>
        <x14:dataValidation type="list" allowBlank="1" showInputMessage="1" showErrorMessage="1" xr:uid="{00000000-0002-0000-0700-00000B000000}">
          <x14:formula1>
            <xm:f>'Intructivo control cambio'!$C$294:$C$308</xm:f>
          </x14:formula1>
          <xm:sqref>V6:Y6</xm:sqref>
        </x14:dataValidation>
        <x14:dataValidation type="list" allowBlank="1" showInputMessage="1" showErrorMessage="1" xr:uid="{00000000-0002-0000-0700-00000C000000}">
          <x14:formula1>
            <xm:f>'Intructivo control cambio'!$C$294:$C$318</xm:f>
          </x14:formula1>
          <xm:sqref>C6:U6</xm:sqref>
        </x14:dataValidation>
        <x14:dataValidation type="list" allowBlank="1" showInputMessage="1" showErrorMessage="1" xr:uid="{00000000-0002-0000-0700-00000D000000}">
          <x14:formula1>
            <xm:f>Listas!$B$21:$B$24</xm:f>
          </x14:formula1>
          <xm:sqref>G13:G72</xm:sqref>
        </x14:dataValidation>
        <x14:dataValidation type="list" allowBlank="1" showInputMessage="1" showErrorMessage="1" xr:uid="{00000000-0002-0000-0700-00000E000000}">
          <x14:formula1>
            <xm:f>Listas!$L$5:$L$9</xm:f>
          </x14:formula1>
          <xm:sqref>M19:M72</xm:sqref>
        </x14:dataValidation>
        <x14:dataValidation type="list" allowBlank="1" showInputMessage="1" showErrorMessage="1" xr:uid="{00000000-0002-0000-0700-00000F000000}">
          <x14:formula1>
            <xm:f>Listas!$L$4:$L$9</xm:f>
          </x14:formula1>
          <xm:sqref>M13:M18</xm:sqref>
        </x14:dataValidation>
        <x14:dataValidation type="list" allowBlank="1" showInputMessage="1" showErrorMessage="1" xr:uid="{00000000-0002-0000-0700-000010000000}">
          <x14:formula1>
            <xm:f>Listas!$B$4:$B$7</xm:f>
          </x14:formula1>
          <xm:sqref>AN13:AN72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5" tint="0.59999389629810485"/>
    <pageSetUpPr fitToPage="1"/>
  </sheetPr>
  <dimension ref="B1:H30"/>
  <sheetViews>
    <sheetView topLeftCell="D20" zoomScaleNormal="100" zoomScaleSheetLayoutView="90" workbookViewId="0">
      <selection activeCell="G31" sqref="G31"/>
    </sheetView>
  </sheetViews>
  <sheetFormatPr baseColWidth="10" defaultColWidth="11.42578125" defaultRowHeight="14.25" x14ac:dyDescent="0.25"/>
  <cols>
    <col min="1" max="1" width="2.28515625" style="145" customWidth="1"/>
    <col min="2" max="2" width="11.42578125" style="145"/>
    <col min="3" max="3" width="34.28515625" style="145" customWidth="1"/>
    <col min="4" max="4" width="36.42578125" style="145" customWidth="1"/>
    <col min="5" max="6" width="13.7109375" style="145" customWidth="1"/>
    <col min="7" max="7" width="1.28515625" style="145" customWidth="1"/>
    <col min="8" max="16384" width="11.42578125" style="145"/>
  </cols>
  <sheetData>
    <row r="1" spans="2:6" ht="11.25" customHeight="1" thickBot="1" x14ac:dyDescent="0.3"/>
    <row r="2" spans="2:6" ht="18.75" customHeight="1" thickBot="1" x14ac:dyDescent="0.3">
      <c r="B2" s="698" t="s">
        <v>513</v>
      </c>
      <c r="C2" s="699"/>
      <c r="D2" s="699"/>
      <c r="E2" s="699"/>
      <c r="F2" s="700"/>
    </row>
    <row r="3" spans="2:6" ht="31.9" customHeight="1" x14ac:dyDescent="0.25">
      <c r="B3" s="701" t="s">
        <v>514</v>
      </c>
      <c r="C3" s="703" t="s">
        <v>515</v>
      </c>
      <c r="D3" s="703"/>
      <c r="E3" s="703" t="s">
        <v>516</v>
      </c>
      <c r="F3" s="705"/>
    </row>
    <row r="4" spans="2:6" ht="28.15" customHeight="1" thickBot="1" x14ac:dyDescent="0.3">
      <c r="B4" s="702"/>
      <c r="C4" s="704"/>
      <c r="D4" s="704"/>
      <c r="E4" s="148" t="s">
        <v>517</v>
      </c>
      <c r="F4" s="149" t="s">
        <v>518</v>
      </c>
    </row>
    <row r="5" spans="2:6" ht="23.25" customHeight="1" x14ac:dyDescent="0.2">
      <c r="B5" s="146">
        <v>1</v>
      </c>
      <c r="C5" s="706" t="s">
        <v>519</v>
      </c>
      <c r="D5" s="706"/>
      <c r="E5" s="358" t="s">
        <v>734</v>
      </c>
      <c r="F5" s="359"/>
    </row>
    <row r="6" spans="2:6" ht="33" customHeight="1" x14ac:dyDescent="0.2">
      <c r="B6" s="147">
        <v>2</v>
      </c>
      <c r="C6" s="695" t="s">
        <v>520</v>
      </c>
      <c r="D6" s="695"/>
      <c r="E6" s="360" t="s">
        <v>734</v>
      </c>
      <c r="F6" s="361"/>
    </row>
    <row r="7" spans="2:6" ht="39" customHeight="1" x14ac:dyDescent="0.2">
      <c r="B7" s="147">
        <v>3</v>
      </c>
      <c r="C7" s="695" t="s">
        <v>521</v>
      </c>
      <c r="D7" s="695"/>
      <c r="E7" s="360" t="s">
        <v>734</v>
      </c>
      <c r="F7" s="361"/>
    </row>
    <row r="8" spans="2:6" ht="24.75" customHeight="1" x14ac:dyDescent="0.2">
      <c r="B8" s="147">
        <v>4</v>
      </c>
      <c r="C8" s="695" t="s">
        <v>522</v>
      </c>
      <c r="D8" s="695"/>
      <c r="E8" s="360"/>
      <c r="F8" s="361" t="s">
        <v>734</v>
      </c>
    </row>
    <row r="9" spans="2:6" ht="23.25" customHeight="1" x14ac:dyDescent="0.2">
      <c r="B9" s="147">
        <v>5</v>
      </c>
      <c r="C9" s="695" t="s">
        <v>523</v>
      </c>
      <c r="D9" s="695"/>
      <c r="E9" s="360" t="s">
        <v>734</v>
      </c>
      <c r="F9" s="361"/>
    </row>
    <row r="10" spans="2:6" ht="23.25" customHeight="1" x14ac:dyDescent="0.2">
      <c r="B10" s="147">
        <v>6</v>
      </c>
      <c r="C10" s="695" t="s">
        <v>524</v>
      </c>
      <c r="D10" s="695"/>
      <c r="E10" s="362" t="s">
        <v>734</v>
      </c>
      <c r="F10" s="361"/>
    </row>
    <row r="11" spans="2:6" ht="23.25" customHeight="1" x14ac:dyDescent="0.2">
      <c r="B11" s="147">
        <v>7</v>
      </c>
      <c r="C11" s="695" t="s">
        <v>525</v>
      </c>
      <c r="D11" s="695"/>
      <c r="E11" s="360"/>
      <c r="F11" s="361" t="s">
        <v>734</v>
      </c>
    </row>
    <row r="12" spans="2:6" ht="25.5" customHeight="1" x14ac:dyDescent="0.2">
      <c r="B12" s="147">
        <v>8</v>
      </c>
      <c r="C12" s="695" t="s">
        <v>526</v>
      </c>
      <c r="D12" s="695"/>
      <c r="E12" s="360"/>
      <c r="F12" s="361" t="s">
        <v>734</v>
      </c>
    </row>
    <row r="13" spans="2:6" ht="23.25" customHeight="1" x14ac:dyDescent="0.2">
      <c r="B13" s="147">
        <v>9</v>
      </c>
      <c r="C13" s="695" t="s">
        <v>527</v>
      </c>
      <c r="D13" s="695"/>
      <c r="E13" s="360"/>
      <c r="F13" s="361" t="s">
        <v>734</v>
      </c>
    </row>
    <row r="14" spans="2:6" ht="23.25" customHeight="1" x14ac:dyDescent="0.2">
      <c r="B14" s="147">
        <v>10</v>
      </c>
      <c r="C14" s="695" t="s">
        <v>528</v>
      </c>
      <c r="D14" s="695"/>
      <c r="E14" s="362" t="s">
        <v>734</v>
      </c>
      <c r="F14" s="361"/>
    </row>
    <row r="15" spans="2:6" ht="23.25" customHeight="1" x14ac:dyDescent="0.2">
      <c r="B15" s="147">
        <v>11</v>
      </c>
      <c r="C15" s="695" t="s">
        <v>529</v>
      </c>
      <c r="D15" s="695"/>
      <c r="E15" s="360" t="s">
        <v>734</v>
      </c>
      <c r="F15" s="361"/>
    </row>
    <row r="16" spans="2:6" ht="23.25" customHeight="1" x14ac:dyDescent="0.2">
      <c r="B16" s="147">
        <v>12</v>
      </c>
      <c r="C16" s="695" t="s">
        <v>530</v>
      </c>
      <c r="D16" s="695"/>
      <c r="E16" s="360" t="s">
        <v>734</v>
      </c>
      <c r="F16" s="361"/>
    </row>
    <row r="17" spans="2:8" ht="23.25" customHeight="1" x14ac:dyDescent="0.2">
      <c r="B17" s="147">
        <v>13</v>
      </c>
      <c r="C17" s="695" t="s">
        <v>531</v>
      </c>
      <c r="D17" s="695"/>
      <c r="E17" s="360" t="s">
        <v>734</v>
      </c>
      <c r="F17" s="361"/>
    </row>
    <row r="18" spans="2:8" ht="23.25" customHeight="1" x14ac:dyDescent="0.2">
      <c r="B18" s="147">
        <v>14</v>
      </c>
      <c r="C18" s="695" t="s">
        <v>532</v>
      </c>
      <c r="D18" s="695"/>
      <c r="E18" s="360" t="s">
        <v>734</v>
      </c>
      <c r="F18" s="361"/>
    </row>
    <row r="19" spans="2:8" ht="23.25" customHeight="1" x14ac:dyDescent="0.2">
      <c r="B19" s="147">
        <v>15</v>
      </c>
      <c r="C19" s="695" t="s">
        <v>533</v>
      </c>
      <c r="D19" s="695"/>
      <c r="E19" s="360"/>
      <c r="F19" s="361" t="s">
        <v>734</v>
      </c>
    </row>
    <row r="20" spans="2:8" ht="23.25" customHeight="1" x14ac:dyDescent="0.2">
      <c r="B20" s="147">
        <v>16</v>
      </c>
      <c r="C20" s="695" t="s">
        <v>534</v>
      </c>
      <c r="D20" s="695"/>
      <c r="E20" s="360"/>
      <c r="F20" s="361" t="s">
        <v>734</v>
      </c>
    </row>
    <row r="21" spans="2:8" ht="23.25" customHeight="1" x14ac:dyDescent="0.2">
      <c r="B21" s="147">
        <v>17</v>
      </c>
      <c r="C21" s="695" t="s">
        <v>535</v>
      </c>
      <c r="D21" s="695"/>
      <c r="E21" s="360"/>
      <c r="F21" s="361" t="s">
        <v>734</v>
      </c>
    </row>
    <row r="22" spans="2:8" ht="23.25" customHeight="1" x14ac:dyDescent="0.2">
      <c r="B22" s="147">
        <v>18</v>
      </c>
      <c r="C22" s="696" t="s">
        <v>536</v>
      </c>
      <c r="D22" s="696"/>
      <c r="E22" s="360"/>
      <c r="F22" s="361" t="s">
        <v>734</v>
      </c>
    </row>
    <row r="23" spans="2:8" ht="23.25" customHeight="1" thickBot="1" x14ac:dyDescent="0.25">
      <c r="B23" s="147">
        <v>19</v>
      </c>
      <c r="C23" s="695" t="s">
        <v>537</v>
      </c>
      <c r="D23" s="695"/>
      <c r="E23" s="360"/>
      <c r="F23" s="361" t="s">
        <v>734</v>
      </c>
    </row>
    <row r="24" spans="2:8" ht="15.75" customHeight="1" thickBot="1" x14ac:dyDescent="0.3">
      <c r="B24" s="697" t="s">
        <v>538</v>
      </c>
      <c r="C24" s="693"/>
      <c r="D24" s="693"/>
      <c r="E24" s="693">
        <f>COUNTIF(E5:E23,"X")</f>
        <v>10</v>
      </c>
      <c r="F24" s="694"/>
    </row>
    <row r="25" spans="2:8" ht="15.75" customHeight="1" thickBot="1" x14ac:dyDescent="0.3">
      <c r="B25" s="241"/>
      <c r="C25" s="241"/>
      <c r="D25" s="241"/>
      <c r="E25" s="241"/>
      <c r="F25" s="241"/>
    </row>
    <row r="26" spans="2:8" ht="24" customHeight="1" x14ac:dyDescent="0.2">
      <c r="B26" s="689" t="s">
        <v>539</v>
      </c>
      <c r="C26" s="689"/>
      <c r="D26" s="689"/>
      <c r="E26" s="691" t="s">
        <v>540</v>
      </c>
      <c r="F26" s="691"/>
      <c r="H26" s="112" t="s">
        <v>474</v>
      </c>
    </row>
    <row r="27" spans="2:8" ht="24" customHeight="1" x14ac:dyDescent="0.2">
      <c r="B27" s="690" t="s">
        <v>541</v>
      </c>
      <c r="C27" s="690"/>
      <c r="D27" s="690"/>
      <c r="E27" s="692"/>
      <c r="F27" s="692"/>
      <c r="H27" s="112" t="s">
        <v>512</v>
      </c>
    </row>
    <row r="28" spans="2:8" ht="24" customHeight="1" x14ac:dyDescent="0.2">
      <c r="B28" s="240" t="s">
        <v>542</v>
      </c>
      <c r="C28" s="239"/>
      <c r="D28" s="239"/>
      <c r="E28" s="692"/>
      <c r="F28" s="692"/>
      <c r="H28" s="112" t="s">
        <v>543</v>
      </c>
    </row>
    <row r="29" spans="2:8" x14ac:dyDescent="0.25">
      <c r="B29" s="225"/>
    </row>
    <row r="30" spans="2:8" x14ac:dyDescent="0.25">
      <c r="B30" s="225"/>
    </row>
  </sheetData>
  <mergeCells count="28">
    <mergeCell ref="C6:D6"/>
    <mergeCell ref="B2:F2"/>
    <mergeCell ref="B3:B4"/>
    <mergeCell ref="C3:D4"/>
    <mergeCell ref="E3:F3"/>
    <mergeCell ref="C5:D5"/>
    <mergeCell ref="C18:D18"/>
    <mergeCell ref="C7:D7"/>
    <mergeCell ref="C8:D8"/>
    <mergeCell ref="C9:D9"/>
    <mergeCell ref="C10:D10"/>
    <mergeCell ref="C11:D11"/>
    <mergeCell ref="C12:D12"/>
    <mergeCell ref="C13:D13"/>
    <mergeCell ref="C14:D14"/>
    <mergeCell ref="C15:D15"/>
    <mergeCell ref="C16:D16"/>
    <mergeCell ref="C17:D17"/>
    <mergeCell ref="B26:D26"/>
    <mergeCell ref="B27:D27"/>
    <mergeCell ref="E26:F28"/>
    <mergeCell ref="E24:F24"/>
    <mergeCell ref="C19:D19"/>
    <mergeCell ref="C20:D20"/>
    <mergeCell ref="C21:D21"/>
    <mergeCell ref="C22:D22"/>
    <mergeCell ref="C23:D23"/>
    <mergeCell ref="B24:D24"/>
  </mergeCells>
  <dataValidations count="1">
    <dataValidation type="list" allowBlank="1" showInputMessage="1" showErrorMessage="1" sqref="E5:F23" xr:uid="{00000000-0002-0000-0800-000000000000}">
      <formula1>"X"</formula1>
    </dataValidation>
  </dataValidations>
  <printOptions horizontalCentered="1"/>
  <pageMargins left="0.25" right="0.25" top="0.75" bottom="0.75" header="0.3" footer="0.3"/>
  <pageSetup scale="8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70eaac67-e064-433b-ba54-6f78c0f1ecb1">
      <UserInfo>
        <DisplayName>Stefany Ospino Cuellar</DisplayName>
        <AccountId>1659</AccountId>
        <AccountType/>
      </UserInfo>
      <UserInfo>
        <DisplayName>German Andres Hernandez Matiz</DisplayName>
        <AccountId>571</AccountId>
        <AccountType/>
      </UserInfo>
    </SharedWithUsers>
    <TaxCatchAll xmlns="70eaac67-e064-433b-ba54-6f78c0f1ecb1" xsi:nil="true"/>
    <lcf76f155ced4ddcb4097134ff3c332f xmlns="64d77176-54eb-4753-be67-9b2e2fa23e0f">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F0CCD84194CB24D8526459418388F85" ma:contentTypeVersion="19" ma:contentTypeDescription="Crear nuevo documento." ma:contentTypeScope="" ma:versionID="1546d84508d0a19fa9f2decf4348aac9">
  <xsd:schema xmlns:xsd="http://www.w3.org/2001/XMLSchema" xmlns:xs="http://www.w3.org/2001/XMLSchema" xmlns:p="http://schemas.microsoft.com/office/2006/metadata/properties" xmlns:ns1="http://schemas.microsoft.com/sharepoint/v3" xmlns:ns2="64d77176-54eb-4753-be67-9b2e2fa23e0f" xmlns:ns3="70eaac67-e064-433b-ba54-6f78c0f1ecb1" targetNamespace="http://schemas.microsoft.com/office/2006/metadata/properties" ma:root="true" ma:fieldsID="54bed18be0c869b59340f686d3cdf95e" ns1:_="" ns2:_="" ns3:_="">
    <xsd:import namespace="http://schemas.microsoft.com/sharepoint/v3"/>
    <xsd:import namespace="64d77176-54eb-4753-be67-9b2e2fa23e0f"/>
    <xsd:import namespace="70eaac67-e064-433b-ba54-6f78c0f1ecb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3:SharedWithUsers" minOccurs="0"/>
                <xsd:element ref="ns3:SharedWithDetails"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4d77176-54eb-4753-be67-9b2e2fa23e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ca5960cb-9bf6-480a-8d5d-5a94d253b0e7" ma:termSetId="09814cd3-568e-fe90-9814-8d621ff8fb84" ma:anchorId="fba54fb3-c3e1-fe81-a776-ca4b69148c4d" ma:open="true" ma:isKeyword="false">
      <xsd:complexType>
        <xsd:sequence>
          <xsd:element ref="pc:Terms" minOccurs="0" maxOccurs="1"/>
        </xsd:sequence>
      </xsd:complexType>
    </xsd:element>
    <xsd:element name="MediaServiceSearchProperties" ma:index="2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0eaac67-e064-433b-ba54-6f78c0f1ecb1"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7c4427a-9750-41f9-ad55-9fc71e3b9295}" ma:internalName="TaxCatchAll" ma:showField="CatchAllData" ma:web="70eaac67-e064-433b-ba54-6f78c0f1ec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D5E4EF-2809-49C9-8DCF-B2E4E5208101}">
  <ds:schemaRefs>
    <ds:schemaRef ds:uri="http://schemas.openxmlformats.org/package/2006/metadata/core-properties"/>
    <ds:schemaRef ds:uri="http://schemas.microsoft.com/sharepoint/v3"/>
    <ds:schemaRef ds:uri="http://www.w3.org/XML/1998/namespace"/>
    <ds:schemaRef ds:uri="http://purl.org/dc/terms/"/>
    <ds:schemaRef ds:uri="http://schemas.microsoft.com/office/2006/documentManagement/types"/>
    <ds:schemaRef ds:uri="http://purl.org/dc/dcmitype/"/>
    <ds:schemaRef ds:uri="70eaac67-e064-433b-ba54-6f78c0f1ecb1"/>
    <ds:schemaRef ds:uri="http://purl.org/dc/elements/1.1/"/>
    <ds:schemaRef ds:uri="http://schemas.microsoft.com/office/infopath/2007/PartnerControls"/>
    <ds:schemaRef ds:uri="64d77176-54eb-4753-be67-9b2e2fa23e0f"/>
    <ds:schemaRef ds:uri="http://schemas.microsoft.com/office/2006/metadata/properties"/>
  </ds:schemaRefs>
</ds:datastoreItem>
</file>

<file path=customXml/itemProps2.xml><?xml version="1.0" encoding="utf-8"?>
<ds:datastoreItem xmlns:ds="http://schemas.openxmlformats.org/officeDocument/2006/customXml" ds:itemID="{28F9D396-168A-421B-BF9D-116A92C771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4d77176-54eb-4753-be67-9b2e2fa23e0f"/>
    <ds:schemaRef ds:uri="70eaac67-e064-433b-ba54-6f78c0f1ec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238E702-99CD-4A3A-A328-D1F3ADA68EB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19</vt:i4>
      </vt:variant>
      <vt:variant>
        <vt:lpstr>Rangos con nombre</vt:lpstr>
      </vt:variant>
      <vt:variant>
        <vt:i4>11</vt:i4>
      </vt:variant>
    </vt:vector>
  </HeadingPairs>
  <TitlesOfParts>
    <vt:vector size="30" baseType="lpstr">
      <vt:lpstr>Intructivo control cambio</vt:lpstr>
      <vt:lpstr>Revisión DOFA</vt:lpstr>
      <vt:lpstr>Listas</vt:lpstr>
      <vt:lpstr>Riesgos de Gestión</vt:lpstr>
      <vt:lpstr>Matriz Calor Inherente</vt:lpstr>
      <vt:lpstr>Matriz Calor Residual</vt:lpstr>
      <vt:lpstr>Riesgos Fiscales</vt:lpstr>
      <vt:lpstr>Riesgos de Corrupción</vt:lpstr>
      <vt:lpstr>Impacto Corrupción </vt:lpstr>
      <vt:lpstr>Riesgos de Seguridad </vt:lpstr>
      <vt:lpstr>Riesgos de LA FT </vt:lpstr>
      <vt:lpstr>Impacto LA-FT</vt:lpstr>
      <vt:lpstr>Tabla Impacto</vt:lpstr>
      <vt:lpstr>Tabla probabilidad</vt:lpstr>
      <vt:lpstr>Clasificación de riesgos</vt:lpstr>
      <vt:lpstr>Amenazas</vt:lpstr>
      <vt:lpstr>Ejemplos de riesgos</vt:lpstr>
      <vt:lpstr>Tabla Valoración controles</vt:lpstr>
      <vt:lpstr>Hoja1</vt:lpstr>
      <vt:lpstr>'Impacto Corrupción '!Área_de_impresión</vt:lpstr>
      <vt:lpstr>'Riesgos de Corrupción'!Área_de_impresión</vt:lpstr>
      <vt:lpstr>'Riesgos de Gestión'!Área_de_impresión</vt:lpstr>
      <vt:lpstr>'Riesgos de LA FT '!Área_de_impresión</vt:lpstr>
      <vt:lpstr>'Riesgos de Seguridad '!Área_de_impresión</vt:lpstr>
      <vt:lpstr>'Riesgos Fiscales'!Área_de_impresión</vt:lpstr>
      <vt:lpstr>'Riesgos de Corrupción'!Títulos_a_imprimir</vt:lpstr>
      <vt:lpstr>'Riesgos de Gestión'!Títulos_a_imprimir</vt:lpstr>
      <vt:lpstr>'Riesgos de LA FT '!Títulos_a_imprimir</vt:lpstr>
      <vt:lpstr>'Riesgos de Seguridad '!Títulos_a_imprimir</vt:lpstr>
      <vt:lpstr>'Riesgos Fiscales'!Títulos_a_imprimir</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maria natalia norato mora</cp:lastModifiedBy>
  <cp:revision/>
  <dcterms:created xsi:type="dcterms:W3CDTF">2020-03-24T23:12:47Z</dcterms:created>
  <dcterms:modified xsi:type="dcterms:W3CDTF">2025-04-30T20:51:42Z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0x0101005F0CCD84194CB24D8526459418388F85</vt:lpwstr>
  </property>
  <property fmtid="{D5CDD505-2E9C-101B-9397-08002B2CF9AE}" pid="3" name="MediaServiceImageTags">
    <vt:lpwstr/>
  </property>
</Properties>
</file>