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hidePivotFieldList="1" defaultThemeVersion="124226"/>
  <mc:AlternateContent xmlns:mc="http://schemas.openxmlformats.org/markup-compatibility/2006">
    <mc:Choice Requires="x15">
      <x15ac:absPath xmlns:x15ac="http://schemas.microsoft.com/office/spreadsheetml/2010/11/ac" url="https://d.docs.live.net/4592eb41938d7ffb/Documentos/UMV/2023/a. Enero/Mapa de Riesgos 2023/"/>
    </mc:Choice>
  </mc:AlternateContent>
  <xr:revisionPtr revIDLastSave="10" documentId="11_36F57224FA462FFAB8EA709D77D813ABBCF70F9B" xr6:coauthVersionLast="47" xr6:coauthVersionMax="47" xr10:uidLastSave="{AE02B8CE-ED9B-4EF7-B77A-6579E0D607BA}"/>
  <bookViews>
    <workbookView xWindow="-120" yWindow="-120" windowWidth="20730" windowHeight="11040" tabRatio="933" activeTab="3" xr2:uid="{00000000-000D-0000-FFFF-FFFF00000000}"/>
  </bookViews>
  <sheets>
    <sheet name="Intructivo" sheetId="20" r:id="rId1"/>
    <sheet name="Revisión DOFA" sheetId="21" state="hidden" r:id="rId2"/>
    <sheet name="Listas" sheetId="16" state="hidden" r:id="rId3"/>
    <sheet name="Riesgos de Gestión" sheetId="1" r:id="rId4"/>
    <sheet name="Matriz Calor Inherente" sheetId="18" r:id="rId5"/>
    <sheet name="Matriz Calor Residual" sheetId="19" r:id="rId6"/>
    <sheet name="Riesgos de Corrupción" sheetId="31" r:id="rId7"/>
    <sheet name="Riesgos de Seguridad" sheetId="32" r:id="rId8"/>
    <sheet name="Impacto Corrupción " sheetId="22" r:id="rId9"/>
    <sheet name="Tabla probabilidad" sheetId="12" r:id="rId10"/>
    <sheet name="Tabla Impacto" sheetId="13" r:id="rId11"/>
    <sheet name="Tipo de riesgos" sheetId="23" r:id="rId12"/>
    <sheet name="Amenazas" sheetId="28" r:id="rId13"/>
    <sheet name="Ejemplos de riesgos" sheetId="26" r:id="rId14"/>
    <sheet name="Tabla Valoración controles" sheetId="15" r:id="rId15"/>
    <sheet name="Hoja1" sheetId="11" state="hidden" r:id="rId16"/>
  </sheets>
  <externalReferences>
    <externalReference r:id="rId17"/>
    <externalReference r:id="rId18"/>
  </externalReferences>
  <definedNames>
    <definedName name="_xlnm.Print_Area" localSheetId="8">'Impacto Corrupción '!$A$1:$G$26</definedName>
    <definedName name="_xlnm.Print_Area" localSheetId="6">'Riesgos de Corrupción'!$A$1:$AR$66</definedName>
    <definedName name="_xlnm.Print_Area" localSheetId="3">'Riesgos de Gestión'!$A$1:$AR$69</definedName>
    <definedName name="_xlnm.Print_Area" localSheetId="7">'Riesgos de Seguridad'!$A$1:$AV$24</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8">#REF!</definedName>
    <definedName name="impactoco">#REF!</definedName>
    <definedName name="infraestructura">#REF!</definedName>
    <definedName name="interno">#REF!</definedName>
    <definedName name="macroprocesos">#REF!</definedName>
    <definedName name="medio_ambientales">#REF!</definedName>
    <definedName name="opciondelriesgo" localSheetId="8">[1]FORMULAS!$K$4:$K$7</definedName>
    <definedName name="opciondelriesgo">[2]FORMULAS!$K$4:$K$7</definedName>
    <definedName name="personal">#REF!</definedName>
    <definedName name="políticos">#REF!</definedName>
    <definedName name="probabilidad" localSheetId="8">#REF!</definedName>
    <definedName name="probabilidad">[2]FORMULAS!$G$4:$G$8</definedName>
    <definedName name="proceso">#REF!</definedName>
    <definedName name="procesos" localSheetId="8">#REF!</definedName>
    <definedName name="procesos">[2]FORMULAS!$B$4:$B$21</definedName>
    <definedName name="sociales">#REF!</definedName>
    <definedName name="tecnología">#REF!</definedName>
    <definedName name="tecnológicos">#REF!</definedName>
    <definedName name="tipo_de_amenaza" localSheetId="8">[1]FORMULAS!$E$4:$E$11</definedName>
    <definedName name="tipo_de_amenaza">[2]FORMULAS!$E$4:$E$11</definedName>
    <definedName name="tipo_de_riesgos" localSheetId="8">[1]FORMULAS!$C$4:$C$6</definedName>
    <definedName name="tipo_de_riesgos">[2]FORMULAS!$C$4:$C$6</definedName>
    <definedName name="_xlnm.Print_Titles" localSheetId="6">'Riesgos de Corrupción'!$1:$8</definedName>
    <definedName name="_xlnm.Print_Titles" localSheetId="3">'Riesgos de Gestión'!$1:$8</definedName>
    <definedName name="_xlnm.Print_Titles" localSheetId="7">'Riesgos de Seguridad'!$1:$8</definedName>
  </definedNames>
  <calcPr calcId="191029"/>
  <pivotCaches>
    <pivotCache cacheId="0" r:id="rId1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5" i="1" l="1"/>
  <c r="AA14" i="1"/>
  <c r="AE72" i="32" l="1"/>
  <c r="AB72" i="32"/>
  <c r="AI72" i="32" s="1"/>
  <c r="V72" i="32"/>
  <c r="AE71" i="32"/>
  <c r="AB71" i="32"/>
  <c r="V71" i="32"/>
  <c r="AE70" i="32"/>
  <c r="AB70" i="32"/>
  <c r="AM71" i="32" s="1"/>
  <c r="AL71" i="32" s="1"/>
  <c r="V70" i="32"/>
  <c r="AE69" i="32"/>
  <c r="AB69" i="32"/>
  <c r="V69" i="32"/>
  <c r="AE68" i="32"/>
  <c r="AB68" i="32"/>
  <c r="V68" i="32"/>
  <c r="AE67" i="32"/>
  <c r="AB67" i="32"/>
  <c r="T67" i="32"/>
  <c r="S67" i="32"/>
  <c r="AE66" i="32"/>
  <c r="AB66" i="32"/>
  <c r="V66" i="32"/>
  <c r="AE65" i="32"/>
  <c r="AB65" i="32"/>
  <c r="AM66" i="32" s="1"/>
  <c r="AL66" i="32" s="1"/>
  <c r="V65" i="32"/>
  <c r="AE64" i="32"/>
  <c r="AB64" i="32"/>
  <c r="V64" i="32"/>
  <c r="AE63" i="32"/>
  <c r="AB63" i="32"/>
  <c r="V63" i="32"/>
  <c r="AE62" i="32"/>
  <c r="AB62" i="32"/>
  <c r="AM63" i="32" s="1"/>
  <c r="AL63" i="32" s="1"/>
  <c r="V62" i="32"/>
  <c r="AE61" i="32"/>
  <c r="AB61" i="32"/>
  <c r="S61" i="32"/>
  <c r="AE60" i="32"/>
  <c r="AB60" i="32"/>
  <c r="V60" i="32"/>
  <c r="AE59" i="32"/>
  <c r="AB59" i="32"/>
  <c r="V59" i="32"/>
  <c r="AE58" i="32"/>
  <c r="AB58" i="32"/>
  <c r="V58" i="32"/>
  <c r="AE57" i="32"/>
  <c r="AB57" i="32"/>
  <c r="AM58" i="32" s="1"/>
  <c r="AL58" i="32" s="1"/>
  <c r="V57" i="32"/>
  <c r="AE56" i="32"/>
  <c r="AB56" i="32"/>
  <c r="V56" i="32"/>
  <c r="AE55" i="32"/>
  <c r="AB55" i="32"/>
  <c r="AM55" i="32" s="1"/>
  <c r="AL55" i="32" s="1"/>
  <c r="S55" i="32"/>
  <c r="AE54" i="32"/>
  <c r="AB54" i="32"/>
  <c r="V54" i="32"/>
  <c r="AE53" i="32"/>
  <c r="AB53" i="32"/>
  <c r="V53" i="32"/>
  <c r="AE52" i="32"/>
  <c r="AB52" i="32"/>
  <c r="V52" i="32"/>
  <c r="AE51" i="32"/>
  <c r="AB51" i="32"/>
  <c r="AM52" i="32" s="1"/>
  <c r="AL52" i="32" s="1"/>
  <c r="V51" i="32"/>
  <c r="AE50" i="32"/>
  <c r="AB50" i="32"/>
  <c r="V50" i="32"/>
  <c r="AE49" i="32"/>
  <c r="AB49" i="32"/>
  <c r="AM49" i="32" s="1"/>
  <c r="AL49" i="32" s="1"/>
  <c r="S49" i="32"/>
  <c r="T49" i="32" s="1"/>
  <c r="AE48" i="32"/>
  <c r="AB48" i="32"/>
  <c r="V48" i="32"/>
  <c r="AE47" i="32"/>
  <c r="AB47" i="32"/>
  <c r="AI48" i="32" s="1"/>
  <c r="V47" i="32"/>
  <c r="AE46" i="32"/>
  <c r="AB46" i="32"/>
  <c r="AM46" i="32" s="1"/>
  <c r="AL46" i="32" s="1"/>
  <c r="V46" i="32"/>
  <c r="AE45" i="32"/>
  <c r="AB45" i="32"/>
  <c r="V45" i="32"/>
  <c r="AE44" i="32"/>
  <c r="AB44" i="32"/>
  <c r="AM45" i="32" s="1"/>
  <c r="AL45" i="32" s="1"/>
  <c r="V44" i="32"/>
  <c r="AE43" i="32"/>
  <c r="AB43" i="32"/>
  <c r="AI43" i="32" s="1"/>
  <c r="AJ43" i="32" s="1"/>
  <c r="S43" i="32"/>
  <c r="AE42" i="32"/>
  <c r="AB42" i="32"/>
  <c r="V42" i="32"/>
  <c r="AE41" i="32"/>
  <c r="AB41" i="32"/>
  <c r="V41" i="32"/>
  <c r="AE40" i="32"/>
  <c r="AB40" i="32"/>
  <c r="V40" i="32"/>
  <c r="AE39" i="32"/>
  <c r="AB39" i="32"/>
  <c r="V39" i="32"/>
  <c r="AE38" i="32"/>
  <c r="AB38" i="32"/>
  <c r="AI38" i="32" s="1"/>
  <c r="V38" i="32"/>
  <c r="AE37" i="32"/>
  <c r="AB37" i="32"/>
  <c r="AI37" i="32" s="1"/>
  <c r="S37" i="32"/>
  <c r="T37" i="32" s="1"/>
  <c r="AE36" i="32"/>
  <c r="AB36" i="32"/>
  <c r="V36" i="32"/>
  <c r="AI35" i="32"/>
  <c r="AK35" i="32" s="1"/>
  <c r="AE35" i="32"/>
  <c r="AB35" i="32"/>
  <c r="AM36" i="32" s="1"/>
  <c r="AL36" i="32" s="1"/>
  <c r="V35" i="32"/>
  <c r="AE34" i="32"/>
  <c r="AB34" i="32"/>
  <c r="V34" i="32"/>
  <c r="AE33" i="32"/>
  <c r="AB33" i="32"/>
  <c r="AM34" i="32" s="1"/>
  <c r="AL34" i="32" s="1"/>
  <c r="V33" i="32"/>
  <c r="AE32" i="32"/>
  <c r="AB32" i="32"/>
  <c r="V32" i="32"/>
  <c r="AE31" i="32"/>
  <c r="AB31" i="32"/>
  <c r="AM31" i="32" s="1"/>
  <c r="AL31" i="32" s="1"/>
  <c r="S31" i="32"/>
  <c r="T31" i="32" s="1"/>
  <c r="AE30" i="32"/>
  <c r="AB30" i="32"/>
  <c r="V30" i="32"/>
  <c r="AE29" i="32"/>
  <c r="AB29" i="32"/>
  <c r="V29" i="32"/>
  <c r="AE28" i="32"/>
  <c r="AB28" i="32"/>
  <c r="AM29" i="32" s="1"/>
  <c r="AL29" i="32" s="1"/>
  <c r="V28" i="32"/>
  <c r="AE27" i="32"/>
  <c r="AB27" i="32"/>
  <c r="V27" i="32"/>
  <c r="AE26" i="32"/>
  <c r="AB26" i="32"/>
  <c r="AM27" i="32" s="1"/>
  <c r="AL27" i="32" s="1"/>
  <c r="V26" i="32"/>
  <c r="AE25" i="32"/>
  <c r="AB25" i="32"/>
  <c r="S25" i="32"/>
  <c r="AE24" i="32"/>
  <c r="AB24" i="32"/>
  <c r="V24" i="32"/>
  <c r="AE23" i="32"/>
  <c r="AB23" i="32"/>
  <c r="AM24" i="32" s="1"/>
  <c r="AL24" i="32" s="1"/>
  <c r="V23" i="32"/>
  <c r="AE22" i="32"/>
  <c r="AB22" i="32"/>
  <c r="V22" i="32"/>
  <c r="AE21" i="32"/>
  <c r="AB21" i="32"/>
  <c r="V21" i="32"/>
  <c r="AE20" i="32"/>
  <c r="AB20" i="32"/>
  <c r="V20" i="32"/>
  <c r="AE19" i="32"/>
  <c r="AB19" i="32"/>
  <c r="AM19" i="32" s="1"/>
  <c r="AL19" i="32" s="1"/>
  <c r="T19" i="32"/>
  <c r="S19" i="32"/>
  <c r="AE18" i="32"/>
  <c r="AB18" i="32"/>
  <c r="V18" i="32"/>
  <c r="AE17" i="32"/>
  <c r="AB17" i="32"/>
  <c r="V17" i="32"/>
  <c r="AE16" i="32"/>
  <c r="AB16" i="32"/>
  <c r="V16" i="32"/>
  <c r="AE15" i="32"/>
  <c r="AB15" i="32"/>
  <c r="V15" i="32"/>
  <c r="AE14" i="32"/>
  <c r="AB14" i="32"/>
  <c r="V14" i="32"/>
  <c r="AE13" i="32"/>
  <c r="AB13" i="32"/>
  <c r="S13" i="32"/>
  <c r="AA72" i="31"/>
  <c r="X72" i="31"/>
  <c r="R72" i="31"/>
  <c r="AA71" i="31"/>
  <c r="X71" i="31"/>
  <c r="AE72" i="31" s="1"/>
  <c r="R71" i="31"/>
  <c r="AA70" i="31"/>
  <c r="X70" i="31"/>
  <c r="R70" i="31"/>
  <c r="AA69" i="31"/>
  <c r="X69" i="31"/>
  <c r="AI70" i="31" s="1"/>
  <c r="AH70" i="31" s="1"/>
  <c r="R69" i="31"/>
  <c r="AA68" i="31"/>
  <c r="X68" i="31"/>
  <c r="R68" i="31"/>
  <c r="AA67" i="31"/>
  <c r="X67" i="31"/>
  <c r="AI67" i="31" s="1"/>
  <c r="AH67" i="31" s="1"/>
  <c r="O67" i="31"/>
  <c r="P67" i="31" s="1"/>
  <c r="AA66" i="31"/>
  <c r="X66" i="31"/>
  <c r="R66" i="31"/>
  <c r="AA65" i="31"/>
  <c r="X65" i="31"/>
  <c r="R65" i="31"/>
  <c r="AA64" i="31"/>
  <c r="X64" i="31"/>
  <c r="R64" i="31"/>
  <c r="AA63" i="31"/>
  <c r="X63" i="31"/>
  <c r="AE64" i="31" s="1"/>
  <c r="R63" i="31"/>
  <c r="AA62" i="31"/>
  <c r="X62" i="31"/>
  <c r="R62" i="31"/>
  <c r="AA61" i="31"/>
  <c r="X61" i="31"/>
  <c r="AE62" i="31" s="1"/>
  <c r="O61" i="31"/>
  <c r="P61" i="31" s="1"/>
  <c r="AA60" i="31"/>
  <c r="X60" i="31"/>
  <c r="R60" i="31"/>
  <c r="AA59" i="31"/>
  <c r="X59" i="31"/>
  <c r="R59" i="31"/>
  <c r="AA58" i="31"/>
  <c r="X58" i="31"/>
  <c r="AI58" i="31" s="1"/>
  <c r="AH58" i="31" s="1"/>
  <c r="R58" i="31"/>
  <c r="AA57" i="31"/>
  <c r="X57" i="31"/>
  <c r="R57" i="31"/>
  <c r="AA56" i="31"/>
  <c r="X56" i="31"/>
  <c r="AI57" i="31" s="1"/>
  <c r="AH57" i="31" s="1"/>
  <c r="R56" i="31"/>
  <c r="AA55" i="31"/>
  <c r="X55" i="31"/>
  <c r="O55" i="31"/>
  <c r="AA54" i="31"/>
  <c r="X54" i="31"/>
  <c r="R54" i="31"/>
  <c r="AA53" i="31"/>
  <c r="X53" i="31"/>
  <c r="R53" i="31"/>
  <c r="AA52" i="31"/>
  <c r="X52" i="31"/>
  <c r="R52" i="31"/>
  <c r="AA51" i="31"/>
  <c r="X51" i="31"/>
  <c r="R51" i="31"/>
  <c r="AA50" i="31"/>
  <c r="X50" i="31"/>
  <c r="R50" i="31"/>
  <c r="AA49" i="31"/>
  <c r="X49" i="31"/>
  <c r="AI49" i="31" s="1"/>
  <c r="AH49" i="31" s="1"/>
  <c r="O49" i="31"/>
  <c r="P49" i="31" s="1"/>
  <c r="AA48" i="31"/>
  <c r="X48" i="31"/>
  <c r="R48" i="31"/>
  <c r="AA47" i="31"/>
  <c r="X47" i="31"/>
  <c r="R47" i="31"/>
  <c r="AA46" i="31"/>
  <c r="X46" i="31"/>
  <c r="AE46" i="31" s="1"/>
  <c r="R46" i="31"/>
  <c r="AA45" i="31"/>
  <c r="X45" i="31"/>
  <c r="R45" i="31"/>
  <c r="AA44" i="31"/>
  <c r="X44" i="31"/>
  <c r="AI45" i="31" s="1"/>
  <c r="AH45" i="31" s="1"/>
  <c r="R44" i="31"/>
  <c r="AA43" i="31"/>
  <c r="X43" i="31"/>
  <c r="AI43" i="31" s="1"/>
  <c r="AH43" i="31" s="1"/>
  <c r="O43" i="31"/>
  <c r="P43" i="31" s="1"/>
  <c r="AA42" i="31"/>
  <c r="X42" i="31"/>
  <c r="R42" i="31"/>
  <c r="AA41" i="31"/>
  <c r="X41" i="31"/>
  <c r="AI41" i="31" s="1"/>
  <c r="AH41" i="31" s="1"/>
  <c r="R41" i="31"/>
  <c r="AA40" i="31"/>
  <c r="X40" i="31"/>
  <c r="R40" i="31"/>
  <c r="AA39" i="31"/>
  <c r="X39" i="31"/>
  <c r="AI40" i="31" s="1"/>
  <c r="AH40" i="31" s="1"/>
  <c r="R39" i="31"/>
  <c r="AA38" i="31"/>
  <c r="X38" i="31"/>
  <c r="R38" i="31"/>
  <c r="AA37" i="31"/>
  <c r="X37" i="31"/>
  <c r="AI38" i="31" s="1"/>
  <c r="AH38" i="31" s="1"/>
  <c r="O37" i="31"/>
  <c r="AA36" i="31"/>
  <c r="X36" i="31"/>
  <c r="R36" i="31"/>
  <c r="AA35" i="31"/>
  <c r="X35" i="31"/>
  <c r="R35" i="31"/>
  <c r="AA34" i="31"/>
  <c r="X34" i="31"/>
  <c r="R34" i="31"/>
  <c r="AA33" i="31"/>
  <c r="X33" i="31"/>
  <c r="R33" i="31"/>
  <c r="AA32" i="31"/>
  <c r="X32" i="31"/>
  <c r="R32" i="31"/>
  <c r="AA31" i="31"/>
  <c r="X31" i="31"/>
  <c r="AE31" i="31" s="1"/>
  <c r="O31" i="31"/>
  <c r="P31" i="31" s="1"/>
  <c r="AA30" i="31"/>
  <c r="X30" i="31"/>
  <c r="R30" i="31"/>
  <c r="AA29" i="31"/>
  <c r="X29" i="31"/>
  <c r="AE30" i="31" s="1"/>
  <c r="AG30" i="31" s="1"/>
  <c r="R29" i="31"/>
  <c r="AI28" i="31"/>
  <c r="AH28" i="31" s="1"/>
  <c r="AA28" i="31"/>
  <c r="X28" i="31"/>
  <c r="R28" i="31"/>
  <c r="AA27" i="31"/>
  <c r="X27" i="31"/>
  <c r="R27" i="31"/>
  <c r="AA26" i="31"/>
  <c r="X26" i="31"/>
  <c r="R26" i="31"/>
  <c r="AA25" i="31"/>
  <c r="X25" i="31"/>
  <c r="O25" i="31"/>
  <c r="P25" i="31" s="1"/>
  <c r="AA24" i="31"/>
  <c r="X24" i="31"/>
  <c r="R24" i="31"/>
  <c r="AA23" i="31"/>
  <c r="X23" i="31"/>
  <c r="R23" i="31"/>
  <c r="AA22" i="31"/>
  <c r="X22" i="31"/>
  <c r="R22" i="31"/>
  <c r="AA21" i="31"/>
  <c r="X21" i="31"/>
  <c r="R21" i="31"/>
  <c r="AA20" i="31"/>
  <c r="X20" i="31"/>
  <c r="AE20" i="31" s="1"/>
  <c r="AF20" i="31" s="1"/>
  <c r="R20" i="31"/>
  <c r="AA19" i="31"/>
  <c r="X19" i="31"/>
  <c r="AI19" i="31" s="1"/>
  <c r="AH19" i="31" s="1"/>
  <c r="O19" i="31"/>
  <c r="P19" i="31" s="1"/>
  <c r="AA18" i="31"/>
  <c r="X18" i="31"/>
  <c r="AE18" i="31" s="1"/>
  <c r="R18" i="31"/>
  <c r="AA17" i="31"/>
  <c r="X17" i="31"/>
  <c r="R17" i="31"/>
  <c r="AA16" i="31"/>
  <c r="X16" i="31"/>
  <c r="R16" i="31"/>
  <c r="AA15" i="31"/>
  <c r="X15" i="31"/>
  <c r="R15" i="31"/>
  <c r="AA14" i="31"/>
  <c r="X14" i="31"/>
  <c r="R14" i="31"/>
  <c r="AA13" i="31"/>
  <c r="X13" i="31"/>
  <c r="O13" i="31"/>
  <c r="P13" i="31" s="1"/>
  <c r="AI31" i="31" l="1"/>
  <c r="AH31" i="31" s="1"/>
  <c r="AE35" i="31"/>
  <c r="AG35" i="31" s="1"/>
  <c r="AE48" i="31"/>
  <c r="AF48" i="31" s="1"/>
  <c r="AM22" i="32"/>
  <c r="AL22" i="32" s="1"/>
  <c r="AM30" i="32"/>
  <c r="AL30" i="32" s="1"/>
  <c r="AI42" i="31"/>
  <c r="AH42" i="31" s="1"/>
  <c r="AE33" i="31"/>
  <c r="AE41" i="31"/>
  <c r="AE66" i="31"/>
  <c r="AG66" i="31" s="1"/>
  <c r="AI15" i="32"/>
  <c r="AI46" i="32"/>
  <c r="AI51" i="32"/>
  <c r="AM72" i="32"/>
  <c r="AL72" i="32" s="1"/>
  <c r="AI36" i="31"/>
  <c r="AH36" i="31" s="1"/>
  <c r="AM41" i="32"/>
  <c r="AL41" i="32" s="1"/>
  <c r="AM54" i="32"/>
  <c r="AL54" i="32" s="1"/>
  <c r="AI16" i="31"/>
  <c r="AH16" i="31" s="1"/>
  <c r="AE24" i="31"/>
  <c r="AI52" i="31"/>
  <c r="AH52" i="31" s="1"/>
  <c r="AI22" i="31"/>
  <c r="AH22" i="31" s="1"/>
  <c r="AE58" i="31"/>
  <c r="AI68" i="32"/>
  <c r="AK68" i="32" s="1"/>
  <c r="AM18" i="32"/>
  <c r="AL18" i="32" s="1"/>
  <c r="AM47" i="32"/>
  <c r="AL47" i="32" s="1"/>
  <c r="AE29" i="31"/>
  <c r="AG29" i="31" s="1"/>
  <c r="AI27" i="31"/>
  <c r="AH27" i="31" s="1"/>
  <c r="AI48" i="31"/>
  <c r="AH48" i="31" s="1"/>
  <c r="AE51" i="31"/>
  <c r="AF51" i="31" s="1"/>
  <c r="AE52" i="31"/>
  <c r="AG52" i="31" s="1"/>
  <c r="AI63" i="31"/>
  <c r="AH63" i="31" s="1"/>
  <c r="AI64" i="31"/>
  <c r="AH64" i="31" s="1"/>
  <c r="AI69" i="31"/>
  <c r="AH69" i="31" s="1"/>
  <c r="AM28" i="32"/>
  <c r="AL28" i="32" s="1"/>
  <c r="AI53" i="32"/>
  <c r="AK53" i="32" s="1"/>
  <c r="AI54" i="32"/>
  <c r="AK54" i="32" s="1"/>
  <c r="AM62" i="32"/>
  <c r="AL62" i="32" s="1"/>
  <c r="AM69" i="32"/>
  <c r="AL69" i="32" s="1"/>
  <c r="AI60" i="32"/>
  <c r="AK60" i="32" s="1"/>
  <c r="AI26" i="31"/>
  <c r="AH26" i="31" s="1"/>
  <c r="AE68" i="31"/>
  <c r="AF68" i="31" s="1"/>
  <c r="AM15" i="32"/>
  <c r="AL15" i="32" s="1"/>
  <c r="AM26" i="32"/>
  <c r="AL26" i="32" s="1"/>
  <c r="AI33" i="32"/>
  <c r="AK33" i="32" s="1"/>
  <c r="AI65" i="32"/>
  <c r="AM68" i="32"/>
  <c r="AL68" i="32" s="1"/>
  <c r="AI36" i="32"/>
  <c r="AK36" i="32" s="1"/>
  <c r="AM48" i="32"/>
  <c r="AL48" i="32" s="1"/>
  <c r="AI63" i="32"/>
  <c r="AE67" i="31"/>
  <c r="AM17" i="32"/>
  <c r="AL17" i="32" s="1"/>
  <c r="AI39" i="32"/>
  <c r="AK39" i="32" s="1"/>
  <c r="AI34" i="31"/>
  <c r="AH34" i="31" s="1"/>
  <c r="AI47" i="31"/>
  <c r="AH47" i="31" s="1"/>
  <c r="AE49" i="31"/>
  <c r="AG49" i="31" s="1"/>
  <c r="AI60" i="31"/>
  <c r="AH60" i="31" s="1"/>
  <c r="AE65" i="31"/>
  <c r="AF65" i="31" s="1"/>
  <c r="AE69" i="31"/>
  <c r="AG69" i="31" s="1"/>
  <c r="AI55" i="32"/>
  <c r="AK55" i="32" s="1"/>
  <c r="AG33" i="31"/>
  <c r="AF33" i="31"/>
  <c r="AG64" i="31"/>
  <c r="AF64" i="31"/>
  <c r="AJ64" i="31" s="1"/>
  <c r="AG46" i="31"/>
  <c r="AF46" i="31"/>
  <c r="AE50" i="31"/>
  <c r="AE60" i="31"/>
  <c r="AI21" i="31"/>
  <c r="AH21" i="31" s="1"/>
  <c r="AI23" i="31"/>
  <c r="AH23" i="31" s="1"/>
  <c r="AI24" i="31"/>
  <c r="AH24" i="31" s="1"/>
  <c r="AI30" i="31"/>
  <c r="AH30" i="31" s="1"/>
  <c r="AJ30" i="31" s="1"/>
  <c r="AE34" i="31"/>
  <c r="AF34" i="31" s="1"/>
  <c r="AJ34" i="31" s="1"/>
  <c r="AE38" i="31"/>
  <c r="AG38" i="31" s="1"/>
  <c r="AE42" i="31"/>
  <c r="AE45" i="31"/>
  <c r="AG45" i="31" s="1"/>
  <c r="AI53" i="31"/>
  <c r="AH53" i="31" s="1"/>
  <c r="AI61" i="31"/>
  <c r="AH61" i="31" s="1"/>
  <c r="AE63" i="31"/>
  <c r="AF49" i="31"/>
  <c r="AJ49" i="31" s="1"/>
  <c r="AI50" i="31"/>
  <c r="AH50" i="31" s="1"/>
  <c r="AI18" i="31"/>
  <c r="AH18" i="31" s="1"/>
  <c r="AE32" i="31"/>
  <c r="AI56" i="31"/>
  <c r="AH56" i="31" s="1"/>
  <c r="AI59" i="31"/>
  <c r="AH59" i="31" s="1"/>
  <c r="AI66" i="31"/>
  <c r="AH66" i="31" s="1"/>
  <c r="AI33" i="31"/>
  <c r="AH33" i="31" s="1"/>
  <c r="AE37" i="31"/>
  <c r="AF37" i="31" s="1"/>
  <c r="AE47" i="31"/>
  <c r="AI54" i="31"/>
  <c r="AH54" i="31" s="1"/>
  <c r="AI62" i="31"/>
  <c r="AH62" i="31" s="1"/>
  <c r="AI71" i="31"/>
  <c r="AH71" i="31" s="1"/>
  <c r="AI72" i="31"/>
  <c r="AH72" i="31" s="1"/>
  <c r="AE17" i="31"/>
  <c r="AF17" i="31" s="1"/>
  <c r="AE19" i="31"/>
  <c r="AF19" i="31" s="1"/>
  <c r="AE28" i="31"/>
  <c r="AG28" i="31" s="1"/>
  <c r="AE55" i="31"/>
  <c r="AG55" i="31" s="1"/>
  <c r="AE59" i="31"/>
  <c r="AE21" i="31"/>
  <c r="AG21" i="31" s="1"/>
  <c r="AE27" i="31"/>
  <c r="AG27" i="31" s="1"/>
  <c r="AI35" i="31"/>
  <c r="AH35" i="31" s="1"/>
  <c r="AI39" i="31"/>
  <c r="AH39" i="31" s="1"/>
  <c r="AI44" i="31"/>
  <c r="AH44" i="31" s="1"/>
  <c r="AE61" i="31"/>
  <c r="AF29" i="31"/>
  <c r="AF30" i="31"/>
  <c r="AK51" i="32"/>
  <c r="AJ51" i="32"/>
  <c r="AK48" i="32"/>
  <c r="AJ48" i="32"/>
  <c r="AN48" i="32" s="1"/>
  <c r="AK65" i="32"/>
  <c r="AJ65" i="32"/>
  <c r="AK38" i="32"/>
  <c r="AJ38" i="32"/>
  <c r="AI71" i="32"/>
  <c r="AI17" i="32"/>
  <c r="AI18" i="32"/>
  <c r="AI34" i="32"/>
  <c r="AJ34" i="32" s="1"/>
  <c r="AN34" i="32" s="1"/>
  <c r="AJ35" i="32"/>
  <c r="AM39" i="32"/>
  <c r="AL39" i="32" s="1"/>
  <c r="AI47" i="32"/>
  <c r="AJ47" i="32" s="1"/>
  <c r="AN47" i="32" s="1"/>
  <c r="AJ54" i="32"/>
  <c r="AN54" i="32" s="1"/>
  <c r="AI20" i="32"/>
  <c r="AK20" i="32" s="1"/>
  <c r="AI19" i="32"/>
  <c r="AI23" i="32"/>
  <c r="AJ23" i="32" s="1"/>
  <c r="AI25" i="32"/>
  <c r="AJ25" i="32" s="1"/>
  <c r="AM32" i="32"/>
  <c r="AL32" i="32" s="1"/>
  <c r="AM20" i="32"/>
  <c r="AL20" i="32" s="1"/>
  <c r="AM23" i="32"/>
  <c r="AL23" i="32" s="1"/>
  <c r="AM25" i="32"/>
  <c r="AL25" i="32" s="1"/>
  <c r="T55" i="32"/>
  <c r="AM67" i="32"/>
  <c r="AL67" i="32" s="1"/>
  <c r="AI24" i="32"/>
  <c r="AJ24" i="32" s="1"/>
  <c r="AN24" i="32" s="1"/>
  <c r="AI29" i="32"/>
  <c r="AK29" i="32" s="1"/>
  <c r="AM57" i="32"/>
  <c r="AL57" i="32" s="1"/>
  <c r="AM70" i="32"/>
  <c r="AL70" i="32" s="1"/>
  <c r="AI70" i="32"/>
  <c r="AK70" i="32" s="1"/>
  <c r="AM51" i="32"/>
  <c r="AL51" i="32" s="1"/>
  <c r="AN51" i="32" s="1"/>
  <c r="AI57" i="32"/>
  <c r="AI22" i="32"/>
  <c r="AJ22" i="32" s="1"/>
  <c r="AN22" i="32" s="1"/>
  <c r="AI40" i="32"/>
  <c r="AK40" i="32" s="1"/>
  <c r="AM59" i="32"/>
  <c r="AL59" i="32" s="1"/>
  <c r="AM60" i="32"/>
  <c r="AL60" i="32" s="1"/>
  <c r="AM65" i="32"/>
  <c r="AL65" i="32" s="1"/>
  <c r="AN65" i="32" s="1"/>
  <c r="AM16" i="32"/>
  <c r="AL16" i="32" s="1"/>
  <c r="AI16" i="32"/>
  <c r="AK16" i="32" s="1"/>
  <c r="AM37" i="32"/>
  <c r="AL37" i="32" s="1"/>
  <c r="AM40" i="32"/>
  <c r="AL40" i="32" s="1"/>
  <c r="AI50" i="32"/>
  <c r="AJ50" i="32" s="1"/>
  <c r="AI52" i="32"/>
  <c r="AI56" i="32"/>
  <c r="AK56" i="32" s="1"/>
  <c r="AI64" i="32"/>
  <c r="AK64" i="32" s="1"/>
  <c r="AI66" i="32"/>
  <c r="AI69" i="32"/>
  <c r="AI21" i="32"/>
  <c r="AI26" i="32"/>
  <c r="AJ26" i="32" s="1"/>
  <c r="AN26" i="32" s="1"/>
  <c r="AI30" i="32"/>
  <c r="AK30" i="32" s="1"/>
  <c r="AM33" i="32"/>
  <c r="AL33" i="32" s="1"/>
  <c r="AM42" i="32"/>
  <c r="AL42" i="32" s="1"/>
  <c r="AM44" i="32"/>
  <c r="AL44" i="32" s="1"/>
  <c r="AI67" i="32"/>
  <c r="AE16" i="31"/>
  <c r="AG16" i="31" s="1"/>
  <c r="AK46" i="32"/>
  <c r="AJ46" i="32"/>
  <c r="AN46" i="32" s="1"/>
  <c r="AJ60" i="32"/>
  <c r="AK47" i="32"/>
  <c r="AK15" i="32"/>
  <c r="AJ15" i="32"/>
  <c r="AJ37" i="32"/>
  <c r="AK37" i="32"/>
  <c r="AK63" i="32"/>
  <c r="AJ63" i="32"/>
  <c r="AN63" i="32" s="1"/>
  <c r="AK72" i="32"/>
  <c r="AJ72" i="32"/>
  <c r="AN72" i="32" s="1"/>
  <c r="AM50" i="32"/>
  <c r="AL50" i="32" s="1"/>
  <c r="AJ56" i="32"/>
  <c r="AM64" i="32"/>
  <c r="AL64" i="32" s="1"/>
  <c r="AJ70" i="32"/>
  <c r="T25" i="32"/>
  <c r="T13" i="32"/>
  <c r="AI13" i="32" s="1"/>
  <c r="AM21" i="32"/>
  <c r="AL21" i="32" s="1"/>
  <c r="AK23" i="32"/>
  <c r="AI28" i="32"/>
  <c r="AI31" i="32"/>
  <c r="AM35" i="32"/>
  <c r="AL35" i="32" s="1"/>
  <c r="AM38" i="32"/>
  <c r="AL38" i="32" s="1"/>
  <c r="AN38" i="32" s="1"/>
  <c r="AI42" i="32"/>
  <c r="AK43" i="32"/>
  <c r="AI45" i="32"/>
  <c r="AI59" i="32"/>
  <c r="T61" i="32"/>
  <c r="AI62" i="32"/>
  <c r="AI27" i="32"/>
  <c r="AI32" i="32"/>
  <c r="AI49" i="32"/>
  <c r="AM53" i="32"/>
  <c r="AL53" i="32" s="1"/>
  <c r="AM56" i="32"/>
  <c r="AL56" i="32" s="1"/>
  <c r="AJ39" i="32"/>
  <c r="T43" i="32"/>
  <c r="AI61" i="32"/>
  <c r="AM43" i="32"/>
  <c r="AL43" i="32" s="1"/>
  <c r="AN43" i="32" s="1"/>
  <c r="AI41" i="32"/>
  <c r="AI44" i="32"/>
  <c r="AM13" i="32"/>
  <c r="AL13" i="32" s="1"/>
  <c r="AM61" i="32"/>
  <c r="AL61" i="32" s="1"/>
  <c r="AI58" i="32"/>
  <c r="AJ33" i="31"/>
  <c r="AJ48" i="31"/>
  <c r="AG42" i="31"/>
  <c r="AF42" i="31"/>
  <c r="AG72" i="31"/>
  <c r="AF72" i="31"/>
  <c r="AG59" i="31"/>
  <c r="AF59" i="31"/>
  <c r="AJ59" i="31" s="1"/>
  <c r="AF27" i="31"/>
  <c r="AJ27" i="31" s="1"/>
  <c r="AG31" i="31"/>
  <c r="AF31" i="31"/>
  <c r="AJ31" i="31" s="1"/>
  <c r="AG18" i="31"/>
  <c r="AF18" i="31"/>
  <c r="AJ18" i="31" s="1"/>
  <c r="AJ19" i="31"/>
  <c r="AG58" i="31"/>
  <c r="AF58" i="31"/>
  <c r="AJ58" i="31" s="1"/>
  <c r="AG24" i="31"/>
  <c r="AF24" i="31"/>
  <c r="AJ24" i="31" s="1"/>
  <c r="AG41" i="31"/>
  <c r="AF41" i="31"/>
  <c r="AJ41" i="31" s="1"/>
  <c r="AG62" i="31"/>
  <c r="AF62" i="31"/>
  <c r="AJ62" i="31" s="1"/>
  <c r="AF28" i="31"/>
  <c r="AJ28" i="31" s="1"/>
  <c r="P37" i="31"/>
  <c r="AG20" i="31"/>
  <c r="AF21" i="31"/>
  <c r="AJ21" i="31" s="1"/>
  <c r="AE22" i="31"/>
  <c r="AE25" i="31"/>
  <c r="AI29" i="31"/>
  <c r="AH29" i="31" s="1"/>
  <c r="AJ29" i="31" s="1"/>
  <c r="AI32" i="31"/>
  <c r="AH32" i="31" s="1"/>
  <c r="AF35" i="31"/>
  <c r="AE36" i="31"/>
  <c r="AF38" i="31"/>
  <c r="AJ38" i="31" s="1"/>
  <c r="AE39" i="31"/>
  <c r="AI46" i="31"/>
  <c r="AH46" i="31" s="1"/>
  <c r="AJ46" i="31" s="1"/>
  <c r="AG48" i="31"/>
  <c r="AF52" i="31"/>
  <c r="AJ52" i="31" s="1"/>
  <c r="AE53" i="31"/>
  <c r="P55" i="31"/>
  <c r="AF55" i="31"/>
  <c r="AE56" i="31"/>
  <c r="AG65" i="31"/>
  <c r="AF66" i="31"/>
  <c r="AJ66" i="31" s="1"/>
  <c r="AG68" i="31"/>
  <c r="AF69" i="31"/>
  <c r="AJ69" i="31" s="1"/>
  <c r="AE70" i="31"/>
  <c r="AE23" i="31"/>
  <c r="AE26" i="31"/>
  <c r="AE40" i="31"/>
  <c r="AE43" i="31"/>
  <c r="AE54" i="31"/>
  <c r="AE57" i="31"/>
  <c r="AE71" i="31"/>
  <c r="AE13" i="31"/>
  <c r="AI17" i="31"/>
  <c r="AH17" i="31" s="1"/>
  <c r="AI20" i="31"/>
  <c r="AH20" i="31" s="1"/>
  <c r="AJ20" i="31" s="1"/>
  <c r="AI37" i="31"/>
  <c r="AH37" i="31" s="1"/>
  <c r="AE44" i="31"/>
  <c r="AI51" i="31"/>
  <c r="AH51" i="31" s="1"/>
  <c r="AI65" i="31"/>
  <c r="AH65" i="31" s="1"/>
  <c r="AJ65" i="31" s="1"/>
  <c r="AI68" i="31"/>
  <c r="AH68" i="31" s="1"/>
  <c r="AJ68" i="31" s="1"/>
  <c r="AI55" i="31"/>
  <c r="AH55" i="31" s="1"/>
  <c r="AI25" i="31"/>
  <c r="AH25" i="31" s="1"/>
  <c r="O13" i="1"/>
  <c r="P13" i="1" s="1"/>
  <c r="X13" i="1"/>
  <c r="AA13" i="1"/>
  <c r="X14" i="1"/>
  <c r="X15" i="1"/>
  <c r="R15" i="1"/>
  <c r="R14" i="1"/>
  <c r="AK34" i="32" l="1"/>
  <c r="AJ42" i="31"/>
  <c r="AG37" i="31"/>
  <c r="AN39" i="32"/>
  <c r="AJ53" i="32"/>
  <c r="AN15" i="32"/>
  <c r="AJ36" i="32"/>
  <c r="AN36" i="32" s="1"/>
  <c r="AJ68" i="32"/>
  <c r="AN68" i="32" s="1"/>
  <c r="AJ37" i="31"/>
  <c r="AF45" i="31"/>
  <c r="AJ45" i="31" s="1"/>
  <c r="AK25" i="32"/>
  <c r="AK50" i="32"/>
  <c r="AF67" i="31"/>
  <c r="AJ67" i="31" s="1"/>
  <c r="AG67" i="31"/>
  <c r="AG51" i="31"/>
  <c r="AJ33" i="32"/>
  <c r="AN33" i="32" s="1"/>
  <c r="AJ40" i="32"/>
  <c r="AJ29" i="32"/>
  <c r="AN29" i="32" s="1"/>
  <c r="AJ51" i="31"/>
  <c r="AJ55" i="32"/>
  <c r="AN55" i="32" s="1"/>
  <c r="AN35" i="32"/>
  <c r="AJ35" i="31"/>
  <c r="AJ72" i="31"/>
  <c r="AJ17" i="31"/>
  <c r="AG17" i="31"/>
  <c r="AG60" i="31"/>
  <c r="AF60" i="31"/>
  <c r="AJ60" i="31" s="1"/>
  <c r="AG34" i="31"/>
  <c r="AG19" i="31"/>
  <c r="AG32" i="31"/>
  <c r="AF32" i="31"/>
  <c r="AJ32" i="31" s="1"/>
  <c r="AG50" i="31"/>
  <c r="AF50" i="31"/>
  <c r="AJ50" i="31" s="1"/>
  <c r="AG47" i="31"/>
  <c r="AF47" i="31"/>
  <c r="AJ47" i="31" s="1"/>
  <c r="AF61" i="31"/>
  <c r="AJ61" i="31" s="1"/>
  <c r="AG61" i="31"/>
  <c r="AF63" i="31"/>
  <c r="AJ63" i="31" s="1"/>
  <c r="AG63" i="31"/>
  <c r="AF16" i="31"/>
  <c r="AJ16" i="31" s="1"/>
  <c r="AN40" i="32"/>
  <c r="AN60" i="32"/>
  <c r="AN70" i="32"/>
  <c r="AK26" i="32"/>
  <c r="AJ30" i="32"/>
  <c r="AN30" i="32" s="1"/>
  <c r="AK24" i="32"/>
  <c r="AJ20" i="32"/>
  <c r="AN20" i="32" s="1"/>
  <c r="AK22" i="32"/>
  <c r="AJ16" i="32"/>
  <c r="AN16" i="32" s="1"/>
  <c r="AI14" i="31"/>
  <c r="AH14" i="31" s="1"/>
  <c r="AI15" i="31"/>
  <c r="AH15" i="31" s="1"/>
  <c r="AJ21" i="32"/>
  <c r="AN21" i="32" s="1"/>
  <c r="AK21" i="32"/>
  <c r="AK57" i="32"/>
  <c r="AJ57" i="32"/>
  <c r="AN57" i="32" s="1"/>
  <c r="AK19" i="32"/>
  <c r="AJ19" i="32"/>
  <c r="AN19" i="32" s="1"/>
  <c r="AJ18" i="32"/>
  <c r="AN18" i="32" s="1"/>
  <c r="AK18" i="32"/>
  <c r="AJ69" i="32"/>
  <c r="AN69" i="32" s="1"/>
  <c r="AK69" i="32"/>
  <c r="AK17" i="32"/>
  <c r="AJ17" i="32"/>
  <c r="AN17" i="32" s="1"/>
  <c r="AK71" i="32"/>
  <c r="AJ71" i="32"/>
  <c r="AN71" i="32" s="1"/>
  <c r="AJ66" i="32"/>
  <c r="AN66" i="32" s="1"/>
  <c r="AK66" i="32"/>
  <c r="AN37" i="32"/>
  <c r="AK67" i="32"/>
  <c r="AJ67" i="32"/>
  <c r="AN67" i="32" s="1"/>
  <c r="AJ64" i="32"/>
  <c r="AN64" i="32" s="1"/>
  <c r="AJ52" i="32"/>
  <c r="AN52" i="32" s="1"/>
  <c r="AK52" i="32"/>
  <c r="AN25" i="32"/>
  <c r="AN23" i="32"/>
  <c r="AK13" i="32"/>
  <c r="AI14" i="32" s="1"/>
  <c r="AJ13" i="32"/>
  <c r="AN13" i="32" s="1"/>
  <c r="AK45" i="32"/>
  <c r="AJ45" i="32"/>
  <c r="AN45" i="32" s="1"/>
  <c r="AK61" i="32"/>
  <c r="AJ61" i="32"/>
  <c r="AN61" i="32" s="1"/>
  <c r="AN56" i="32"/>
  <c r="AN50" i="32"/>
  <c r="AK58" i="32"/>
  <c r="AJ58" i="32"/>
  <c r="AN58" i="32" s="1"/>
  <c r="AK49" i="32"/>
  <c r="AJ49" i="32"/>
  <c r="AN49" i="32" s="1"/>
  <c r="AK42" i="32"/>
  <c r="AJ42" i="32"/>
  <c r="AN42" i="32" s="1"/>
  <c r="AN53" i="32"/>
  <c r="AK32" i="32"/>
  <c r="AJ32" i="32"/>
  <c r="AN32" i="32" s="1"/>
  <c r="AK62" i="32"/>
  <c r="AJ62" i="32"/>
  <c r="AN62" i="32" s="1"/>
  <c r="AK31" i="32"/>
  <c r="AJ31" i="32"/>
  <c r="AN31" i="32" s="1"/>
  <c r="AM14" i="32"/>
  <c r="AL14" i="32" s="1"/>
  <c r="AK44" i="32"/>
  <c r="AJ44" i="32"/>
  <c r="AN44" i="32" s="1"/>
  <c r="AK27" i="32"/>
  <c r="AJ27" i="32"/>
  <c r="AN27" i="32" s="1"/>
  <c r="AK28" i="32"/>
  <c r="AJ28" i="32"/>
  <c r="AN28" i="32" s="1"/>
  <c r="AK41" i="32"/>
  <c r="AJ41" i="32"/>
  <c r="AN41" i="32" s="1"/>
  <c r="AK59" i="32"/>
  <c r="AJ59" i="32"/>
  <c r="AN59" i="32" s="1"/>
  <c r="AG40" i="31"/>
  <c r="AF40" i="31"/>
  <c r="AJ40" i="31" s="1"/>
  <c r="AG56" i="31"/>
  <c r="AF56" i="31"/>
  <c r="AJ56" i="31" s="1"/>
  <c r="AG39" i="31"/>
  <c r="AF39" i="31"/>
  <c r="AJ39" i="31" s="1"/>
  <c r="AG25" i="31"/>
  <c r="AF25" i="31"/>
  <c r="AJ25" i="31" s="1"/>
  <c r="AG44" i="31"/>
  <c r="AF44" i="31"/>
  <c r="AJ44" i="31" s="1"/>
  <c r="AG22" i="31"/>
  <c r="AF22" i="31"/>
  <c r="AJ22" i="31" s="1"/>
  <c r="AG26" i="31"/>
  <c r="AF26" i="31"/>
  <c r="AJ26" i="31" s="1"/>
  <c r="AJ55" i="31"/>
  <c r="AG23" i="31"/>
  <c r="AF23" i="31"/>
  <c r="AJ23" i="31" s="1"/>
  <c r="AG57" i="31"/>
  <c r="AF57" i="31"/>
  <c r="AJ57" i="31" s="1"/>
  <c r="AG13" i="31"/>
  <c r="AE14" i="31" s="1"/>
  <c r="AF13" i="31"/>
  <c r="AG70" i="31"/>
  <c r="AF70" i="31"/>
  <c r="AJ70" i="31" s="1"/>
  <c r="AG53" i="31"/>
  <c r="AF53" i="31"/>
  <c r="AJ53" i="31" s="1"/>
  <c r="AG36" i="31"/>
  <c r="AF36" i="31"/>
  <c r="AJ36" i="31" s="1"/>
  <c r="AG54" i="31"/>
  <c r="AF54" i="31"/>
  <c r="AJ54" i="31" s="1"/>
  <c r="AG43" i="31"/>
  <c r="AF43" i="31"/>
  <c r="AJ43" i="31" s="1"/>
  <c r="AG71" i="31"/>
  <c r="AF71" i="31"/>
  <c r="AJ71" i="31" s="1"/>
  <c r="AE13" i="1"/>
  <c r="AG13" i="1" s="1"/>
  <c r="AE14" i="1" s="1"/>
  <c r="AK14" i="32" l="1"/>
  <c r="AJ14" i="32"/>
  <c r="AN14" i="32" s="1"/>
  <c r="AG14" i="31"/>
  <c r="AE15" i="31" s="1"/>
  <c r="AF14" i="31"/>
  <c r="AJ14" i="31" s="1"/>
  <c r="AF13" i="1"/>
  <c r="AF14" i="1"/>
  <c r="AG14" i="1"/>
  <c r="AE15" i="1" s="1"/>
  <c r="AF15" i="1" s="1"/>
  <c r="AG15" i="31" l="1"/>
  <c r="AF15" i="31"/>
  <c r="AJ15" i="31" s="1"/>
  <c r="AG15" i="1"/>
  <c r="O48" i="1" l="1"/>
  <c r="X16" i="1" l="1"/>
  <c r="X17" i="1"/>
  <c r="E24" i="22" l="1"/>
  <c r="E8" i="13"/>
  <c r="E7" i="13"/>
  <c r="E6" i="13"/>
  <c r="E5" i="13"/>
  <c r="R64" i="1"/>
  <c r="R52" i="1"/>
  <c r="R22" i="1"/>
  <c r="R39" i="1"/>
  <c r="R34" i="1"/>
  <c r="R53" i="1"/>
  <c r="R27" i="1"/>
  <c r="R31" i="1"/>
  <c r="R57" i="1"/>
  <c r="R50" i="1"/>
  <c r="R37" i="1"/>
  <c r="R65" i="1"/>
  <c r="R47" i="1"/>
  <c r="R33" i="1"/>
  <c r="R46" i="1"/>
  <c r="R20" i="1"/>
  <c r="R45" i="1"/>
  <c r="R59" i="1"/>
  <c r="R58" i="1"/>
  <c r="R26" i="1"/>
  <c r="R17" i="1"/>
  <c r="R63" i="1"/>
  <c r="R51" i="1"/>
  <c r="R43" i="1"/>
  <c r="R19" i="1"/>
  <c r="R41" i="1"/>
  <c r="R21" i="1"/>
  <c r="R28" i="1"/>
  <c r="R38" i="1"/>
  <c r="R55" i="1"/>
  <c r="R29" i="1"/>
  <c r="R44" i="1"/>
  <c r="R25" i="1"/>
  <c r="R23" i="1"/>
  <c r="R62" i="1"/>
  <c r="R32" i="1"/>
  <c r="R35" i="1"/>
  <c r="R56" i="1"/>
  <c r="R61" i="1"/>
  <c r="R49" i="1"/>
  <c r="R40" i="1"/>
  <c r="F222" i="13" l="1"/>
  <c r="F212" i="13"/>
  <c r="F213" i="13"/>
  <c r="F214" i="13"/>
  <c r="F215" i="13"/>
  <c r="F216" i="13"/>
  <c r="F217" i="13"/>
  <c r="F218" i="13"/>
  <c r="F219" i="13"/>
  <c r="F220" i="13"/>
  <c r="F221" i="13"/>
  <c r="F211" i="13"/>
  <c r="B222" i="13" a="1"/>
  <c r="B222" i="13" l="1"/>
  <c r="X48" i="1"/>
  <c r="X43" i="1"/>
  <c r="X37" i="1"/>
  <c r="R13" i="1" l="1"/>
  <c r="S13" i="1" s="1"/>
  <c r="T13" i="1" s="1"/>
  <c r="AI13" i="1" s="1"/>
  <c r="V19" i="32"/>
  <c r="W19" i="32" s="1"/>
  <c r="R43" i="31"/>
  <c r="S43" i="31" s="1"/>
  <c r="R31" i="31"/>
  <c r="S31" i="31" s="1"/>
  <c r="V31" i="32"/>
  <c r="W31" i="32" s="1"/>
  <c r="R19" i="31"/>
  <c r="S19" i="31" s="1"/>
  <c r="V49" i="32"/>
  <c r="W49" i="32" s="1"/>
  <c r="V67" i="32"/>
  <c r="W67" i="32" s="1"/>
  <c r="R61" i="31"/>
  <c r="S61" i="31" s="1"/>
  <c r="R67" i="31"/>
  <c r="S67" i="31" s="1"/>
  <c r="V37" i="32"/>
  <c r="W37" i="32" s="1"/>
  <c r="R49" i="31"/>
  <c r="S49" i="31" s="1"/>
  <c r="R25" i="31"/>
  <c r="S25" i="31" s="1"/>
  <c r="V55" i="32"/>
  <c r="W55" i="32" s="1"/>
  <c r="R37" i="31"/>
  <c r="S37" i="31" s="1"/>
  <c r="R13" i="31"/>
  <c r="S13" i="31" s="1"/>
  <c r="V13" i="32"/>
  <c r="W13" i="32" s="1"/>
  <c r="V25" i="32"/>
  <c r="W25" i="32" s="1"/>
  <c r="R55" i="31"/>
  <c r="S55" i="31" s="1"/>
  <c r="V61" i="32"/>
  <c r="W61" i="32" s="1"/>
  <c r="V43" i="32"/>
  <c r="W43" i="32" s="1"/>
  <c r="AI48"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U61" i="31" l="1"/>
  <c r="T61" i="31"/>
  <c r="U13" i="1"/>
  <c r="T13" i="31"/>
  <c r="AI13" i="31" s="1"/>
  <c r="AH13" i="31" s="1"/>
  <c r="AJ13" i="31" s="1"/>
  <c r="U13" i="31"/>
  <c r="Y67" i="32"/>
  <c r="X67" i="32"/>
  <c r="T37" i="31"/>
  <c r="U37" i="31"/>
  <c r="Y49" i="32"/>
  <c r="X49" i="32"/>
  <c r="X55" i="32"/>
  <c r="Y55" i="32"/>
  <c r="X31" i="32"/>
  <c r="Y31" i="32"/>
  <c r="X13" i="32"/>
  <c r="Y13" i="32"/>
  <c r="T19" i="31"/>
  <c r="U19" i="31"/>
  <c r="X43" i="32"/>
  <c r="Y43" i="32"/>
  <c r="U25" i="31"/>
  <c r="T25" i="31"/>
  <c r="X61" i="32"/>
  <c r="Y61" i="32"/>
  <c r="T49" i="31"/>
  <c r="U49" i="31"/>
  <c r="T31" i="31"/>
  <c r="U31" i="31"/>
  <c r="T55" i="31"/>
  <c r="U55" i="31"/>
  <c r="X37" i="32"/>
  <c r="Y37" i="32"/>
  <c r="U43" i="31"/>
  <c r="T43" i="31"/>
  <c r="X25" i="32"/>
  <c r="Y25" i="32"/>
  <c r="T67" i="31"/>
  <c r="U67" i="31"/>
  <c r="Y19" i="32"/>
  <c r="X19" i="32"/>
  <c r="AH13" i="1"/>
  <c r="AJ13" i="1" s="1"/>
  <c r="AI14" i="1"/>
  <c r="AA65" i="1"/>
  <c r="X65" i="1"/>
  <c r="AA64" i="1"/>
  <c r="X64" i="1"/>
  <c r="AA63" i="1"/>
  <c r="X63" i="1"/>
  <c r="AA62" i="1"/>
  <c r="X62" i="1"/>
  <c r="AA61" i="1"/>
  <c r="X61" i="1"/>
  <c r="AA60" i="1"/>
  <c r="X60" i="1"/>
  <c r="O60" i="1"/>
  <c r="P60" i="1" s="1"/>
  <c r="AA59" i="1"/>
  <c r="X59" i="1"/>
  <c r="AA58" i="1"/>
  <c r="X58" i="1"/>
  <c r="AA57" i="1"/>
  <c r="X57" i="1"/>
  <c r="AA56" i="1"/>
  <c r="X56" i="1"/>
  <c r="AA55" i="1"/>
  <c r="X55" i="1"/>
  <c r="AA54" i="1"/>
  <c r="X54" i="1"/>
  <c r="O54" i="1"/>
  <c r="P54" i="1" s="1"/>
  <c r="AA53" i="1"/>
  <c r="X53" i="1"/>
  <c r="AA52" i="1"/>
  <c r="X52" i="1"/>
  <c r="AA51" i="1"/>
  <c r="X51" i="1"/>
  <c r="AA50" i="1"/>
  <c r="X50" i="1"/>
  <c r="AA49" i="1"/>
  <c r="X49" i="1"/>
  <c r="AA48" i="1"/>
  <c r="P48" i="1"/>
  <c r="AA47" i="1"/>
  <c r="X47" i="1"/>
  <c r="AA46" i="1"/>
  <c r="X46" i="1"/>
  <c r="AA45" i="1"/>
  <c r="X45" i="1"/>
  <c r="AA44" i="1"/>
  <c r="X44" i="1"/>
  <c r="AA43" i="1"/>
  <c r="AA42" i="1"/>
  <c r="X42" i="1"/>
  <c r="O42" i="1"/>
  <c r="P42" i="1" s="1"/>
  <c r="AA41" i="1"/>
  <c r="X41" i="1"/>
  <c r="AA40" i="1"/>
  <c r="X40" i="1"/>
  <c r="AA39" i="1"/>
  <c r="X39" i="1"/>
  <c r="AA38" i="1"/>
  <c r="X38" i="1"/>
  <c r="AA37" i="1"/>
  <c r="AA36" i="1"/>
  <c r="X36" i="1"/>
  <c r="O36" i="1"/>
  <c r="P36" i="1" s="1"/>
  <c r="AA35" i="1"/>
  <c r="X35" i="1"/>
  <c r="AA34" i="1"/>
  <c r="X34" i="1"/>
  <c r="AA33" i="1"/>
  <c r="X33" i="1"/>
  <c r="AA32" i="1"/>
  <c r="X32" i="1"/>
  <c r="AA31" i="1"/>
  <c r="X31" i="1"/>
  <c r="AA30" i="1"/>
  <c r="X30" i="1"/>
  <c r="O30" i="1"/>
  <c r="AA29" i="1"/>
  <c r="X29" i="1"/>
  <c r="AA28" i="1"/>
  <c r="X28" i="1"/>
  <c r="AA27" i="1"/>
  <c r="X27" i="1"/>
  <c r="AA26" i="1"/>
  <c r="X26" i="1"/>
  <c r="AA25" i="1"/>
  <c r="X25" i="1"/>
  <c r="AA24" i="1"/>
  <c r="X24" i="1"/>
  <c r="O24" i="1"/>
  <c r="P24" i="1" s="1"/>
  <c r="AA23" i="1"/>
  <c r="X23" i="1"/>
  <c r="AA22" i="1"/>
  <c r="X22" i="1"/>
  <c r="AA21" i="1"/>
  <c r="X21" i="1"/>
  <c r="AA20" i="1"/>
  <c r="X20" i="1"/>
  <c r="AA19" i="1"/>
  <c r="X19" i="1"/>
  <c r="AA18" i="1"/>
  <c r="X18" i="1"/>
  <c r="O18" i="1"/>
  <c r="P18" i="1" s="1"/>
  <c r="O16" i="1"/>
  <c r="AH14" i="1" l="1"/>
  <c r="AJ14" i="1" s="1"/>
  <c r="AI15" i="1"/>
  <c r="AH15" i="1" s="1"/>
  <c r="AJ15" i="1" s="1"/>
  <c r="P30" i="1"/>
  <c r="AI22" i="1"/>
  <c r="AI33" i="1"/>
  <c r="AI41" i="1"/>
  <c r="AI53" i="1"/>
  <c r="AI64" i="1"/>
  <c r="AI23" i="1"/>
  <c r="AI34" i="1"/>
  <c r="AI29" i="1"/>
  <c r="AI56" i="1"/>
  <c r="AI57" i="1"/>
  <c r="AI27" i="1"/>
  <c r="AI58" i="1"/>
  <c r="AI21" i="1"/>
  <c r="AI32" i="1"/>
  <c r="AI40" i="1"/>
  <c r="AI52" i="1"/>
  <c r="AI63" i="1"/>
  <c r="AI26" i="1"/>
  <c r="AI46" i="1"/>
  <c r="AH46" i="1" s="1"/>
  <c r="AI65" i="1"/>
  <c r="AI24" i="1"/>
  <c r="AI25" i="1"/>
  <c r="AI37" i="1"/>
  <c r="AI36" i="1"/>
  <c r="AI19" i="1"/>
  <c r="AI18" i="1"/>
  <c r="AI50" i="1"/>
  <c r="AI49" i="1"/>
  <c r="AI61" i="1"/>
  <c r="AI60" i="1"/>
  <c r="AI45" i="1"/>
  <c r="AI44" i="1"/>
  <c r="AI20" i="1"/>
  <c r="AI31" i="1"/>
  <c r="AI30" i="1"/>
  <c r="AI35" i="1"/>
  <c r="AI39" i="1"/>
  <c r="AI38" i="1"/>
  <c r="AI47" i="1"/>
  <c r="AH47" i="1" s="1"/>
  <c r="AI51" i="1"/>
  <c r="AI62" i="1"/>
  <c r="AI28" i="1"/>
  <c r="AI43" i="1"/>
  <c r="AI42" i="1"/>
  <c r="AI55" i="1"/>
  <c r="AI54" i="1"/>
  <c r="AI59" i="1"/>
  <c r="P16" i="1"/>
  <c r="AE16" i="1" s="1"/>
  <c r="AE60" i="1"/>
  <c r="AE54" i="1"/>
  <c r="AE48" i="1"/>
  <c r="AE42" i="1"/>
  <c r="AE46" i="1"/>
  <c r="AE47" i="1"/>
  <c r="AE36" i="1"/>
  <c r="AE30" i="1"/>
  <c r="AE24" i="1"/>
  <c r="AE18" i="1"/>
  <c r="AF60" i="1" l="1"/>
  <c r="AG60" i="1"/>
  <c r="AE61" i="1" s="1"/>
  <c r="AF61" i="1" s="1"/>
  <c r="AF54" i="1"/>
  <c r="AG54" i="1"/>
  <c r="AE55" i="1" s="1"/>
  <c r="AG55" i="1" s="1"/>
  <c r="AE56" i="1" s="1"/>
  <c r="AF48" i="1"/>
  <c r="AG48" i="1"/>
  <c r="AE49" i="1" s="1"/>
  <c r="AG49" i="1" s="1"/>
  <c r="AE50" i="1" s="1"/>
  <c r="AF47" i="1"/>
  <c r="AG47" i="1"/>
  <c r="AF46" i="1"/>
  <c r="AG46" i="1"/>
  <c r="AF42" i="1"/>
  <c r="AG42" i="1"/>
  <c r="AF36" i="1"/>
  <c r="AG36" i="1"/>
  <c r="AE37" i="1" s="1"/>
  <c r="AG37" i="1" s="1"/>
  <c r="AE38" i="1" s="1"/>
  <c r="AF30" i="1"/>
  <c r="AG30" i="1"/>
  <c r="AF24" i="1"/>
  <c r="AG24" i="1"/>
  <c r="AE25" i="1" s="1"/>
  <c r="AG25" i="1" s="1"/>
  <c r="AE26" i="1" s="1"/>
  <c r="AF26" i="1" s="1"/>
  <c r="AF18" i="1"/>
  <c r="AG18" i="1"/>
  <c r="AE19" i="1" s="1"/>
  <c r="AF19" i="1" s="1"/>
  <c r="AF16" i="1"/>
  <c r="AG16" i="1"/>
  <c r="AE17" i="1" s="1"/>
  <c r="AF55" i="1" l="1"/>
  <c r="AF49" i="1"/>
  <c r="AG19" i="1"/>
  <c r="AE20" i="1" s="1"/>
  <c r="AF20" i="1" s="1"/>
  <c r="AF37" i="1"/>
  <c r="AF25" i="1"/>
  <c r="AF38" i="1"/>
  <c r="AG38" i="1"/>
  <c r="AG56" i="1"/>
  <c r="AE57" i="1" s="1"/>
  <c r="AF56" i="1"/>
  <c r="AG50" i="1"/>
  <c r="AE51" i="1" s="1"/>
  <c r="AF50" i="1"/>
  <c r="AG61" i="1"/>
  <c r="AE62" i="1" s="1"/>
  <c r="AE31" i="1"/>
  <c r="AE43" i="1"/>
  <c r="AG26"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J46" i="1"/>
  <c r="AJ47" i="1"/>
  <c r="AF57" i="1" l="1"/>
  <c r="AG57" i="1"/>
  <c r="AF51" i="1"/>
  <c r="AG51" i="1"/>
  <c r="AE52" i="1" s="1"/>
  <c r="AG20" i="1"/>
  <c r="AE21" i="1" s="1"/>
  <c r="AG21" i="1" s="1"/>
  <c r="AF62" i="1"/>
  <c r="AG62" i="1"/>
  <c r="AE63" i="1" s="1"/>
  <c r="AF43" i="1"/>
  <c r="AG43" i="1"/>
  <c r="AE44" i="1" s="1"/>
  <c r="AF44" i="1" s="1"/>
  <c r="AE39" i="1"/>
  <c r="AF31" i="1"/>
  <c r="AG31" i="1"/>
  <c r="AE32" i="1" s="1"/>
  <c r="AF32" i="1" s="1"/>
  <c r="AE28" i="1"/>
  <c r="AF28" i="1" s="1"/>
  <c r="AE27" i="1"/>
  <c r="AF17" i="1"/>
  <c r="AG17" i="1"/>
  <c r="AG44" i="1" l="1"/>
  <c r="AE45" i="1" s="1"/>
  <c r="AF45" i="1" s="1"/>
  <c r="AG32" i="1"/>
  <c r="AE33" i="1" s="1"/>
  <c r="AG33" i="1" s="1"/>
  <c r="AE34" i="1" s="1"/>
  <c r="AF52" i="1"/>
  <c r="AG52" i="1"/>
  <c r="AE53" i="1" s="1"/>
  <c r="AE58" i="1"/>
  <c r="AE59" i="1"/>
  <c r="AF21" i="1"/>
  <c r="AF39" i="1"/>
  <c r="AG39" i="1"/>
  <c r="AE40" i="1" s="1"/>
  <c r="AF40" i="1" s="1"/>
  <c r="AE22" i="1"/>
  <c r="AG63" i="1"/>
  <c r="AF63" i="1"/>
  <c r="AF27" i="1"/>
  <c r="AG27" i="1"/>
  <c r="AG28" i="1"/>
  <c r="AE29" i="1" s="1"/>
  <c r="AG45" i="1" l="1"/>
  <c r="AF33" i="1"/>
  <c r="AF59" i="1"/>
  <c r="AG59" i="1"/>
  <c r="AF58" i="1"/>
  <c r="AG58" i="1"/>
  <c r="AF53" i="1"/>
  <c r="AG53" i="1"/>
  <c r="AE64" i="1"/>
  <c r="AE65" i="1"/>
  <c r="AG40" i="1"/>
  <c r="AE41" i="1" s="1"/>
  <c r="AF41" i="1" s="1"/>
  <c r="AG34" i="1"/>
  <c r="AE35" i="1" s="1"/>
  <c r="AF34" i="1"/>
  <c r="AF22" i="1"/>
  <c r="AG22" i="1"/>
  <c r="AE23" i="1" s="1"/>
  <c r="AF23" i="1" s="1"/>
  <c r="AF29" i="1"/>
  <c r="AG29" i="1"/>
  <c r="AF65" i="1" l="1"/>
  <c r="AG65" i="1"/>
  <c r="AF64" i="1"/>
  <c r="AG64" i="1"/>
  <c r="AF35" i="1"/>
  <c r="AG35" i="1"/>
  <c r="AG41" i="1"/>
  <c r="AG23" i="1"/>
  <c r="R36" i="1" l="1"/>
  <c r="S36" i="1" s="1"/>
  <c r="R24" i="1"/>
  <c r="S24" i="1" s="1"/>
  <c r="R18" i="1"/>
  <c r="S18" i="1" s="1"/>
  <c r="R48" i="1"/>
  <c r="S48" i="1" s="1"/>
  <c r="R42" i="1"/>
  <c r="S42" i="1" s="1"/>
  <c r="R30" i="1"/>
  <c r="S30" i="1" s="1"/>
  <c r="AD40" i="18" s="1"/>
  <c r="R60" i="1"/>
  <c r="S60" i="1" s="1"/>
  <c r="R54" i="1"/>
  <c r="S54" i="1" s="1"/>
  <c r="R16" i="1"/>
  <c r="S16" i="1" s="1"/>
  <c r="Z42" i="18" l="1"/>
  <c r="N42" i="18"/>
  <c r="AF26" i="18"/>
  <c r="N26" i="18"/>
  <c r="AF18" i="18"/>
  <c r="T10" i="18"/>
  <c r="N34" i="18"/>
  <c r="T34" i="18"/>
  <c r="T18" i="18"/>
  <c r="Z18" i="18"/>
  <c r="Z10" i="18"/>
  <c r="AL18" i="18"/>
  <c r="Z26" i="18"/>
  <c r="U54" i="1"/>
  <c r="T54"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T48" i="1"/>
  <c r="AJ42" i="18"/>
  <c r="AJ18" i="18"/>
  <c r="AD26" i="18"/>
  <c r="L10" i="18"/>
  <c r="AD10" i="18"/>
  <c r="X18" i="18"/>
  <c r="AD42" i="18"/>
  <c r="L18" i="18"/>
  <c r="R10" i="18"/>
  <c r="U48" i="1"/>
  <c r="T60" i="1"/>
  <c r="AB36" i="18"/>
  <c r="AH12" i="18"/>
  <c r="P28" i="18"/>
  <c r="AH20" i="18"/>
  <c r="P36" i="18"/>
  <c r="V12" i="18"/>
  <c r="AH28" i="18"/>
  <c r="AB20" i="18"/>
  <c r="J12" i="18"/>
  <c r="J20" i="18"/>
  <c r="U60" i="1"/>
  <c r="P44" i="18"/>
  <c r="AB44" i="18"/>
  <c r="V28" i="18"/>
  <c r="V36" i="18"/>
  <c r="J28" i="18"/>
  <c r="AH36" i="18"/>
  <c r="J44" i="18"/>
  <c r="P12" i="18"/>
  <c r="AB12" i="18"/>
  <c r="V44" i="18"/>
  <c r="AH44" i="18"/>
  <c r="V20" i="18"/>
  <c r="P20" i="18"/>
  <c r="J36" i="18"/>
  <c r="AB28" i="18"/>
  <c r="T38" i="18"/>
  <c r="AF22" i="18"/>
  <c r="N38" i="18"/>
  <c r="AF30" i="18"/>
  <c r="AL6" i="18"/>
  <c r="Z6" i="18"/>
  <c r="U18" i="1"/>
  <c r="T14" i="18"/>
  <c r="T22" i="18"/>
  <c r="N6" i="18"/>
  <c r="AL30" i="18"/>
  <c r="Z22" i="18"/>
  <c r="Z14" i="18"/>
  <c r="T18" i="1"/>
  <c r="Z30" i="18"/>
  <c r="AL38" i="18"/>
  <c r="AL14" i="18"/>
  <c r="AF6" i="18"/>
  <c r="AL22" i="18"/>
  <c r="T30" i="18"/>
  <c r="Z38" i="18"/>
  <c r="AF14" i="18"/>
  <c r="N30" i="18"/>
  <c r="N14" i="18"/>
  <c r="N22" i="18"/>
  <c r="AF38" i="18"/>
  <c r="T6" i="18"/>
  <c r="T30" i="1"/>
  <c r="X32" i="18"/>
  <c r="AD32" i="18"/>
  <c r="AJ8" i="18"/>
  <c r="L16" i="18"/>
  <c r="R32" i="18"/>
  <c r="AJ32" i="18"/>
  <c r="U30" i="1"/>
  <c r="R40" i="18"/>
  <c r="AJ40" i="18"/>
  <c r="AD24" i="18"/>
  <c r="AJ24" i="18"/>
  <c r="R24" i="18"/>
  <c r="AJ16" i="18"/>
  <c r="AD8" i="18"/>
  <c r="L32" i="18"/>
  <c r="L40" i="18"/>
  <c r="R16" i="18"/>
  <c r="L24" i="18"/>
  <c r="AD16" i="18"/>
  <c r="L8" i="18"/>
  <c r="R8" i="18"/>
  <c r="X40" i="18"/>
  <c r="X8" i="18"/>
  <c r="X16" i="18"/>
  <c r="X24" i="18"/>
  <c r="T24" i="1"/>
  <c r="J40" i="18"/>
  <c r="J16" i="18"/>
  <c r="P16" i="18"/>
  <c r="V8" i="18"/>
  <c r="J8" i="18"/>
  <c r="J24" i="18"/>
  <c r="AH16" i="18"/>
  <c r="AB16" i="18"/>
  <c r="AB40" i="18"/>
  <c r="P32" i="18"/>
  <c r="P40" i="18"/>
  <c r="AH24" i="18"/>
  <c r="AB32" i="18"/>
  <c r="J32" i="18"/>
  <c r="V16" i="18"/>
  <c r="V40" i="18"/>
  <c r="AH32" i="18"/>
  <c r="V24" i="18"/>
  <c r="V32" i="18"/>
  <c r="AH8" i="18"/>
  <c r="AB8" i="18"/>
  <c r="P8" i="18"/>
  <c r="U24" i="1"/>
  <c r="AH40" i="18"/>
  <c r="AB24" i="18"/>
  <c r="P24" i="18"/>
  <c r="AD38" i="18"/>
  <c r="L30" i="18"/>
  <c r="AD30" i="18"/>
  <c r="AJ6" i="18"/>
  <c r="L14" i="18"/>
  <c r="L22" i="18"/>
  <c r="X6" i="18"/>
  <c r="L6" i="18"/>
  <c r="U16" i="1"/>
  <c r="R38" i="18"/>
  <c r="AJ38" i="18"/>
  <c r="L38" i="18"/>
  <c r="AD6" i="18"/>
  <c r="R6" i="18"/>
  <c r="AJ30" i="18"/>
  <c r="R30" i="18"/>
  <c r="AD22" i="18"/>
  <c r="AJ14" i="18"/>
  <c r="AJ22" i="18"/>
  <c r="AD14" i="18"/>
  <c r="X38" i="18"/>
  <c r="X14" i="18"/>
  <c r="R22" i="18"/>
  <c r="X22" i="18"/>
  <c r="T16" i="1"/>
  <c r="AI16" i="1" s="1"/>
  <c r="AI17" i="1" s="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T42" i="1"/>
  <c r="AH34" i="18"/>
  <c r="AH42" i="18"/>
  <c r="AH18" i="18"/>
  <c r="AB10" i="18"/>
  <c r="J26" i="18"/>
  <c r="V18" i="18"/>
  <c r="V42" i="18"/>
  <c r="J42" i="18"/>
  <c r="P10" i="18"/>
  <c r="AB26" i="18"/>
  <c r="J34" i="18"/>
  <c r="J18" i="18"/>
  <c r="AH10" i="18"/>
  <c r="AB34" i="18"/>
  <c r="P26" i="18"/>
  <c r="P34" i="18"/>
  <c r="V34" i="18"/>
  <c r="AH26" i="18"/>
  <c r="J10" i="18"/>
  <c r="U42" i="1"/>
  <c r="P18" i="18"/>
  <c r="AB42" i="18"/>
  <c r="V10" i="18"/>
  <c r="AB18" i="18"/>
  <c r="P42" i="18"/>
  <c r="V26" i="18"/>
  <c r="Z32" i="18"/>
  <c r="N24" i="18"/>
  <c r="AL32" i="18"/>
  <c r="AL40" i="18"/>
  <c r="N8" i="18"/>
  <c r="AF24" i="18"/>
  <c r="Z40" i="18"/>
  <c r="Z16" i="18"/>
  <c r="N32" i="18"/>
  <c r="T32" i="18"/>
  <c r="N40" i="18"/>
  <c r="T8" i="18"/>
  <c r="T36" i="1"/>
  <c r="AF32" i="18"/>
  <c r="AL8" i="18"/>
  <c r="T24" i="18"/>
  <c r="N16" i="18"/>
  <c r="T16" i="18"/>
  <c r="Z24" i="18"/>
  <c r="AF16" i="18"/>
  <c r="U36" i="1"/>
  <c r="T40" i="18"/>
  <c r="AF8" i="18"/>
  <c r="AL24" i="18"/>
  <c r="Z8" i="18"/>
  <c r="AF40" i="18"/>
  <c r="AL16" i="18"/>
  <c r="AH24" i="1" l="1"/>
  <c r="AH60" i="1"/>
  <c r="AH36" i="1"/>
  <c r="AH48" i="1"/>
  <c r="AH16" i="1"/>
  <c r="AH18" i="1"/>
  <c r="AH42" i="1"/>
  <c r="AH30" i="1"/>
  <c r="AH43" i="1" l="1"/>
  <c r="AH49" i="1"/>
  <c r="AH55" i="1"/>
  <c r="AH31" i="1"/>
  <c r="AH37" i="1"/>
  <c r="AH25" i="1"/>
  <c r="AH19" i="1"/>
  <c r="J40" i="19"/>
  <c r="V30" i="19"/>
  <c r="AH20" i="19"/>
  <c r="J30" i="19"/>
  <c r="V20" i="19"/>
  <c r="AH10" i="19"/>
  <c r="P10" i="19"/>
  <c r="AB50" i="19"/>
  <c r="J50" i="19"/>
  <c r="AB40" i="19"/>
  <c r="P30" i="19"/>
  <c r="V50" i="19"/>
  <c r="P50" i="19"/>
  <c r="AB10" i="19"/>
  <c r="AH30" i="19"/>
  <c r="AH40" i="19"/>
  <c r="J10" i="19"/>
  <c r="AB20" i="19"/>
  <c r="AH50" i="19"/>
  <c r="AJ30" i="1"/>
  <c r="V10" i="19"/>
  <c r="P20" i="19"/>
  <c r="J20" i="19"/>
  <c r="P40" i="19"/>
  <c r="V40" i="19"/>
  <c r="AB30" i="19"/>
  <c r="J11" i="19"/>
  <c r="V11" i="19"/>
  <c r="AB21" i="19"/>
  <c r="P31" i="19"/>
  <c r="J31" i="19"/>
  <c r="AB41" i="19"/>
  <c r="AJ36"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J60" i="1"/>
  <c r="P25" i="19"/>
  <c r="V55" i="19"/>
  <c r="J15" i="19"/>
  <c r="AB15" i="19"/>
  <c r="J35" i="19"/>
  <c r="AB35" i="19"/>
  <c r="J55" i="19"/>
  <c r="AB25" i="19"/>
  <c r="P35" i="19"/>
  <c r="P55" i="19"/>
  <c r="AB45" i="19"/>
  <c r="P15" i="19"/>
  <c r="J47" i="19"/>
  <c r="V27" i="19"/>
  <c r="AH7" i="19"/>
  <c r="P47" i="19"/>
  <c r="AB27" i="19"/>
  <c r="J17" i="19"/>
  <c r="V47" i="19"/>
  <c r="J37" i="19"/>
  <c r="AJ16" i="1"/>
  <c r="AB37" i="19"/>
  <c r="J27" i="19"/>
  <c r="V7" i="19"/>
  <c r="AH37" i="19"/>
  <c r="P27" i="19"/>
  <c r="AB7" i="19"/>
  <c r="P17" i="19"/>
  <c r="V17" i="19"/>
  <c r="AH47" i="19"/>
  <c r="P37" i="19"/>
  <c r="AB17" i="19"/>
  <c r="J7" i="19"/>
  <c r="V37" i="19"/>
  <c r="AH17" i="19"/>
  <c r="P7" i="19"/>
  <c r="AH27" i="19"/>
  <c r="AB47" i="19"/>
  <c r="AJ48"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H54" i="1"/>
  <c r="AJ24"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J18"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H38" i="1"/>
  <c r="V32" i="19"/>
  <c r="P42" i="19"/>
  <c r="J12" i="19"/>
  <c r="J32" i="19"/>
  <c r="AB52" i="19"/>
  <c r="AJ42" i="1"/>
  <c r="J22" i="19"/>
  <c r="V22" i="19"/>
  <c r="J52" i="19"/>
  <c r="AH12" i="19"/>
  <c r="J42" i="19"/>
  <c r="AH42" i="19"/>
  <c r="P32" i="19"/>
  <c r="AB12" i="19"/>
  <c r="AH32" i="19"/>
  <c r="AB32" i="19"/>
  <c r="AB42" i="19"/>
  <c r="V42" i="19"/>
  <c r="V12" i="19"/>
  <c r="V52" i="19"/>
  <c r="AB22" i="19"/>
  <c r="AH52" i="19"/>
  <c r="AH22" i="19"/>
  <c r="P22" i="19"/>
  <c r="P12" i="19"/>
  <c r="P52" i="19"/>
  <c r="AH44" i="1"/>
  <c r="AH17" i="1"/>
  <c r="AH61" i="1" l="1"/>
  <c r="K45" i="19" s="1"/>
  <c r="AH45" i="1"/>
  <c r="S12" i="19" s="1"/>
  <c r="W37" i="19"/>
  <c r="AI7" i="19"/>
  <c r="W17" i="19"/>
  <c r="W27" i="19"/>
  <c r="Q47" i="19"/>
  <c r="W7" i="19"/>
  <c r="AI17" i="19"/>
  <c r="K47" i="19"/>
  <c r="AI47" i="19"/>
  <c r="Q27" i="19"/>
  <c r="AC27" i="19"/>
  <c r="AC47" i="19"/>
  <c r="AC37" i="19"/>
  <c r="AI37" i="19"/>
  <c r="AJ17" i="1"/>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J55"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J37" i="1"/>
  <c r="P54" i="19"/>
  <c r="AH14" i="19"/>
  <c r="AB14" i="19"/>
  <c r="AH34" i="19"/>
  <c r="AB54" i="19"/>
  <c r="AH54" i="19"/>
  <c r="AJ54"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J44" i="1"/>
  <c r="AD12" i="19"/>
  <c r="AD32" i="19"/>
  <c r="AD22" i="19"/>
  <c r="X52" i="19"/>
  <c r="AD52" i="19"/>
  <c r="L42" i="19"/>
  <c r="R42" i="19"/>
  <c r="AJ21" i="19"/>
  <c r="AD31" i="19"/>
  <c r="R21" i="19"/>
  <c r="AD41" i="19"/>
  <c r="AJ11" i="19"/>
  <c r="AJ51" i="19"/>
  <c r="AJ38" i="1"/>
  <c r="L41" i="19"/>
  <c r="AD11" i="19"/>
  <c r="L21" i="19"/>
  <c r="L11" i="19"/>
  <c r="X51" i="19"/>
  <c r="X21" i="19"/>
  <c r="R11" i="19"/>
  <c r="R31" i="19"/>
  <c r="AJ41" i="19"/>
  <c r="L31" i="19"/>
  <c r="R51" i="19"/>
  <c r="X31" i="19"/>
  <c r="X11" i="19"/>
  <c r="X41" i="19"/>
  <c r="AJ31" i="19"/>
  <c r="AD51" i="19"/>
  <c r="R41" i="19"/>
  <c r="AD21" i="19"/>
  <c r="L51" i="19"/>
  <c r="AH26" i="1"/>
  <c r="AH50" i="1"/>
  <c r="K42" i="19"/>
  <c r="AC32" i="19"/>
  <c r="W42" i="19"/>
  <c r="AI52" i="19"/>
  <c r="K22" i="19"/>
  <c r="Q32" i="19"/>
  <c r="AI12" i="19"/>
  <c r="AC52" i="19"/>
  <c r="Q42" i="19"/>
  <c r="AC42" i="19"/>
  <c r="K12" i="19"/>
  <c r="Q22" i="19"/>
  <c r="W52" i="19"/>
  <c r="AI42" i="19"/>
  <c r="W32" i="19"/>
  <c r="AI22" i="19"/>
  <c r="W12" i="19"/>
  <c r="AI32" i="19"/>
  <c r="AC12" i="19"/>
  <c r="Q12" i="19"/>
  <c r="Q52" i="19"/>
  <c r="AJ43" i="1"/>
  <c r="K32" i="19"/>
  <c r="W22" i="19"/>
  <c r="K52" i="19"/>
  <c r="AC22" i="19"/>
  <c r="AC40" i="19"/>
  <c r="W10" i="19"/>
  <c r="AC50" i="19"/>
  <c r="Q10" i="19"/>
  <c r="Q30" i="19"/>
  <c r="W50" i="19"/>
  <c r="K40" i="19"/>
  <c r="Q50" i="19"/>
  <c r="W20" i="19"/>
  <c r="AJ31"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H56" i="1"/>
  <c r="K39" i="19"/>
  <c r="AC39" i="19"/>
  <c r="W29" i="19"/>
  <c r="AI49" i="19"/>
  <c r="W9" i="19"/>
  <c r="AC19" i="19"/>
  <c r="Q49" i="19"/>
  <c r="W49" i="19"/>
  <c r="AC9" i="19"/>
  <c r="AI9" i="19"/>
  <c r="Q29" i="19"/>
  <c r="W39" i="19"/>
  <c r="Q39" i="19"/>
  <c r="AJ25"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J49" i="1"/>
  <c r="Q33" i="19"/>
  <c r="AI23" i="19"/>
  <c r="K53" i="19"/>
  <c r="AC23" i="19"/>
  <c r="AC13" i="19"/>
  <c r="W23" i="19"/>
  <c r="W33" i="19"/>
  <c r="Q13" i="19"/>
  <c r="W13" i="19"/>
  <c r="AI13" i="19"/>
  <c r="Q43" i="19"/>
  <c r="Q23" i="19"/>
  <c r="W53" i="19"/>
  <c r="AE32" i="19"/>
  <c r="AJ45" i="1"/>
  <c r="Y52" i="19"/>
  <c r="S22" i="19"/>
  <c r="M22" i="19"/>
  <c r="AK32" i="19"/>
  <c r="AE42" i="19"/>
  <c r="S42" i="19"/>
  <c r="AH39" i="1"/>
  <c r="AH41" i="1"/>
  <c r="AH40" i="1"/>
  <c r="AH32"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J19" i="1"/>
  <c r="AE22" i="19" l="1"/>
  <c r="AK42" i="19"/>
  <c r="AK52" i="19"/>
  <c r="M12" i="19"/>
  <c r="S52" i="19"/>
  <c r="AK22" i="19"/>
  <c r="AK12" i="19"/>
  <c r="AE52" i="19"/>
  <c r="Y42" i="19"/>
  <c r="Q55" i="19"/>
  <c r="Y22" i="19"/>
  <c r="Y32" i="19"/>
  <c r="AE12" i="19"/>
  <c r="M52" i="19"/>
  <c r="Y12" i="19"/>
  <c r="S32" i="19"/>
  <c r="M32" i="19"/>
  <c r="M42" i="19"/>
  <c r="W45" i="19"/>
  <c r="K25" i="19"/>
  <c r="W55" i="19"/>
  <c r="AI25" i="19"/>
  <c r="AI45" i="19"/>
  <c r="Q25" i="19"/>
  <c r="AJ61" i="1"/>
  <c r="AC35" i="19"/>
  <c r="AI15" i="19"/>
  <c r="Q35" i="19"/>
  <c r="W25" i="19"/>
  <c r="AC25" i="19"/>
  <c r="AI55" i="19"/>
  <c r="K15" i="19"/>
  <c r="Q15" i="19"/>
  <c r="K35" i="19"/>
  <c r="W35" i="19"/>
  <c r="W15" i="19"/>
  <c r="AC15" i="19"/>
  <c r="Q45" i="19"/>
  <c r="AC55" i="19"/>
  <c r="K55" i="19"/>
  <c r="AC45" i="19"/>
  <c r="AI35" i="19"/>
  <c r="AH62" i="1"/>
  <c r="AH20" i="1"/>
  <c r="R18" i="19" s="1"/>
  <c r="R40" i="19"/>
  <c r="AD10" i="19"/>
  <c r="X40" i="19"/>
  <c r="AJ10" i="19"/>
  <c r="R50" i="19"/>
  <c r="X10" i="19"/>
  <c r="R30" i="19"/>
  <c r="AJ32" i="1"/>
  <c r="L10" i="19"/>
  <c r="L50" i="19"/>
  <c r="AJ20" i="19"/>
  <c r="AJ40" i="19"/>
  <c r="AD30" i="19"/>
  <c r="R20" i="19"/>
  <c r="AD50" i="19"/>
  <c r="AJ30" i="19"/>
  <c r="AJ50" i="19"/>
  <c r="X30" i="19"/>
  <c r="AD20" i="19"/>
  <c r="L40" i="19"/>
  <c r="X50" i="19"/>
  <c r="X20" i="19"/>
  <c r="AD40" i="19"/>
  <c r="R10" i="19"/>
  <c r="L30" i="19"/>
  <c r="L20" i="19"/>
  <c r="AH51" i="1"/>
  <c r="AH65" i="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H22" i="1"/>
  <c r="AH21" i="1"/>
  <c r="AH23" i="1"/>
  <c r="AJ43" i="19"/>
  <c r="AD33" i="19"/>
  <c r="X33" i="19"/>
  <c r="X13" i="19"/>
  <c r="AD43" i="19"/>
  <c r="L43" i="19"/>
  <c r="AJ50" i="1"/>
  <c r="X23" i="19"/>
  <c r="R33" i="19"/>
  <c r="R43" i="19"/>
  <c r="AD53" i="19"/>
  <c r="AJ13" i="19"/>
  <c r="R23" i="19"/>
  <c r="R13" i="19"/>
  <c r="AJ53" i="19"/>
  <c r="L33" i="19"/>
  <c r="L23" i="19"/>
  <c r="X43" i="19"/>
  <c r="X53" i="19"/>
  <c r="AD13" i="19"/>
  <c r="L53" i="19"/>
  <c r="L13" i="19"/>
  <c r="AD23" i="19"/>
  <c r="AJ33" i="19"/>
  <c r="AJ23" i="19"/>
  <c r="R53" i="19"/>
  <c r="Z11" i="19"/>
  <c r="AF31" i="19"/>
  <c r="T51" i="19"/>
  <c r="N51" i="19"/>
  <c r="Z41" i="19"/>
  <c r="AF21" i="19"/>
  <c r="AL31" i="19"/>
  <c r="T31" i="19"/>
  <c r="Z31" i="19"/>
  <c r="N21" i="19"/>
  <c r="N31" i="19"/>
  <c r="AL11" i="19"/>
  <c r="T11" i="19"/>
  <c r="AF11" i="19"/>
  <c r="AL41" i="19"/>
  <c r="T21" i="19"/>
  <c r="Z21" i="19"/>
  <c r="AL51" i="19"/>
  <c r="N11" i="19"/>
  <c r="AF51" i="19"/>
  <c r="N41" i="19"/>
  <c r="Z51" i="19"/>
  <c r="AJ40"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J41" i="1"/>
  <c r="AG11" i="19"/>
  <c r="AM41" i="19"/>
  <c r="AA21" i="19"/>
  <c r="AA51" i="19"/>
  <c r="U51" i="19"/>
  <c r="U31" i="19"/>
  <c r="AA11" i="19"/>
  <c r="AG21" i="19"/>
  <c r="O31" i="19"/>
  <c r="AH57" i="1"/>
  <c r="AH27" i="1"/>
  <c r="AH28" i="1"/>
  <c r="AH29"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H33" i="1"/>
  <c r="AE11" i="19"/>
  <c r="Y41" i="19"/>
  <c r="M41" i="19"/>
  <c r="Y21" i="19"/>
  <c r="AK41" i="19"/>
  <c r="S31" i="19"/>
  <c r="M31" i="19"/>
  <c r="M51" i="19"/>
  <c r="Y51" i="19"/>
  <c r="AK21" i="19"/>
  <c r="AK31" i="19"/>
  <c r="Y11" i="19"/>
  <c r="AE41" i="19"/>
  <c r="AE21" i="19"/>
  <c r="S51" i="19"/>
  <c r="AE51" i="19"/>
  <c r="AK51" i="19"/>
  <c r="M21" i="19"/>
  <c r="AE31" i="19"/>
  <c r="AJ39" i="1"/>
  <c r="S41" i="19"/>
  <c r="AK11" i="19"/>
  <c r="S11" i="19"/>
  <c r="Y31" i="19"/>
  <c r="S21" i="19"/>
  <c r="M11" i="19"/>
  <c r="L54" i="19"/>
  <c r="AJ14" i="19"/>
  <c r="AD44" i="19"/>
  <c r="X54" i="19"/>
  <c r="R14" i="19"/>
  <c r="AD24" i="19"/>
  <c r="AD34" i="19"/>
  <c r="R54" i="19"/>
  <c r="L34" i="19"/>
  <c r="AJ34" i="19"/>
  <c r="X24" i="19"/>
  <c r="AJ24" i="19"/>
  <c r="X44" i="19"/>
  <c r="R24" i="19"/>
  <c r="AJ56" i="1"/>
  <c r="X34" i="19"/>
  <c r="L14" i="19"/>
  <c r="AD14" i="19"/>
  <c r="L44" i="19"/>
  <c r="R44" i="19"/>
  <c r="AD54" i="19"/>
  <c r="X14" i="19"/>
  <c r="AJ44" i="19"/>
  <c r="R34" i="19"/>
  <c r="AJ54" i="19"/>
  <c r="L24" i="19"/>
  <c r="AD29" i="19"/>
  <c r="AD19" i="19"/>
  <c r="R39" i="19"/>
  <c r="R9" i="19"/>
  <c r="X49" i="19"/>
  <c r="X9" i="19"/>
  <c r="AD39" i="19"/>
  <c r="R29" i="19"/>
  <c r="L49" i="19"/>
  <c r="X19" i="19"/>
  <c r="X29" i="19"/>
  <c r="X39" i="19"/>
  <c r="L9" i="19"/>
  <c r="AJ26" i="1"/>
  <c r="AD9" i="19"/>
  <c r="AJ49" i="19"/>
  <c r="L39" i="19"/>
  <c r="R19" i="19"/>
  <c r="AJ39" i="19"/>
  <c r="AJ29" i="19"/>
  <c r="AJ19" i="19"/>
  <c r="AJ9" i="19"/>
  <c r="AD49" i="19"/>
  <c r="L19" i="19"/>
  <c r="L29" i="19"/>
  <c r="R49" i="19"/>
  <c r="R15" i="19" l="1"/>
  <c r="R55" i="19"/>
  <c r="AD25" i="19"/>
  <c r="L55" i="19"/>
  <c r="AJ35" i="19"/>
  <c r="X55" i="19"/>
  <c r="X35" i="19"/>
  <c r="AJ62" i="1"/>
  <c r="AD15" i="19"/>
  <c r="X25" i="19"/>
  <c r="X45" i="19"/>
  <c r="L35" i="19"/>
  <c r="R35" i="19"/>
  <c r="AJ15" i="19"/>
  <c r="L15" i="19"/>
  <c r="AJ25" i="19"/>
  <c r="AJ55" i="19"/>
  <c r="L45" i="19"/>
  <c r="AD35" i="19"/>
  <c r="R25" i="19"/>
  <c r="AD45" i="19"/>
  <c r="R45" i="19"/>
  <c r="AD55" i="19"/>
  <c r="X15" i="19"/>
  <c r="L25" i="19"/>
  <c r="AJ45" i="19"/>
  <c r="AH64" i="1"/>
  <c r="Z35" i="19" s="1"/>
  <c r="AH63" i="1"/>
  <c r="AJ48" i="19"/>
  <c r="L18" i="19"/>
  <c r="AD8" i="19"/>
  <c r="AJ8" i="19"/>
  <c r="AJ28" i="19"/>
  <c r="R48" i="19"/>
  <c r="X48" i="19"/>
  <c r="L8" i="19"/>
  <c r="AD28" i="19"/>
  <c r="X38" i="19"/>
  <c r="AJ20" i="1"/>
  <c r="X8" i="19"/>
  <c r="L48" i="19"/>
  <c r="AD48" i="19"/>
  <c r="AD38" i="19"/>
  <c r="X18" i="19"/>
  <c r="R38" i="19"/>
  <c r="R8" i="19"/>
  <c r="L38" i="19"/>
  <c r="R28" i="19"/>
  <c r="AJ38" i="19"/>
  <c r="AD18" i="19"/>
  <c r="L28" i="19"/>
  <c r="AJ18" i="19"/>
  <c r="X28" i="19"/>
  <c r="AH34" i="1"/>
  <c r="AH35" i="1"/>
  <c r="AG39" i="19"/>
  <c r="AG29" i="19"/>
  <c r="AM19" i="19"/>
  <c r="O39" i="19"/>
  <c r="AJ29"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J57" i="1"/>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J21" i="1"/>
  <c r="AE28" i="19"/>
  <c r="AA55" i="19"/>
  <c r="O45" i="19"/>
  <c r="AA15" i="19"/>
  <c r="AM55" i="19"/>
  <c r="O55" i="19"/>
  <c r="AG35" i="19"/>
  <c r="AM25" i="19"/>
  <c r="AM35" i="19"/>
  <c r="AA25" i="19"/>
  <c r="AM45" i="19"/>
  <c r="AG25" i="19"/>
  <c r="AA35" i="19"/>
  <c r="O25" i="19"/>
  <c r="U25" i="19"/>
  <c r="AG45" i="19"/>
  <c r="U35" i="19"/>
  <c r="AA45" i="19"/>
  <c r="AM15" i="19"/>
  <c r="U45" i="19"/>
  <c r="O35" i="19"/>
  <c r="O15" i="19"/>
  <c r="AJ65" i="1"/>
  <c r="AG15" i="19"/>
  <c r="U15" i="19"/>
  <c r="AG55" i="19"/>
  <c r="U55" i="19"/>
  <c r="AE40" i="19"/>
  <c r="Y30" i="19"/>
  <c r="M20" i="19"/>
  <c r="AJ33"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J28" i="1"/>
  <c r="T19" i="19"/>
  <c r="AL49" i="19"/>
  <c r="T29" i="19"/>
  <c r="AF29" i="19"/>
  <c r="T18" i="19"/>
  <c r="N48" i="19"/>
  <c r="N8" i="19"/>
  <c r="T28" i="19"/>
  <c r="AF38" i="19"/>
  <c r="Z28" i="19"/>
  <c r="Z18" i="19"/>
  <c r="AF8" i="19"/>
  <c r="AJ22"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J27" i="1"/>
  <c r="M9" i="19"/>
  <c r="Y29" i="19"/>
  <c r="AH52" i="1"/>
  <c r="AH53"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H58" i="1"/>
  <c r="AH59" i="1"/>
  <c r="O8" i="19"/>
  <c r="AA48" i="19"/>
  <c r="AM38" i="19"/>
  <c r="U48" i="19"/>
  <c r="AA18" i="19"/>
  <c r="AG18" i="19"/>
  <c r="AG48" i="19"/>
  <c r="AM18" i="19"/>
  <c r="AA28" i="19"/>
  <c r="AG28" i="19"/>
  <c r="AA8" i="19"/>
  <c r="U18" i="19"/>
  <c r="AG38" i="19"/>
  <c r="U38" i="19"/>
  <c r="AM8" i="19"/>
  <c r="AA38" i="19"/>
  <c r="AM48" i="19"/>
  <c r="U28" i="19"/>
  <c r="O38" i="19"/>
  <c r="U8" i="19"/>
  <c r="AG8" i="19"/>
  <c r="AJ23"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J51"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J64"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J63"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J59" i="1"/>
  <c r="AA14" i="19"/>
  <c r="O54" i="19"/>
  <c r="U44" i="19"/>
  <c r="U43" i="19"/>
  <c r="U13" i="19"/>
  <c r="AM53" i="19"/>
  <c r="AA53" i="19"/>
  <c r="AA43" i="19"/>
  <c r="O53" i="19"/>
  <c r="O23" i="19"/>
  <c r="O13" i="19"/>
  <c r="AG43" i="19"/>
  <c r="U33" i="19"/>
  <c r="U23" i="19"/>
  <c r="AM13" i="19"/>
  <c r="AM23" i="19"/>
  <c r="AG13" i="19"/>
  <c r="AA23" i="19"/>
  <c r="AG33" i="19"/>
  <c r="AA33" i="19"/>
  <c r="AM33" i="19"/>
  <c r="AA13" i="19"/>
  <c r="AJ53"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J58" i="1"/>
  <c r="AF53" i="19"/>
  <c r="T43" i="19"/>
  <c r="Z53" i="19"/>
  <c r="N43" i="19"/>
  <c r="T23" i="19"/>
  <c r="AF43" i="19"/>
  <c r="Z13" i="19"/>
  <c r="Z43" i="19"/>
  <c r="AF23" i="19"/>
  <c r="AL13" i="19"/>
  <c r="Z23" i="19"/>
  <c r="AL43" i="19"/>
  <c r="AF13" i="19"/>
  <c r="AL23" i="19"/>
  <c r="N13" i="19"/>
  <c r="T33" i="19"/>
  <c r="AL53" i="19"/>
  <c r="N23" i="19"/>
  <c r="N53" i="19"/>
  <c r="AF33" i="19"/>
  <c r="N33" i="19"/>
  <c r="AJ52"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J35"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J34"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natalia norato mora</author>
  </authors>
  <commentList>
    <comment ref="AP16" authorId="0" shapeId="0" xr:uid="{00000000-0006-0000-0300-000007000000}">
      <text>
        <r>
          <rPr>
            <b/>
            <sz val="9"/>
            <color indexed="81"/>
            <rFont val="Tahoma"/>
            <family val="2"/>
          </rPr>
          <t>maria natalia norato mora:</t>
        </r>
        <r>
          <rPr>
            <sz val="9"/>
            <color indexed="81"/>
            <rFont val="Tahoma"/>
            <family val="2"/>
          </rPr>
          <t xml:space="preserve">
</t>
        </r>
        <r>
          <rPr>
            <sz val="14"/>
            <color indexed="81"/>
            <rFont val="Tahoma"/>
            <family val="2"/>
          </rPr>
          <t>diliggenciar la acción de contigencia para el riesgo 2</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<sst xmlns="http://schemas.openxmlformats.org/spreadsheetml/2006/main" count="800" uniqueCount="458">
  <si>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</si>
  <si>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</si>
  <si>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</si>
  <si>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</si>
  <si>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</si>
  <si>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</si>
  <si>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</si>
  <si>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</si>
  <si>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</si>
  <si>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</si>
  <si>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</si>
  <si>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</si>
  <si>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</si>
  <si>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</si>
  <si>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</si>
  <si>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</si>
  <si>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</si>
  <si>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</si>
  <si>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</si>
  <si>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</si>
  <si>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</si>
  <si>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</si>
  <si>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</si>
  <si>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</si>
  <si>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</si>
  <si>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</si>
  <si>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</si>
  <si>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</si>
  <si>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</si>
  <si>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</si>
  <si>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</si>
  <si>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</si>
  <si>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</si>
  <si>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</si>
  <si>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</si>
  <si>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</si>
  <si>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</si>
  <si>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</si>
  <si>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</si>
  <si>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</si>
  <si>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</si>
  <si>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</si>
  <si>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</si>
  <si>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</si>
  <si>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</si>
  <si>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</si>
  <si>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</si>
  <si>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</si>
  <si>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</si>
  <si>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</si>
  <si>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</si>
  <si>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</si>
  <si>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</si>
  <si>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</si>
  <si>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</si>
  <si>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</si>
  <si>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</si>
  <si>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</si>
  <si>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</si>
  <si>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</si>
  <si>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 xml:space="preserve">Control de cambios </t>
  </si>
  <si>
    <t>el registra la actualización de los riesgos a partir de 2023</t>
  </si>
  <si>
    <t>Versión inicial</t>
  </si>
  <si>
    <t>tipo de riesgos</t>
  </si>
  <si>
    <t>Fecha de cambio</t>
  </si>
  <si>
    <t>Aspecto(s) que cambiaron</t>
  </si>
  <si>
    <t>Descripción de los cambios efectuados</t>
  </si>
  <si>
    <t>2023 -v1</t>
  </si>
  <si>
    <t>na</t>
  </si>
  <si>
    <t>2023 -v2</t>
  </si>
  <si>
    <t>gestión</t>
  </si>
  <si>
    <t>interno</t>
  </si>
  <si>
    <t>se incorporo una nueva por el covid 2+</t>
  </si>
  <si>
    <t>1. Direccionamiento estratégico e innovación</t>
  </si>
  <si>
    <t>2. Atención a partes interesadas y comunicaciones</t>
  </si>
  <si>
    <t>3. Estrategia y gobierno de TI</t>
  </si>
  <si>
    <t>4. Planificación de la intervención vial</t>
  </si>
  <si>
    <t>5. Producción de mezcla y provisión de maquinaria y equipos</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</si>
  <si>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</si>
  <si>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</si>
  <si>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</si>
  <si>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</si>
  <si>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</si>
  <si>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</si>
  <si>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</si>
  <si>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</si>
  <si>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</si>
  <si>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</si>
  <si>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</si>
  <si>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</si>
  <si>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CONTEXTO  DE PROCESO</t>
  </si>
  <si>
    <t>Riesgo asociado</t>
  </si>
  <si>
    <t>FACTORES INTERNOS</t>
  </si>
  <si>
    <t>ORIGEN</t>
  </si>
  <si>
    <t>FORTALEZAS Y/O OPORTUNIDADES</t>
  </si>
  <si>
    <t>DEBILIDADES Y/O AMENAZAS</t>
  </si>
  <si>
    <t>DISEÑO DEL PROCESO:</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</si>
  <si>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</si>
  <si>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</si>
  <si>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</si>
  <si>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t>INTERACCIONES CON OTROS PROCESOS:</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</si>
  <si>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</si>
  <si>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</si>
  <si>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</si>
  <si>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TRANSVERSALIDAD</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</si>
  <si>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</si>
  <si>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</si>
  <si>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PROCEDIMIENTOS ASOCIADOS:</t>
  </si>
  <si>
    <t xml:space="preserve">RESPONSABLES DEL PROCESO: </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</si>
  <si>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</si>
  <si>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</si>
  <si>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COMUNICACIÓN ENTRE LOS PROCESOS:</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</si>
  <si>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</si>
  <si>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</si>
  <si>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ACTIVOS DE SEGURIDAD DIGITAL DEL PROCESO:</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</si>
  <si>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</si>
  <si>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</si>
  <si>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Aceptar</t>
  </si>
  <si>
    <t>Económico</t>
  </si>
  <si>
    <t>Evitar</t>
  </si>
  <si>
    <t>Reputacional</t>
  </si>
  <si>
    <t>Reducir (compartir)</t>
  </si>
  <si>
    <t>Económico y Reputacional</t>
  </si>
  <si>
    <t>Reducir (mitigar)</t>
  </si>
  <si>
    <t xml:space="preserve">Riesgo estrategico </t>
  </si>
  <si>
    <t>Objetivo Intitucional asociado</t>
  </si>
  <si>
    <t>Plan de accion (solo para la opción reducir)</t>
  </si>
  <si>
    <t>Si</t>
  </si>
  <si>
    <t>1. Lograr mecanismos de financiación que permitan incrementar los recursos propios de la entidad.</t>
  </si>
  <si>
    <t>Finalizado</t>
  </si>
  <si>
    <t>No</t>
  </si>
  <si>
    <t>2. Diseñar e implementar una estrategia de innovación que permita hacer más eficiente la gestión de la Unidad.</t>
  </si>
  <si>
    <t>En curso</t>
  </si>
  <si>
    <t xml:space="preserve">3.Mejorar el estado de la malla vial local, intermedia, rural, y de la ciclo-infraestructura de Bogotá D.C., </t>
  </si>
  <si>
    <t>4.Mejorar las condiciones de Infraestructura que permitan el uso y disfrute del espacio público en Bogotá D.C.</t>
  </si>
  <si>
    <t xml:space="preserve">Gestión </t>
  </si>
  <si>
    <t>Relaciones Laborales</t>
  </si>
  <si>
    <t>NA</t>
  </si>
  <si>
    <t>Daños Activos Fisicos</t>
  </si>
  <si>
    <t>Proyecto de inversión</t>
  </si>
  <si>
    <t>Ejecucion y Administracion de procesos</t>
  </si>
  <si>
    <t>7858 Conservación de la Malla Vial Distrital y Cicloinfraestructura de Bogotá</t>
  </si>
  <si>
    <t>Fallas Tecnologicas</t>
  </si>
  <si>
    <t xml:space="preserve">7859 Fortalecimiento Institucional </t>
  </si>
  <si>
    <t>Usuarios, productos y practicas , organizacionales</t>
  </si>
  <si>
    <t>7860 Fortalecimiento de los componentes de TI para la transformación digital</t>
  </si>
  <si>
    <t>Corrupción</t>
  </si>
  <si>
    <t>Fraude Externo</t>
  </si>
  <si>
    <t>7903 Apoyo a la adecuación y conservación del espacio público de Bogotá</t>
  </si>
  <si>
    <t>Fraude Interno</t>
  </si>
  <si>
    <t>Soborno</t>
  </si>
  <si>
    <t>seguridad</t>
  </si>
  <si>
    <t xml:space="preserve">Pérdida de la integridad </t>
  </si>
  <si>
    <t xml:space="preserve">Pérdida de la confidencialidad </t>
  </si>
  <si>
    <t xml:space="preserve">Pérdida de la disponibilidad </t>
  </si>
  <si>
    <t>Acciones no autorizadas </t>
  </si>
  <si>
    <t>Compromiso de la información </t>
  </si>
  <si>
    <t>Compromiso de las funciones </t>
  </si>
  <si>
    <t>Daño físico </t>
  </si>
  <si>
    <t>TIPO</t>
  </si>
  <si>
    <t>AMENAZA</t>
  </si>
  <si>
    <t>Fallas técnicas </t>
  </si>
  <si>
    <t>Fuego</t>
  </si>
  <si>
    <t>Perdida de los servicios esenciales </t>
  </si>
  <si>
    <t>Agua</t>
  </si>
  <si>
    <t>Perturbación debida a la radiación </t>
  </si>
  <si>
    <t>Contaminación</t>
  </si>
  <si>
    <t>Eventos naturales </t>
  </si>
  <si>
    <t>Accidente Importante</t>
  </si>
  <si>
    <t>Destrucción del equipo o medios </t>
  </si>
  <si>
    <t>Polvo, corrosión, congelamiento </t>
  </si>
  <si>
    <t>Fenómenos climáticos </t>
  </si>
  <si>
    <t>Fenómenos sísmicos </t>
  </si>
  <si>
    <t>Fenómenos volcánicos </t>
  </si>
  <si>
    <t>Fenómenos meteorológicos </t>
  </si>
  <si>
    <t>Inundación </t>
  </si>
  <si>
    <t>Fallas en el sistema de suministro de agua o aire acondicionado </t>
  </si>
  <si>
    <t>Perdida de suministro de energía </t>
  </si>
  <si>
    <t>Falla en equipo de telecomunicaciones </t>
  </si>
  <si>
    <t>Radiación electromagnética </t>
  </si>
  <si>
    <t>Radiación térmica </t>
  </si>
  <si>
    <t>Impulsos electromagnéticos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</si>
  <si>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</si>
  <si>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</si>
  <si>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</si>
  <si>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</si>
  <si>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</si>
  <si>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</si>
  <si>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</si>
  <si>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</si>
  <si>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</si>
  <si>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</si>
  <si>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</si>
  <si>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</si>
  <si>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</si>
  <si>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</si>
  <si>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</si>
  <si>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</si>
  <si>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Uso no autorizado del equipo </t>
  </si>
  <si>
    <t>Copia fraudulenta del software </t>
  </si>
  <si>
    <t>Uso de software falso o copiado </t>
  </si>
  <si>
    <t>Corrupción de los datos </t>
  </si>
  <si>
    <t>Procesamiento ilegal de datos </t>
  </si>
  <si>
    <t>Error en el uso </t>
  </si>
  <si>
    <t>Abuso de derechos </t>
  </si>
  <si>
    <t>Falsificación de derechos </t>
  </si>
  <si>
    <t>Negación de acciones </t>
  </si>
  <si>
    <t>Incumplimiento en la disponibilidad del personal </t>
  </si>
  <si>
    <t>FORMATO MAPA RIESGOS DE PROCESO</t>
  </si>
  <si>
    <t>CÓDIGO: DESI-FM-018</t>
  </si>
  <si>
    <t>VERSIÓN: 11</t>
  </si>
  <si>
    <t>Proceso:</t>
  </si>
  <si>
    <t>Objetivo:</t>
  </si>
  <si>
    <t>Alcance:</t>
  </si>
  <si>
    <t>Identificación del riesgo</t>
  </si>
  <si>
    <t>Contexto</t>
  </si>
  <si>
    <t>Instrumentos posiblemente afectados</t>
  </si>
  <si>
    <t>Análisis del riesgo inherente</t>
  </si>
  <si>
    <t>Evaluación del riesgo - Valoración de los controles</t>
  </si>
  <si>
    <t>Evaluación del riesgo - Nivel del riesgo residual</t>
  </si>
  <si>
    <t xml:space="preserve">Tratamiento del riesgo -plan de acción </t>
  </si>
  <si>
    <t>ACCION DE CONTINGENCIA</t>
  </si>
  <si>
    <t xml:space="preserve">Referencia </t>
  </si>
  <si>
    <t xml:space="preserve">Actividad clave o fase del proyecto </t>
  </si>
  <si>
    <t>Internas</t>
  </si>
  <si>
    <t>Externas</t>
  </si>
  <si>
    <t>Efectos (Consecuencias)</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</si>
  <si>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</si>
  <si>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</si>
  <si>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</si>
  <si>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</si>
  <si>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</si>
  <si>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</si>
  <si>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</si>
  <si>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</si>
  <si>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</si>
  <si>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</si>
  <si>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</si>
  <si>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</si>
  <si>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</si>
  <si>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</si>
  <si>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</si>
  <si>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</si>
  <si>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</si>
  <si>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</si>
  <si>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</si>
  <si>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 xml:space="preserve">Proyecto de Inversión asociado </t>
  </si>
  <si>
    <t>Tipo</t>
  </si>
  <si>
    <t>Implementación</t>
  </si>
  <si>
    <t>Calificación</t>
  </si>
  <si>
    <t>Documentación</t>
  </si>
  <si>
    <t>Frecuencia</t>
  </si>
  <si>
    <t>Evidencia</t>
  </si>
  <si>
    <t xml:space="preserve">     El riesgo afecta la imagen de la entidad con algunos usuarios de relevancia frente al logro de los objetivos</t>
  </si>
  <si>
    <t>Preventivo</t>
  </si>
  <si>
    <t>Manual</t>
  </si>
  <si>
    <t>Documentado</t>
  </si>
  <si>
    <t>Continua</t>
  </si>
  <si>
    <t>Con Registro</t>
  </si>
  <si>
    <t>Detectivo</t>
  </si>
  <si>
    <t>Sin Documentar</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</si>
  <si>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</si>
  <si>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</si>
  <si>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 RIESGOS GESTIÓN</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</si>
  <si>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</si>
  <si>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</si>
  <si>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</si>
  <si>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</si>
  <si>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</si>
  <si>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</si>
  <si>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</si>
  <si>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</si>
  <si>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</si>
  <si>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</si>
  <si>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</si>
  <si>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</si>
  <si>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</si>
  <si>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</si>
  <si>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</si>
  <si>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 RIESGOS GESTIÓN</t>
  </si>
  <si>
    <t>Actividad clave o fase del proyecto</t>
  </si>
  <si>
    <t>Correctivo</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</si>
  <si>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</si>
  <si>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</si>
  <si>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</si>
  <si>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</si>
  <si>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</si>
  <si>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</si>
  <si>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</si>
  <si>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</si>
  <si>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</si>
  <si>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</si>
  <si>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</si>
  <si>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</si>
  <si>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</si>
  <si>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</si>
  <si>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</si>
  <si>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</si>
  <si>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</si>
  <si>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</si>
  <si>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</si>
  <si>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</si>
  <si>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</si>
  <si>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</si>
  <si>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</si>
  <si>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</si>
  <si>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</si>
  <si>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</si>
  <si>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</si>
  <si>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Tipo de activo</t>
  </si>
  <si>
    <t>Activo de información</t>
  </si>
  <si>
    <t>Tipo de amenaza</t>
  </si>
  <si>
    <t>Amenaza</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</si>
  <si>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</si>
  <si>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</si>
  <si>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</si>
  <si>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</si>
  <si>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</si>
  <si>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</si>
  <si>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</si>
  <si>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</si>
  <si>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</si>
  <si>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</si>
  <si>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</si>
  <si>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</si>
  <si>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</si>
  <si>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</si>
  <si>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</si>
  <si>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 xml:space="preserve">Equivalente </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</si>
  <si>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</si>
  <si>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</si>
  <si>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</si>
  <si>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</si>
  <si>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</si>
  <si>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</si>
  <si>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</si>
  <si>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</si>
  <si>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</si>
  <si>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</si>
  <si>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</si>
  <si>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</si>
  <si>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</si>
  <si>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</si>
  <si>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</si>
  <si>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</si>
  <si>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</si>
  <si>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</si>
  <si>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</si>
  <si>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</si>
  <si>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</si>
  <si>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</si>
  <si>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</si>
  <si>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</si>
  <si>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</si>
  <si>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</si>
  <si>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</si>
  <si>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</si>
  <si>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</si>
  <si>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</si>
  <si>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</si>
  <si>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</si>
  <si>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</si>
  <si>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</si>
  <si>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</si>
  <si>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</si>
  <si>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</si>
  <si>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</si>
  <si>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Gestión</t>
  </si>
  <si>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</si>
  <si>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</si>
  <si>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</si>
  <si>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</si>
  <si>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</si>
  <si>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</si>
  <si>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Seguridad Digital</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</si>
  <si>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</si>
  <si>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</si>
  <si>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</si>
  <si>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</si>
  <si>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</si>
  <si>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</si>
  <si>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</si>
  <si>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</si>
  <si>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</si>
  <si>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</si>
  <si>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</si>
  <si>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INFORMACIÓN</t>
  </si>
  <si>
    <t>SOFTWARE</t>
  </si>
  <si>
    <t>HARDWARE</t>
  </si>
  <si>
    <t>INSTALACIONES</t>
  </si>
  <si>
    <t>PROCESOS</t>
  </si>
  <si>
    <t>RECURSOS HUMANOS</t>
  </si>
  <si>
    <t>RED</t>
  </si>
  <si>
    <t>SERVICIOS</t>
  </si>
  <si>
    <t>EQUIPAMIENTO AUXILIAR</t>
  </si>
  <si>
    <t>COMPONENTES DE RED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</si>
  <si>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</si>
  <si>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</si>
  <si>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</si>
  <si>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</si>
  <si>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</si>
  <si>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</si>
  <si>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</si>
  <si>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</si>
  <si>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</si>
  <si>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</si>
  <si>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</si>
  <si>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</si>
  <si>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</si>
  <si>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</si>
  <si>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</si>
  <si>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</si>
  <si>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</si>
  <si>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</si>
  <si>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</si>
  <si>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</si>
  <si>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</si>
  <si>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</si>
  <si>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Registro Sustancial</t>
  </si>
  <si>
    <t>Registro Material</t>
  </si>
  <si>
    <t>Sin registro</t>
  </si>
  <si>
    <t>Reducir</t>
  </si>
  <si>
    <t>FECHA DE APLICACIÓN: NOVIEMBRE 2022</t>
  </si>
  <si>
    <t xml:space="preserve">Tratamiento del riesgo -Plan de acción </t>
  </si>
  <si>
    <t xml:space="preserve">Acción de Contigencia </t>
  </si>
  <si>
    <t>Objetivo Institucional  asociado</t>
  </si>
  <si>
    <t>Debido a la falta de disponibilidad de profesionales para ejecutar los diseños o evaluaciones estructurales y sus actividades asociadas (aforos, ensayos de laboratorio)
Aumento en las metas de la Entidad que demande una mayor cantidad de diseños a los previstos inicialmente 
Demoras en la entrega de resultados de los ensayos de laboratorio solicitados a la Subdirección Técnica de Producción e Intervención.</t>
  </si>
  <si>
    <t xml:space="preserve">Posibilidad de afectación economica y reputacional, Por que se detiene las intervenciones en la malla vial por no entregar a tiempo a la GI la priorización de segmentos con sus soportes, debido a la falta de disponibilidad de profesionales para ejecutar los diseños o evaluaciones estructurales y sus actividades asociadas (aforos, ensayos de laboratorio), aumento en las metas de la Entidad que demande una mayor cantidad de diseños a los previstos inicialmente y demoras en la entrega de resultados de los ensayos de laboratorio solicitados a la Subdirección Técnica de Producción e Intervención.
</t>
  </si>
  <si>
    <t>Planificar para cada vigencia la intervención de los segmentos viales de la malla vial de competencia de la UAERMV mediante la evaluación técnica de vías, priorizar con criterios técnicos y sociales, efectuar la evaluación y diseño estructural de pavimento y espacio público si se requieren, para la atención de la malla vial acorde con la capacidad técnica, operativa y económica de la Entidad; desarrollar proyectos de investigación científica, técnica y tecnológica en materia de mantenimiento y rehabilitación de la malla vial local e intermedia en todos sus elementos (Calzadas, andenes, bahías, separadores etc...); realizar seguimiento a las intervenciones de cambio de carpeta y rehabilitación; dar asesoría y acompañamiento técnico a las localidades.</t>
  </si>
  <si>
    <t>El proceso inicia con la definición de la territorialización para cada vigencia, realización del diagnostico de la malla vial el cual comprende la inspección visual de los segmentos viales, la calificación de un índice de priorización aplicando un modelo matemático establecido por la entidad y la definición inicial de un tipo de intervención. Para los segmentos viales que correspondan a tipos de intervención de cambio de carpeta y rehabilitación se efectúa evaluación y diseño estructural de pavimentos; desarrollar proyectos de investigación, realizar con las alcaldías locales mesas de trabajo de coordinación interinstitucional, asistencia técnica y/o oferta del portafolio de servicios que maneja la UAERMV y realizar los recorridos de seguimiento a intervenciones de cambio de carpeta y rehabilitación de la Entidad.</t>
  </si>
  <si>
    <t>Insuficiencia de profesionales para realizar la actividad.
Demoras en la entrega de resultados de los ensayos de laboratorio</t>
  </si>
  <si>
    <t>Aumento en las metas de la Entidad</t>
  </si>
  <si>
    <t xml:space="preserve">El colaborador designado por el (la) Subdirector(a) de Mejoramiento de la Malla Vial Local revisa y compara cuatrimestralmente en archivos de excel, el listado de los colaboradores de la SMVL con las necesidades de personal definidas por la Subdirección, con el fin de corroborar que esten incluidos los profesionales suficientes para realizar las actividades que permitan entregar la priorización de segmentos a la SPI, llevando registro en la tabla de excel dispuesta para tal fin.
En caso de que no se encuentre incluido el personal suficiente se informará a través de un correo electrónico a el (la) Subdirector(a) de Mejoramiento de la Malla Vial Local, para que se incluya mas personal para realizar esta actividad llegado el caso. El registro del control son los correos eléctronicos mencionados cuando aplique y el archivo adjunto donde se realizó la revisión. </t>
  </si>
  <si>
    <t xml:space="preserve">El colaborador designado por el (la) Subdirector(a) de Mejoramiento de la Malla Vial Local revisa trimestralmente, el avance en las metas de priorización plasmadas en los indicadores de la SMVL, con el fin de verificar que las metas no hayan aumentado o se hayan incumplido, dejando registro en un archivo de excel.
En caso de que la meta aumente o se esté incumpliendo las metas de priorización, se distribuiran las tareas al equipo de la SMVL para dar prioridad a las actividades de diseño y se informará a través de un correo electrónico a el (la) Subdirector(a) de Mejoramiento de la Malla Vial Local, para que se incluya mas personal para realizar esta actividad llegado el caso. El registro del control son los correos eléctronicos mencionados cuando aplique y el archivo adjunto donde se realizó la revisión. </t>
  </si>
  <si>
    <t xml:space="preserve">El colaborador designado por el (la) Subdirector(a) de Mejoramiento de la Malla Vial Local revisa y analiza mensualmente el avance de los diseños realizados por el grupo de especialistas de la SMVL, a través de un cuadro de control en archivo de Excel, así como las necesidades en materia de ensayos de laboratorio, con el fin de corroborar que no haya atrasos en dicha actividad, dejando registro en una tabla excel.
en caso de que el avance sea menor al proyectado se solicitará a la Subdirección Técnica de  Producción e Intervención,  los ensayos de laboratorio necesarios y se informará a través de un correo electrónico a el (la) Subdirector(a) de Mejoramiento de la Malla Vial Local, para que se evalue la contratación de un laboratorio externo llegado el caso. El registro del control son los correos eléctronicos mencionados y/o archivo de Excel. </t>
  </si>
  <si>
    <t xml:space="preserve">Socializar con todos los colaboradores de la SMVL el listado de profesionales con la respectiva fecha de terminación de los contratos.
</t>
  </si>
  <si>
    <t>Colaborador designado por la SMVL.</t>
  </si>
  <si>
    <t>Archivo excel con el registro de la revisión realizada</t>
  </si>
  <si>
    <t>Cuatrimestral</t>
  </si>
  <si>
    <t>Convocar al Comité de Planeación, Producción e Intervención para socializar la materialización del riesgo y definir las acciones correctivas a implementar.</t>
  </si>
  <si>
    <t>Acta del comité</t>
  </si>
  <si>
    <t>Secretario Técnico del comité</t>
  </si>
  <si>
    <t>Reunión para analizar el comportamiento de los indicadores de priorización de la SMVL.</t>
  </si>
  <si>
    <t>Generar alerta mediante correo electrónico al colaborador que realiza el control, una semana antes de la ejecución de éste.</t>
  </si>
  <si>
    <t>Trimestral</t>
  </si>
  <si>
    <t>Mensual</t>
  </si>
  <si>
    <t>Debido a rendimientos mas bajos de los proyectados en las actividades de diagnóstico por profesionales que realizan estas actividades.
Debido a la falta de disponibilidad de vehículos para realizar las actividades de diagnóstico en campo.</t>
  </si>
  <si>
    <t>Posibilidad de afectación economica y reputacional, Por que se detiene las intervenciones en la malla vial por no entregar a tiempo a la GI la priorización de segmentos con sus soportes, debido a rendimientos mas bajos de los proyectados en las actividades de diagnóstico o a la falta de disponibilidad de vehículos para realizar las actividades de diagnóstico en campo.</t>
  </si>
  <si>
    <t xml:space="preserve"> Rendimientos mas bajos de los proyectados en las actividades de diagnóstico</t>
  </si>
  <si>
    <t>Falta de disponibilidad de vehículos</t>
  </si>
  <si>
    <t xml:space="preserve">El colaborador designado por el (la) Subdirector(a) de Mejoramiento de la Malla Vial Local revisa y analiza mensualmente el avance de los diagnósticos visuales realizados por el grupo de profesionales de diagnostico, a través del aplicativo de consulta de SIGMA, con el fin de corroborar que no haya atrasos en dicha actividad, dejando registro en una tabla excel.
En caso de que el avance sea menor al proyectado se informará a través de un correo electrónico a el (la) Subdirector(a) de Mejoramiento de la Malla Vial Local, para que se incluya mas personal para realizar esta actividad llegado el caso. El registro del control son los correos eléctronicos mencionados. </t>
  </si>
  <si>
    <t xml:space="preserve">El colaborador designado por el (la) Subdirector(a) de Mejoramiento de la Malla Vial Local,  revisa semanalmente los vehículos solicitados por los profesionales de la SMVL con el fin de garantizar que los profesionales de diagnóstico cuenten con dicho vehículo para el desplazamiento a los sitios donde se realizaran los diagnósticos visuales, dejando registro en una tabla excel.
En caso de que no se cuente con los vehículos suficientes se informara a el (la) Subdirector(a) de Mejoramiento de la Malla Vial Local mediante correo electrónico, para que se realicen las gestiones necesarias con la Gerencia de Producción para obtener un vehículo adicional o reprogramar otras actividades de la SMVL para dar prioridad a las visitas técnicas de diagnostico visual. El registro del control son los correos eléctronicos mencionados. </t>
  </si>
  <si>
    <t>30%</t>
  </si>
  <si>
    <t>Socializar vía chat semanalmente a los profesionales de diagnóstico la programación de los vehiculos asignados a  la SMVL.</t>
  </si>
  <si>
    <r>
      <t xml:space="preserve">Elaborar la evaluación y diseño estructural de pavimento y de espacio público en caso de que se requiera.
</t>
    </r>
    <r>
      <rPr>
        <sz val="12"/>
        <color rgb="FF0070C0"/>
        <rFont val="Arial"/>
        <family val="2"/>
      </rPr>
      <t xml:space="preserve">
</t>
    </r>
    <r>
      <rPr>
        <sz val="12"/>
        <color theme="1"/>
        <rFont val="Arial"/>
        <family val="2"/>
      </rPr>
      <t>Establecer la priorización de la meta de conservación de la infraestructura de la malla vial local e intermedia de acuerdo con la territorialización establecida para cada vigencia en lo referente a calzadas, y de acuerdo a los recursos asignados en lo referente a espacio público.
Priorizar en los programas de conservación, los segmentos viales viables para ejecución por la Entidad.</t>
    </r>
  </si>
  <si>
    <r>
      <rPr>
        <sz val="12"/>
        <color theme="1"/>
        <rFont val="Arial"/>
        <family val="2"/>
      </rPr>
      <t>Establecer la priorización de la meta de conservación de la infraestructura de la malla vial local e intermedia de acuerdo con la territorialización establecida para cada vigencia en lo referente a calzadas, y de acuerdo a los recursos asignados en lo referente a espacio público.</t>
    </r>
    <r>
      <rPr>
        <sz val="12"/>
        <rFont val="Arial"/>
        <family val="2"/>
      </rPr>
      <t xml:space="preserve">
Priorizar en los programas de conservación, los segmentos viales viables para ejecución por la Entidad.</t>
    </r>
  </si>
  <si>
    <r>
      <t xml:space="preserve">Por que se detiene las intervenciones en la malla vial por no entregar a la GI a tiempo la </t>
    </r>
    <r>
      <rPr>
        <sz val="12"/>
        <color theme="1"/>
        <rFont val="Arial"/>
        <family val="2"/>
      </rPr>
      <t xml:space="preserve">priorización de segmentos con sus soportes    </t>
    </r>
  </si>
  <si>
    <t>Retrasos en la entrega del listado de priorización a la Gerencia de Intervención.
Incumplimiento en la ejecución de las metas físicas planteadas por la entidad para la vigencia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</si>
</sst>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0.0%"/>
    <numFmt numFmtId="165" formatCode="_-&quot;$&quot;\ * #,##0_-;\-&quot;$&quot;\ * #,##0_-;_-&quot;$&quot;\ * &quot;-&quot;??_-;_-@_-"/>
    <numFmt numFmtId="166" formatCode="&quot;$&quot;\ #,##0.00"/>
  </numFmts>
  <fonts count="97"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sz val="16"/>
      <name val="Arial"/>
      <family val="2"/>
    </font>
    <font>
      <sz val="12"/>
      <color theme="1"/>
      <name val="Arial"/>
      <family val="2"/>
    </font>
    <font>
      <b/>
      <sz val="10"/>
      <color theme="0"/>
      <name val="Arial Narrow"/>
      <family val="2"/>
    </font>
    <font>
      <sz val="8"/>
      <name val="Calibri"/>
      <family val="2"/>
      <scheme val="minor"/>
    </font>
    <font>
      <b/>
      <sz val="16"/>
      <color theme="5" tint="-0.249977111117893"/>
      <name val="Arial"/>
      <family val="2"/>
    </font>
    <font>
      <b/>
      <sz val="24"/>
      <color theme="1"/>
      <name val="Arial Narrow"/>
      <family val="2"/>
    </font>
    <font>
      <sz val="13"/>
      <name val="Arial"/>
      <family val="2"/>
    </font>
    <font>
      <sz val="12"/>
      <color rgb="FF000000"/>
      <name val="Arial"/>
      <family val="2"/>
    </font>
    <font>
      <sz val="12"/>
      <color rgb="FF0070C0"/>
      <name val="Arial"/>
      <family val="2"/>
    </font>
    <font>
      <sz val="9"/>
      <color indexed="81"/>
      <name val="Tahoma"/>
      <family val="2"/>
    </font>
    <font>
      <b/>
      <sz val="9"/>
      <color indexed="81"/>
      <name val="Tahoma"/>
      <family val="2"/>
    </font>
    <font>
      <sz val="14"/>
      <color indexed="81"/>
      <name val="Tahoma"/>
      <family val="2"/>
    </font>
  </fonts>
  <fills count="3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7"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3" tint="0.59999389629810485"/>
        <bgColor indexed="64"/>
      </patternFill>
    </fill>
  </fills>
  <borders count="131">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hair">
        <color theme="6" tint="-0.499984740745262"/>
      </left>
      <right/>
      <top/>
      <bottom style="hair">
        <color theme="6" tint="-0.499984740745262"/>
      </bottom>
      <diagonal/>
    </border>
    <border>
      <left/>
      <right/>
      <top/>
      <bottom style="hair">
        <color theme="6" tint="-0.499984740745262"/>
      </bottom>
      <diagonal/>
    </border>
    <border>
      <left/>
      <right style="hair">
        <color theme="6" tint="-0.499984740745262"/>
      </right>
      <top/>
      <bottom style="hair">
        <color theme="6" tint="-0.4999847407452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theme="6" tint="-0.499984740745262"/>
      </left>
      <right/>
      <top/>
      <bottom/>
      <diagonal/>
    </border>
    <border>
      <left style="hair">
        <color theme="6" tint="-0.499984740745262"/>
      </left>
      <right/>
      <top style="medium">
        <color theme="6" tint="-0.499984740745262"/>
      </top>
      <bottom style="hair">
        <color theme="6" tint="-0.499984740745262"/>
      </bottom>
      <diagonal/>
    </border>
    <border>
      <left style="hair">
        <color theme="6" tint="-0.499984740745262"/>
      </left>
      <right/>
      <top style="hair">
        <color theme="6" tint="-0.499984740745262"/>
      </top>
      <bottom style="medium">
        <color theme="6" tint="-0.499984740745262"/>
      </bottom>
      <diagonal/>
    </border>
    <border>
      <left style="hair">
        <color theme="6" tint="-0.499984740745262"/>
      </left>
      <right/>
      <top style="hair">
        <color theme="6" tint="-0.499984740745262"/>
      </top>
      <bottom style="hair">
        <color theme="6" tint="-0.499984740745262"/>
      </bottom>
      <diagonal/>
    </border>
    <border>
      <left style="medium">
        <color indexed="64"/>
      </left>
      <right/>
      <top style="medium">
        <color indexed="64"/>
      </top>
      <bottom style="hair">
        <color theme="6" tint="-0.499984740745262"/>
      </bottom>
      <diagonal/>
    </border>
    <border>
      <left/>
      <right/>
      <top style="medium">
        <color indexed="64"/>
      </top>
      <bottom style="hair">
        <color theme="6" tint="-0.499984740745262"/>
      </bottom>
      <diagonal/>
    </border>
    <border>
      <left/>
      <right style="hair">
        <color theme="6" tint="-0.499984740745262"/>
      </right>
      <top style="medium">
        <color indexed="64"/>
      </top>
      <bottom style="hair">
        <color theme="6" tint="-0.499984740745262"/>
      </bottom>
      <diagonal/>
    </border>
    <border>
      <left style="hair">
        <color theme="6" tint="-0.499984740745262"/>
      </left>
      <right/>
      <top style="medium">
        <color indexed="64"/>
      </top>
      <bottom style="hair">
        <color theme="6" tint="-0.499984740745262"/>
      </bottom>
      <diagonal/>
    </border>
    <border>
      <left style="hair">
        <color theme="6" tint="-0.499984740745262"/>
      </left>
      <right/>
      <top style="medium">
        <color indexed="64"/>
      </top>
      <bottom/>
      <diagonal/>
    </border>
    <border>
      <left/>
      <right style="hair">
        <color theme="6" tint="-0.499984740745262"/>
      </right>
      <top style="medium">
        <color indexed="64"/>
      </top>
      <bottom/>
      <diagonal/>
    </border>
    <border>
      <left style="hair">
        <color theme="6" tint="-0.499984740745262"/>
      </left>
      <right style="hair">
        <color theme="6" tint="-0.499984740745262"/>
      </right>
      <top style="medium">
        <color indexed="64"/>
      </top>
      <bottom style="hair">
        <color theme="6" tint="-0.499984740745262"/>
      </bottom>
      <diagonal/>
    </border>
    <border>
      <left/>
      <right style="medium">
        <color indexed="64"/>
      </right>
      <top style="medium">
        <color indexed="64"/>
      </top>
      <bottom style="hair">
        <color theme="6" tint="-0.499984740745262"/>
      </bottom>
      <diagonal/>
    </border>
    <border>
      <left style="hair">
        <color theme="6" tint="-0.499984740745262"/>
      </left>
      <right style="hair">
        <color theme="6" tint="-0.499984740745262"/>
      </right>
      <top style="hair">
        <color theme="6" tint="-0.499984740745262"/>
      </top>
      <bottom style="medium">
        <color indexed="64"/>
      </bottom>
      <diagonal/>
    </border>
    <border>
      <left style="hair">
        <color theme="6" tint="-0.499984740745262"/>
      </left>
      <right style="hair">
        <color theme="6" tint="-0.499984740745262"/>
      </right>
      <top/>
      <bottom style="medium">
        <color indexed="64"/>
      </bottom>
      <diagonal/>
    </border>
    <border>
      <left style="medium">
        <color indexed="64"/>
      </left>
      <right style="hair">
        <color theme="6" tint="-0.499984740745262"/>
      </right>
      <top style="hair">
        <color theme="6" tint="-0.499984740745262"/>
      </top>
      <bottom/>
      <diagonal/>
    </border>
    <border>
      <left style="hair">
        <color theme="6" tint="-0.499984740745262"/>
      </left>
      <right style="medium">
        <color indexed="64"/>
      </right>
      <top style="hair">
        <color theme="6" tint="-0.499984740745262"/>
      </top>
      <bottom/>
      <diagonal/>
    </border>
    <border>
      <left style="medium">
        <color indexed="64"/>
      </left>
      <right style="hair">
        <color theme="6" tint="-0.499984740745262"/>
      </right>
      <top/>
      <bottom style="hair">
        <color theme="6" tint="-0.499984740745262"/>
      </bottom>
      <diagonal/>
    </border>
    <border>
      <left style="hair">
        <color theme="6" tint="-0.499984740745262"/>
      </left>
      <right style="medium">
        <color indexed="64"/>
      </right>
      <top/>
      <bottom style="hair">
        <color theme="6" tint="-0.499984740745262"/>
      </bottom>
      <diagonal/>
    </border>
    <border>
      <left style="hair">
        <color theme="6" tint="-0.499984740745262"/>
      </left>
      <right style="hair">
        <color theme="6" tint="-0.499984740745262"/>
      </right>
      <top style="medium">
        <color indexed="64"/>
      </top>
      <bottom/>
      <diagonal/>
    </border>
  </borders>
  <cellStyleXfs count="7">
    <xf numFmtId="0" fontId="0" fillId="0" borderId="0"/>
    <xf numFmtId="9" fontId="12" fillId="0" borderId="0" applyFont="0" applyFill="0" applyBorder="0" applyAlignment="0" applyProtection="0"/>
    <xf numFmtId="0" fontId="42" fillId="0" borderId="0"/>
    <xf numFmtId="0" fontId="43" fillId="0" borderId="0"/>
    <xf numFmtId="0" fontId="4" fillId="0" borderId="0"/>
    <xf numFmtId="44" fontId="12" fillId="0" borderId="0" applyFont="0" applyFill="0" applyBorder="0" applyAlignment="0" applyProtection="0"/>
    <xf numFmtId="44" fontId="12" fillId="0" borderId="0" applyFont="0" applyFill="0" applyBorder="0" applyAlignment="0" applyProtection="0"/>
  </cellStyleXfs>
  <cellXfs count="657">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4" fillId="0" borderId="0" xfId="0" applyFont="1" applyAlignment="1">
      <alignment vertical="center"/>
    </xf>
    <xf numFmtId="0" fontId="25" fillId="0" borderId="0" xfId="0" applyFont="1"/>
    <xf numFmtId="0" fontId="23" fillId="0" borderId="0" xfId="0" applyFont="1"/>
    <xf numFmtId="0" fontId="0" fillId="0" borderId="0" xfId="0" pivotButton="1"/>
    <xf numFmtId="0" fontId="10" fillId="0" borderId="0" xfId="0" applyFont="1" applyAlignment="1">
      <alignment horizontal="justify" vertical="center" wrapText="1" readingOrder="1"/>
    </xf>
    <xf numFmtId="0" fontId="28" fillId="6" borderId="0" xfId="0" applyFont="1" applyFill="1" applyAlignment="1">
      <alignment horizontal="center" vertical="center" wrapText="1" readingOrder="1"/>
    </xf>
    <xf numFmtId="0" fontId="29" fillId="5" borderId="4" xfId="0" applyFont="1" applyFill="1" applyBorder="1" applyAlignment="1">
      <alignment horizontal="center" vertical="center" wrapText="1" readingOrder="1"/>
    </xf>
    <xf numFmtId="0" fontId="29" fillId="7" borderId="1" xfId="0" applyFont="1" applyFill="1" applyBorder="1" applyAlignment="1">
      <alignment horizontal="center" vertical="center" wrapText="1" readingOrder="1"/>
    </xf>
    <xf numFmtId="0" fontId="29" fillId="4" borderId="1" xfId="0" applyFont="1" applyFill="1" applyBorder="1" applyAlignment="1">
      <alignment horizontal="center" vertical="center" wrapText="1" readingOrder="1"/>
    </xf>
    <xf numFmtId="0" fontId="29" fillId="8" borderId="1" xfId="0" applyFont="1" applyFill="1" applyBorder="1" applyAlignment="1">
      <alignment horizontal="center" vertical="center" wrapText="1" readingOrder="1"/>
    </xf>
    <xf numFmtId="0" fontId="30" fillId="9" borderId="1" xfId="0" applyFont="1" applyFill="1" applyBorder="1" applyAlignment="1">
      <alignment horizontal="center" vertical="center" wrapText="1" readingOrder="1"/>
    </xf>
    <xf numFmtId="0" fontId="29" fillId="0" borderId="4" xfId="0" applyFont="1" applyBorder="1" applyAlignment="1">
      <alignment horizontal="center" vertical="center" wrapText="1" readingOrder="1"/>
    </xf>
    <xf numFmtId="0" fontId="29"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0" fillId="3" borderId="0" xfId="0" applyFill="1"/>
    <xf numFmtId="0" fontId="44" fillId="3" borderId="40" xfId="2" applyFont="1" applyFill="1" applyBorder="1"/>
    <xf numFmtId="0" fontId="44" fillId="3" borderId="41" xfId="2" applyFont="1" applyFill="1" applyBorder="1"/>
    <xf numFmtId="0" fontId="44" fillId="3" borderId="42" xfId="2" applyFont="1" applyFill="1" applyBorder="1"/>
    <xf numFmtId="0" fontId="14" fillId="3" borderId="0" xfId="0" applyFont="1" applyFill="1" applyAlignment="1">
      <alignment vertical="center"/>
    </xf>
    <xf numFmtId="0" fontId="4" fillId="3" borderId="0" xfId="0" applyFont="1" applyFill="1"/>
    <xf numFmtId="0" fontId="32" fillId="3" borderId="0" xfId="0" applyFont="1" applyFill="1"/>
    <xf numFmtId="0" fontId="33" fillId="3" borderId="23" xfId="0" applyFont="1" applyFill="1" applyBorder="1" applyAlignment="1">
      <alignment horizontal="center" vertical="center" wrapText="1" readingOrder="1"/>
    </xf>
    <xf numFmtId="0" fontId="34" fillId="3" borderId="23" xfId="0" applyFont="1" applyFill="1" applyBorder="1" applyAlignment="1">
      <alignment horizontal="justify" vertical="center" wrapText="1" readingOrder="1"/>
    </xf>
    <xf numFmtId="9" fontId="33" fillId="3" borderId="32" xfId="0" applyNumberFormat="1" applyFont="1" applyFill="1" applyBorder="1" applyAlignment="1">
      <alignment horizontal="center" vertical="center" wrapText="1" readingOrder="1"/>
    </xf>
    <xf numFmtId="0" fontId="33" fillId="3" borderId="22" xfId="0" applyFont="1" applyFill="1" applyBorder="1" applyAlignment="1">
      <alignment horizontal="center" vertical="center" wrapText="1" readingOrder="1"/>
    </xf>
    <xf numFmtId="0" fontId="34" fillId="3" borderId="22" xfId="0" applyFont="1" applyFill="1" applyBorder="1" applyAlignment="1">
      <alignment horizontal="justify" vertical="center" wrapText="1" readingOrder="1"/>
    </xf>
    <xf numFmtId="9" fontId="33" fillId="3" borderId="27" xfId="0" applyNumberFormat="1"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3" fillId="3" borderId="29" xfId="0" applyFont="1" applyFill="1" applyBorder="1" applyAlignment="1">
      <alignment horizontal="center" vertical="center" wrapText="1" readingOrder="1"/>
    </xf>
    <xf numFmtId="0" fontId="34" fillId="3" borderId="29" xfId="0" applyFont="1" applyFill="1" applyBorder="1" applyAlignment="1">
      <alignment horizontal="justify" vertical="center" wrapText="1" readingOrder="1"/>
    </xf>
    <xf numFmtId="0" fontId="34" fillId="3" borderId="30" xfId="0" applyFont="1" applyFill="1" applyBorder="1" applyAlignment="1">
      <alignment horizontal="center" vertical="center" wrapText="1" readingOrder="1"/>
    </xf>
    <xf numFmtId="0" fontId="41" fillId="3" borderId="0" xfId="0" applyFont="1" applyFill="1"/>
    <xf numFmtId="0" fontId="33" fillId="15" borderId="34" xfId="0" applyFont="1" applyFill="1" applyBorder="1" applyAlignment="1">
      <alignment horizontal="center" vertical="center" wrapText="1" readingOrder="1"/>
    </xf>
    <xf numFmtId="0" fontId="33"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4" fillId="3" borderId="7" xfId="2" applyFont="1" applyFill="1" applyBorder="1"/>
    <xf numFmtId="0" fontId="49" fillId="3" borderId="0" xfId="0" applyFont="1" applyFill="1" applyAlignment="1">
      <alignment horizontal="left" vertical="center" wrapText="1"/>
    </xf>
    <xf numFmtId="0" fontId="50" fillId="3" borderId="0" xfId="0" applyFont="1" applyFill="1" applyAlignment="1">
      <alignment horizontal="left" vertical="top" wrapText="1"/>
    </xf>
    <xf numFmtId="0" fontId="44" fillId="3" borderId="0" xfId="2" applyFont="1" applyFill="1"/>
    <xf numFmtId="0" fontId="44" fillId="3" borderId="8" xfId="2" applyFont="1" applyFill="1" applyBorder="1"/>
    <xf numFmtId="0" fontId="44" fillId="3" borderId="9" xfId="2" applyFont="1" applyFill="1" applyBorder="1"/>
    <xf numFmtId="0" fontId="44" fillId="3" borderId="11" xfId="2" applyFont="1" applyFill="1" applyBorder="1"/>
    <xf numFmtId="0" fontId="44" fillId="3" borderId="10" xfId="2" applyFont="1" applyFill="1" applyBorder="1"/>
    <xf numFmtId="0" fontId="48" fillId="3" borderId="0" xfId="2" applyFont="1" applyFill="1" applyAlignment="1">
      <alignment horizontal="left" vertical="center" wrapText="1"/>
    </xf>
    <xf numFmtId="0" fontId="44" fillId="3" borderId="0" xfId="2" applyFont="1" applyFill="1" applyAlignment="1">
      <alignment horizontal="left" vertical="center" wrapText="1"/>
    </xf>
    <xf numFmtId="0" fontId="44" fillId="3" borderId="0" xfId="2" quotePrefix="1" applyFont="1" applyFill="1" applyAlignment="1">
      <alignment horizontal="left" vertical="center" wrapText="1"/>
    </xf>
    <xf numFmtId="0" fontId="46" fillId="3" borderId="7" xfId="2" quotePrefix="1" applyFont="1" applyFill="1" applyBorder="1" applyAlignment="1">
      <alignment horizontal="left" vertical="top" wrapText="1"/>
    </xf>
    <xf numFmtId="0" fontId="47" fillId="3" borderId="0" xfId="2" quotePrefix="1" applyFont="1" applyFill="1" applyAlignment="1">
      <alignment horizontal="left" vertical="top" wrapText="1"/>
    </xf>
    <xf numFmtId="0" fontId="47" fillId="3" borderId="8" xfId="2" quotePrefix="1" applyFont="1" applyFill="1" applyBorder="1" applyAlignment="1">
      <alignment horizontal="left" vertical="top" wrapText="1"/>
    </xf>
    <xf numFmtId="0" fontId="29" fillId="0" borderId="64" xfId="0" applyFont="1" applyBorder="1" applyAlignment="1">
      <alignment horizontal="justify" vertical="center" wrapText="1" readingOrder="1"/>
    </xf>
    <xf numFmtId="0" fontId="29" fillId="0" borderId="65" xfId="0" applyFont="1" applyBorder="1" applyAlignment="1">
      <alignment horizontal="justify" vertical="center" wrapText="1" readingOrder="1"/>
    </xf>
    <xf numFmtId="165" fontId="27" fillId="3" borderId="0" xfId="5" applyNumberFormat="1" applyFont="1" applyFill="1" applyAlignment="1">
      <alignment horizontal="center" vertical="center" wrapText="1"/>
    </xf>
    <xf numFmtId="165" fontId="0" fillId="3" borderId="0" xfId="5" applyNumberFormat="1" applyFont="1" applyFill="1" applyAlignment="1">
      <alignment horizontal="center" vertical="center"/>
    </xf>
    <xf numFmtId="0" fontId="54" fillId="3" borderId="0" xfId="0" applyFont="1" applyFill="1"/>
    <xf numFmtId="0" fontId="55" fillId="3" borderId="0" xfId="0" applyFont="1" applyFill="1" applyAlignment="1">
      <alignment horizontal="justify" vertical="center" wrapText="1" readingOrder="1"/>
    </xf>
    <xf numFmtId="0" fontId="54" fillId="0" borderId="0" xfId="0" applyFont="1"/>
    <xf numFmtId="0" fontId="56" fillId="3" borderId="0" xfId="0" applyFont="1" applyFill="1" applyAlignment="1">
      <alignment vertical="center"/>
    </xf>
    <xf numFmtId="44" fontId="0" fillId="3" borderId="0" xfId="5" applyFont="1" applyFill="1" applyAlignment="1">
      <alignment horizontal="left" vertical="center"/>
    </xf>
    <xf numFmtId="44" fontId="54" fillId="3" borderId="0" xfId="5" applyFont="1" applyFill="1" applyAlignment="1">
      <alignment horizontal="left" vertical="center"/>
    </xf>
    <xf numFmtId="44" fontId="0" fillId="0" borderId="0" xfId="5" applyFont="1" applyAlignment="1">
      <alignment horizontal="left" vertical="center"/>
    </xf>
    <xf numFmtId="44" fontId="26" fillId="0" borderId="0" xfId="5" applyFont="1" applyAlignment="1">
      <alignment horizontal="left" vertical="center"/>
    </xf>
    <xf numFmtId="0" fontId="0" fillId="0" borderId="0" xfId="0" applyAlignment="1">
      <alignment wrapText="1"/>
    </xf>
    <xf numFmtId="0" fontId="25" fillId="0" borderId="0" xfId="0" applyFont="1" applyAlignment="1">
      <alignment wrapText="1"/>
    </xf>
    <xf numFmtId="0" fontId="0" fillId="0" borderId="0" xfId="0" applyAlignment="1">
      <alignment vertical="center" wrapText="1"/>
    </xf>
    <xf numFmtId="0" fontId="57" fillId="0" borderId="0" xfId="0" applyFont="1"/>
    <xf numFmtId="0" fontId="58" fillId="0" borderId="0" xfId="0" applyFont="1"/>
    <xf numFmtId="0" fontId="59" fillId="0" borderId="0" xfId="0" applyFont="1"/>
    <xf numFmtId="0" fontId="60" fillId="0" borderId="0" xfId="0" applyFont="1" applyAlignment="1">
      <alignment wrapText="1"/>
    </xf>
    <xf numFmtId="0" fontId="59" fillId="0" borderId="0" xfId="0" applyFont="1" applyAlignment="1">
      <alignment wrapText="1"/>
    </xf>
    <xf numFmtId="0" fontId="57" fillId="0" borderId="8" xfId="0" applyFont="1" applyBorder="1"/>
    <xf numFmtId="0" fontId="62" fillId="0" borderId="8" xfId="0" applyFont="1" applyBorder="1"/>
    <xf numFmtId="0" fontId="63" fillId="19" borderId="69" xfId="0" applyFont="1" applyFill="1" applyBorder="1" applyAlignment="1">
      <alignment horizontal="center" vertical="center" wrapText="1"/>
    </xf>
    <xf numFmtId="0" fontId="64" fillId="19" borderId="10" xfId="0" applyFont="1" applyFill="1" applyBorder="1" applyAlignment="1">
      <alignment horizontal="center" vertical="center" wrapText="1"/>
    </xf>
    <xf numFmtId="0" fontId="63" fillId="19" borderId="33" xfId="0" applyFont="1" applyFill="1" applyBorder="1" applyAlignment="1">
      <alignment horizontal="center" vertical="center" wrapText="1"/>
    </xf>
    <xf numFmtId="0" fontId="62" fillId="0" borderId="0" xfId="0" applyFont="1"/>
    <xf numFmtId="0" fontId="63" fillId="19" borderId="69" xfId="0" applyFont="1" applyFill="1" applyBorder="1" applyAlignment="1">
      <alignment horizontal="center" vertical="center" textRotation="90" wrapText="1"/>
    </xf>
    <xf numFmtId="0" fontId="60" fillId="0" borderId="6" xfId="0" applyFont="1" applyBorder="1" applyAlignment="1">
      <alignment horizontal="justify" vertical="center" wrapText="1"/>
    </xf>
    <xf numFmtId="0" fontId="63" fillId="19" borderId="68" xfId="0" applyFont="1" applyFill="1" applyBorder="1" applyAlignment="1">
      <alignment horizontal="center" vertical="center" textRotation="90" wrapText="1"/>
    </xf>
    <xf numFmtId="0" fontId="60" fillId="0" borderId="68" xfId="0" applyFont="1" applyBorder="1" applyAlignment="1">
      <alignment horizontal="left" vertical="center" wrapText="1"/>
    </xf>
    <xf numFmtId="0" fontId="63" fillId="19" borderId="71" xfId="0" applyFont="1" applyFill="1" applyBorder="1" applyAlignment="1">
      <alignment horizontal="center" vertical="center" textRotation="90" wrapText="1"/>
    </xf>
    <xf numFmtId="0" fontId="60" fillId="0" borderId="69" xfId="0" applyFont="1" applyBorder="1" applyAlignment="1">
      <alignment horizontal="left" vertical="center" wrapText="1"/>
    </xf>
    <xf numFmtId="0" fontId="63" fillId="19" borderId="6" xfId="0" applyFont="1" applyFill="1" applyBorder="1" applyAlignment="1">
      <alignment horizontal="center" vertical="center" textRotation="90" wrapText="1"/>
    </xf>
    <xf numFmtId="0" fontId="67" fillId="0" borderId="68" xfId="0" applyFont="1" applyBorder="1" applyAlignment="1">
      <alignment horizontal="left" vertical="center" wrapText="1"/>
    </xf>
    <xf numFmtId="0" fontId="63" fillId="19" borderId="36" xfId="0" applyFont="1" applyFill="1" applyBorder="1" applyAlignment="1">
      <alignment horizontal="center" vertical="center" textRotation="90" wrapText="1"/>
    </xf>
    <xf numFmtId="0" fontId="68" fillId="0" borderId="8" xfId="0" applyFont="1" applyBorder="1"/>
    <xf numFmtId="0" fontId="69" fillId="20" borderId="6" xfId="0" applyFont="1" applyFill="1" applyBorder="1" applyAlignment="1">
      <alignment horizontal="center" vertical="center" textRotation="90" wrapText="1"/>
    </xf>
    <xf numFmtId="0" fontId="68" fillId="0" borderId="0" xfId="0" applyFont="1"/>
    <xf numFmtId="0" fontId="68" fillId="20" borderId="36" xfId="0" applyFont="1" applyFill="1" applyBorder="1"/>
    <xf numFmtId="0" fontId="70" fillId="20" borderId="69" xfId="0" applyFont="1" applyFill="1" applyBorder="1" applyAlignment="1">
      <alignment horizontal="center" vertical="center" wrapText="1"/>
    </xf>
    <xf numFmtId="0" fontId="69" fillId="20" borderId="69" xfId="0" applyFont="1" applyFill="1" applyBorder="1" applyAlignment="1">
      <alignment horizontal="center" vertical="center" wrapText="1"/>
    </xf>
    <xf numFmtId="0" fontId="64" fillId="0" borderId="0" xfId="0" applyFont="1" applyAlignment="1">
      <alignment horizontal="center" vertical="center"/>
    </xf>
    <xf numFmtId="0" fontId="63" fillId="0" borderId="0" xfId="0" applyFont="1" applyAlignment="1">
      <alignment horizontal="center" vertical="center"/>
    </xf>
    <xf numFmtId="0" fontId="60" fillId="0" borderId="0" xfId="0" applyFont="1"/>
    <xf numFmtId="0" fontId="71" fillId="0" borderId="0" xfId="0" applyFont="1" applyAlignment="1">
      <alignment vertical="center" wrapText="1"/>
    </xf>
    <xf numFmtId="0" fontId="71" fillId="0" borderId="73" xfId="0" applyFont="1" applyBorder="1" applyAlignment="1">
      <alignment horizontal="center" vertical="center" wrapText="1"/>
    </xf>
    <xf numFmtId="0" fontId="71" fillId="0" borderId="26" xfId="0" applyFont="1" applyBorder="1" applyAlignment="1">
      <alignment horizontal="center" vertical="center" wrapText="1"/>
    </xf>
    <xf numFmtId="0" fontId="71" fillId="0" borderId="22" xfId="0" applyFont="1" applyBorder="1" applyAlignment="1">
      <alignment vertical="center" wrapText="1"/>
    </xf>
    <xf numFmtId="0" fontId="71" fillId="0" borderId="27" xfId="0" applyFont="1" applyBorder="1" applyAlignment="1">
      <alignment vertical="center" wrapText="1"/>
    </xf>
    <xf numFmtId="0" fontId="76" fillId="0" borderId="77" xfId="0" applyFont="1" applyBorder="1" applyAlignment="1">
      <alignment horizontal="justify" vertical="center" wrapText="1"/>
    </xf>
    <xf numFmtId="0" fontId="76" fillId="0" borderId="79" xfId="0" applyFont="1" applyBorder="1" applyAlignment="1">
      <alignment horizontal="justify" vertical="center" wrapText="1"/>
    </xf>
    <xf numFmtId="0" fontId="75" fillId="16" borderId="77" xfId="0" applyFont="1" applyFill="1" applyBorder="1" applyAlignment="1">
      <alignment horizontal="center" vertical="center" wrapText="1"/>
    </xf>
    <xf numFmtId="0" fontId="75" fillId="16" borderId="79" xfId="0" applyFont="1" applyFill="1" applyBorder="1" applyAlignment="1">
      <alignment horizontal="center" vertical="center" wrapText="1"/>
    </xf>
    <xf numFmtId="0" fontId="75" fillId="16" borderId="81" xfId="0" applyFont="1" applyFill="1" applyBorder="1" applyAlignment="1">
      <alignment horizontal="center" vertical="center" wrapText="1"/>
    </xf>
    <xf numFmtId="0" fontId="73" fillId="16" borderId="29" xfId="0" applyFont="1" applyFill="1" applyBorder="1" applyAlignment="1">
      <alignment horizontal="center" vertical="center" wrapText="1"/>
    </xf>
    <xf numFmtId="0" fontId="73" fillId="16" borderId="30" xfId="0" applyFont="1" applyFill="1" applyBorder="1" applyAlignment="1">
      <alignment horizontal="center" vertical="center" wrapText="1"/>
    </xf>
    <xf numFmtId="0" fontId="75" fillId="19" borderId="69" xfId="0" applyFont="1" applyFill="1" applyBorder="1" applyAlignment="1">
      <alignment horizontal="center" vertical="center" wrapText="1"/>
    </xf>
    <xf numFmtId="0" fontId="75" fillId="19" borderId="36" xfId="0" applyFont="1" applyFill="1" applyBorder="1" applyAlignment="1">
      <alignment horizontal="center" vertical="center" wrapText="1"/>
    </xf>
    <xf numFmtId="0" fontId="76" fillId="0" borderId="10" xfId="0" applyFont="1" applyBorder="1" applyAlignment="1">
      <alignment horizontal="justify" vertical="center" wrapText="1"/>
    </xf>
    <xf numFmtId="0" fontId="60" fillId="0" borderId="5" xfId="0" applyFont="1" applyBorder="1" applyAlignment="1">
      <alignment horizontal="justify" vertical="center" wrapText="1"/>
    </xf>
    <xf numFmtId="0" fontId="60" fillId="0" borderId="5" xfId="0" applyFont="1" applyBorder="1" applyAlignment="1">
      <alignment horizontal="left" vertical="center" wrapText="1"/>
    </xf>
    <xf numFmtId="0" fontId="59" fillId="0" borderId="24" xfId="0" applyFont="1" applyBorder="1" applyAlignment="1">
      <alignment horizontal="left" vertical="center" wrapText="1"/>
    </xf>
    <xf numFmtId="0" fontId="59" fillId="0" borderId="5" xfId="0" applyFont="1" applyBorder="1" applyAlignment="1">
      <alignment horizontal="justify" vertical="center" wrapText="1"/>
    </xf>
    <xf numFmtId="0" fontId="62" fillId="0" borderId="85" xfId="0" applyFont="1" applyBorder="1" applyAlignment="1">
      <alignment horizontal="center" vertical="center"/>
    </xf>
    <xf numFmtId="0" fontId="62" fillId="0" borderId="84" xfId="0" applyFont="1" applyBorder="1" applyAlignment="1">
      <alignment horizontal="center" vertical="center"/>
    </xf>
    <xf numFmtId="0" fontId="68" fillId="0" borderId="86" xfId="0" applyFont="1" applyBorder="1" applyAlignment="1">
      <alignment horizontal="center" vertical="center"/>
    </xf>
    <xf numFmtId="0" fontId="78" fillId="24" borderId="89" xfId="0" applyFont="1" applyFill="1" applyBorder="1" applyAlignment="1">
      <alignment horizontal="left" vertical="center" wrapText="1" readingOrder="1"/>
    </xf>
    <xf numFmtId="0" fontId="78" fillId="25" borderId="89" xfId="0" applyFont="1" applyFill="1" applyBorder="1" applyAlignment="1">
      <alignment horizontal="left" vertical="center" wrapText="1" readingOrder="1"/>
    </xf>
    <xf numFmtId="0" fontId="84" fillId="0" borderId="84" xfId="0" applyFont="1" applyBorder="1" applyAlignment="1">
      <alignment vertical="center" wrapText="1"/>
    </xf>
    <xf numFmtId="0" fontId="83" fillId="0" borderId="84" xfId="0" applyFont="1" applyBorder="1" applyAlignment="1">
      <alignment vertical="center"/>
    </xf>
    <xf numFmtId="0" fontId="83" fillId="0" borderId="84" xfId="0" applyFont="1" applyBorder="1" applyAlignment="1">
      <alignment vertical="center" wrapText="1"/>
    </xf>
    <xf numFmtId="0" fontId="83" fillId="26" borderId="0" xfId="0" applyFont="1" applyFill="1" applyAlignment="1">
      <alignment horizontal="center" vertical="center"/>
    </xf>
    <xf numFmtId="0" fontId="75" fillId="26" borderId="69" xfId="0" applyFont="1" applyFill="1" applyBorder="1" applyAlignment="1">
      <alignment horizontal="center" vertical="center" wrapText="1"/>
    </xf>
    <xf numFmtId="0" fontId="75" fillId="26" borderId="36" xfId="0" applyFont="1" applyFill="1" applyBorder="1" applyAlignment="1">
      <alignment horizontal="center" vertical="center" wrapText="1"/>
    </xf>
    <xf numFmtId="0" fontId="71" fillId="0" borderId="74" xfId="0" applyFont="1" applyBorder="1" applyAlignment="1">
      <alignment horizontal="center" vertical="center" wrapText="1"/>
    </xf>
    <xf numFmtId="0" fontId="71" fillId="0" borderId="75" xfId="0" applyFont="1" applyBorder="1" applyAlignment="1">
      <alignment horizontal="center" vertical="center" wrapText="1"/>
    </xf>
    <xf numFmtId="0" fontId="71" fillId="0" borderId="22" xfId="0" applyFont="1" applyBorder="1" applyAlignment="1">
      <alignment horizontal="center" vertical="center" wrapText="1"/>
    </xf>
    <xf numFmtId="0" fontId="71" fillId="0" borderId="27" xfId="0" applyFont="1" applyBorder="1" applyAlignment="1">
      <alignment horizontal="center" vertical="center" wrapText="1"/>
    </xf>
    <xf numFmtId="0" fontId="0" fillId="3" borderId="0" xfId="0" applyFill="1" applyAlignment="1">
      <alignment vertical="top"/>
    </xf>
    <xf numFmtId="44" fontId="0" fillId="3" borderId="0" xfId="5" applyFont="1" applyFill="1" applyAlignment="1">
      <alignment horizontal="left" vertical="top"/>
    </xf>
    <xf numFmtId="0" fontId="0" fillId="0" borderId="0" xfId="0" applyAlignment="1">
      <alignment vertical="top"/>
    </xf>
    <xf numFmtId="44" fontId="53" fillId="3" borderId="0" xfId="5" applyFont="1" applyFill="1" applyAlignment="1">
      <alignment vertical="top"/>
    </xf>
    <xf numFmtId="0" fontId="80" fillId="0" borderId="90" xfId="0" applyFont="1" applyBorder="1" applyAlignment="1" applyProtection="1">
      <alignment horizontal="center" vertical="center" wrapText="1"/>
      <protection locked="0"/>
    </xf>
    <xf numFmtId="0" fontId="80" fillId="0" borderId="90" xfId="0" applyFont="1" applyBorder="1" applyAlignment="1" applyProtection="1">
      <alignment horizontal="justify" vertical="center" wrapText="1"/>
      <protection locked="0"/>
    </xf>
    <xf numFmtId="0" fontId="80" fillId="0" borderId="90" xfId="0" applyFont="1" applyBorder="1" applyAlignment="1" applyProtection="1">
      <alignment horizontal="justify" vertical="center"/>
      <protection locked="0"/>
    </xf>
    <xf numFmtId="0" fontId="80" fillId="0" borderId="90" xfId="0" applyFont="1" applyBorder="1" applyAlignment="1" applyProtection="1">
      <alignment horizontal="center" vertical="center"/>
      <protection hidden="1"/>
    </xf>
    <xf numFmtId="0" fontId="80" fillId="0" borderId="90" xfId="0" applyFont="1" applyBorder="1" applyAlignment="1" applyProtection="1">
      <alignment horizontal="center" vertical="center" textRotation="90"/>
      <protection locked="0"/>
    </xf>
    <xf numFmtId="9" fontId="80" fillId="0" borderId="90" xfId="0" applyNumberFormat="1" applyFont="1" applyBorder="1" applyAlignment="1" applyProtection="1">
      <alignment horizontal="center" vertical="center"/>
      <protection hidden="1"/>
    </xf>
    <xf numFmtId="164" fontId="80" fillId="0" borderId="90" xfId="1" applyNumberFormat="1" applyFont="1" applyFill="1" applyBorder="1" applyAlignment="1">
      <alignment horizontal="center" vertical="center"/>
    </xf>
    <xf numFmtId="0" fontId="81" fillId="0" borderId="90" xfId="0" applyFont="1" applyBorder="1" applyAlignment="1" applyProtection="1">
      <alignment horizontal="center" vertical="center" textRotation="90" wrapText="1"/>
      <protection hidden="1"/>
    </xf>
    <xf numFmtId="0" fontId="81" fillId="0" borderId="90" xfId="0" applyFont="1" applyBorder="1" applyAlignment="1" applyProtection="1">
      <alignment horizontal="center" vertical="center" textRotation="90"/>
      <protection hidden="1"/>
    </xf>
    <xf numFmtId="0" fontId="80" fillId="0" borderId="90" xfId="0" applyFont="1" applyBorder="1" applyAlignment="1" applyProtection="1">
      <alignment horizontal="center" vertical="center" textRotation="90" wrapText="1"/>
      <protection locked="0"/>
    </xf>
    <xf numFmtId="0" fontId="80" fillId="0" borderId="90" xfId="0" applyFont="1" applyBorder="1" applyAlignment="1" applyProtection="1">
      <alignment horizontal="center" vertical="center"/>
      <protection locked="0"/>
    </xf>
    <xf numFmtId="14" fontId="80" fillId="0" borderId="90" xfId="0" applyNumberFormat="1" applyFont="1" applyBorder="1" applyAlignment="1" applyProtection="1">
      <alignment horizontal="center" vertical="center"/>
      <protection locked="0"/>
    </xf>
    <xf numFmtId="0" fontId="80" fillId="0" borderId="0" xfId="0" applyFont="1"/>
    <xf numFmtId="0" fontId="80" fillId="0" borderId="90" xfId="0" applyFont="1" applyBorder="1" applyAlignment="1" applyProtection="1">
      <alignment horizontal="justify" vertical="top" wrapText="1"/>
      <protection locked="0"/>
    </xf>
    <xf numFmtId="0" fontId="85" fillId="3" borderId="0" xfId="0" applyFont="1" applyFill="1"/>
    <xf numFmtId="0" fontId="85" fillId="0" borderId="0" xfId="0" applyFont="1"/>
    <xf numFmtId="0" fontId="80" fillId="3" borderId="0" xfId="0" applyFont="1" applyFill="1" applyAlignment="1">
      <alignment horizontal="center" vertical="center"/>
    </xf>
    <xf numFmtId="0" fontId="80" fillId="3" borderId="0" xfId="0" applyFont="1" applyFill="1" applyAlignment="1">
      <alignment horizontal="left" vertical="center"/>
    </xf>
    <xf numFmtId="0" fontId="80" fillId="3" borderId="0" xfId="0" applyFont="1" applyFill="1"/>
    <xf numFmtId="0" fontId="80" fillId="3" borderId="0" xfId="0" applyFont="1" applyFill="1" applyAlignment="1">
      <alignment horizontal="center"/>
    </xf>
    <xf numFmtId="0" fontId="81" fillId="0" borderId="0" xfId="0" applyFont="1" applyAlignment="1">
      <alignment horizontal="left" vertical="center"/>
    </xf>
    <xf numFmtId="0" fontId="80" fillId="0" borderId="0" xfId="0" applyFont="1" applyAlignment="1" applyProtection="1">
      <alignment horizontal="left" vertical="center" wrapText="1"/>
      <protection locked="0"/>
    </xf>
    <xf numFmtId="0" fontId="81" fillId="0" borderId="0" xfId="0" applyFont="1"/>
    <xf numFmtId="0" fontId="80" fillId="0" borderId="0" xfId="0" applyFont="1" applyAlignment="1">
      <alignment horizontal="left" wrapText="1"/>
    </xf>
    <xf numFmtId="0" fontId="81" fillId="16" borderId="90" xfId="0" applyFont="1" applyFill="1" applyBorder="1" applyAlignment="1">
      <alignment horizontal="center" vertical="center" textRotation="90"/>
    </xf>
    <xf numFmtId="0" fontId="81" fillId="3" borderId="0" xfId="0" applyFont="1" applyFill="1" applyAlignment="1">
      <alignment horizontal="center" vertical="center"/>
    </xf>
    <xf numFmtId="0" fontId="81" fillId="0" borderId="0" xfId="0" applyFont="1" applyAlignment="1">
      <alignment horizontal="center" vertical="center"/>
    </xf>
    <xf numFmtId="0" fontId="81" fillId="2" borderId="0" xfId="0" applyFont="1" applyFill="1" applyAlignment="1">
      <alignment horizontal="center" vertical="center"/>
    </xf>
    <xf numFmtId="0" fontId="80" fillId="0" borderId="90" xfId="0" applyFont="1" applyBorder="1" applyAlignment="1">
      <alignment horizontal="center" vertical="center"/>
    </xf>
    <xf numFmtId="0" fontId="80" fillId="0" borderId="0" xfId="0" applyFont="1" applyAlignment="1">
      <alignment vertical="center"/>
    </xf>
    <xf numFmtId="0" fontId="80" fillId="0" borderId="3" xfId="0" applyFont="1" applyBorder="1" applyAlignment="1">
      <alignment horizontal="center" vertical="center"/>
    </xf>
    <xf numFmtId="0" fontId="80" fillId="0" borderId="0" xfId="0" applyFont="1" applyAlignment="1">
      <alignment wrapText="1"/>
    </xf>
    <xf numFmtId="0" fontId="80" fillId="0" borderId="0" xfId="0" applyFont="1" applyAlignment="1">
      <alignment horizontal="center" vertical="center"/>
    </xf>
    <xf numFmtId="0" fontId="80" fillId="0" borderId="0" xfId="0" applyFont="1" applyAlignment="1">
      <alignment horizontal="center"/>
    </xf>
    <xf numFmtId="166" fontId="29" fillId="0" borderId="64" xfId="0" applyNumberFormat="1" applyFont="1" applyBorder="1" applyAlignment="1">
      <alignment horizontal="center" vertical="center" wrapText="1" readingOrder="1"/>
    </xf>
    <xf numFmtId="0" fontId="80" fillId="0" borderId="91" xfId="0" applyFont="1" applyBorder="1" applyAlignment="1" applyProtection="1">
      <alignment horizontal="center" vertical="center" wrapText="1"/>
      <protection locked="0"/>
    </xf>
    <xf numFmtId="0" fontId="80" fillId="0" borderId="99" xfId="0" applyFont="1" applyBorder="1" applyAlignment="1" applyProtection="1">
      <alignment horizontal="center" vertical="center" wrapText="1"/>
      <protection locked="0"/>
    </xf>
    <xf numFmtId="0" fontId="80" fillId="0" borderId="92" xfId="0" applyFont="1" applyBorder="1" applyAlignment="1" applyProtection="1">
      <alignment horizontal="center" vertical="center" wrapText="1"/>
      <protection locked="0"/>
    </xf>
    <xf numFmtId="0" fontId="81" fillId="16" borderId="92" xfId="0" applyFont="1" applyFill="1" applyBorder="1" applyAlignment="1">
      <alignment vertical="center"/>
    </xf>
    <xf numFmtId="0" fontId="0" fillId="21" borderId="7" xfId="0" applyFill="1" applyBorder="1"/>
    <xf numFmtId="0" fontId="0" fillId="21" borderId="0" xfId="0" applyFill="1"/>
    <xf numFmtId="0" fontId="0" fillId="0" borderId="8" xfId="0" applyBorder="1"/>
    <xf numFmtId="0" fontId="0" fillId="8" borderId="7" xfId="0" applyFill="1" applyBorder="1"/>
    <xf numFmtId="0" fontId="0" fillId="8" borderId="0" xfId="0" applyFill="1"/>
    <xf numFmtId="0" fontId="0" fillId="27" borderId="7" xfId="0" applyFill="1" applyBorder="1"/>
    <xf numFmtId="0" fontId="0" fillId="27" borderId="0" xfId="0" applyFill="1"/>
    <xf numFmtId="0" fontId="0" fillId="27" borderId="9" xfId="0" applyFill="1" applyBorder="1"/>
    <xf numFmtId="0" fontId="0" fillId="27" borderId="11" xfId="0" applyFill="1" applyBorder="1"/>
    <xf numFmtId="0" fontId="0" fillId="0" borderId="11" xfId="0" applyBorder="1"/>
    <xf numFmtId="0" fontId="0" fillId="0" borderId="10" xfId="0" applyBorder="1"/>
    <xf numFmtId="0" fontId="83" fillId="0" borderId="24" xfId="0" applyFont="1" applyBorder="1"/>
    <xf numFmtId="0" fontId="83" fillId="0" borderId="25" xfId="0" applyFont="1" applyBorder="1"/>
    <xf numFmtId="0" fontId="0" fillId="0" borderId="25" xfId="0" applyBorder="1"/>
    <xf numFmtId="0" fontId="0" fillId="0" borderId="36" xfId="0" applyBorder="1"/>
    <xf numFmtId="0" fontId="86" fillId="0" borderId="90" xfId="0" applyFont="1" applyBorder="1" applyAlignment="1" applyProtection="1">
      <alignment horizontal="justify" vertical="center" wrapText="1"/>
      <protection locked="0"/>
    </xf>
    <xf numFmtId="0" fontId="87" fillId="28" borderId="109" xfId="0" applyFont="1" applyFill="1" applyBorder="1" applyAlignment="1" applyProtection="1">
      <alignment horizontal="center" vertical="center" wrapText="1"/>
      <protection hidden="1"/>
    </xf>
    <xf numFmtId="0" fontId="87" fillId="28" borderId="110" xfId="0" applyFont="1" applyFill="1" applyBorder="1" applyAlignment="1" applyProtection="1">
      <alignment horizontal="center" vertical="center" wrapText="1"/>
      <protection hidden="1"/>
    </xf>
    <xf numFmtId="0" fontId="87" fillId="28" borderId="111" xfId="0" applyFont="1" applyFill="1" applyBorder="1" applyAlignment="1" applyProtection="1">
      <alignment horizontal="center" vertical="center" wrapText="1"/>
      <protection hidden="1"/>
    </xf>
    <xf numFmtId="0" fontId="0" fillId="3" borderId="0" xfId="0" applyFill="1" applyAlignment="1">
      <alignment horizontal="center" vertical="center"/>
    </xf>
    <xf numFmtId="14" fontId="0" fillId="3" borderId="0" xfId="0" applyNumberFormat="1" applyFill="1" applyAlignment="1">
      <alignment horizontal="center" vertical="center"/>
    </xf>
    <xf numFmtId="0" fontId="0" fillId="3" borderId="0" xfId="0" applyFill="1" applyAlignment="1">
      <alignment horizontal="center" vertical="center" wrapText="1"/>
    </xf>
    <xf numFmtId="0" fontId="71" fillId="0" borderId="0" xfId="0" applyFont="1" applyAlignment="1">
      <alignment vertical="center"/>
    </xf>
    <xf numFmtId="0" fontId="83" fillId="0" borderId="70" xfId="0" applyFont="1" applyBorder="1" applyAlignment="1">
      <alignment vertical="center"/>
    </xf>
    <xf numFmtId="0" fontId="83" fillId="3" borderId="0" xfId="0" applyFont="1" applyFill="1"/>
    <xf numFmtId="0" fontId="81" fillId="21" borderId="92" xfId="0" applyFont="1" applyFill="1" applyBorder="1" applyAlignment="1">
      <alignment horizontal="center" vertical="center" wrapText="1"/>
    </xf>
    <xf numFmtId="0" fontId="81" fillId="21" borderId="91" xfId="0" applyFont="1" applyFill="1" applyBorder="1" applyAlignment="1">
      <alignment horizontal="center" vertical="center" wrapText="1"/>
    </xf>
    <xf numFmtId="0" fontId="79" fillId="0" borderId="0" xfId="0" applyFont="1" applyAlignment="1">
      <alignment vertical="center"/>
    </xf>
    <xf numFmtId="0" fontId="89" fillId="0" borderId="0" xfId="0" applyFont="1" applyAlignment="1">
      <alignment vertical="center"/>
    </xf>
    <xf numFmtId="0" fontId="80" fillId="3" borderId="0" xfId="0" applyFont="1" applyFill="1" applyAlignment="1">
      <alignment wrapText="1"/>
    </xf>
    <xf numFmtId="0" fontId="80" fillId="0" borderId="0" xfId="0" applyFont="1" applyAlignment="1" applyProtection="1">
      <alignment vertical="center"/>
      <protection locked="0"/>
    </xf>
    <xf numFmtId="0" fontId="80" fillId="3" borderId="0" xfId="0" applyFont="1" applyFill="1" applyAlignment="1" applyProtection="1">
      <alignment vertical="center" wrapText="1"/>
      <protection locked="0"/>
    </xf>
    <xf numFmtId="0" fontId="81" fillId="3" borderId="0" xfId="0" applyFont="1" applyFill="1"/>
    <xf numFmtId="0" fontId="80" fillId="23" borderId="0" xfId="0" applyFont="1" applyFill="1" applyAlignment="1">
      <alignment horizontal="center" vertical="center"/>
    </xf>
    <xf numFmtId="0" fontId="80" fillId="23" borderId="0" xfId="0" applyFont="1" applyFill="1"/>
    <xf numFmtId="0" fontId="80" fillId="23" borderId="0" xfId="0" applyFont="1" applyFill="1" applyAlignment="1">
      <alignment horizontal="center"/>
    </xf>
    <xf numFmtId="0" fontId="80" fillId="23" borderId="0" xfId="0" applyFont="1" applyFill="1" applyAlignment="1">
      <alignment wrapText="1"/>
    </xf>
    <xf numFmtId="0" fontId="80" fillId="0" borderId="92" xfId="0" applyFont="1" applyBorder="1" applyAlignment="1" applyProtection="1">
      <alignment horizontal="justify" vertical="center" wrapText="1"/>
      <protection locked="0"/>
    </xf>
    <xf numFmtId="0" fontId="80" fillId="0" borderId="92" xfId="0" applyFont="1" applyBorder="1" applyAlignment="1" applyProtection="1">
      <alignment horizontal="center" vertical="center"/>
      <protection locked="0"/>
    </xf>
    <xf numFmtId="0" fontId="80" fillId="0" borderId="92" xfId="0" applyFont="1" applyBorder="1" applyAlignment="1">
      <alignment horizontal="center" vertical="center"/>
    </xf>
    <xf numFmtId="0" fontId="80" fillId="0" borderId="92" xfId="0" applyFont="1" applyBorder="1" applyAlignment="1" applyProtection="1">
      <alignment horizontal="center" vertical="center"/>
      <protection hidden="1"/>
    </xf>
    <xf numFmtId="0" fontId="80" fillId="0" borderId="92" xfId="0" applyFont="1" applyBorder="1" applyAlignment="1" applyProtection="1">
      <alignment horizontal="center" vertical="center" textRotation="90"/>
      <protection locked="0"/>
    </xf>
    <xf numFmtId="9" fontId="80" fillId="0" borderId="92" xfId="0" applyNumberFormat="1" applyFont="1" applyBorder="1" applyAlignment="1" applyProtection="1">
      <alignment horizontal="center" vertical="center"/>
      <protection hidden="1"/>
    </xf>
    <xf numFmtId="164" fontId="80" fillId="0" borderId="92" xfId="1" applyNumberFormat="1" applyFont="1" applyFill="1" applyBorder="1" applyAlignment="1">
      <alignment horizontal="center" vertical="center"/>
    </xf>
    <xf numFmtId="0" fontId="81" fillId="0" borderId="92" xfId="0" applyFont="1" applyBorder="1" applyAlignment="1" applyProtection="1">
      <alignment horizontal="center" vertical="center" textRotation="90" wrapText="1"/>
      <protection hidden="1"/>
    </xf>
    <xf numFmtId="0" fontId="81" fillId="0" borderId="92" xfId="0" applyFont="1" applyBorder="1" applyAlignment="1" applyProtection="1">
      <alignment horizontal="center" vertical="center" textRotation="90"/>
      <protection hidden="1"/>
    </xf>
    <xf numFmtId="0" fontId="80" fillId="0" borderId="92" xfId="0" applyFont="1" applyBorder="1" applyAlignment="1" applyProtection="1">
      <alignment horizontal="center" vertical="center" textRotation="90" wrapText="1"/>
      <protection locked="0"/>
    </xf>
    <xf numFmtId="14" fontId="80" fillId="0" borderId="92" xfId="0" applyNumberFormat="1" applyFont="1" applyBorder="1" applyAlignment="1" applyProtection="1">
      <alignment horizontal="center" vertical="center"/>
      <protection locked="0"/>
    </xf>
    <xf numFmtId="0" fontId="80" fillId="0" borderId="124" xfId="0" applyFont="1" applyBorder="1" applyAlignment="1" applyProtection="1">
      <alignment horizontal="center" vertical="center" wrapText="1"/>
      <protection locked="0"/>
    </xf>
    <xf numFmtId="0" fontId="80" fillId="0" borderId="124" xfId="0" applyFont="1" applyBorder="1" applyAlignment="1" applyProtection="1">
      <alignment horizontal="justify" vertical="center" wrapText="1"/>
      <protection locked="0"/>
    </xf>
    <xf numFmtId="0" fontId="80" fillId="0" borderId="124" xfId="0" applyFont="1" applyBorder="1" applyAlignment="1">
      <alignment horizontal="center" vertical="center"/>
    </xf>
    <xf numFmtId="0" fontId="80" fillId="0" borderId="124" xfId="0" applyFont="1" applyBorder="1" applyAlignment="1" applyProtection="1">
      <alignment horizontal="center" vertical="center"/>
      <protection hidden="1"/>
    </xf>
    <xf numFmtId="0" fontId="80" fillId="0" borderId="124" xfId="0" applyFont="1" applyBorder="1" applyAlignment="1" applyProtection="1">
      <alignment horizontal="center" vertical="center" textRotation="90"/>
      <protection locked="0"/>
    </xf>
    <xf numFmtId="9" fontId="80" fillId="0" borderId="124" xfId="0" applyNumberFormat="1" applyFont="1" applyBorder="1" applyAlignment="1" applyProtection="1">
      <alignment horizontal="center" vertical="center"/>
      <protection hidden="1"/>
    </xf>
    <xf numFmtId="164" fontId="80" fillId="0" borderId="124" xfId="1" applyNumberFormat="1" applyFont="1" applyFill="1" applyBorder="1" applyAlignment="1">
      <alignment horizontal="center" vertical="center"/>
    </xf>
    <xf numFmtId="0" fontId="81" fillId="0" borderId="124" xfId="0" applyFont="1" applyBorder="1" applyAlignment="1" applyProtection="1">
      <alignment horizontal="center" vertical="center" textRotation="90" wrapText="1"/>
      <protection hidden="1"/>
    </xf>
    <xf numFmtId="0" fontId="81" fillId="0" borderId="124" xfId="0" applyFont="1" applyBorder="1" applyAlignment="1" applyProtection="1">
      <alignment horizontal="center" vertical="center" textRotation="90"/>
      <protection hidden="1"/>
    </xf>
    <xf numFmtId="0" fontId="80" fillId="0" borderId="124" xfId="0" applyFont="1" applyBorder="1" applyAlignment="1" applyProtection="1">
      <alignment horizontal="center" vertical="center" textRotation="90" wrapText="1"/>
      <protection locked="0"/>
    </xf>
    <xf numFmtId="14" fontId="80" fillId="0" borderId="124" xfId="0" applyNumberFormat="1" applyFont="1" applyBorder="1" applyAlignment="1" applyProtection="1">
      <alignment horizontal="center" vertical="center"/>
      <protection locked="0"/>
    </xf>
    <xf numFmtId="0" fontId="81" fillId="21" borderId="99" xfId="0" applyFont="1" applyFill="1" applyBorder="1" applyAlignment="1">
      <alignment horizontal="center" vertical="center" wrapText="1"/>
    </xf>
    <xf numFmtId="0" fontId="81" fillId="16" borderId="91" xfId="0" applyFont="1" applyFill="1" applyBorder="1" applyAlignment="1">
      <alignment horizontal="center" vertical="center" textRotation="90"/>
    </xf>
    <xf numFmtId="0" fontId="80" fillId="0" borderId="122" xfId="0" applyFont="1" applyBorder="1" applyAlignment="1" applyProtection="1">
      <alignment horizontal="center" vertical="center" wrapText="1"/>
      <protection locked="0"/>
    </xf>
    <xf numFmtId="0" fontId="80" fillId="0" borderId="122" xfId="0" applyFont="1" applyBorder="1" applyAlignment="1">
      <alignment horizontal="center" vertical="center"/>
    </xf>
    <xf numFmtId="0" fontId="86" fillId="0" borderId="122" xfId="0" applyFont="1" applyBorder="1" applyAlignment="1" applyProtection="1">
      <alignment horizontal="justify" vertical="center" wrapText="1"/>
      <protection locked="0"/>
    </xf>
    <xf numFmtId="0" fontId="80" fillId="0" borderId="122" xfId="0" applyFont="1" applyBorder="1" applyAlignment="1" applyProtection="1">
      <alignment horizontal="center" vertical="center"/>
      <protection hidden="1"/>
    </xf>
    <xf numFmtId="0" fontId="80" fillId="0" borderId="122" xfId="0" applyFont="1" applyBorder="1" applyAlignment="1" applyProtection="1">
      <alignment horizontal="center" vertical="center" textRotation="90"/>
      <protection locked="0"/>
    </xf>
    <xf numFmtId="9" fontId="80" fillId="0" borderId="122" xfId="0" applyNumberFormat="1" applyFont="1" applyBorder="1" applyAlignment="1" applyProtection="1">
      <alignment horizontal="center" vertical="center"/>
      <protection hidden="1"/>
    </xf>
    <xf numFmtId="164" fontId="80" fillId="0" borderId="122" xfId="1" applyNumberFormat="1" applyFont="1" applyFill="1" applyBorder="1" applyAlignment="1">
      <alignment horizontal="center" vertical="center"/>
    </xf>
    <xf numFmtId="0" fontId="81" fillId="0" borderId="122" xfId="0" applyFont="1" applyBorder="1" applyAlignment="1" applyProtection="1">
      <alignment horizontal="center" vertical="center" textRotation="90" wrapText="1"/>
      <protection hidden="1"/>
    </xf>
    <xf numFmtId="0" fontId="81" fillId="0" borderId="122" xfId="0" applyFont="1" applyBorder="1" applyAlignment="1" applyProtection="1">
      <alignment horizontal="center" vertical="center" textRotation="90"/>
      <protection hidden="1"/>
    </xf>
    <xf numFmtId="0" fontId="80" fillId="0" borderId="122" xfId="0" applyFont="1" applyBorder="1" applyAlignment="1" applyProtection="1">
      <alignment horizontal="center" vertical="center" textRotation="90" wrapText="1"/>
      <protection locked="0"/>
    </xf>
    <xf numFmtId="14" fontId="80" fillId="0" borderId="122" xfId="0" applyNumberFormat="1" applyFont="1" applyBorder="1" applyAlignment="1" applyProtection="1">
      <alignment horizontal="center" vertical="center"/>
      <protection locked="0"/>
    </xf>
    <xf numFmtId="0" fontId="45" fillId="23" borderId="37" xfId="2" applyFont="1" applyFill="1" applyBorder="1" applyAlignment="1">
      <alignment horizontal="center" vertical="center" wrapText="1"/>
    </xf>
    <xf numFmtId="0" fontId="45" fillId="23" borderId="38" xfId="2" applyFont="1" applyFill="1" applyBorder="1" applyAlignment="1">
      <alignment horizontal="center" vertical="center" wrapText="1"/>
    </xf>
    <xf numFmtId="0" fontId="45" fillId="23" borderId="39" xfId="2" applyFont="1" applyFill="1" applyBorder="1" applyAlignment="1">
      <alignment horizontal="center" vertical="center" wrapText="1"/>
    </xf>
    <xf numFmtId="0" fontId="44" fillId="0" borderId="7" xfId="2" quotePrefix="1" applyFont="1" applyBorder="1" applyAlignment="1">
      <alignment horizontal="left" vertical="center" wrapText="1"/>
    </xf>
    <xf numFmtId="0" fontId="44" fillId="0" borderId="0" xfId="2" quotePrefix="1" applyFont="1" applyAlignment="1">
      <alignment horizontal="left" vertical="center" wrapText="1"/>
    </xf>
    <xf numFmtId="0" fontId="44" fillId="0" borderId="8" xfId="2" quotePrefix="1" applyFont="1" applyBorder="1" applyAlignment="1">
      <alignment horizontal="left" vertical="center" wrapText="1"/>
    </xf>
    <xf numFmtId="0" fontId="44" fillId="0" borderId="57" xfId="2" quotePrefix="1" applyFont="1" applyBorder="1" applyAlignment="1">
      <alignment horizontal="left" vertical="center" wrapText="1"/>
    </xf>
    <xf numFmtId="0" fontId="44" fillId="0" borderId="58" xfId="2" quotePrefix="1" applyFont="1" applyBorder="1" applyAlignment="1">
      <alignment horizontal="left" vertical="center" wrapText="1"/>
    </xf>
    <xf numFmtId="0" fontId="44" fillId="0" borderId="59" xfId="2" quotePrefix="1" applyFont="1" applyBorder="1" applyAlignment="1">
      <alignment horizontal="left" vertical="center" wrapText="1"/>
    </xf>
    <xf numFmtId="0" fontId="46" fillId="3" borderId="40" xfId="2" quotePrefix="1" applyFont="1" applyFill="1" applyBorder="1" applyAlignment="1">
      <alignment horizontal="left" vertical="top" wrapText="1"/>
    </xf>
    <xf numFmtId="0" fontId="47" fillId="3" borderId="41" xfId="2" quotePrefix="1" applyFont="1" applyFill="1" applyBorder="1" applyAlignment="1">
      <alignment horizontal="left" vertical="top" wrapText="1"/>
    </xf>
    <xf numFmtId="0" fontId="47" fillId="3" borderId="42" xfId="2" quotePrefix="1" applyFont="1" applyFill="1" applyBorder="1" applyAlignment="1">
      <alignment horizontal="left" vertical="top" wrapText="1"/>
    </xf>
    <xf numFmtId="0" fontId="44" fillId="0" borderId="7" xfId="2" quotePrefix="1" applyFont="1" applyBorder="1" applyAlignment="1">
      <alignment horizontal="left" vertical="top" wrapText="1"/>
    </xf>
    <xf numFmtId="0" fontId="44" fillId="0" borderId="0" xfId="2" quotePrefix="1" applyFont="1" applyAlignment="1">
      <alignment horizontal="left" vertical="top" wrapText="1"/>
    </xf>
    <xf numFmtId="0" fontId="44" fillId="0" borderId="8" xfId="2" quotePrefix="1" applyFont="1" applyBorder="1" applyAlignment="1">
      <alignment horizontal="left" vertical="top" wrapText="1"/>
    </xf>
    <xf numFmtId="0" fontId="49" fillId="14" borderId="43" xfId="3" applyFont="1" applyFill="1" applyBorder="1" applyAlignment="1">
      <alignment horizontal="center" vertical="center" wrapText="1"/>
    </xf>
    <xf numFmtId="0" fontId="49" fillId="14" borderId="44" xfId="3" applyFont="1" applyFill="1" applyBorder="1" applyAlignment="1">
      <alignment horizontal="center" vertical="center" wrapText="1"/>
    </xf>
    <xf numFmtId="0" fontId="49" fillId="14" borderId="45" xfId="2" applyFont="1" applyFill="1" applyBorder="1" applyAlignment="1">
      <alignment horizontal="center" vertical="center"/>
    </xf>
    <xf numFmtId="0" fontId="49"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49" fillId="3" borderId="47" xfId="3" applyFont="1" applyFill="1" applyBorder="1" applyAlignment="1">
      <alignment horizontal="left" vertical="top" wrapText="1" readingOrder="1"/>
    </xf>
    <xf numFmtId="0" fontId="49" fillId="3" borderId="48" xfId="3" applyFont="1" applyFill="1" applyBorder="1" applyAlignment="1">
      <alignment horizontal="left" vertical="top" wrapText="1" readingOrder="1"/>
    </xf>
    <xf numFmtId="0" fontId="50" fillId="3" borderId="49" xfId="2" applyFont="1" applyFill="1" applyBorder="1" applyAlignment="1">
      <alignment horizontal="justify" vertical="center" wrapText="1"/>
    </xf>
    <xf numFmtId="0" fontId="50" fillId="3" borderId="50" xfId="2" applyFont="1" applyFill="1" applyBorder="1" applyAlignment="1">
      <alignment horizontal="justify" vertical="center" wrapText="1"/>
    </xf>
    <xf numFmtId="0" fontId="49" fillId="3" borderId="51" xfId="0" applyFont="1" applyFill="1" applyBorder="1" applyAlignment="1">
      <alignment horizontal="left" vertical="center" wrapText="1"/>
    </xf>
    <xf numFmtId="0" fontId="49" fillId="3" borderId="52" xfId="0" applyFont="1" applyFill="1" applyBorder="1" applyAlignment="1">
      <alignment horizontal="left" vertical="center" wrapText="1"/>
    </xf>
    <xf numFmtId="0" fontId="50" fillId="3" borderId="53" xfId="2" applyFont="1" applyFill="1" applyBorder="1" applyAlignment="1">
      <alignment horizontal="justify" vertical="center" wrapText="1"/>
    </xf>
    <xf numFmtId="0" fontId="50" fillId="3" borderId="54" xfId="2" applyFont="1" applyFill="1" applyBorder="1" applyAlignment="1">
      <alignment horizontal="justify" vertical="center" wrapText="1"/>
    </xf>
    <xf numFmtId="0" fontId="44" fillId="3" borderId="7" xfId="2" applyFont="1" applyFill="1" applyBorder="1" applyAlignment="1">
      <alignment horizontal="left" vertical="top" wrapText="1"/>
    </xf>
    <xf numFmtId="0" fontId="44" fillId="3" borderId="0" xfId="2" applyFont="1" applyFill="1" applyAlignment="1">
      <alignment horizontal="left" vertical="top" wrapText="1"/>
    </xf>
    <xf numFmtId="0" fontId="44" fillId="3" borderId="8" xfId="2" applyFont="1" applyFill="1" applyBorder="1" applyAlignment="1">
      <alignment horizontal="left" vertical="top" wrapText="1"/>
    </xf>
    <xf numFmtId="0" fontId="49" fillId="3" borderId="60" xfId="0" applyFont="1" applyFill="1" applyBorder="1" applyAlignment="1">
      <alignment horizontal="left" vertical="center" wrapText="1"/>
    </xf>
    <xf numFmtId="0" fontId="49" fillId="3" borderId="61" xfId="0" applyFont="1" applyFill="1" applyBorder="1" applyAlignment="1">
      <alignment horizontal="left" vertical="center" wrapText="1"/>
    </xf>
    <xf numFmtId="0" fontId="49" fillId="3" borderId="62" xfId="0" applyFont="1" applyFill="1" applyBorder="1" applyAlignment="1">
      <alignment horizontal="left" vertical="center" wrapText="1"/>
    </xf>
    <xf numFmtId="0" fontId="49" fillId="3" borderId="63" xfId="0" applyFont="1" applyFill="1" applyBorder="1" applyAlignment="1">
      <alignment horizontal="left" vertical="center" wrapText="1"/>
    </xf>
    <xf numFmtId="0" fontId="50" fillId="3" borderId="55" xfId="0" applyFont="1" applyFill="1" applyBorder="1" applyAlignment="1">
      <alignment horizontal="justify" vertical="center" wrapText="1"/>
    </xf>
    <xf numFmtId="0" fontId="50" fillId="3" borderId="56" xfId="0" applyFont="1" applyFill="1" applyBorder="1" applyAlignment="1">
      <alignment horizontal="justify" vertical="center" wrapText="1"/>
    </xf>
    <xf numFmtId="0" fontId="61" fillId="17" borderId="66" xfId="0" applyFont="1" applyFill="1" applyBorder="1" applyAlignment="1">
      <alignment horizontal="center" vertical="center" wrapText="1"/>
    </xf>
    <xf numFmtId="0" fontId="61" fillId="17" borderId="67" xfId="0" applyFont="1" applyFill="1" applyBorder="1" applyAlignment="1">
      <alignment horizontal="center" vertical="center" wrapText="1"/>
    </xf>
    <xf numFmtId="0" fontId="61" fillId="18" borderId="68" xfId="0" applyFont="1" applyFill="1" applyBorder="1" applyAlignment="1">
      <alignment horizontal="center" vertical="center" textRotation="90"/>
    </xf>
    <xf numFmtId="0" fontId="61" fillId="18" borderId="70" xfId="0" applyFont="1" applyFill="1" applyBorder="1" applyAlignment="1">
      <alignment horizontal="center" vertical="center" textRotation="90"/>
    </xf>
    <xf numFmtId="0" fontId="61" fillId="18" borderId="72" xfId="0" applyFont="1" applyFill="1" applyBorder="1" applyAlignment="1">
      <alignment horizontal="center" vertical="center" textRotation="90"/>
    </xf>
    <xf numFmtId="0" fontId="77" fillId="22" borderId="87" xfId="0" applyFont="1" applyFill="1" applyBorder="1" applyAlignment="1">
      <alignment horizontal="center" vertical="center"/>
    </xf>
    <xf numFmtId="0" fontId="77" fillId="22" borderId="88" xfId="0" applyFont="1" applyFill="1" applyBorder="1" applyAlignment="1">
      <alignment horizontal="center" vertical="center"/>
    </xf>
    <xf numFmtId="0" fontId="75" fillId="0" borderId="71" xfId="0" applyFont="1" applyBorder="1" applyAlignment="1">
      <alignment horizontal="center" vertical="center" wrapText="1"/>
    </xf>
    <xf numFmtId="0" fontId="75" fillId="0" borderId="70" xfId="0" applyFont="1" applyBorder="1" applyAlignment="1">
      <alignment horizontal="center" vertical="center" wrapText="1"/>
    </xf>
    <xf numFmtId="0" fontId="75" fillId="0" borderId="83" xfId="0" applyFont="1" applyBorder="1" applyAlignment="1">
      <alignment horizontal="center" vertical="center" wrapText="1"/>
    </xf>
    <xf numFmtId="0" fontId="75" fillId="0" borderId="68" xfId="0" applyFont="1" applyBorder="1" applyAlignment="1">
      <alignment horizontal="center" vertical="center" wrapText="1"/>
    </xf>
    <xf numFmtId="0" fontId="81" fillId="16" borderId="90" xfId="0" applyFont="1" applyFill="1" applyBorder="1" applyAlignment="1">
      <alignment horizontal="center" vertical="center" wrapText="1"/>
    </xf>
    <xf numFmtId="0" fontId="81" fillId="16" borderId="91" xfId="0" applyFont="1" applyFill="1" applyBorder="1" applyAlignment="1">
      <alignment horizontal="center" vertical="center" wrapText="1"/>
    </xf>
    <xf numFmtId="9" fontId="80" fillId="0" borderId="90" xfId="0" applyNumberFormat="1" applyFont="1" applyBorder="1" applyAlignment="1" applyProtection="1">
      <alignment horizontal="center" vertical="center" wrapText="1"/>
      <protection locked="0"/>
    </xf>
    <xf numFmtId="0" fontId="81" fillId="21" borderId="120" xfId="0" applyFont="1" applyFill="1" applyBorder="1" applyAlignment="1">
      <alignment horizontal="center" vertical="center" wrapText="1"/>
    </xf>
    <xf numFmtId="0" fontId="81" fillId="21" borderId="121" xfId="0" applyFont="1" applyFill="1" applyBorder="1" applyAlignment="1">
      <alignment horizontal="center" vertical="center" wrapText="1"/>
    </xf>
    <xf numFmtId="0" fontId="81" fillId="21" borderId="112" xfId="0" applyFont="1" applyFill="1" applyBorder="1" applyAlignment="1">
      <alignment horizontal="center" vertical="center" wrapText="1"/>
    </xf>
    <xf numFmtId="0" fontId="81" fillId="21" borderId="93" xfId="0" applyFont="1" applyFill="1" applyBorder="1" applyAlignment="1">
      <alignment horizontal="center" vertical="center" wrapText="1"/>
    </xf>
    <xf numFmtId="0" fontId="81" fillId="16" borderId="119" xfId="0" applyFont="1" applyFill="1" applyBorder="1" applyAlignment="1">
      <alignment horizontal="center" vertical="center"/>
    </xf>
    <xf numFmtId="0" fontId="81" fillId="16" borderId="117" xfId="0" applyFont="1" applyFill="1" applyBorder="1" applyAlignment="1">
      <alignment horizontal="center" vertical="center"/>
    </xf>
    <xf numFmtId="0" fontId="81" fillId="16" borderId="118" xfId="0" applyFont="1" applyFill="1" applyBorder="1" applyAlignment="1">
      <alignment horizontal="center" vertical="center"/>
    </xf>
    <xf numFmtId="0" fontId="80" fillId="0" borderId="130" xfId="0" applyFont="1" applyBorder="1" applyAlignment="1" applyProtection="1">
      <alignment horizontal="center" vertical="center" wrapText="1"/>
      <protection locked="0"/>
    </xf>
    <xf numFmtId="0" fontId="80" fillId="0" borderId="99" xfId="0" applyFont="1" applyBorder="1" applyAlignment="1" applyProtection="1">
      <alignment horizontal="center" vertical="center" wrapText="1"/>
      <protection locked="0"/>
    </xf>
    <xf numFmtId="0" fontId="80" fillId="0" borderId="125" xfId="0" applyFont="1" applyBorder="1" applyAlignment="1" applyProtection="1">
      <alignment horizontal="center" vertical="center" wrapText="1"/>
      <protection locked="0"/>
    </xf>
    <xf numFmtId="0" fontId="81" fillId="0" borderId="90" xfId="0" applyFont="1" applyBorder="1" applyAlignment="1" applyProtection="1">
      <alignment horizontal="center" vertical="center"/>
      <protection hidden="1"/>
    </xf>
    <xf numFmtId="9" fontId="80" fillId="0" borderId="92" xfId="0" applyNumberFormat="1" applyFont="1" applyBorder="1" applyAlignment="1" applyProtection="1">
      <alignment horizontal="center" vertical="center" wrapText="1"/>
      <protection hidden="1"/>
    </xf>
    <xf numFmtId="9" fontId="80" fillId="0" borderId="124" xfId="0" applyNumberFormat="1" applyFont="1" applyBorder="1" applyAlignment="1" applyProtection="1">
      <alignment horizontal="center" vertical="center" wrapText="1"/>
      <protection hidden="1"/>
    </xf>
    <xf numFmtId="0" fontId="81" fillId="0" borderId="92" xfId="0" applyFont="1" applyBorder="1" applyAlignment="1" applyProtection="1">
      <alignment horizontal="center" vertical="center" wrapText="1"/>
      <protection hidden="1"/>
    </xf>
    <xf numFmtId="0" fontId="81" fillId="0" borderId="124" xfId="0" applyFont="1" applyBorder="1" applyAlignment="1" applyProtection="1">
      <alignment horizontal="center" vertical="center" wrapText="1"/>
      <protection hidden="1"/>
    </xf>
    <xf numFmtId="0" fontId="81" fillId="0" borderId="92" xfId="0" applyFont="1" applyBorder="1" applyAlignment="1" applyProtection="1">
      <alignment horizontal="center" vertical="center"/>
      <protection hidden="1"/>
    </xf>
    <xf numFmtId="0" fontId="81" fillId="0" borderId="124" xfId="0" applyFont="1" applyBorder="1" applyAlignment="1" applyProtection="1">
      <alignment horizontal="center" vertical="center"/>
      <protection hidden="1"/>
    </xf>
    <xf numFmtId="0" fontId="81" fillId="16" borderId="90" xfId="0" applyFont="1" applyFill="1" applyBorder="1" applyAlignment="1">
      <alignment horizontal="center" vertical="center" textRotation="90" wrapText="1"/>
    </xf>
    <xf numFmtId="0" fontId="81" fillId="16" borderId="91" xfId="0" applyFont="1" applyFill="1" applyBorder="1" applyAlignment="1">
      <alignment horizontal="center" vertical="center" textRotation="90" wrapText="1"/>
    </xf>
    <xf numFmtId="0" fontId="80" fillId="0" borderId="92" xfId="0" applyFont="1" applyBorder="1" applyAlignment="1" applyProtection="1">
      <alignment horizontal="center" vertical="center" wrapText="1"/>
      <protection locked="0"/>
    </xf>
    <xf numFmtId="9" fontId="80" fillId="0" borderId="92" xfId="0" applyNumberFormat="1" applyFont="1" applyBorder="1" applyAlignment="1" applyProtection="1">
      <alignment horizontal="center" vertical="center" wrapText="1"/>
      <protection locked="0"/>
    </xf>
    <xf numFmtId="9" fontId="80" fillId="0" borderId="124" xfId="0" applyNumberFormat="1" applyFont="1" applyBorder="1" applyAlignment="1" applyProtection="1">
      <alignment horizontal="center" vertical="center" wrapText="1"/>
      <protection locked="0"/>
    </xf>
    <xf numFmtId="0" fontId="81" fillId="16" borderId="122" xfId="0" applyFont="1" applyFill="1" applyBorder="1" applyAlignment="1">
      <alignment horizontal="center" vertical="center"/>
    </xf>
    <xf numFmtId="9" fontId="80" fillId="0" borderId="90" xfId="0" applyNumberFormat="1" applyFont="1" applyBorder="1" applyAlignment="1" applyProtection="1">
      <alignment horizontal="center" vertical="center" wrapText="1"/>
      <protection hidden="1"/>
    </xf>
    <xf numFmtId="0" fontId="81" fillId="0" borderId="90" xfId="0" applyFont="1" applyBorder="1" applyAlignment="1" applyProtection="1">
      <alignment horizontal="center" vertical="center" wrapText="1"/>
      <protection hidden="1"/>
    </xf>
    <xf numFmtId="0" fontId="80" fillId="0" borderId="122" xfId="0" applyFont="1" applyBorder="1" applyAlignment="1" applyProtection="1">
      <alignment horizontal="center" vertical="center"/>
      <protection locked="0"/>
    </xf>
    <xf numFmtId="0" fontId="80" fillId="0" borderId="90" xfId="0" applyFont="1" applyBorder="1" applyAlignment="1" applyProtection="1">
      <alignment horizontal="center" vertical="center"/>
      <protection locked="0"/>
    </xf>
    <xf numFmtId="0" fontId="80" fillId="0" borderId="124" xfId="0" applyFont="1" applyBorder="1" applyAlignment="1" applyProtection="1">
      <alignment horizontal="center" vertical="center"/>
      <protection locked="0"/>
    </xf>
    <xf numFmtId="0" fontId="81" fillId="0" borderId="122" xfId="0" applyFont="1" applyBorder="1" applyAlignment="1" applyProtection="1">
      <alignment horizontal="center" vertical="center" wrapText="1"/>
      <protection hidden="1"/>
    </xf>
    <xf numFmtId="0" fontId="81" fillId="29" borderId="119" xfId="0" applyFont="1" applyFill="1" applyBorder="1" applyAlignment="1">
      <alignment horizontal="center" vertical="center"/>
    </xf>
    <xf numFmtId="0" fontId="81" fillId="29" borderId="117" xfId="0" applyFont="1" applyFill="1" applyBorder="1" applyAlignment="1">
      <alignment horizontal="center" vertical="center"/>
    </xf>
    <xf numFmtId="0" fontId="81" fillId="29" borderId="118" xfId="0" applyFont="1" applyFill="1" applyBorder="1" applyAlignment="1">
      <alignment horizontal="center" vertical="center"/>
    </xf>
    <xf numFmtId="0" fontId="80" fillId="0" borderId="122" xfId="0" applyFont="1" applyBorder="1" applyAlignment="1" applyProtection="1">
      <alignment horizontal="center" vertical="center" wrapText="1"/>
      <protection locked="0"/>
    </xf>
    <xf numFmtId="0" fontId="80" fillId="0" borderId="90" xfId="0" applyFont="1" applyBorder="1" applyAlignment="1" applyProtection="1">
      <alignment horizontal="center" vertical="center" wrapText="1"/>
      <protection locked="0"/>
    </xf>
    <xf numFmtId="0" fontId="80" fillId="0" borderId="124" xfId="0" applyFont="1" applyBorder="1" applyAlignment="1" applyProtection="1">
      <alignment horizontal="center" vertical="center" wrapText="1"/>
      <protection locked="0"/>
    </xf>
    <xf numFmtId="0" fontId="80" fillId="0" borderId="122" xfId="0" applyFont="1" applyBorder="1" applyAlignment="1" applyProtection="1">
      <alignment horizontal="justify" vertical="center" wrapText="1"/>
      <protection locked="0"/>
    </xf>
    <xf numFmtId="0" fontId="80" fillId="0" borderId="90" xfId="0" applyFont="1" applyBorder="1" applyAlignment="1" applyProtection="1">
      <alignment horizontal="justify" vertical="center" wrapText="1"/>
      <protection locked="0"/>
    </xf>
    <xf numFmtId="0" fontId="80" fillId="0" borderId="124" xfId="0" applyFont="1" applyBorder="1" applyAlignment="1" applyProtection="1">
      <alignment horizontal="justify" vertical="center" wrapText="1"/>
      <protection locked="0"/>
    </xf>
    <xf numFmtId="0" fontId="80" fillId="0" borderId="91" xfId="0" applyFont="1" applyBorder="1" applyAlignment="1" applyProtection="1">
      <alignment horizontal="center" vertical="center" wrapText="1"/>
      <protection locked="0"/>
    </xf>
    <xf numFmtId="0" fontId="81" fillId="16" borderId="123" xfId="0" applyFont="1" applyFill="1" applyBorder="1" applyAlignment="1">
      <alignment horizontal="center" vertical="center"/>
    </xf>
    <xf numFmtId="0" fontId="81" fillId="16" borderId="119" xfId="0" applyFont="1" applyFill="1" applyBorder="1" applyAlignment="1">
      <alignment horizontal="center" vertical="center" wrapText="1"/>
    </xf>
    <xf numFmtId="0" fontId="81" fillId="16" borderId="117" xfId="0" applyFont="1" applyFill="1" applyBorder="1" applyAlignment="1">
      <alignment horizontal="center" vertical="center" wrapText="1"/>
    </xf>
    <xf numFmtId="0" fontId="81" fillId="16" borderId="118" xfId="0" applyFont="1" applyFill="1" applyBorder="1" applyAlignment="1">
      <alignment horizontal="center" vertical="center" wrapText="1"/>
    </xf>
    <xf numFmtId="0" fontId="81" fillId="16" borderId="90" xfId="0" applyFont="1" applyFill="1" applyBorder="1" applyAlignment="1">
      <alignment horizontal="center" vertical="center"/>
    </xf>
    <xf numFmtId="0" fontId="81" fillId="16" borderId="91" xfId="0" applyFont="1" applyFill="1" applyBorder="1" applyAlignment="1">
      <alignment horizontal="center" vertical="center"/>
    </xf>
    <xf numFmtId="0" fontId="80" fillId="0" borderId="130" xfId="0" applyFont="1" applyBorder="1" applyAlignment="1" applyProtection="1">
      <alignment horizontal="justify" vertical="center" wrapText="1"/>
      <protection locked="0"/>
    </xf>
    <xf numFmtId="0" fontId="80" fillId="0" borderId="99" xfId="0" applyFont="1" applyBorder="1" applyAlignment="1" applyProtection="1">
      <alignment horizontal="justify" vertical="center" wrapText="1"/>
      <protection locked="0"/>
    </xf>
    <xf numFmtId="0" fontId="80" fillId="0" borderId="125" xfId="0" applyFont="1" applyBorder="1" applyAlignment="1" applyProtection="1">
      <alignment horizontal="justify" vertical="center" wrapText="1"/>
      <protection locked="0"/>
    </xf>
    <xf numFmtId="0" fontId="80" fillId="0" borderId="92" xfId="0" applyFont="1" applyBorder="1" applyAlignment="1" applyProtection="1">
      <alignment horizontal="center" vertical="center"/>
      <protection locked="0"/>
    </xf>
    <xf numFmtId="0" fontId="80" fillId="0" borderId="129" xfId="0" applyFont="1" applyBorder="1" applyAlignment="1" applyProtection="1">
      <alignment horizontal="center" vertical="center"/>
      <protection locked="0"/>
    </xf>
    <xf numFmtId="0" fontId="80" fillId="0" borderId="105" xfId="0" applyFont="1" applyBorder="1" applyAlignment="1" applyProtection="1">
      <alignment horizontal="center" vertical="center"/>
      <protection locked="0"/>
    </xf>
    <xf numFmtId="9" fontId="80" fillId="0" borderId="122" xfId="0" applyNumberFormat="1" applyFont="1" applyBorder="1" applyAlignment="1" applyProtection="1">
      <alignment horizontal="center" vertical="center" wrapText="1"/>
      <protection hidden="1"/>
    </xf>
    <xf numFmtId="0" fontId="81" fillId="16" borderId="103" xfId="0" applyFont="1" applyFill="1" applyBorder="1" applyAlignment="1">
      <alignment horizontal="center" vertical="center" wrapText="1"/>
    </xf>
    <xf numFmtId="0" fontId="81" fillId="16" borderId="127" xfId="0" applyFont="1" applyFill="1" applyBorder="1" applyAlignment="1">
      <alignment horizontal="center" vertical="center" wrapText="1"/>
    </xf>
    <xf numFmtId="0" fontId="80" fillId="0" borderId="101" xfId="0" applyFont="1" applyBorder="1" applyAlignment="1" applyProtection="1">
      <alignment horizontal="center" vertical="center" wrapText="1"/>
      <protection locked="0"/>
    </xf>
    <xf numFmtId="0" fontId="80" fillId="0" borderId="103" xfId="0" applyFont="1" applyBorder="1" applyAlignment="1" applyProtection="1">
      <alignment horizontal="center" vertical="center" wrapText="1"/>
      <protection locked="0"/>
    </xf>
    <xf numFmtId="0" fontId="80" fillId="0" borderId="105" xfId="0" applyFont="1" applyBorder="1" applyAlignment="1" applyProtection="1">
      <alignment horizontal="center" vertical="center" wrapText="1"/>
      <protection locked="0"/>
    </xf>
    <xf numFmtId="0" fontId="81" fillId="0" borderId="100" xfId="0" applyFont="1" applyBorder="1" applyAlignment="1">
      <alignment horizontal="center" vertical="center"/>
    </xf>
    <xf numFmtId="0" fontId="81" fillId="0" borderId="102" xfId="0" applyFont="1" applyBorder="1" applyAlignment="1">
      <alignment horizontal="center" vertical="center"/>
    </xf>
    <xf numFmtId="0" fontId="81" fillId="0" borderId="104" xfId="0" applyFont="1" applyBorder="1" applyAlignment="1">
      <alignment horizontal="center" vertical="center"/>
    </xf>
    <xf numFmtId="0" fontId="81" fillId="27" borderId="102" xfId="0" applyFont="1" applyFill="1" applyBorder="1" applyAlignment="1">
      <alignment horizontal="center" vertical="center" textRotation="90"/>
    </xf>
    <xf numFmtId="0" fontId="81" fillId="27" borderId="126" xfId="0" applyFont="1" applyFill="1" applyBorder="1" applyAlignment="1">
      <alignment horizontal="center" vertical="center" textRotation="90"/>
    </xf>
    <xf numFmtId="0" fontId="81" fillId="27" borderId="90" xfId="0" applyFont="1" applyFill="1" applyBorder="1" applyAlignment="1">
      <alignment horizontal="center" vertical="center"/>
    </xf>
    <xf numFmtId="0" fontId="81" fillId="27" borderId="91" xfId="0" applyFont="1" applyFill="1" applyBorder="1" applyAlignment="1">
      <alignment horizontal="center" vertical="center"/>
    </xf>
    <xf numFmtId="0" fontId="81" fillId="27" borderId="90" xfId="0" applyFont="1" applyFill="1" applyBorder="1" applyAlignment="1">
      <alignment horizontal="center" vertical="center" wrapText="1"/>
    </xf>
    <xf numFmtId="0" fontId="81" fillId="27" borderId="91" xfId="0" applyFont="1" applyFill="1" applyBorder="1" applyAlignment="1">
      <alignment horizontal="center" vertical="center" wrapText="1"/>
    </xf>
    <xf numFmtId="0" fontId="80" fillId="0" borderId="92" xfId="0" applyFont="1" applyBorder="1" applyAlignment="1" applyProtection="1">
      <alignment horizontal="justify" vertical="center" wrapText="1"/>
      <protection locked="0"/>
    </xf>
    <xf numFmtId="0" fontId="81" fillId="29" borderId="91" xfId="0" applyFont="1" applyFill="1" applyBorder="1" applyAlignment="1">
      <alignment horizontal="center" vertical="center" wrapText="1"/>
    </xf>
    <xf numFmtId="0" fontId="81" fillId="29" borderId="99" xfId="0" applyFont="1" applyFill="1" applyBorder="1" applyAlignment="1">
      <alignment horizontal="center" vertical="center" wrapText="1"/>
    </xf>
    <xf numFmtId="0" fontId="81" fillId="0" borderId="90" xfId="0" applyFont="1" applyBorder="1" applyAlignment="1">
      <alignment horizontal="center" vertical="center"/>
    </xf>
    <xf numFmtId="0" fontId="92" fillId="0" borderId="90" xfId="0" applyFont="1" applyBorder="1" applyAlignment="1" applyProtection="1">
      <alignment horizontal="center" vertical="top" wrapText="1"/>
      <protection locked="0"/>
    </xf>
    <xf numFmtId="0" fontId="80" fillId="0" borderId="90" xfId="0" applyFont="1" applyBorder="1" applyAlignment="1" applyProtection="1">
      <alignment horizontal="center" vertical="top" wrapText="1"/>
      <protection locked="0"/>
    </xf>
    <xf numFmtId="0" fontId="80" fillId="0" borderId="90" xfId="0" applyFont="1" applyBorder="1" applyAlignment="1" applyProtection="1">
      <alignment horizontal="left" vertical="center" wrapText="1"/>
      <protection locked="0"/>
    </xf>
    <xf numFmtId="0" fontId="80" fillId="0" borderId="2" xfId="0" applyFont="1" applyBorder="1" applyAlignment="1">
      <alignment horizontal="left" vertical="center" wrapText="1"/>
    </xf>
    <xf numFmtId="0" fontId="80" fillId="0" borderId="21" xfId="0" applyFont="1" applyBorder="1" applyAlignment="1">
      <alignment horizontal="left" vertical="center" wrapText="1"/>
    </xf>
    <xf numFmtId="0" fontId="80" fillId="3" borderId="0" xfId="0" applyFont="1" applyFill="1" applyAlignment="1">
      <alignment horizontal="left" wrapText="1"/>
    </xf>
    <xf numFmtId="0" fontId="79" fillId="0" borderId="0" xfId="0" applyFont="1" applyAlignment="1">
      <alignment horizontal="center" vertical="center"/>
    </xf>
    <xf numFmtId="0" fontId="79" fillId="0" borderId="0" xfId="0" applyFont="1" applyAlignment="1">
      <alignment horizontal="left" vertical="center"/>
    </xf>
    <xf numFmtId="0" fontId="81" fillId="21" borderId="100" xfId="0" applyFont="1" applyFill="1" applyBorder="1" applyAlignment="1">
      <alignment horizontal="left" vertical="center"/>
    </xf>
    <xf numFmtId="0" fontId="81" fillId="21" borderId="101" xfId="0" applyFont="1" applyFill="1" applyBorder="1" applyAlignment="1">
      <alignment horizontal="left" vertical="center"/>
    </xf>
    <xf numFmtId="0" fontId="81" fillId="21" borderId="102" xfId="0" applyFont="1" applyFill="1" applyBorder="1" applyAlignment="1">
      <alignment horizontal="left" vertical="center"/>
    </xf>
    <xf numFmtId="0" fontId="81" fillId="21" borderId="103" xfId="0" applyFont="1" applyFill="1" applyBorder="1" applyAlignment="1">
      <alignment horizontal="left" vertical="center"/>
    </xf>
    <xf numFmtId="0" fontId="81" fillId="21" borderId="104" xfId="0" applyFont="1" applyFill="1" applyBorder="1" applyAlignment="1">
      <alignment horizontal="left" vertical="center"/>
    </xf>
    <xf numFmtId="0" fontId="81" fillId="21" borderId="105" xfId="0" applyFont="1" applyFill="1" applyBorder="1" applyAlignment="1">
      <alignment horizontal="left" vertical="center"/>
    </xf>
    <xf numFmtId="0" fontId="81" fillId="3" borderId="0" xfId="0" applyFont="1" applyFill="1" applyAlignment="1">
      <alignment horizontal="left" vertical="center"/>
    </xf>
    <xf numFmtId="0" fontId="91" fillId="0" borderId="24" xfId="0" applyFont="1" applyBorder="1" applyAlignment="1" applyProtection="1">
      <alignment horizontal="center" vertical="center"/>
      <protection locked="0"/>
    </xf>
    <xf numFmtId="0" fontId="91" fillId="0" borderId="25" xfId="0" applyFont="1" applyBorder="1" applyAlignment="1" applyProtection="1">
      <alignment horizontal="center" vertical="center"/>
      <protection locked="0"/>
    </xf>
    <xf numFmtId="0" fontId="91" fillId="0" borderId="36" xfId="0" applyFont="1" applyBorder="1" applyAlignment="1" applyProtection="1">
      <alignment horizontal="center" vertical="center"/>
      <protection locked="0"/>
    </xf>
    <xf numFmtId="0" fontId="80" fillId="3" borderId="24" xfId="0" applyFont="1" applyFill="1" applyBorder="1" applyAlignment="1" applyProtection="1">
      <alignment horizontal="justify" vertical="center" wrapText="1"/>
      <protection locked="0"/>
    </xf>
    <xf numFmtId="0" fontId="80" fillId="3" borderId="25" xfId="0" applyFont="1" applyFill="1" applyBorder="1" applyAlignment="1" applyProtection="1">
      <alignment horizontal="justify" vertical="center" wrapText="1"/>
      <protection locked="0"/>
    </xf>
    <xf numFmtId="0" fontId="80" fillId="3" borderId="36" xfId="0" applyFont="1" applyFill="1" applyBorder="1" applyAlignment="1" applyProtection="1">
      <alignment horizontal="justify" vertical="center" wrapText="1"/>
      <protection locked="0"/>
    </xf>
    <xf numFmtId="0" fontId="81" fillId="0" borderId="122" xfId="0" applyFont="1" applyBorder="1" applyAlignment="1" applyProtection="1">
      <alignment horizontal="center" vertical="center"/>
      <protection hidden="1"/>
    </xf>
    <xf numFmtId="9" fontId="80" fillId="0" borderId="122" xfId="0" applyNumberFormat="1" applyFont="1" applyBorder="1" applyAlignment="1" applyProtection="1">
      <alignment horizontal="center" vertical="center" wrapText="1"/>
      <protection locked="0"/>
    </xf>
    <xf numFmtId="0" fontId="81" fillId="27" borderId="116" xfId="0" applyFont="1" applyFill="1" applyBorder="1" applyAlignment="1">
      <alignment horizontal="center" vertical="center"/>
    </xf>
    <xf numFmtId="0" fontId="81" fillId="27" borderId="117" xfId="0" applyFont="1" applyFill="1" applyBorder="1" applyAlignment="1">
      <alignment horizontal="center" vertical="center"/>
    </xf>
    <xf numFmtId="0" fontId="81" fillId="27" borderId="118" xfId="0" applyFont="1" applyFill="1" applyBorder="1" applyAlignment="1">
      <alignment horizontal="center" vertical="center"/>
    </xf>
    <xf numFmtId="0" fontId="79" fillId="0" borderId="5" xfId="0" applyFont="1" applyBorder="1" applyAlignment="1">
      <alignment horizontal="center" vertical="center"/>
    </xf>
    <xf numFmtId="0" fontId="79" fillId="0" borderId="12" xfId="0" applyFont="1" applyBorder="1" applyAlignment="1">
      <alignment horizontal="center" vertical="center"/>
    </xf>
    <xf numFmtId="0" fontId="79" fillId="0" borderId="6" xfId="0" applyFont="1" applyBorder="1" applyAlignment="1">
      <alignment horizontal="center" vertical="center"/>
    </xf>
    <xf numFmtId="0" fontId="79" fillId="0" borderId="9" xfId="0" applyFont="1" applyBorder="1" applyAlignment="1">
      <alignment horizontal="center" vertical="center"/>
    </xf>
    <xf numFmtId="0" fontId="79" fillId="0" borderId="11" xfId="0" applyFont="1" applyBorder="1" applyAlignment="1">
      <alignment horizontal="center" vertical="center"/>
    </xf>
    <xf numFmtId="0" fontId="79" fillId="0" borderId="10" xfId="0" applyFont="1" applyBorder="1" applyAlignment="1">
      <alignment horizontal="center" vertical="center"/>
    </xf>
    <xf numFmtId="0" fontId="79" fillId="0" borderId="24" xfId="0" applyFont="1" applyBorder="1" applyAlignment="1">
      <alignment horizontal="left" vertical="center"/>
    </xf>
    <xf numFmtId="0" fontId="79" fillId="0" borderId="25" xfId="0" applyFont="1" applyBorder="1" applyAlignment="1">
      <alignment horizontal="left" vertical="center"/>
    </xf>
    <xf numFmtId="0" fontId="79" fillId="0" borderId="36" xfId="0" applyFont="1" applyBorder="1" applyAlignment="1">
      <alignment horizontal="left" vertical="center"/>
    </xf>
    <xf numFmtId="0" fontId="81" fillId="0" borderId="92" xfId="0" applyFont="1" applyBorder="1" applyAlignment="1">
      <alignment horizontal="center" vertical="center"/>
    </xf>
    <xf numFmtId="0" fontId="85" fillId="0" borderId="94" xfId="0" applyFont="1" applyBorder="1" applyAlignment="1">
      <alignment horizontal="center" vertical="center"/>
    </xf>
    <xf numFmtId="0" fontId="85" fillId="0" borderId="95" xfId="0" applyFont="1" applyBorder="1" applyAlignment="1">
      <alignment horizontal="center" vertical="center"/>
    </xf>
    <xf numFmtId="0" fontId="85" fillId="0" borderId="113" xfId="0" applyFont="1" applyBorder="1" applyAlignment="1">
      <alignment horizontal="center" vertical="center"/>
    </xf>
    <xf numFmtId="0" fontId="85" fillId="0" borderId="96" xfId="0" applyFont="1" applyBorder="1" applyAlignment="1">
      <alignment horizontal="center" vertical="center"/>
    </xf>
    <xf numFmtId="0" fontId="85" fillId="0" borderId="90" xfId="0" applyFont="1" applyBorder="1" applyAlignment="1">
      <alignment horizontal="center" vertical="center"/>
    </xf>
    <xf numFmtId="0" fontId="85" fillId="0" borderId="115" xfId="0" applyFont="1" applyBorder="1" applyAlignment="1">
      <alignment horizontal="center" vertical="center"/>
    </xf>
    <xf numFmtId="0" fontId="85" fillId="0" borderId="97" xfId="0" applyFont="1" applyBorder="1" applyAlignment="1">
      <alignment horizontal="center" vertical="center"/>
    </xf>
    <xf numFmtId="0" fontId="85" fillId="0" borderId="98" xfId="0" applyFont="1" applyBorder="1" applyAlignment="1">
      <alignment horizontal="center" vertical="center"/>
    </xf>
    <xf numFmtId="0" fontId="85" fillId="0" borderId="114" xfId="0" applyFont="1" applyBorder="1" applyAlignment="1">
      <alignment horizontal="center" vertical="center"/>
    </xf>
    <xf numFmtId="0" fontId="81" fillId="0" borderId="128" xfId="0" applyFont="1" applyBorder="1" applyAlignment="1">
      <alignment horizontal="center" vertical="center"/>
    </xf>
    <xf numFmtId="0" fontId="22" fillId="26" borderId="0" xfId="0" applyFont="1" applyFill="1" applyAlignment="1">
      <alignment horizontal="center" vertical="center" wrapText="1"/>
    </xf>
    <xf numFmtId="0" fontId="18" fillId="5" borderId="7"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38" fillId="0" borderId="5" xfId="0" applyFont="1" applyBorder="1" applyAlignment="1">
      <alignment horizontal="center" vertical="center" wrapText="1"/>
    </xf>
    <xf numFmtId="0" fontId="38" fillId="0" borderId="12"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8" fillId="0" borderId="0" xfId="0" applyFont="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8" fillId="0" borderId="11" xfId="0" applyFont="1" applyBorder="1" applyAlignment="1">
      <alignment horizontal="center" vertical="center"/>
    </xf>
    <xf numFmtId="0" fontId="38" fillId="0" borderId="10" xfId="0" applyFont="1" applyBorder="1" applyAlignment="1">
      <alignment horizontal="center" vertical="center"/>
    </xf>
    <xf numFmtId="0" fontId="38" fillId="0" borderId="12" xfId="0" applyFont="1" applyBorder="1" applyAlignment="1">
      <alignment horizontal="center" vertical="center" wrapText="1"/>
    </xf>
    <xf numFmtId="0" fontId="37" fillId="11" borderId="13" xfId="0" applyFont="1" applyFill="1" applyBorder="1" applyAlignment="1">
      <alignment horizontal="center" vertical="center" wrapText="1" readingOrder="1"/>
    </xf>
    <xf numFmtId="0" fontId="37" fillId="11" borderId="14" xfId="0" applyFont="1" applyFill="1" applyBorder="1" applyAlignment="1">
      <alignment horizontal="center" vertical="center" wrapText="1" readingOrder="1"/>
    </xf>
    <xf numFmtId="0" fontId="37" fillId="11" borderId="15" xfId="0" applyFont="1" applyFill="1" applyBorder="1" applyAlignment="1">
      <alignment horizontal="center" vertical="center" wrapText="1" readingOrder="1"/>
    </xf>
    <xf numFmtId="0" fontId="37" fillId="11" borderId="16" xfId="0" applyFont="1" applyFill="1" applyBorder="1" applyAlignment="1">
      <alignment horizontal="center" vertical="center" wrapText="1" readingOrder="1"/>
    </xf>
    <xf numFmtId="0" fontId="37" fillId="11" borderId="0" xfId="0" applyFont="1" applyFill="1" applyAlignment="1">
      <alignment horizontal="center" vertical="center" wrapText="1" readingOrder="1"/>
    </xf>
    <xf numFmtId="0" fontId="37" fillId="11" borderId="17" xfId="0" applyFont="1" applyFill="1" applyBorder="1" applyAlignment="1">
      <alignment horizontal="center" vertical="center" wrapText="1" readingOrder="1"/>
    </xf>
    <xf numFmtId="0" fontId="37" fillId="11" borderId="18" xfId="0" applyFont="1" applyFill="1" applyBorder="1" applyAlignment="1">
      <alignment horizontal="center" vertical="center" wrapText="1" readingOrder="1"/>
    </xf>
    <xf numFmtId="0" fontId="37" fillId="11" borderId="19" xfId="0" applyFont="1" applyFill="1" applyBorder="1" applyAlignment="1">
      <alignment horizontal="center" vertical="center" wrapText="1" readingOrder="1"/>
    </xf>
    <xf numFmtId="0" fontId="37" fillId="11" borderId="20" xfId="0" applyFont="1" applyFill="1" applyBorder="1" applyAlignment="1">
      <alignment horizontal="center" vertical="center" wrapText="1" readingOrder="1"/>
    </xf>
    <xf numFmtId="0" fontId="38" fillId="0" borderId="7" xfId="0" applyFont="1" applyBorder="1" applyAlignment="1">
      <alignment horizontal="center" vertical="center" wrapText="1"/>
    </xf>
    <xf numFmtId="0" fontId="37" fillId="12" borderId="13" xfId="0" applyFont="1" applyFill="1" applyBorder="1" applyAlignment="1">
      <alignment horizontal="center" vertical="center" wrapText="1" readingOrder="1"/>
    </xf>
    <xf numFmtId="0" fontId="37" fillId="12" borderId="14" xfId="0" applyFont="1" applyFill="1" applyBorder="1" applyAlignment="1">
      <alignment horizontal="center" vertical="center" wrapText="1" readingOrder="1"/>
    </xf>
    <xf numFmtId="0" fontId="37" fillId="12" borderId="15" xfId="0" applyFont="1" applyFill="1" applyBorder="1" applyAlignment="1">
      <alignment horizontal="center" vertical="center" wrapText="1" readingOrder="1"/>
    </xf>
    <xf numFmtId="0" fontId="37" fillId="12" borderId="16" xfId="0" applyFont="1" applyFill="1" applyBorder="1" applyAlignment="1">
      <alignment horizontal="center" vertical="center" wrapText="1" readingOrder="1"/>
    </xf>
    <xf numFmtId="0" fontId="37" fillId="12" borderId="0" xfId="0" applyFont="1" applyFill="1" applyAlignment="1">
      <alignment horizontal="center" vertical="center" wrapText="1" readingOrder="1"/>
    </xf>
    <xf numFmtId="0" fontId="37" fillId="12" borderId="17" xfId="0" applyFont="1" applyFill="1" applyBorder="1" applyAlignment="1">
      <alignment horizontal="center" vertical="center" wrapText="1" readingOrder="1"/>
    </xf>
    <xf numFmtId="0" fontId="37" fillId="12" borderId="18" xfId="0" applyFont="1" applyFill="1" applyBorder="1" applyAlignment="1">
      <alignment horizontal="center" vertical="center" wrapText="1" readingOrder="1"/>
    </xf>
    <xf numFmtId="0" fontId="37" fillId="12" borderId="19" xfId="0" applyFont="1" applyFill="1" applyBorder="1" applyAlignment="1">
      <alignment horizontal="center" vertical="center" wrapText="1" readingOrder="1"/>
    </xf>
    <xf numFmtId="0" fontId="37" fillId="12" borderId="20" xfId="0" applyFont="1" applyFill="1" applyBorder="1" applyAlignment="1">
      <alignment horizontal="center" vertical="center" wrapText="1" readingOrder="1"/>
    </xf>
    <xf numFmtId="0" fontId="90" fillId="26" borderId="0" xfId="0" applyFont="1" applyFill="1" applyAlignment="1">
      <alignment horizontal="center" vertical="center" wrapText="1"/>
    </xf>
    <xf numFmtId="0" fontId="21" fillId="26" borderId="0" xfId="0" applyFont="1" applyFill="1" applyAlignment="1">
      <alignment horizontal="center" vertical="center" wrapText="1"/>
    </xf>
    <xf numFmtId="0" fontId="37" fillId="5" borderId="13" xfId="0" applyFont="1" applyFill="1" applyBorder="1" applyAlignment="1">
      <alignment horizontal="center" vertical="center" wrapText="1" readingOrder="1"/>
    </xf>
    <xf numFmtId="0" fontId="37" fillId="5" borderId="14" xfId="0" applyFont="1" applyFill="1" applyBorder="1" applyAlignment="1">
      <alignment horizontal="center" vertical="center" wrapText="1" readingOrder="1"/>
    </xf>
    <xf numFmtId="0" fontId="37" fillId="5" borderId="15" xfId="0" applyFont="1" applyFill="1" applyBorder="1" applyAlignment="1">
      <alignment horizontal="center" vertical="center" wrapText="1" readingOrder="1"/>
    </xf>
    <xf numFmtId="0" fontId="37" fillId="5" borderId="16" xfId="0" applyFont="1" applyFill="1" applyBorder="1" applyAlignment="1">
      <alignment horizontal="center" vertical="center" wrapText="1" readingOrder="1"/>
    </xf>
    <xf numFmtId="0" fontId="37" fillId="5" borderId="0" xfId="0" applyFont="1" applyFill="1" applyAlignment="1">
      <alignment horizontal="center" vertical="center" wrapText="1" readingOrder="1"/>
    </xf>
    <xf numFmtId="0" fontId="37" fillId="5" borderId="17" xfId="0" applyFont="1" applyFill="1" applyBorder="1" applyAlignment="1">
      <alignment horizontal="center" vertical="center" wrapText="1" readingOrder="1"/>
    </xf>
    <xf numFmtId="0" fontId="37" fillId="5" borderId="18" xfId="0" applyFont="1" applyFill="1" applyBorder="1" applyAlignment="1">
      <alignment horizontal="center" vertical="center" wrapText="1" readingOrder="1"/>
    </xf>
    <xf numFmtId="0" fontId="37" fillId="5" borderId="19" xfId="0" applyFont="1" applyFill="1" applyBorder="1" applyAlignment="1">
      <alignment horizontal="center" vertical="center" wrapText="1" readingOrder="1"/>
    </xf>
    <xf numFmtId="0" fontId="37" fillId="5" borderId="20" xfId="0" applyFont="1" applyFill="1" applyBorder="1" applyAlignment="1">
      <alignment horizontal="center" vertical="center" wrapText="1" readingOrder="1"/>
    </xf>
    <xf numFmtId="0" fontId="37" fillId="13" borderId="13" xfId="0" applyFont="1" applyFill="1" applyBorder="1" applyAlignment="1">
      <alignment horizontal="center" vertical="center" wrapText="1" readingOrder="1"/>
    </xf>
    <xf numFmtId="0" fontId="37" fillId="13" borderId="14" xfId="0" applyFont="1" applyFill="1" applyBorder="1" applyAlignment="1">
      <alignment horizontal="center" vertical="center" wrapText="1" readingOrder="1"/>
    </xf>
    <xf numFmtId="0" fontId="37" fillId="13" borderId="15" xfId="0" applyFont="1" applyFill="1" applyBorder="1" applyAlignment="1">
      <alignment horizontal="center" vertical="center" wrapText="1" readingOrder="1"/>
    </xf>
    <xf numFmtId="0" fontId="37" fillId="13" borderId="16" xfId="0" applyFont="1" applyFill="1" applyBorder="1" applyAlignment="1">
      <alignment horizontal="center" vertical="center" wrapText="1" readingOrder="1"/>
    </xf>
    <xf numFmtId="0" fontId="37" fillId="13" borderId="0" xfId="0" applyFont="1" applyFill="1" applyAlignment="1">
      <alignment horizontal="center" vertical="center" wrapText="1" readingOrder="1"/>
    </xf>
    <xf numFmtId="0" fontId="37" fillId="13" borderId="17" xfId="0" applyFont="1" applyFill="1" applyBorder="1" applyAlignment="1">
      <alignment horizontal="center" vertical="center" wrapText="1" readingOrder="1"/>
    </xf>
    <xf numFmtId="0" fontId="37" fillId="13" borderId="18" xfId="0" applyFont="1" applyFill="1" applyBorder="1" applyAlignment="1">
      <alignment horizontal="center" vertical="center" wrapText="1" readingOrder="1"/>
    </xf>
    <xf numFmtId="0" fontId="37" fillId="13" borderId="19" xfId="0" applyFont="1" applyFill="1" applyBorder="1" applyAlignment="1">
      <alignment horizontal="center" vertical="center" wrapText="1" readingOrder="1"/>
    </xf>
    <xf numFmtId="0" fontId="37" fillId="13" borderId="20" xfId="0" applyFont="1" applyFill="1" applyBorder="1" applyAlignment="1">
      <alignment horizontal="center" vertical="center" wrapText="1" readingOrder="1"/>
    </xf>
    <xf numFmtId="0" fontId="81" fillId="27" borderId="106" xfId="0" applyFont="1" applyFill="1" applyBorder="1" applyAlignment="1">
      <alignment horizontal="center" vertical="center"/>
    </xf>
    <xf numFmtId="0" fontId="81" fillId="27" borderId="107" xfId="0" applyFont="1" applyFill="1" applyBorder="1" applyAlignment="1">
      <alignment horizontal="center" vertical="center"/>
    </xf>
    <xf numFmtId="0" fontId="81" fillId="27" borderId="108" xfId="0" applyFont="1" applyFill="1" applyBorder="1" applyAlignment="1">
      <alignment horizontal="center" vertical="center"/>
    </xf>
    <xf numFmtId="0" fontId="81" fillId="17" borderId="91" xfId="0" applyFont="1" applyFill="1" applyBorder="1" applyAlignment="1">
      <alignment horizontal="center" vertical="center" wrapText="1"/>
    </xf>
    <xf numFmtId="0" fontId="81" fillId="17" borderId="92" xfId="0" applyFont="1" applyFill="1" applyBorder="1" applyAlignment="1">
      <alignment horizontal="center" vertical="center" wrapText="1"/>
    </xf>
    <xf numFmtId="0" fontId="81" fillId="17" borderId="90" xfId="0" applyFont="1" applyFill="1" applyBorder="1" applyAlignment="1">
      <alignment horizontal="center" vertical="center" wrapText="1"/>
    </xf>
    <xf numFmtId="0" fontId="81" fillId="29" borderId="106" xfId="0" applyFont="1" applyFill="1" applyBorder="1" applyAlignment="1">
      <alignment horizontal="center" vertical="center"/>
    </xf>
    <xf numFmtId="0" fontId="81" fillId="29" borderId="107" xfId="0" applyFont="1" applyFill="1" applyBorder="1" applyAlignment="1">
      <alignment horizontal="center" vertical="center"/>
    </xf>
    <xf numFmtId="0" fontId="81" fillId="29" borderId="108" xfId="0" applyFont="1" applyFill="1" applyBorder="1" applyAlignment="1">
      <alignment horizontal="center" vertical="center"/>
    </xf>
    <xf numFmtId="0" fontId="81" fillId="21" borderId="106" xfId="0" applyFont="1" applyFill="1" applyBorder="1" applyAlignment="1">
      <alignment horizontal="center" vertical="center" wrapText="1"/>
    </xf>
    <xf numFmtId="0" fontId="81" fillId="21" borderId="108" xfId="0" applyFont="1" applyFill="1" applyBorder="1" applyAlignment="1">
      <alignment horizontal="center" vertical="center" wrapText="1"/>
    </xf>
    <xf numFmtId="0" fontId="81" fillId="16" borderId="92" xfId="0" applyFont="1" applyFill="1" applyBorder="1" applyAlignment="1">
      <alignment horizontal="center" vertical="center"/>
    </xf>
    <xf numFmtId="0" fontId="81" fillId="16" borderId="106" xfId="0" applyFont="1" applyFill="1" applyBorder="1" applyAlignment="1">
      <alignment horizontal="center" vertical="center"/>
    </xf>
    <xf numFmtId="0" fontId="81" fillId="16" borderId="107" xfId="0" applyFont="1" applyFill="1" applyBorder="1" applyAlignment="1">
      <alignment horizontal="center" vertical="center"/>
    </xf>
    <xf numFmtId="0" fontId="81" fillId="16" borderId="108" xfId="0" applyFont="1" applyFill="1" applyBorder="1" applyAlignment="1">
      <alignment horizontal="center" vertical="center"/>
    </xf>
    <xf numFmtId="0" fontId="81" fillId="27" borderId="90" xfId="0" applyFont="1" applyFill="1" applyBorder="1" applyAlignment="1">
      <alignment horizontal="center" vertical="center" textRotation="90"/>
    </xf>
    <xf numFmtId="0" fontId="81" fillId="29" borderId="92" xfId="0" applyFont="1" applyFill="1" applyBorder="1" applyAlignment="1">
      <alignment horizontal="center" vertical="center" wrapText="1"/>
    </xf>
    <xf numFmtId="0" fontId="80" fillId="3" borderId="24" xfId="0" applyFont="1" applyFill="1" applyBorder="1" applyAlignment="1" applyProtection="1">
      <alignment horizontal="center" vertical="center" wrapText="1"/>
      <protection locked="0"/>
    </xf>
    <xf numFmtId="0" fontId="80" fillId="3" borderId="25" xfId="0" applyFont="1" applyFill="1" applyBorder="1" applyAlignment="1" applyProtection="1">
      <alignment horizontal="center" vertical="center" wrapText="1"/>
      <protection locked="0"/>
    </xf>
    <xf numFmtId="0" fontId="80" fillId="3" borderId="36" xfId="0" applyFont="1" applyFill="1" applyBorder="1" applyAlignment="1" applyProtection="1">
      <alignment horizontal="center" vertical="center" wrapText="1"/>
      <protection locked="0"/>
    </xf>
    <xf numFmtId="0" fontId="71" fillId="0" borderId="22" xfId="0" applyFont="1" applyBorder="1" applyAlignment="1">
      <alignment horizontal="left" vertical="center" wrapText="1"/>
    </xf>
    <xf numFmtId="0" fontId="72" fillId="16" borderId="24" xfId="0" applyFont="1" applyFill="1" applyBorder="1" applyAlignment="1">
      <alignment horizontal="center" vertical="center" wrapText="1"/>
    </xf>
    <xf numFmtId="0" fontId="72" fillId="16" borderId="25" xfId="0" applyFont="1" applyFill="1" applyBorder="1" applyAlignment="1">
      <alignment horizontal="center" vertical="center" wrapText="1"/>
    </xf>
    <xf numFmtId="0" fontId="72" fillId="16" borderId="36" xfId="0" applyFont="1" applyFill="1" applyBorder="1" applyAlignment="1">
      <alignment horizontal="center" vertical="center" wrapText="1"/>
    </xf>
    <xf numFmtId="0" fontId="73" fillId="16" borderId="73" xfId="0" applyFont="1" applyFill="1" applyBorder="1" applyAlignment="1">
      <alignment horizontal="center" vertical="center" wrapText="1"/>
    </xf>
    <xf numFmtId="0" fontId="73" fillId="16" borderId="28" xfId="0" applyFont="1" applyFill="1" applyBorder="1" applyAlignment="1">
      <alignment horizontal="center" vertical="center" wrapText="1"/>
    </xf>
    <xf numFmtId="0" fontId="73" fillId="16" borderId="74" xfId="0" applyFont="1" applyFill="1" applyBorder="1" applyAlignment="1">
      <alignment horizontal="center" vertical="center" wrapText="1"/>
    </xf>
    <xf numFmtId="0" fontId="73" fillId="16" borderId="29" xfId="0" applyFont="1" applyFill="1" applyBorder="1" applyAlignment="1">
      <alignment horizontal="center" vertical="center" wrapText="1"/>
    </xf>
    <xf numFmtId="0" fontId="73" fillId="16" borderId="75" xfId="0" applyFont="1" applyFill="1" applyBorder="1" applyAlignment="1">
      <alignment horizontal="center" vertical="center" wrapText="1"/>
    </xf>
    <xf numFmtId="0" fontId="71" fillId="0" borderId="74" xfId="0" applyFont="1" applyBorder="1" applyAlignment="1">
      <alignment horizontal="left" vertical="center" wrapText="1"/>
    </xf>
    <xf numFmtId="0" fontId="74" fillId="21" borderId="34" xfId="0" applyFont="1" applyFill="1" applyBorder="1" applyAlignment="1">
      <alignment horizontal="center" vertical="center" wrapText="1"/>
    </xf>
    <xf numFmtId="0" fontId="74" fillId="21" borderId="35" xfId="0" applyFont="1" applyFill="1" applyBorder="1" applyAlignment="1">
      <alignment horizontal="center" vertical="center" wrapText="1"/>
    </xf>
    <xf numFmtId="0" fontId="71" fillId="0" borderId="0" xfId="0" applyFont="1" applyAlignment="1">
      <alignment horizontal="left" vertical="center" wrapText="1"/>
    </xf>
    <xf numFmtId="0" fontId="71" fillId="0" borderId="0" xfId="0" applyFont="1" applyAlignment="1">
      <alignment horizontal="center" vertical="center" wrapText="1"/>
    </xf>
    <xf numFmtId="0" fontId="71" fillId="0" borderId="76" xfId="0" applyFont="1" applyBorder="1" applyAlignment="1">
      <alignment horizontal="left" vertical="center" wrapText="1"/>
    </xf>
    <xf numFmtId="0" fontId="74" fillId="21" borderId="33" xfId="0" applyFont="1" applyFill="1" applyBorder="1" applyAlignment="1">
      <alignment horizontal="center" vertical="center" wrapText="1"/>
    </xf>
    <xf numFmtId="0" fontId="21" fillId="0" borderId="0" xfId="0" applyFont="1" applyAlignment="1">
      <alignment horizontal="center" vertical="center"/>
    </xf>
    <xf numFmtId="0" fontId="40" fillId="0" borderId="0" xfId="0" applyFont="1" applyAlignment="1">
      <alignment horizontal="center" vertical="center"/>
    </xf>
    <xf numFmtId="0" fontId="75" fillId="16" borderId="82" xfId="0" applyFont="1" applyFill="1" applyBorder="1" applyAlignment="1">
      <alignment horizontal="center" vertical="center" wrapText="1"/>
    </xf>
    <xf numFmtId="0" fontId="75" fillId="16" borderId="80" xfId="0" applyFont="1" applyFill="1" applyBorder="1" applyAlignment="1">
      <alignment horizontal="center" vertical="center" wrapText="1"/>
    </xf>
    <xf numFmtId="0" fontId="75" fillId="16" borderId="78" xfId="0" applyFont="1" applyFill="1" applyBorder="1" applyAlignment="1">
      <alignment horizontal="center" vertical="center" wrapText="1"/>
    </xf>
    <xf numFmtId="0" fontId="76" fillId="0" borderId="82" xfId="0" applyFont="1" applyBorder="1" applyAlignment="1">
      <alignment horizontal="justify" vertical="center" wrapText="1"/>
    </xf>
    <xf numFmtId="0" fontId="76" fillId="0" borderId="80" xfId="0" applyFont="1" applyBorder="1" applyAlignment="1">
      <alignment horizontal="justify" vertical="center" wrapText="1"/>
    </xf>
    <xf numFmtId="0" fontId="76" fillId="0" borderId="78" xfId="0" applyFont="1" applyBorder="1" applyAlignment="1">
      <alignment horizontal="justify" vertical="center" wrapText="1"/>
    </xf>
    <xf numFmtId="0" fontId="36" fillId="15" borderId="24" xfId="0" applyFont="1" applyFill="1" applyBorder="1" applyAlignment="1">
      <alignment horizontal="center" vertical="center" wrapText="1" readingOrder="1"/>
    </xf>
    <xf numFmtId="0" fontId="36" fillId="15" borderId="25" xfId="0" applyFont="1" applyFill="1" applyBorder="1" applyAlignment="1">
      <alignment horizontal="center" vertical="center" wrapText="1" readingOrder="1"/>
    </xf>
    <xf numFmtId="0" fontId="36" fillId="15" borderId="36" xfId="0" applyFont="1" applyFill="1" applyBorder="1" applyAlignment="1">
      <alignment horizontal="center" vertical="center" wrapText="1" readingOrder="1"/>
    </xf>
    <xf numFmtId="0" fontId="31" fillId="3" borderId="0" xfId="0" applyFont="1" applyFill="1" applyAlignment="1">
      <alignment horizontal="justify" vertical="center" wrapText="1"/>
    </xf>
    <xf numFmtId="0" fontId="33" fillId="15" borderId="33" xfId="0" applyFont="1" applyFill="1" applyBorder="1" applyAlignment="1">
      <alignment horizontal="center" vertical="center" wrapText="1" readingOrder="1"/>
    </xf>
    <xf numFmtId="0" fontId="33" fillId="15" borderId="34" xfId="0" applyFont="1" applyFill="1" applyBorder="1" applyAlignment="1">
      <alignment horizontal="center" vertical="center" wrapText="1" readingOrder="1"/>
    </xf>
    <xf numFmtId="0" fontId="33" fillId="3" borderId="31" xfId="0" applyFont="1" applyFill="1" applyBorder="1" applyAlignment="1">
      <alignment horizontal="center" vertical="center" wrapText="1" readingOrder="1"/>
    </xf>
    <xf numFmtId="0" fontId="33" fillId="3" borderId="26" xfId="0" applyFont="1" applyFill="1" applyBorder="1" applyAlignment="1">
      <alignment horizontal="center" vertical="center" wrapText="1" readingOrder="1"/>
    </xf>
    <xf numFmtId="0" fontId="33" fillId="3" borderId="23" xfId="0" applyFont="1" applyFill="1" applyBorder="1" applyAlignment="1">
      <alignment horizontal="center" vertical="center" wrapText="1" readingOrder="1"/>
    </xf>
    <xf numFmtId="0" fontId="33" fillId="3" borderId="22" xfId="0" applyFont="1" applyFill="1" applyBorder="1" applyAlignment="1">
      <alignment horizontal="center" vertical="center" wrapText="1" readingOrder="1"/>
    </xf>
    <xf numFmtId="0" fontId="33" fillId="3" borderId="28" xfId="0" applyFont="1" applyFill="1" applyBorder="1" applyAlignment="1">
      <alignment horizontal="center" vertical="center" wrapText="1" readingOrder="1"/>
    </xf>
    <xf numFmtId="0" fontId="33" fillId="3" borderId="29" xfId="0" applyFont="1" applyFill="1" applyBorder="1" applyAlignment="1">
      <alignment horizontal="center" vertical="center" wrapText="1" readingOrder="1"/>
    </xf>
  </cellXfs>
  <cellStyles count="7">
    <cellStyle name="Moneda" xfId="5" builtinId="4"/>
    <cellStyle name="Moneda 2" xfId="6" xr:uid="{00000000-0005-0000-0000-000001000000}"/>
    <cellStyle name="Normal" xfId="0" builtinId="0"/>
    <cellStyle name="Normal - Style1 2" xfId="2" xr:uid="{00000000-0005-0000-0000-000003000000}"/>
    <cellStyle name="Normal 2" xfId="4" xr:uid="{00000000-0005-0000-0000-000004000000}"/>
    <cellStyle name="Normal 2 2" xfId="3" xr:uid="{00000000-0005-0000-0000-000005000000}"/>
    <cellStyle name="Porcentaje" xfId="1" builtinId="5"/>
  </cellStyles>
  <dxfs count="701">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190500</xdr:colOff>
      <xdr:row>0</xdr:row>
      <xdr:rowOff>68036</xdr:rowOff>
    </xdr:from>
    <xdr:ext cx="1403803" cy="1123950"/>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929" y="68036"/>
          <a:ext cx="1403803" cy="11239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CC31457F-ECBC-4BF6-A295-D24C77BD34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4B130650-B5A7-4455-A04D-93F040AFD7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Norato Mora" refreshedDate="44522.492354513888"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7">
      <pivotArea dataOnly="0" labelOnly="1" outline="0" fieldPosition="0">
        <references count="1">
          <reference field="0" count="1">
            <x v="1"/>
          </reference>
        </references>
      </pivotArea>
    </format>
    <format dxfId="6">
      <pivotArea dataOnly="0" labelOnly="1" outline="0" fieldPosition="0">
        <references count="2">
          <reference field="0" count="1" selected="0">
            <x v="1"/>
          </reference>
          <reference field="1" count="5">
            <x v="1"/>
            <x v="2"/>
            <x v="3"/>
            <x v="4"/>
            <x v="5"/>
          </reference>
        </references>
      </pivotArea>
    </format>
    <format dxfId="5">
      <pivotArea dataOnly="0" labelOnly="1" outline="0" fieldPosition="0">
        <references count="2">
          <reference field="0" count="1" selected="0">
            <x v="1"/>
          </reference>
          <reference field="1" count="5">
            <x v="1"/>
            <x v="2"/>
            <x v="3"/>
            <x v="4"/>
            <x v="5"/>
          </reference>
        </references>
      </pivotArea>
    </format>
    <format dxfId="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0:C220" totalsRowShown="0" headerRowDxfId="3" dataDxfId="2">
  <autoFilter ref="B210:C220"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0.bin"/><Relationship Id="rId1" Type="http://schemas.openxmlformats.org/officeDocument/2006/relationships/pivotTable" Target="../pivotTables/pivotTable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16"/>
  <sheetViews>
    <sheetView topLeftCell="A48" zoomScale="110" zoomScaleNormal="110" workbookViewId="0">
      <selection activeCell="B52" sqref="B52"/>
    </sheetView>
  </sheetViews>
  <sheetFormatPr baseColWidth="10" defaultColWidth="11.42578125" defaultRowHeight="15" x14ac:dyDescent="0.25"/>
  <cols>
    <col min="1" max="1" width="2.85546875" style="66" customWidth="1"/>
    <col min="2" max="3" width="24.7109375" style="66" customWidth="1"/>
    <col min="4" max="4" width="16" style="66" customWidth="1"/>
    <col min="5" max="5" width="24.7109375" style="66" customWidth="1"/>
    <col min="6" max="6" width="27.7109375" style="66" customWidth="1"/>
    <col min="7" max="8" width="24.7109375" style="66" customWidth="1"/>
    <col min="9" max="16384" width="11.42578125" style="66"/>
  </cols>
  <sheetData>
    <row r="1" spans="2:8" ht="15.75" thickBot="1" x14ac:dyDescent="0.3"/>
    <row r="2" spans="2:8" ht="18" x14ac:dyDescent="0.25">
      <c r="B2" s="297" t="s">
        <v>0</v>
      </c>
      <c r="C2" s="298"/>
      <c r="D2" s="298"/>
      <c r="E2" s="298"/>
      <c r="F2" s="298"/>
      <c r="G2" s="298"/>
      <c r="H2" s="299"/>
    </row>
    <row r="3" spans="2:8" x14ac:dyDescent="0.25">
      <c r="B3" s="67"/>
      <c r="C3" s="68"/>
      <c r="D3" s="68"/>
      <c r="E3" s="68"/>
      <c r="F3" s="68"/>
      <c r="G3" s="68"/>
      <c r="H3" s="69"/>
    </row>
    <row r="4" spans="2:8" ht="63" customHeight="1" x14ac:dyDescent="0.25">
      <c r="B4" s="300" t="s">
        <v>1</v>
      </c>
      <c r="C4" s="301"/>
      <c r="D4" s="301"/>
      <c r="E4" s="301"/>
      <c r="F4" s="301"/>
      <c r="G4" s="301"/>
      <c r="H4" s="302"/>
    </row>
    <row r="5" spans="2:8" ht="63" customHeight="1" x14ac:dyDescent="0.25">
      <c r="B5" s="303"/>
      <c r="C5" s="304"/>
      <c r="D5" s="304"/>
      <c r="E5" s="304"/>
      <c r="F5" s="304"/>
      <c r="G5" s="304"/>
      <c r="H5" s="305"/>
    </row>
    <row r="6" spans="2:8" ht="16.5" x14ac:dyDescent="0.25">
      <c r="B6" s="306" t="s">
        <v>2</v>
      </c>
      <c r="C6" s="307"/>
      <c r="D6" s="307"/>
      <c r="E6" s="307"/>
      <c r="F6" s="307"/>
      <c r="G6" s="307"/>
      <c r="H6" s="308"/>
    </row>
    <row r="7" spans="2:8" ht="95.25" customHeight="1" x14ac:dyDescent="0.25">
      <c r="B7" s="316" t="s">
        <v>3</v>
      </c>
      <c r="C7" s="317"/>
      <c r="D7" s="317"/>
      <c r="E7" s="317"/>
      <c r="F7" s="317"/>
      <c r="G7" s="317"/>
      <c r="H7" s="318"/>
    </row>
    <row r="8" spans="2:8" ht="16.5" x14ac:dyDescent="0.25">
      <c r="B8" s="101"/>
      <c r="C8" s="102"/>
      <c r="D8" s="102"/>
      <c r="E8" s="102"/>
      <c r="F8" s="102"/>
      <c r="G8" s="102"/>
      <c r="H8" s="103"/>
    </row>
    <row r="9" spans="2:8" ht="16.5" customHeight="1" x14ac:dyDescent="0.25">
      <c r="B9" s="309" t="s">
        <v>4</v>
      </c>
      <c r="C9" s="310"/>
      <c r="D9" s="310"/>
      <c r="E9" s="310"/>
      <c r="F9" s="310"/>
      <c r="G9" s="310"/>
      <c r="H9" s="311"/>
    </row>
    <row r="10" spans="2:8" ht="44.25" customHeight="1" x14ac:dyDescent="0.25">
      <c r="B10" s="309"/>
      <c r="C10" s="310"/>
      <c r="D10" s="310"/>
      <c r="E10" s="310"/>
      <c r="F10" s="310"/>
      <c r="G10" s="310"/>
      <c r="H10" s="311"/>
    </row>
    <row r="11" spans="2:8" ht="15.75" thickBot="1" x14ac:dyDescent="0.3">
      <c r="B11" s="90"/>
      <c r="C11" s="93"/>
      <c r="D11" s="98"/>
      <c r="E11" s="99"/>
      <c r="F11" s="99"/>
      <c r="G11" s="100"/>
      <c r="H11" s="94"/>
    </row>
    <row r="12" spans="2:8" ht="15.75" thickTop="1" x14ac:dyDescent="0.25">
      <c r="B12" s="90"/>
      <c r="C12" s="312" t="s">
        <v>5</v>
      </c>
      <c r="D12" s="313"/>
      <c r="E12" s="314" t="s">
        <v>6</v>
      </c>
      <c r="F12" s="315"/>
      <c r="G12" s="93"/>
      <c r="H12" s="94"/>
    </row>
    <row r="13" spans="2:8" ht="35.25" customHeight="1" x14ac:dyDescent="0.25">
      <c r="B13" s="90"/>
      <c r="C13" s="319" t="s">
        <v>7</v>
      </c>
      <c r="D13" s="320"/>
      <c r="E13" s="321" t="s">
        <v>8</v>
      </c>
      <c r="F13" s="322"/>
      <c r="G13" s="93"/>
      <c r="H13" s="94"/>
    </row>
    <row r="14" spans="2:8" ht="17.25" customHeight="1" x14ac:dyDescent="0.25">
      <c r="B14" s="90"/>
      <c r="C14" s="319" t="s">
        <v>9</v>
      </c>
      <c r="D14" s="320"/>
      <c r="E14" s="321" t="s">
        <v>10</v>
      </c>
      <c r="F14" s="322"/>
      <c r="G14" s="93"/>
      <c r="H14" s="94"/>
    </row>
    <row r="15" spans="2:8" ht="19.5" customHeight="1" x14ac:dyDescent="0.25">
      <c r="B15" s="90"/>
      <c r="C15" s="319" t="s">
        <v>11</v>
      </c>
      <c r="D15" s="320"/>
      <c r="E15" s="321" t="s">
        <v>12</v>
      </c>
      <c r="F15" s="322"/>
      <c r="G15" s="93"/>
      <c r="H15" s="94"/>
    </row>
    <row r="16" spans="2:8" ht="69.75" customHeight="1" x14ac:dyDescent="0.25">
      <c r="B16" s="90"/>
      <c r="C16" s="319" t="s">
        <v>13</v>
      </c>
      <c r="D16" s="320"/>
      <c r="E16" s="321" t="s">
        <v>14</v>
      </c>
      <c r="F16" s="322"/>
      <c r="G16" s="93"/>
      <c r="H16" s="94"/>
    </row>
    <row r="17" spans="2:8" ht="34.5" customHeight="1" x14ac:dyDescent="0.25">
      <c r="B17" s="90"/>
      <c r="C17" s="323" t="s">
        <v>15</v>
      </c>
      <c r="D17" s="324"/>
      <c r="E17" s="325" t="s">
        <v>16</v>
      </c>
      <c r="F17" s="326"/>
      <c r="G17" s="93"/>
      <c r="H17" s="94"/>
    </row>
    <row r="18" spans="2:8" ht="27.75" customHeight="1" x14ac:dyDescent="0.25">
      <c r="B18" s="90"/>
      <c r="C18" s="323" t="s">
        <v>17</v>
      </c>
      <c r="D18" s="324"/>
      <c r="E18" s="325" t="s">
        <v>18</v>
      </c>
      <c r="F18" s="326"/>
      <c r="G18" s="93"/>
      <c r="H18" s="94"/>
    </row>
    <row r="19" spans="2:8" ht="28.5" customHeight="1" x14ac:dyDescent="0.25">
      <c r="B19" s="90"/>
      <c r="C19" s="323" t="s">
        <v>19</v>
      </c>
      <c r="D19" s="324"/>
      <c r="E19" s="325" t="s">
        <v>20</v>
      </c>
      <c r="F19" s="326"/>
      <c r="G19" s="93"/>
      <c r="H19" s="94"/>
    </row>
    <row r="20" spans="2:8" ht="72.75" customHeight="1" x14ac:dyDescent="0.25">
      <c r="B20" s="90"/>
      <c r="C20" s="323" t="s">
        <v>21</v>
      </c>
      <c r="D20" s="324"/>
      <c r="E20" s="325" t="s">
        <v>22</v>
      </c>
      <c r="F20" s="326"/>
      <c r="G20" s="93"/>
      <c r="H20" s="94"/>
    </row>
    <row r="21" spans="2:8" ht="64.5" customHeight="1" x14ac:dyDescent="0.25">
      <c r="B21" s="90"/>
      <c r="C21" s="323" t="s">
        <v>23</v>
      </c>
      <c r="D21" s="324"/>
      <c r="E21" s="325" t="s">
        <v>24</v>
      </c>
      <c r="F21" s="326"/>
      <c r="G21" s="93"/>
      <c r="H21" s="94"/>
    </row>
    <row r="22" spans="2:8" ht="71.25" customHeight="1" x14ac:dyDescent="0.25">
      <c r="B22" s="90"/>
      <c r="C22" s="323" t="s">
        <v>25</v>
      </c>
      <c r="D22" s="324"/>
      <c r="E22" s="325" t="s">
        <v>26</v>
      </c>
      <c r="F22" s="326"/>
      <c r="G22" s="93"/>
      <c r="H22" s="94"/>
    </row>
    <row r="23" spans="2:8" ht="55.5" customHeight="1" x14ac:dyDescent="0.25">
      <c r="B23" s="90"/>
      <c r="C23" s="330" t="s">
        <v>27</v>
      </c>
      <c r="D23" s="331"/>
      <c r="E23" s="325" t="s">
        <v>28</v>
      </c>
      <c r="F23" s="326"/>
      <c r="G23" s="93"/>
      <c r="H23" s="94"/>
    </row>
    <row r="24" spans="2:8" ht="42" customHeight="1" x14ac:dyDescent="0.25">
      <c r="B24" s="90"/>
      <c r="C24" s="330" t="s">
        <v>29</v>
      </c>
      <c r="D24" s="331"/>
      <c r="E24" s="325" t="s">
        <v>30</v>
      </c>
      <c r="F24" s="326"/>
      <c r="G24" s="93"/>
      <c r="H24" s="94"/>
    </row>
    <row r="25" spans="2:8" ht="59.25" customHeight="1" x14ac:dyDescent="0.25">
      <c r="B25" s="90"/>
      <c r="C25" s="330" t="s">
        <v>31</v>
      </c>
      <c r="D25" s="331"/>
      <c r="E25" s="325" t="s">
        <v>32</v>
      </c>
      <c r="F25" s="326"/>
      <c r="G25" s="93"/>
      <c r="H25" s="94"/>
    </row>
    <row r="26" spans="2:8" ht="23.25" customHeight="1" x14ac:dyDescent="0.25">
      <c r="B26" s="90"/>
      <c r="C26" s="330" t="s">
        <v>33</v>
      </c>
      <c r="D26" s="331"/>
      <c r="E26" s="325" t="s">
        <v>34</v>
      </c>
      <c r="F26" s="326"/>
      <c r="G26" s="93"/>
      <c r="H26" s="94"/>
    </row>
    <row r="27" spans="2:8" ht="30.75" customHeight="1" x14ac:dyDescent="0.25">
      <c r="B27" s="90"/>
      <c r="C27" s="330" t="s">
        <v>35</v>
      </c>
      <c r="D27" s="331"/>
      <c r="E27" s="325" t="s">
        <v>36</v>
      </c>
      <c r="F27" s="326"/>
      <c r="G27" s="93"/>
      <c r="H27" s="94"/>
    </row>
    <row r="28" spans="2:8" ht="35.25" customHeight="1" x14ac:dyDescent="0.25">
      <c r="B28" s="90"/>
      <c r="C28" s="330" t="s">
        <v>37</v>
      </c>
      <c r="D28" s="331"/>
      <c r="E28" s="325" t="s">
        <v>38</v>
      </c>
      <c r="F28" s="326"/>
      <c r="G28" s="93"/>
      <c r="H28" s="94"/>
    </row>
    <row r="29" spans="2:8" ht="33" customHeight="1" x14ac:dyDescent="0.25">
      <c r="B29" s="90"/>
      <c r="C29" s="330" t="s">
        <v>37</v>
      </c>
      <c r="D29" s="331"/>
      <c r="E29" s="325" t="s">
        <v>38</v>
      </c>
      <c r="F29" s="326"/>
      <c r="G29" s="93"/>
      <c r="H29" s="94"/>
    </row>
    <row r="30" spans="2:8" ht="30" customHeight="1" x14ac:dyDescent="0.25">
      <c r="B30" s="90"/>
      <c r="C30" s="330" t="s">
        <v>39</v>
      </c>
      <c r="D30" s="331"/>
      <c r="E30" s="325" t="s">
        <v>40</v>
      </c>
      <c r="F30" s="326"/>
      <c r="G30" s="93"/>
      <c r="H30" s="94"/>
    </row>
    <row r="31" spans="2:8" ht="35.25" customHeight="1" x14ac:dyDescent="0.25">
      <c r="B31" s="90"/>
      <c r="C31" s="330" t="s">
        <v>41</v>
      </c>
      <c r="D31" s="331"/>
      <c r="E31" s="325" t="s">
        <v>42</v>
      </c>
      <c r="F31" s="326"/>
      <c r="G31" s="93"/>
      <c r="H31" s="94"/>
    </row>
    <row r="32" spans="2:8" ht="31.5" customHeight="1" x14ac:dyDescent="0.25">
      <c r="B32" s="90"/>
      <c r="C32" s="330" t="s">
        <v>43</v>
      </c>
      <c r="D32" s="331"/>
      <c r="E32" s="325" t="s">
        <v>44</v>
      </c>
      <c r="F32" s="326"/>
      <c r="G32" s="93"/>
      <c r="H32" s="94"/>
    </row>
    <row r="33" spans="2:8" ht="35.25" customHeight="1" x14ac:dyDescent="0.25">
      <c r="B33" s="90"/>
      <c r="C33" s="330" t="s">
        <v>45</v>
      </c>
      <c r="D33" s="331"/>
      <c r="E33" s="325" t="s">
        <v>46</v>
      </c>
      <c r="F33" s="326"/>
      <c r="G33" s="93"/>
      <c r="H33" s="94"/>
    </row>
    <row r="34" spans="2:8" ht="59.25" customHeight="1" x14ac:dyDescent="0.25">
      <c r="B34" s="90"/>
      <c r="C34" s="330" t="s">
        <v>47</v>
      </c>
      <c r="D34" s="331"/>
      <c r="E34" s="325" t="s">
        <v>48</v>
      </c>
      <c r="F34" s="326"/>
      <c r="G34" s="93"/>
      <c r="H34" s="94"/>
    </row>
    <row r="35" spans="2:8" ht="29.25" customHeight="1" x14ac:dyDescent="0.25">
      <c r="B35" s="90"/>
      <c r="C35" s="330" t="s">
        <v>49</v>
      </c>
      <c r="D35" s="331"/>
      <c r="E35" s="325" t="s">
        <v>50</v>
      </c>
      <c r="F35" s="326"/>
      <c r="G35" s="93"/>
      <c r="H35" s="94"/>
    </row>
    <row r="36" spans="2:8" ht="82.5" customHeight="1" x14ac:dyDescent="0.25">
      <c r="B36" s="90"/>
      <c r="C36" s="330" t="s">
        <v>51</v>
      </c>
      <c r="D36" s="331"/>
      <c r="E36" s="325" t="s">
        <v>52</v>
      </c>
      <c r="F36" s="326"/>
      <c r="G36" s="93"/>
      <c r="H36" s="94"/>
    </row>
    <row r="37" spans="2:8" ht="46.5" customHeight="1" x14ac:dyDescent="0.25">
      <c r="B37" s="90"/>
      <c r="C37" s="330" t="s">
        <v>53</v>
      </c>
      <c r="D37" s="331"/>
      <c r="E37" s="325" t="s">
        <v>54</v>
      </c>
      <c r="F37" s="326"/>
      <c r="G37" s="93"/>
      <c r="H37" s="94"/>
    </row>
    <row r="38" spans="2:8" ht="6.75" customHeight="1" thickBot="1" x14ac:dyDescent="0.3">
      <c r="B38" s="90"/>
      <c r="C38" s="332"/>
      <c r="D38" s="333"/>
      <c r="E38" s="334"/>
      <c r="F38" s="335"/>
      <c r="G38" s="93"/>
      <c r="H38" s="94"/>
    </row>
    <row r="39" spans="2:8" ht="15.75" thickTop="1" x14ac:dyDescent="0.25">
      <c r="B39" s="90"/>
      <c r="C39" s="91"/>
      <c r="D39" s="91"/>
      <c r="E39" s="92"/>
      <c r="F39" s="92"/>
      <c r="G39" s="93"/>
      <c r="H39" s="94"/>
    </row>
    <row r="40" spans="2:8" ht="21" customHeight="1" x14ac:dyDescent="0.25">
      <c r="B40" s="327" t="s">
        <v>55</v>
      </c>
      <c r="C40" s="328"/>
      <c r="D40" s="328"/>
      <c r="E40" s="328"/>
      <c r="F40" s="328"/>
      <c r="G40" s="328"/>
      <c r="H40" s="329"/>
    </row>
    <row r="41" spans="2:8" ht="20.25" customHeight="1" x14ac:dyDescent="0.25">
      <c r="B41" s="327" t="s">
        <v>56</v>
      </c>
      <c r="C41" s="328"/>
      <c r="D41" s="328"/>
      <c r="E41" s="328"/>
      <c r="F41" s="328"/>
      <c r="G41" s="328"/>
      <c r="H41" s="329"/>
    </row>
    <row r="42" spans="2:8" ht="20.25" customHeight="1" x14ac:dyDescent="0.25">
      <c r="B42" s="327" t="s">
        <v>57</v>
      </c>
      <c r="C42" s="328"/>
      <c r="D42" s="328"/>
      <c r="E42" s="328"/>
      <c r="F42" s="328"/>
      <c r="G42" s="328"/>
      <c r="H42" s="329"/>
    </row>
    <row r="43" spans="2:8" ht="20.25" customHeight="1" x14ac:dyDescent="0.25">
      <c r="B43" s="327" t="s">
        <v>58</v>
      </c>
      <c r="C43" s="328"/>
      <c r="D43" s="328"/>
      <c r="E43" s="328"/>
      <c r="F43" s="328"/>
      <c r="G43" s="328"/>
      <c r="H43" s="329"/>
    </row>
    <row r="44" spans="2:8" x14ac:dyDescent="0.25">
      <c r="B44" s="327" t="s">
        <v>59</v>
      </c>
      <c r="C44" s="328"/>
      <c r="D44" s="328"/>
      <c r="E44" s="328"/>
      <c r="F44" s="328"/>
      <c r="G44" s="328"/>
      <c r="H44" s="329"/>
    </row>
    <row r="45" spans="2:8" ht="15.75" thickBot="1" x14ac:dyDescent="0.3">
      <c r="B45" s="95"/>
      <c r="C45" s="96"/>
      <c r="D45" s="96"/>
      <c r="E45" s="96"/>
      <c r="F45" s="96"/>
      <c r="G45" s="96"/>
      <c r="H45" s="97"/>
    </row>
    <row r="47" spans="2:8" x14ac:dyDescent="0.25">
      <c r="B47" s="249" t="s">
        <v>60</v>
      </c>
    </row>
    <row r="48" spans="2:8" x14ac:dyDescent="0.25">
      <c r="B48" s="66" t="s">
        <v>61</v>
      </c>
    </row>
    <row r="49" spans="2:6" ht="25.5" x14ac:dyDescent="0.25">
      <c r="B49" s="241" t="s">
        <v>62</v>
      </c>
      <c r="C49" s="241" t="s">
        <v>63</v>
      </c>
      <c r="D49" s="241" t="s">
        <v>64</v>
      </c>
      <c r="E49" s="242" t="s">
        <v>65</v>
      </c>
      <c r="F49" s="243" t="s">
        <v>66</v>
      </c>
    </row>
    <row r="50" spans="2:6" x14ac:dyDescent="0.25">
      <c r="B50" s="244" t="s">
        <v>67</v>
      </c>
      <c r="C50" s="244" t="s">
        <v>68</v>
      </c>
      <c r="D50" s="245">
        <v>44957</v>
      </c>
      <c r="E50" s="244" t="s">
        <v>68</v>
      </c>
      <c r="F50" s="244" t="s">
        <v>68</v>
      </c>
    </row>
    <row r="51" spans="2:6" ht="30" x14ac:dyDescent="0.25">
      <c r="B51" s="244" t="s">
        <v>69</v>
      </c>
      <c r="C51" s="244" t="s">
        <v>70</v>
      </c>
      <c r="D51" s="245">
        <v>45016</v>
      </c>
      <c r="E51" s="244" t="s">
        <v>71</v>
      </c>
      <c r="F51" s="246" t="s">
        <v>72</v>
      </c>
    </row>
    <row r="300" spans="3:3" ht="31.5" x14ac:dyDescent="0.25">
      <c r="C300" s="170" t="s">
        <v>73</v>
      </c>
    </row>
    <row r="301" spans="3:3" ht="47.25" x14ac:dyDescent="0.25">
      <c r="C301" s="170" t="s">
        <v>74</v>
      </c>
    </row>
    <row r="302" spans="3:3" ht="31.5" x14ac:dyDescent="0.25">
      <c r="C302" s="171" t="s">
        <v>75</v>
      </c>
    </row>
    <row r="303" spans="3:3" ht="31.5" x14ac:dyDescent="0.25">
      <c r="C303" s="170" t="s">
        <v>76</v>
      </c>
    </row>
    <row r="304" spans="3:3" ht="47.25" x14ac:dyDescent="0.25">
      <c r="C304" s="170" t="s">
        <v>77</v>
      </c>
    </row>
    <row r="305" spans="3:3" ht="31.5" x14ac:dyDescent="0.25">
      <c r="C305" s="170" t="s">
        <v>78</v>
      </c>
    </row>
    <row r="306" spans="3:3" ht="47.25" x14ac:dyDescent="0.25">
      <c r="C306" s="171" t="s">
        <v>79</v>
      </c>
    </row>
    <row r="307" spans="3:3" ht="31.5" x14ac:dyDescent="0.25">
      <c r="C307" s="170" t="s">
        <v>80</v>
      </c>
    </row>
    <row r="308" spans="3:3" ht="15.75" x14ac:dyDescent="0.25">
      <c r="C308" s="170" t="s">
        <v>81</v>
      </c>
    </row>
    <row r="309" spans="3:3" ht="15.75" x14ac:dyDescent="0.25">
      <c r="C309" s="170" t="s">
        <v>82</v>
      </c>
    </row>
    <row r="310" spans="3:3" ht="31.5" x14ac:dyDescent="0.25">
      <c r="C310" s="170" t="s">
        <v>83</v>
      </c>
    </row>
    <row r="311" spans="3:3" ht="31.5" x14ac:dyDescent="0.25">
      <c r="C311" s="170" t="s">
        <v>84</v>
      </c>
    </row>
    <row r="312" spans="3:3" ht="15.75" x14ac:dyDescent="0.25">
      <c r="C312" s="170" t="s">
        <v>85</v>
      </c>
    </row>
    <row r="313" spans="3:3" ht="15.75" x14ac:dyDescent="0.25">
      <c r="C313" s="170" t="s">
        <v>86</v>
      </c>
    </row>
    <row r="314" spans="3:3" ht="15.75" x14ac:dyDescent="0.25">
      <c r="C314" s="170" t="s">
        <v>87</v>
      </c>
    </row>
    <row r="315" spans="3:3" ht="31.5" x14ac:dyDescent="0.25">
      <c r="C315" s="170" t="s">
        <v>88</v>
      </c>
    </row>
    <row r="316" spans="3:3" ht="31.5" x14ac:dyDescent="0.25">
      <c r="C316" s="170" t="s">
        <v>89</v>
      </c>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honeticPr fontId="88"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55"/>
  <sheetViews>
    <sheetView zoomScale="90" zoomScaleNormal="90" workbookViewId="0">
      <selection activeCell="D5" sqref="D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66"/>
      <c r="B1" s="637" t="s">
        <v>313</v>
      </c>
      <c r="C1" s="637"/>
      <c r="D1" s="637"/>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5" x14ac:dyDescent="0.25">
      <c r="A3" s="66"/>
      <c r="B3" s="3"/>
      <c r="C3" s="4" t="s">
        <v>314</v>
      </c>
      <c r="D3" s="4" t="s">
        <v>264</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1" x14ac:dyDescent="0.25">
      <c r="A4" s="66"/>
      <c r="B4" s="5" t="s">
        <v>315</v>
      </c>
      <c r="C4" s="6" t="s">
        <v>316</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1" x14ac:dyDescent="0.25">
      <c r="A5" s="66"/>
      <c r="B5" s="8" t="s">
        <v>317</v>
      </c>
      <c r="C5" s="9" t="s">
        <v>318</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1" x14ac:dyDescent="0.25">
      <c r="A6" s="66"/>
      <c r="B6" s="11" t="s">
        <v>319</v>
      </c>
      <c r="C6" s="9" t="s">
        <v>320</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6.5" x14ac:dyDescent="0.25">
      <c r="A7" s="66"/>
      <c r="B7" s="12" t="s">
        <v>321</v>
      </c>
      <c r="C7" s="9" t="s">
        <v>322</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1" x14ac:dyDescent="0.25">
      <c r="A8" s="66"/>
      <c r="B8" s="13" t="s">
        <v>323</v>
      </c>
      <c r="C8" s="9" t="s">
        <v>324</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25">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ht="16.5" x14ac:dyDescent="0.25">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25">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25">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25">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25">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25">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25">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25">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25">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25">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25">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25">
      <c r="A35" s="66"/>
    </row>
    <row r="36" spans="1:31" x14ac:dyDescent="0.25">
      <c r="A36" s="66"/>
    </row>
    <row r="37" spans="1:31" x14ac:dyDescent="0.25">
      <c r="A37" s="66"/>
    </row>
    <row r="38" spans="1:31" x14ac:dyDescent="0.25">
      <c r="A38" s="66"/>
    </row>
    <row r="39" spans="1:31" x14ac:dyDescent="0.25">
      <c r="A39" s="66"/>
    </row>
    <row r="40" spans="1:31" x14ac:dyDescent="0.25">
      <c r="A40" s="66"/>
    </row>
    <row r="41" spans="1:31" x14ac:dyDescent="0.25">
      <c r="A41" s="66"/>
    </row>
    <row r="42" spans="1:31" x14ac:dyDescent="0.25">
      <c r="A42" s="66"/>
    </row>
    <row r="43" spans="1:31" x14ac:dyDescent="0.25">
      <c r="A43" s="66"/>
    </row>
    <row r="44" spans="1:31" x14ac:dyDescent="0.25">
      <c r="A44" s="66"/>
    </row>
    <row r="45" spans="1:31" x14ac:dyDescent="0.25">
      <c r="A45" s="66"/>
    </row>
    <row r="46" spans="1:31" x14ac:dyDescent="0.25">
      <c r="A46" s="66"/>
    </row>
    <row r="47" spans="1:31" x14ac:dyDescent="0.25">
      <c r="A47" s="66"/>
    </row>
    <row r="48" spans="1:31" x14ac:dyDescent="0.25">
      <c r="A48" s="66"/>
    </row>
    <row r="49" spans="1:1" x14ac:dyDescent="0.25">
      <c r="A49" s="66"/>
    </row>
    <row r="50" spans="1:1" x14ac:dyDescent="0.25">
      <c r="A50" s="66"/>
    </row>
    <row r="51" spans="1:1" x14ac:dyDescent="0.25">
      <c r="A51" s="66"/>
    </row>
    <row r="52" spans="1:1" x14ac:dyDescent="0.25">
      <c r="A52" s="66"/>
    </row>
    <row r="53" spans="1:1" x14ac:dyDescent="0.25">
      <c r="A53" s="66"/>
    </row>
    <row r="54" spans="1:1" x14ac:dyDescent="0.25">
      <c r="A54" s="66"/>
    </row>
    <row r="55" spans="1:1" x14ac:dyDescent="0.25">
      <c r="A55" s="66"/>
    </row>
  </sheetData>
  <mergeCells count="1">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U233"/>
  <sheetViews>
    <sheetView zoomScale="50" zoomScaleNormal="50" workbookViewId="0">
      <selection activeCell="F218" sqref="F218:F222"/>
    </sheetView>
  </sheetViews>
  <sheetFormatPr baseColWidth="10" defaultColWidth="11.42578125" defaultRowHeight="15" x14ac:dyDescent="0.25"/>
  <cols>
    <col min="1" max="1" width="5.28515625" customWidth="1"/>
    <col min="2" max="2" width="56.85546875" customWidth="1"/>
    <col min="3" max="3" width="75.140625" customWidth="1"/>
    <col min="4" max="4" width="87.5703125" customWidth="1"/>
    <col min="5" max="5" width="46.42578125" customWidth="1"/>
    <col min="6" max="6" width="23.42578125" style="114" customWidth="1"/>
    <col min="7" max="7" width="26.85546875" customWidth="1"/>
  </cols>
  <sheetData>
    <row r="2" spans="1:21" s="184" customFormat="1" ht="45.75" customHeight="1" x14ac:dyDescent="0.25">
      <c r="A2" s="182"/>
      <c r="B2" s="638" t="s">
        <v>325</v>
      </c>
      <c r="C2" s="638"/>
      <c r="D2" s="638"/>
      <c r="E2" s="638"/>
      <c r="F2" s="183"/>
      <c r="G2" s="182"/>
      <c r="H2" s="182"/>
      <c r="I2" s="182"/>
      <c r="J2" s="182"/>
      <c r="K2" s="182"/>
      <c r="L2" s="182"/>
      <c r="M2" s="182"/>
      <c r="N2" s="182"/>
      <c r="O2" s="182"/>
      <c r="P2" s="182"/>
      <c r="Q2" s="182"/>
      <c r="R2" s="182"/>
      <c r="S2" s="182"/>
      <c r="T2" s="182"/>
      <c r="U2" s="182"/>
    </row>
    <row r="3" spans="1:21" s="184" customFormat="1" ht="18.75" customHeight="1" x14ac:dyDescent="0.25">
      <c r="A3" s="182"/>
      <c r="B3" s="185"/>
      <c r="C3" s="182"/>
      <c r="D3" s="182"/>
      <c r="E3" s="182"/>
      <c r="F3" s="183"/>
      <c r="G3" s="182"/>
      <c r="H3" s="182"/>
      <c r="I3" s="182"/>
      <c r="J3" s="182"/>
      <c r="K3" s="182"/>
      <c r="L3" s="182"/>
      <c r="M3" s="182"/>
      <c r="N3" s="182"/>
      <c r="O3" s="182"/>
      <c r="P3" s="182"/>
      <c r="Q3" s="182"/>
      <c r="R3" s="182"/>
      <c r="S3" s="182"/>
      <c r="T3" s="182"/>
      <c r="U3" s="182"/>
    </row>
    <row r="4" spans="1:21" ht="67.5" customHeight="1" x14ac:dyDescent="0.25">
      <c r="A4" s="66"/>
      <c r="B4" s="106"/>
      <c r="C4" s="21" t="s">
        <v>326</v>
      </c>
      <c r="D4" s="21" t="s">
        <v>327</v>
      </c>
      <c r="E4" s="21" t="s">
        <v>328</v>
      </c>
      <c r="F4" s="112"/>
      <c r="G4" s="66"/>
      <c r="H4" s="66"/>
      <c r="I4" s="66"/>
      <c r="J4" s="66"/>
      <c r="K4" s="66"/>
      <c r="L4" s="66"/>
      <c r="M4" s="66"/>
      <c r="N4" s="66"/>
      <c r="O4" s="66"/>
      <c r="P4" s="66"/>
      <c r="Q4" s="66"/>
      <c r="R4" s="66"/>
      <c r="S4" s="66"/>
      <c r="T4" s="66"/>
      <c r="U4" s="66"/>
    </row>
    <row r="5" spans="1:21" ht="67.5" customHeight="1" x14ac:dyDescent="0.25">
      <c r="A5" s="86" t="s">
        <v>329</v>
      </c>
      <c r="B5" s="22" t="s">
        <v>330</v>
      </c>
      <c r="C5" s="27" t="s">
        <v>331</v>
      </c>
      <c r="D5" s="104" t="s">
        <v>332</v>
      </c>
      <c r="E5" s="220">
        <f>908526*130</f>
        <v>118108380</v>
      </c>
      <c r="F5" s="66"/>
      <c r="G5" s="66"/>
      <c r="H5" s="66"/>
      <c r="I5" s="66"/>
      <c r="J5" s="66"/>
      <c r="K5" s="66"/>
      <c r="L5" s="66"/>
      <c r="M5" s="66"/>
      <c r="N5" s="66"/>
      <c r="O5" s="66"/>
      <c r="P5" s="66"/>
      <c r="Q5" s="66"/>
      <c r="R5" s="66"/>
      <c r="S5" s="66"/>
      <c r="T5" s="66"/>
      <c r="U5" s="66"/>
    </row>
    <row r="6" spans="1:21" ht="129" customHeight="1" x14ac:dyDescent="0.25">
      <c r="A6" s="86" t="s">
        <v>333</v>
      </c>
      <c r="B6" s="23" t="s">
        <v>334</v>
      </c>
      <c r="C6" s="28" t="s">
        <v>335</v>
      </c>
      <c r="D6" s="105" t="s">
        <v>336</v>
      </c>
      <c r="E6" s="220">
        <f>908526*650</f>
        <v>590541900</v>
      </c>
      <c r="F6" s="66"/>
      <c r="G6" s="66"/>
      <c r="H6" s="66"/>
      <c r="I6" s="66"/>
      <c r="J6" s="66"/>
      <c r="K6" s="66"/>
      <c r="L6" s="66"/>
      <c r="M6" s="66"/>
      <c r="N6" s="66"/>
      <c r="O6" s="66"/>
      <c r="P6" s="66"/>
      <c r="Q6" s="66"/>
      <c r="R6" s="66"/>
      <c r="S6" s="66"/>
      <c r="T6" s="66"/>
      <c r="U6" s="66"/>
    </row>
    <row r="7" spans="1:21" ht="101.25" x14ac:dyDescent="0.25">
      <c r="A7" s="86" t="s">
        <v>270</v>
      </c>
      <c r="B7" s="24" t="s">
        <v>337</v>
      </c>
      <c r="C7" s="28" t="s">
        <v>338</v>
      </c>
      <c r="D7" s="105" t="s">
        <v>339</v>
      </c>
      <c r="E7" s="220">
        <f>908526*1300</f>
        <v>1181083800</v>
      </c>
      <c r="F7" s="66"/>
      <c r="G7" s="66"/>
      <c r="H7" s="66"/>
      <c r="I7" s="66"/>
      <c r="J7" s="66"/>
      <c r="K7" s="66"/>
      <c r="L7" s="66"/>
      <c r="M7" s="66"/>
      <c r="N7" s="66"/>
      <c r="O7" s="66"/>
      <c r="P7" s="66"/>
      <c r="Q7" s="66"/>
      <c r="R7" s="66"/>
      <c r="S7" s="66"/>
      <c r="T7" s="66"/>
      <c r="U7" s="66"/>
    </row>
    <row r="8" spans="1:21" ht="135" x14ac:dyDescent="0.25">
      <c r="A8" s="86" t="s">
        <v>340</v>
      </c>
      <c r="B8" s="25" t="s">
        <v>341</v>
      </c>
      <c r="C8" s="28" t="s">
        <v>342</v>
      </c>
      <c r="D8" s="105" t="s">
        <v>343</v>
      </c>
      <c r="E8" s="220">
        <f>908526*6500</f>
        <v>5905419000</v>
      </c>
      <c r="F8" s="66"/>
      <c r="G8" s="66"/>
      <c r="H8" s="66"/>
      <c r="I8" s="66"/>
      <c r="J8" s="66"/>
      <c r="K8" s="66"/>
      <c r="L8" s="66"/>
      <c r="M8" s="66"/>
      <c r="N8" s="66"/>
      <c r="O8" s="66"/>
      <c r="P8" s="66"/>
      <c r="Q8" s="66"/>
      <c r="R8" s="66"/>
      <c r="S8" s="66"/>
      <c r="T8" s="66"/>
      <c r="U8" s="66"/>
    </row>
    <row r="9" spans="1:21" ht="101.25" x14ac:dyDescent="0.25">
      <c r="A9" s="86" t="s">
        <v>344</v>
      </c>
      <c r="B9" s="26" t="s">
        <v>345</v>
      </c>
      <c r="C9" s="28" t="s">
        <v>346</v>
      </c>
      <c r="D9" s="105" t="s">
        <v>347</v>
      </c>
      <c r="E9" s="220"/>
      <c r="F9" s="107"/>
      <c r="G9" s="107"/>
      <c r="H9" s="66"/>
      <c r="I9" s="66"/>
      <c r="J9" s="66"/>
      <c r="K9" s="66"/>
      <c r="L9" s="66"/>
      <c r="M9" s="66"/>
      <c r="N9" s="66"/>
      <c r="O9" s="66"/>
      <c r="P9" s="66"/>
      <c r="Q9" s="66"/>
      <c r="R9" s="66"/>
      <c r="S9" s="66"/>
      <c r="T9" s="66"/>
      <c r="U9" s="66"/>
    </row>
    <row r="10" spans="1:21" s="110" customFormat="1" ht="20.25" hidden="1" x14ac:dyDescent="0.25">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t="16.5" hidden="1" x14ac:dyDescent="0.25">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25">
      <c r="A12" s="108"/>
      <c r="B12" s="108" t="s">
        <v>348</v>
      </c>
      <c r="C12" s="108" t="s">
        <v>349</v>
      </c>
      <c r="D12" s="108" t="s">
        <v>350</v>
      </c>
      <c r="E12" s="108"/>
      <c r="F12" s="108"/>
      <c r="G12" s="108"/>
      <c r="H12" s="108"/>
      <c r="I12" s="108"/>
      <c r="J12" s="108"/>
      <c r="K12" s="108"/>
      <c r="L12" s="108"/>
      <c r="M12" s="108"/>
      <c r="N12" s="108"/>
      <c r="O12" s="108"/>
      <c r="P12" s="108"/>
      <c r="Q12" s="108"/>
      <c r="R12" s="108"/>
      <c r="S12" s="108"/>
      <c r="T12" s="108"/>
      <c r="U12" s="108"/>
    </row>
    <row r="13" spans="1:21" s="110" customFormat="1" hidden="1" x14ac:dyDescent="0.25">
      <c r="A13" s="108"/>
      <c r="B13" s="108" t="s">
        <v>351</v>
      </c>
      <c r="C13" s="108" t="s">
        <v>352</v>
      </c>
      <c r="D13" s="108" t="s">
        <v>353</v>
      </c>
      <c r="E13" s="108"/>
      <c r="F13" s="108"/>
      <c r="G13" s="108"/>
      <c r="H13" s="108"/>
      <c r="I13" s="108"/>
      <c r="J13" s="108"/>
      <c r="K13" s="108"/>
      <c r="L13" s="108"/>
      <c r="M13" s="108"/>
      <c r="N13" s="108"/>
      <c r="O13" s="108"/>
      <c r="P13" s="108"/>
      <c r="Q13" s="108"/>
      <c r="R13" s="108"/>
      <c r="S13" s="108"/>
      <c r="T13" s="108"/>
      <c r="U13" s="108"/>
    </row>
    <row r="14" spans="1:21" s="110" customFormat="1" hidden="1" x14ac:dyDescent="0.25">
      <c r="A14" s="108"/>
      <c r="B14" s="108"/>
      <c r="C14" s="108" t="s">
        <v>354</v>
      </c>
      <c r="D14" s="108" t="s">
        <v>253</v>
      </c>
      <c r="E14" s="108"/>
      <c r="F14" s="108"/>
      <c r="G14" s="108"/>
      <c r="H14" s="108"/>
      <c r="I14" s="108"/>
      <c r="J14" s="108"/>
      <c r="K14" s="108"/>
      <c r="L14" s="108"/>
      <c r="M14" s="108"/>
      <c r="N14" s="108"/>
      <c r="O14" s="108"/>
      <c r="P14" s="108"/>
      <c r="Q14" s="108"/>
      <c r="R14" s="108"/>
      <c r="S14" s="108"/>
      <c r="T14" s="108"/>
      <c r="U14" s="108"/>
    </row>
    <row r="15" spans="1:21" s="110" customFormat="1" hidden="1" x14ac:dyDescent="0.25">
      <c r="A15" s="108"/>
      <c r="B15" s="108"/>
      <c r="C15" s="108" t="s">
        <v>355</v>
      </c>
      <c r="D15" s="108" t="s">
        <v>356</v>
      </c>
      <c r="E15" s="108"/>
      <c r="F15" s="108"/>
      <c r="G15" s="108"/>
      <c r="H15" s="108"/>
      <c r="I15" s="108"/>
      <c r="J15" s="108"/>
      <c r="K15" s="108"/>
      <c r="L15" s="108"/>
      <c r="M15" s="108"/>
      <c r="N15" s="108"/>
      <c r="O15" s="108"/>
      <c r="P15" s="108"/>
      <c r="Q15" s="108"/>
      <c r="R15" s="108"/>
      <c r="S15" s="108"/>
      <c r="T15" s="108"/>
      <c r="U15" s="108"/>
    </row>
    <row r="16" spans="1:21" s="110" customFormat="1" hidden="1" x14ac:dyDescent="0.25">
      <c r="A16" s="108"/>
      <c r="B16" s="108"/>
      <c r="C16" s="108" t="s">
        <v>357</v>
      </c>
      <c r="D16" s="108" t="s">
        <v>358</v>
      </c>
      <c r="E16" s="108"/>
      <c r="F16" s="108"/>
      <c r="G16" s="108"/>
      <c r="H16" s="108"/>
      <c r="I16" s="108"/>
      <c r="J16" s="108"/>
      <c r="K16" s="108"/>
      <c r="L16" s="108"/>
      <c r="M16" s="108"/>
      <c r="N16" s="108"/>
      <c r="O16" s="108"/>
      <c r="P16" s="108"/>
      <c r="Q16" s="108"/>
      <c r="R16" s="108"/>
      <c r="S16" s="108"/>
      <c r="T16" s="108"/>
      <c r="U16" s="108"/>
    </row>
    <row r="17" spans="1:15" s="110" customFormat="1" hidden="1" x14ac:dyDescent="0.25">
      <c r="A17" s="108"/>
      <c r="B17" s="108"/>
      <c r="C17" s="108"/>
      <c r="D17" s="108"/>
      <c r="E17" s="108"/>
      <c r="F17" s="108"/>
      <c r="G17" s="108"/>
      <c r="H17" s="108"/>
      <c r="I17" s="108"/>
      <c r="J17" s="108"/>
      <c r="K17" s="108"/>
      <c r="L17" s="108"/>
      <c r="M17" s="108"/>
      <c r="N17" s="108"/>
      <c r="O17" s="108"/>
    </row>
    <row r="18" spans="1:15" s="110" customFormat="1" x14ac:dyDescent="0.25">
      <c r="A18" s="108"/>
      <c r="B18" s="108"/>
      <c r="C18" s="108"/>
      <c r="D18" s="108"/>
      <c r="E18" s="108"/>
      <c r="F18" s="108"/>
      <c r="G18" s="108"/>
      <c r="H18" s="108"/>
      <c r="I18" s="108"/>
      <c r="J18" s="108"/>
      <c r="K18" s="108"/>
      <c r="L18" s="108"/>
      <c r="M18" s="108"/>
      <c r="N18" s="108"/>
      <c r="O18" s="108"/>
    </row>
    <row r="19" spans="1:15" s="110" customFormat="1" x14ac:dyDescent="0.25">
      <c r="A19" s="108"/>
      <c r="B19" s="108"/>
      <c r="C19" s="108"/>
      <c r="D19" s="108"/>
      <c r="E19" s="108"/>
      <c r="F19" s="108"/>
      <c r="G19" s="108"/>
      <c r="H19" s="108"/>
      <c r="I19" s="108"/>
      <c r="J19" s="108"/>
      <c r="K19" s="108"/>
      <c r="L19" s="108"/>
      <c r="M19" s="108"/>
      <c r="N19" s="108"/>
      <c r="O19" s="108"/>
    </row>
    <row r="20" spans="1:15" s="110" customFormat="1" x14ac:dyDescent="0.25">
      <c r="A20" s="108"/>
      <c r="B20" s="108"/>
      <c r="C20" s="108"/>
      <c r="D20" s="108"/>
      <c r="E20" s="108"/>
      <c r="F20" s="108"/>
      <c r="G20" s="108"/>
      <c r="H20" s="108"/>
      <c r="I20" s="108"/>
      <c r="J20" s="108"/>
      <c r="K20" s="108"/>
      <c r="L20" s="108"/>
      <c r="M20" s="108"/>
      <c r="N20" s="108"/>
      <c r="O20" s="108"/>
    </row>
    <row r="21" spans="1:15" s="110" customFormat="1" x14ac:dyDescent="0.25">
      <c r="A21" s="108"/>
      <c r="B21" s="108"/>
      <c r="C21" s="108"/>
      <c r="D21" s="108"/>
      <c r="E21" s="108"/>
      <c r="F21" s="113"/>
      <c r="G21" s="108"/>
      <c r="H21" s="108"/>
      <c r="I21" s="108"/>
      <c r="J21" s="108"/>
      <c r="K21" s="108"/>
      <c r="L21" s="108"/>
      <c r="M21" s="108"/>
      <c r="N21" s="108"/>
      <c r="O21" s="108"/>
    </row>
    <row r="22" spans="1:15" s="110" customFormat="1" x14ac:dyDescent="0.25">
      <c r="A22" s="108"/>
      <c r="B22" s="108"/>
      <c r="C22" s="108"/>
      <c r="D22" s="108"/>
      <c r="E22" s="108"/>
      <c r="F22" s="113"/>
      <c r="G22" s="108"/>
      <c r="H22" s="108"/>
      <c r="I22" s="108"/>
      <c r="J22" s="108"/>
      <c r="K22" s="108"/>
      <c r="L22" s="108"/>
      <c r="M22" s="108"/>
      <c r="N22" s="108"/>
      <c r="O22" s="108"/>
    </row>
    <row r="23" spans="1:15" s="110" customFormat="1" ht="20.25" x14ac:dyDescent="0.25">
      <c r="A23" s="108"/>
      <c r="B23" s="108"/>
      <c r="C23" s="109"/>
      <c r="D23" s="109"/>
      <c r="E23" s="108"/>
      <c r="F23" s="113"/>
      <c r="G23" s="108"/>
      <c r="H23" s="108"/>
      <c r="I23" s="108"/>
      <c r="J23" s="108"/>
      <c r="K23" s="108"/>
      <c r="L23" s="108"/>
      <c r="M23" s="108"/>
      <c r="N23" s="108"/>
      <c r="O23" s="108"/>
    </row>
    <row r="24" spans="1:15" s="110" customFormat="1" ht="20.25" x14ac:dyDescent="0.25">
      <c r="A24" s="108"/>
      <c r="B24" s="108"/>
      <c r="C24" s="109"/>
      <c r="D24" s="109"/>
      <c r="E24" s="108"/>
      <c r="F24" s="113"/>
      <c r="G24" s="108"/>
      <c r="H24" s="108"/>
      <c r="I24" s="108"/>
      <c r="J24" s="108"/>
      <c r="K24" s="108"/>
      <c r="L24" s="108"/>
      <c r="M24" s="108"/>
      <c r="N24" s="108"/>
      <c r="O24" s="108"/>
    </row>
    <row r="25" spans="1:15" s="110" customFormat="1" ht="20.25" x14ac:dyDescent="0.25">
      <c r="A25" s="108"/>
      <c r="B25" s="108"/>
      <c r="C25" s="109"/>
      <c r="D25" s="109"/>
      <c r="E25" s="108"/>
      <c r="F25" s="113"/>
      <c r="G25" s="108"/>
      <c r="H25" s="108"/>
      <c r="I25" s="108"/>
      <c r="J25" s="108"/>
      <c r="K25" s="108"/>
      <c r="L25" s="108"/>
      <c r="M25" s="108"/>
      <c r="N25" s="108"/>
      <c r="O25" s="108"/>
    </row>
    <row r="26" spans="1:15" s="110" customFormat="1" ht="20.25" x14ac:dyDescent="0.25">
      <c r="A26" s="108"/>
      <c r="B26" s="108"/>
      <c r="C26" s="109"/>
      <c r="D26" s="109"/>
      <c r="E26" s="108"/>
      <c r="F26" s="113"/>
      <c r="G26" s="108"/>
      <c r="H26" s="108"/>
      <c r="I26" s="108"/>
      <c r="J26" s="108"/>
      <c r="K26" s="108"/>
      <c r="L26" s="108"/>
      <c r="M26" s="108"/>
      <c r="N26" s="108"/>
      <c r="O26" s="108"/>
    </row>
    <row r="27" spans="1:15" s="110" customFormat="1" ht="20.25" x14ac:dyDescent="0.25">
      <c r="A27" s="108"/>
      <c r="B27" s="108"/>
      <c r="C27" s="109"/>
      <c r="D27" s="109"/>
      <c r="E27" s="108"/>
      <c r="F27" s="113"/>
      <c r="G27" s="108"/>
      <c r="H27" s="108"/>
      <c r="I27" s="108"/>
      <c r="J27" s="108"/>
      <c r="K27" s="108"/>
      <c r="L27" s="108"/>
      <c r="M27" s="108"/>
      <c r="N27" s="108"/>
      <c r="O27" s="108"/>
    </row>
    <row r="28" spans="1:15" s="110" customFormat="1" ht="20.25" x14ac:dyDescent="0.25">
      <c r="A28" s="108"/>
      <c r="B28" s="108"/>
      <c r="C28" s="109"/>
      <c r="D28" s="109"/>
      <c r="E28" s="108"/>
      <c r="F28" s="113"/>
      <c r="G28" s="108"/>
      <c r="H28" s="108"/>
      <c r="I28" s="108"/>
      <c r="J28" s="108"/>
      <c r="K28" s="108"/>
      <c r="L28" s="108"/>
      <c r="M28" s="108"/>
      <c r="N28" s="108"/>
      <c r="O28" s="108"/>
    </row>
    <row r="29" spans="1:15" s="110" customFormat="1" ht="20.25" x14ac:dyDescent="0.25">
      <c r="A29" s="108"/>
      <c r="B29" s="108"/>
      <c r="C29" s="109"/>
      <c r="D29" s="109"/>
      <c r="E29" s="108"/>
      <c r="F29" s="113"/>
      <c r="G29" s="108"/>
      <c r="H29" s="108"/>
      <c r="I29" s="108"/>
      <c r="J29" s="108"/>
      <c r="K29" s="108"/>
      <c r="L29" s="108"/>
      <c r="M29" s="108"/>
      <c r="N29" s="108"/>
      <c r="O29" s="108"/>
    </row>
    <row r="30" spans="1:15" s="110" customFormat="1" ht="20.25" x14ac:dyDescent="0.25">
      <c r="A30" s="108"/>
      <c r="B30" s="108"/>
      <c r="C30" s="109"/>
      <c r="D30" s="109"/>
      <c r="E30" s="108"/>
      <c r="F30" s="113"/>
      <c r="G30" s="108"/>
      <c r="H30" s="108"/>
      <c r="I30" s="108"/>
      <c r="J30" s="108"/>
      <c r="K30" s="108"/>
      <c r="L30" s="108"/>
      <c r="M30" s="108"/>
      <c r="N30" s="108"/>
      <c r="O30" s="108"/>
    </row>
    <row r="31" spans="1:15" s="110" customFormat="1" ht="20.25" x14ac:dyDescent="0.25">
      <c r="A31" s="108"/>
      <c r="B31" s="108"/>
      <c r="C31" s="109"/>
      <c r="D31" s="109"/>
      <c r="E31" s="108"/>
      <c r="F31" s="113"/>
      <c r="G31" s="108"/>
      <c r="H31" s="108"/>
      <c r="I31" s="108"/>
      <c r="J31" s="108"/>
      <c r="K31" s="108"/>
      <c r="L31" s="108"/>
      <c r="M31" s="108"/>
      <c r="N31" s="108"/>
      <c r="O31" s="108"/>
    </row>
    <row r="32" spans="1:15" s="110" customFormat="1" ht="20.25" x14ac:dyDescent="0.25">
      <c r="A32" s="108"/>
      <c r="B32" s="108"/>
      <c r="C32" s="109"/>
      <c r="D32" s="109"/>
      <c r="E32" s="108"/>
      <c r="F32" s="113"/>
      <c r="G32" s="108"/>
      <c r="H32" s="108"/>
      <c r="I32" s="108"/>
      <c r="J32" s="108"/>
      <c r="K32" s="108"/>
      <c r="L32" s="108"/>
      <c r="M32" s="108"/>
      <c r="N32" s="108"/>
      <c r="O32" s="108"/>
    </row>
    <row r="33" spans="1:15" s="110" customFormat="1" ht="20.25" x14ac:dyDescent="0.25">
      <c r="A33" s="108"/>
      <c r="B33" s="108"/>
      <c r="C33" s="109"/>
      <c r="D33" s="109"/>
      <c r="E33" s="108"/>
      <c r="F33" s="113"/>
      <c r="G33" s="108"/>
      <c r="H33" s="108"/>
      <c r="I33" s="108"/>
      <c r="J33" s="108"/>
      <c r="K33" s="108"/>
      <c r="L33" s="108"/>
      <c r="M33" s="108"/>
      <c r="N33" s="108"/>
      <c r="O33" s="108"/>
    </row>
    <row r="34" spans="1:15" s="110" customFormat="1" ht="20.25" x14ac:dyDescent="0.25">
      <c r="A34" s="108"/>
      <c r="B34" s="108"/>
      <c r="C34" s="109"/>
      <c r="D34" s="109"/>
      <c r="E34" s="108"/>
      <c r="F34" s="113"/>
      <c r="G34" s="108"/>
      <c r="H34" s="108"/>
      <c r="I34" s="108"/>
      <c r="J34" s="108"/>
      <c r="K34" s="108"/>
      <c r="L34" s="108"/>
      <c r="M34" s="108"/>
      <c r="N34" s="108"/>
      <c r="O34" s="108"/>
    </row>
    <row r="35" spans="1:15" s="110" customFormat="1" ht="20.25" x14ac:dyDescent="0.25">
      <c r="A35" s="108"/>
      <c r="B35" s="108"/>
      <c r="C35" s="109"/>
      <c r="D35" s="109"/>
      <c r="E35" s="108"/>
      <c r="F35" s="113"/>
      <c r="G35" s="108"/>
      <c r="H35" s="108"/>
      <c r="I35" s="108"/>
      <c r="J35" s="108"/>
      <c r="K35" s="108"/>
      <c r="L35" s="108"/>
      <c r="M35" s="108"/>
      <c r="N35" s="108"/>
      <c r="O35" s="108"/>
    </row>
    <row r="36" spans="1:15" s="110" customFormat="1" ht="20.25" x14ac:dyDescent="0.25">
      <c r="A36" s="108"/>
      <c r="B36" s="108"/>
      <c r="C36" s="109"/>
      <c r="D36" s="109"/>
      <c r="E36" s="108"/>
      <c r="F36" s="113"/>
      <c r="G36" s="108"/>
      <c r="H36" s="108"/>
      <c r="I36" s="108"/>
      <c r="J36" s="108"/>
      <c r="K36" s="108"/>
      <c r="L36" s="108"/>
      <c r="M36" s="108"/>
      <c r="N36" s="108"/>
      <c r="O36" s="108"/>
    </row>
    <row r="37" spans="1:15" s="110" customFormat="1" ht="20.25" x14ac:dyDescent="0.25">
      <c r="A37" s="108"/>
      <c r="B37" s="108"/>
      <c r="C37" s="109"/>
      <c r="D37" s="109"/>
      <c r="E37" s="108"/>
      <c r="F37" s="113"/>
      <c r="G37" s="108"/>
      <c r="H37" s="108"/>
      <c r="I37" s="108"/>
      <c r="J37" s="108"/>
      <c r="K37" s="108"/>
      <c r="L37" s="108"/>
      <c r="M37" s="108"/>
      <c r="N37" s="108"/>
      <c r="O37" s="108"/>
    </row>
    <row r="38" spans="1:15" s="110" customFormat="1" ht="20.25" x14ac:dyDescent="0.25">
      <c r="A38" s="108"/>
      <c r="B38" s="108"/>
      <c r="C38" s="109"/>
      <c r="D38" s="109"/>
      <c r="E38" s="108"/>
      <c r="F38" s="113"/>
      <c r="G38" s="108"/>
      <c r="H38" s="108"/>
      <c r="I38" s="108"/>
      <c r="J38" s="108"/>
      <c r="K38" s="108"/>
      <c r="L38" s="108"/>
      <c r="M38" s="108"/>
      <c r="N38" s="108"/>
      <c r="O38" s="108"/>
    </row>
    <row r="39" spans="1:15" s="110" customFormat="1" ht="20.25" x14ac:dyDescent="0.25">
      <c r="A39" s="108"/>
      <c r="B39" s="108"/>
      <c r="C39" s="109"/>
      <c r="D39" s="109"/>
      <c r="E39" s="108"/>
      <c r="F39" s="113"/>
      <c r="G39" s="108"/>
      <c r="H39" s="108"/>
      <c r="I39" s="108"/>
      <c r="J39" s="108"/>
      <c r="K39" s="108"/>
      <c r="L39" s="108"/>
      <c r="M39" s="108"/>
      <c r="N39" s="108"/>
      <c r="O39" s="108"/>
    </row>
    <row r="40" spans="1:15" s="110" customFormat="1" ht="20.25" x14ac:dyDescent="0.25">
      <c r="A40" s="108"/>
      <c r="B40" s="108"/>
      <c r="C40" s="109"/>
      <c r="D40" s="109"/>
      <c r="E40" s="108"/>
      <c r="F40" s="113"/>
      <c r="G40" s="108"/>
      <c r="H40" s="108"/>
      <c r="I40" s="108"/>
      <c r="J40" s="108"/>
      <c r="K40" s="108"/>
      <c r="L40" s="108"/>
      <c r="M40" s="108"/>
      <c r="N40" s="108"/>
      <c r="O40" s="108"/>
    </row>
    <row r="41" spans="1:15" s="110" customFormat="1" ht="20.25" x14ac:dyDescent="0.25">
      <c r="A41" s="108"/>
      <c r="B41" s="108"/>
      <c r="C41" s="109"/>
      <c r="D41" s="109"/>
      <c r="E41" s="108"/>
      <c r="F41" s="113"/>
      <c r="G41" s="108"/>
      <c r="H41" s="108"/>
      <c r="I41" s="108"/>
      <c r="J41" s="108"/>
      <c r="K41" s="108"/>
      <c r="L41" s="108"/>
      <c r="M41" s="108"/>
      <c r="N41" s="108"/>
      <c r="O41" s="108"/>
    </row>
    <row r="42" spans="1:15" s="110" customFormat="1" ht="20.25" x14ac:dyDescent="0.25">
      <c r="A42" s="108"/>
      <c r="B42" s="108"/>
      <c r="C42" s="109"/>
      <c r="D42" s="109"/>
      <c r="E42" s="108"/>
      <c r="F42" s="113"/>
      <c r="G42" s="108"/>
      <c r="H42" s="108"/>
      <c r="I42" s="108"/>
      <c r="J42" s="108"/>
      <c r="K42" s="108"/>
      <c r="L42" s="108"/>
      <c r="M42" s="108"/>
      <c r="N42" s="108"/>
      <c r="O42" s="108"/>
    </row>
    <row r="43" spans="1:15" s="110" customFormat="1" ht="20.25" x14ac:dyDescent="0.25">
      <c r="A43" s="108"/>
      <c r="B43" s="108"/>
      <c r="C43" s="109"/>
      <c r="D43" s="109"/>
      <c r="E43" s="108"/>
      <c r="F43" s="113"/>
      <c r="G43" s="108"/>
      <c r="H43" s="108"/>
      <c r="I43" s="108"/>
      <c r="J43" s="108"/>
      <c r="K43" s="108"/>
      <c r="L43" s="108"/>
      <c r="M43" s="108"/>
      <c r="N43" s="108"/>
      <c r="O43" s="108"/>
    </row>
    <row r="44" spans="1:15" s="110" customFormat="1" ht="20.25" x14ac:dyDescent="0.25">
      <c r="A44" s="108"/>
      <c r="B44" s="108"/>
      <c r="C44" s="109"/>
      <c r="D44" s="109"/>
      <c r="E44" s="108"/>
      <c r="F44" s="113"/>
      <c r="G44" s="108"/>
      <c r="H44" s="108"/>
      <c r="I44" s="108"/>
      <c r="J44" s="108"/>
      <c r="K44" s="108"/>
      <c r="L44" s="108"/>
      <c r="M44" s="108"/>
      <c r="N44" s="108"/>
      <c r="O44" s="108"/>
    </row>
    <row r="45" spans="1:15" s="110" customFormat="1" ht="20.25" x14ac:dyDescent="0.25">
      <c r="A45" s="108"/>
      <c r="B45" s="108"/>
      <c r="C45" s="109"/>
      <c r="D45" s="109"/>
      <c r="E45" s="108"/>
      <c r="F45" s="113"/>
      <c r="G45" s="108"/>
      <c r="H45" s="108"/>
      <c r="I45" s="108"/>
      <c r="J45" s="108"/>
      <c r="K45" s="108"/>
      <c r="L45" s="108"/>
      <c r="M45" s="108"/>
      <c r="N45" s="108"/>
      <c r="O45" s="108"/>
    </row>
    <row r="46" spans="1:15" s="110" customFormat="1" ht="20.25" x14ac:dyDescent="0.25">
      <c r="A46" s="108"/>
      <c r="B46" s="108"/>
      <c r="C46" s="109"/>
      <c r="D46" s="109"/>
      <c r="E46" s="108"/>
      <c r="F46" s="113"/>
      <c r="G46" s="108"/>
      <c r="H46" s="108"/>
      <c r="I46" s="108"/>
      <c r="J46" s="108"/>
      <c r="K46" s="108"/>
      <c r="L46" s="108"/>
      <c r="M46" s="108"/>
      <c r="N46" s="108"/>
      <c r="O46" s="108"/>
    </row>
    <row r="47" spans="1:15" ht="20.25" x14ac:dyDescent="0.25">
      <c r="A47" s="86"/>
      <c r="B47" s="86"/>
      <c r="C47" s="87"/>
      <c r="D47" s="87"/>
      <c r="E47" s="66"/>
      <c r="F47" s="112"/>
      <c r="G47" s="66"/>
      <c r="H47" s="66"/>
      <c r="I47" s="66"/>
      <c r="J47" s="66"/>
      <c r="K47" s="66"/>
      <c r="L47" s="66"/>
      <c r="M47" s="66"/>
      <c r="N47" s="66"/>
      <c r="O47" s="66"/>
    </row>
    <row r="48" spans="1:15" ht="20.25" x14ac:dyDescent="0.25">
      <c r="A48" s="86"/>
      <c r="B48" s="86"/>
      <c r="C48" s="87"/>
      <c r="D48" s="87"/>
      <c r="E48" s="66"/>
      <c r="F48" s="112"/>
      <c r="G48" s="66"/>
      <c r="H48" s="66"/>
      <c r="I48" s="66"/>
      <c r="J48" s="66"/>
      <c r="K48" s="66"/>
      <c r="L48" s="66"/>
      <c r="M48" s="66"/>
      <c r="N48" s="66"/>
      <c r="O48" s="66"/>
    </row>
    <row r="49" spans="1:15" ht="20.25" x14ac:dyDescent="0.25">
      <c r="A49" s="86"/>
      <c r="B49" s="86"/>
      <c r="C49" s="87"/>
      <c r="D49" s="87"/>
      <c r="E49" s="66"/>
      <c r="F49" s="112"/>
      <c r="G49" s="66"/>
      <c r="H49" s="66"/>
      <c r="I49" s="66"/>
      <c r="J49" s="66"/>
      <c r="K49" s="66"/>
      <c r="L49" s="66"/>
      <c r="M49" s="66"/>
      <c r="N49" s="66"/>
      <c r="O49" s="66"/>
    </row>
    <row r="50" spans="1:15" ht="20.25" x14ac:dyDescent="0.25">
      <c r="A50" s="86"/>
      <c r="B50" s="86"/>
      <c r="C50" s="87"/>
      <c r="D50" s="87"/>
      <c r="E50" s="66"/>
      <c r="F50" s="112"/>
      <c r="G50" s="66"/>
      <c r="H50" s="66"/>
      <c r="I50" s="66"/>
      <c r="J50" s="66"/>
      <c r="K50" s="66"/>
      <c r="L50" s="66"/>
      <c r="M50" s="66"/>
      <c r="N50" s="66"/>
      <c r="O50" s="66"/>
    </row>
    <row r="51" spans="1:15" ht="20.25" x14ac:dyDescent="0.25">
      <c r="A51" s="86"/>
      <c r="B51" s="86"/>
      <c r="C51" s="87"/>
      <c r="D51" s="87"/>
      <c r="E51" s="66"/>
      <c r="F51" s="112"/>
      <c r="G51" s="66"/>
      <c r="H51" s="66"/>
      <c r="I51" s="66"/>
      <c r="J51" s="66"/>
      <c r="K51" s="66"/>
      <c r="L51" s="66"/>
      <c r="M51" s="66"/>
      <c r="N51" s="66"/>
      <c r="O51" s="66"/>
    </row>
    <row r="52" spans="1:15" ht="20.25" x14ac:dyDescent="0.25">
      <c r="A52" s="86"/>
      <c r="B52" s="86"/>
      <c r="C52" s="87"/>
      <c r="D52" s="87"/>
      <c r="E52" s="66"/>
      <c r="F52" s="112"/>
      <c r="G52" s="66"/>
      <c r="H52" s="66"/>
      <c r="I52" s="66"/>
      <c r="J52" s="66"/>
      <c r="K52" s="66"/>
      <c r="L52" s="66"/>
      <c r="M52" s="66"/>
      <c r="N52" s="66"/>
      <c r="O52" s="66"/>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6" ht="20.25" x14ac:dyDescent="0.25">
      <c r="A193" s="86"/>
      <c r="B193" s="15"/>
      <c r="C193" s="20"/>
      <c r="D193" s="20"/>
    </row>
    <row r="194" spans="1:6" ht="20.25" x14ac:dyDescent="0.25">
      <c r="A194" s="86"/>
      <c r="B194" s="15"/>
      <c r="C194" s="20"/>
      <c r="D194" s="20"/>
    </row>
    <row r="195" spans="1:6" ht="20.25" x14ac:dyDescent="0.25">
      <c r="A195" s="86"/>
      <c r="B195" s="15"/>
      <c r="C195" s="20"/>
      <c r="D195" s="20"/>
    </row>
    <row r="196" spans="1:6" ht="20.25" x14ac:dyDescent="0.25">
      <c r="A196" s="86"/>
      <c r="B196" s="15"/>
      <c r="C196" s="20"/>
      <c r="D196" s="20"/>
    </row>
    <row r="197" spans="1:6" ht="20.25" x14ac:dyDescent="0.25">
      <c r="A197" s="86"/>
      <c r="B197" s="15"/>
      <c r="C197" s="20"/>
      <c r="D197" s="20"/>
    </row>
    <row r="198" spans="1:6" ht="20.25" x14ac:dyDescent="0.25">
      <c r="A198" s="86"/>
      <c r="B198" s="15"/>
      <c r="C198" s="20"/>
      <c r="D198" s="20"/>
    </row>
    <row r="199" spans="1:6" ht="20.25" x14ac:dyDescent="0.25">
      <c r="A199" s="86"/>
      <c r="B199" s="15"/>
      <c r="C199" s="20"/>
      <c r="D199" s="20"/>
    </row>
    <row r="200" spans="1:6" ht="20.25" x14ac:dyDescent="0.25">
      <c r="A200" s="86"/>
      <c r="B200" s="15"/>
      <c r="C200" s="20"/>
      <c r="D200" s="20"/>
    </row>
    <row r="201" spans="1:6" ht="20.25" x14ac:dyDescent="0.25">
      <c r="A201" s="86"/>
      <c r="B201" s="15"/>
      <c r="C201" s="20"/>
      <c r="D201" s="20"/>
    </row>
    <row r="202" spans="1:6" ht="20.25" x14ac:dyDescent="0.25">
      <c r="A202" s="86"/>
      <c r="B202" s="15"/>
      <c r="C202" s="20"/>
      <c r="D202" s="20"/>
    </row>
    <row r="203" spans="1:6" ht="20.25" x14ac:dyDescent="0.25">
      <c r="A203" s="86"/>
      <c r="B203" s="15"/>
      <c r="C203" s="20"/>
      <c r="D203" s="20"/>
    </row>
    <row r="204" spans="1:6" ht="20.25" x14ac:dyDescent="0.25">
      <c r="A204" s="86"/>
      <c r="B204" s="15"/>
      <c r="C204" s="20"/>
      <c r="D204" s="20"/>
    </row>
    <row r="205" spans="1:6" ht="20.25" x14ac:dyDescent="0.25">
      <c r="A205" s="86"/>
      <c r="B205" s="15"/>
      <c r="C205" s="20"/>
      <c r="D205" s="20"/>
    </row>
    <row r="206" spans="1:6" ht="20.25" x14ac:dyDescent="0.25">
      <c r="A206" s="86"/>
      <c r="B206" s="15"/>
      <c r="C206" s="20"/>
      <c r="D206" s="20"/>
    </row>
    <row r="207" spans="1:6" ht="20.25" x14ac:dyDescent="0.25">
      <c r="A207" s="86"/>
      <c r="B207" s="15"/>
      <c r="C207" s="20"/>
      <c r="D207" s="20"/>
    </row>
    <row r="208" spans="1:6" ht="20.25" x14ac:dyDescent="0.25">
      <c r="A208" s="86"/>
      <c r="B208" s="15"/>
      <c r="C208" s="20"/>
      <c r="D208" s="20"/>
      <c r="F208" s="114" t="s">
        <v>270</v>
      </c>
    </row>
    <row r="209" spans="1:8" x14ac:dyDescent="0.25">
      <c r="A209" s="66"/>
      <c r="B209" s="15"/>
      <c r="C209" s="15"/>
      <c r="D209" s="15"/>
      <c r="F209" s="114" t="s">
        <v>340</v>
      </c>
    </row>
    <row r="210" spans="1:8" ht="20.25" x14ac:dyDescent="0.25">
      <c r="A210" s="66"/>
      <c r="B210" s="16" t="s">
        <v>359</v>
      </c>
      <c r="C210" s="16" t="s">
        <v>360</v>
      </c>
      <c r="D210" s="19" t="s">
        <v>359</v>
      </c>
      <c r="E210" s="19" t="s">
        <v>360</v>
      </c>
      <c r="F210" s="114" t="s">
        <v>361</v>
      </c>
    </row>
    <row r="211" spans="1:8" ht="21" x14ac:dyDescent="0.35">
      <c r="A211" s="66"/>
      <c r="B211" s="17" t="s">
        <v>362</v>
      </c>
      <c r="C211" s="117" t="s">
        <v>363</v>
      </c>
      <c r="D211" s="116" t="s">
        <v>362</v>
      </c>
      <c r="F211" s="114" t="str">
        <f>IF(NOT(ISBLANK(D211)),D211,IF(NOT(ISBLANK(E211)),"     "&amp;E211,FALSE))</f>
        <v>Afectación Económica o presupuestal</v>
      </c>
      <c r="G211" t="s">
        <v>362</v>
      </c>
      <c r="H211" t="str">
        <f>IF(NOT(ISERROR(MATCH(G211,_xlfn.ANCHORARRAY(B222),0))),F224&amp;"Por favor no seleccionar los criterios de impacto",G211)</f>
        <v>❌Por favor no seleccionar los criterios de impacto</v>
      </c>
    </row>
    <row r="212" spans="1:8" ht="21" x14ac:dyDescent="0.35">
      <c r="A212" s="66"/>
      <c r="B212" s="17" t="s">
        <v>362</v>
      </c>
      <c r="C212" s="117" t="s">
        <v>335</v>
      </c>
      <c r="E212" t="s">
        <v>363</v>
      </c>
      <c r="F212" s="114" t="str">
        <f t="shared" ref="F212:F222" si="0">IF(NOT(ISBLANK(D212)),D212,IF(NOT(ISBLANK(E212)),"     "&amp;E212,FALSE))</f>
        <v xml:space="preserve">     Afectación menor a 130 SMLMV .</v>
      </c>
    </row>
    <row r="213" spans="1:8" ht="21" x14ac:dyDescent="0.35">
      <c r="A213" s="66"/>
      <c r="B213" s="17" t="s">
        <v>362</v>
      </c>
      <c r="C213" s="117" t="s">
        <v>338</v>
      </c>
      <c r="E213" t="s">
        <v>335</v>
      </c>
      <c r="F213" s="114" t="str">
        <f t="shared" si="0"/>
        <v xml:space="preserve">     Entre 130 y 650 SMLMV </v>
      </c>
    </row>
    <row r="214" spans="1:8" ht="21" x14ac:dyDescent="0.35">
      <c r="A214" s="66"/>
      <c r="B214" s="17" t="s">
        <v>362</v>
      </c>
      <c r="C214" s="117" t="s">
        <v>342</v>
      </c>
      <c r="E214" t="s">
        <v>338</v>
      </c>
      <c r="F214" s="114" t="str">
        <f t="shared" si="0"/>
        <v xml:space="preserve">     Entre 650 y 1300 SMLMV </v>
      </c>
    </row>
    <row r="215" spans="1:8" ht="21" x14ac:dyDescent="0.35">
      <c r="A215" s="66"/>
      <c r="B215" s="17" t="s">
        <v>362</v>
      </c>
      <c r="C215" s="117" t="s">
        <v>346</v>
      </c>
      <c r="E215" t="s">
        <v>342</v>
      </c>
      <c r="F215" s="114" t="str">
        <f t="shared" si="0"/>
        <v xml:space="preserve">     Entre 1300 y 6500 SMLMV </v>
      </c>
    </row>
    <row r="216" spans="1:8" ht="21" x14ac:dyDescent="0.35">
      <c r="A216" s="66"/>
      <c r="B216" s="17" t="s">
        <v>327</v>
      </c>
      <c r="C216" s="117" t="s">
        <v>332</v>
      </c>
      <c r="E216" t="s">
        <v>346</v>
      </c>
      <c r="F216" s="114" t="str">
        <f t="shared" si="0"/>
        <v xml:space="preserve">     Mayor a 6500 SMLMV </v>
      </c>
    </row>
    <row r="217" spans="1:8" ht="63" x14ac:dyDescent="0.35">
      <c r="A217" s="66"/>
      <c r="B217" s="17" t="s">
        <v>327</v>
      </c>
      <c r="C217" s="117" t="s">
        <v>336</v>
      </c>
      <c r="D217" s="116" t="s">
        <v>327</v>
      </c>
      <c r="F217" s="114" t="str">
        <f t="shared" si="0"/>
        <v>Pérdida Reputacional</v>
      </c>
    </row>
    <row r="218" spans="1:8" ht="42" x14ac:dyDescent="0.35">
      <c r="A218" s="66"/>
      <c r="B218" s="17" t="s">
        <v>327</v>
      </c>
      <c r="C218" s="117" t="s">
        <v>339</v>
      </c>
      <c r="D218" s="116"/>
      <c r="E218" s="118" t="s">
        <v>332</v>
      </c>
      <c r="F218" s="114" t="str">
        <f t="shared" si="0"/>
        <v xml:space="preserve">     El riesgo afecta la imagen de alguna área de la organización</v>
      </c>
    </row>
    <row r="219" spans="1:8" ht="63" x14ac:dyDescent="0.35">
      <c r="A219" s="66"/>
      <c r="B219" s="17" t="s">
        <v>327</v>
      </c>
      <c r="C219" s="117" t="s">
        <v>364</v>
      </c>
      <c r="D219" s="116"/>
      <c r="E219" s="118" t="s">
        <v>336</v>
      </c>
      <c r="F219" s="114" t="str">
        <f t="shared" si="0"/>
        <v xml:space="preserve">     El riesgo afecta la imagen de la entidad internamente, de conocimiento general, nivel interno, de junta dircetiva y accionistas y/o de provedores</v>
      </c>
    </row>
    <row r="220" spans="1:8" ht="45" x14ac:dyDescent="0.35">
      <c r="A220" s="66"/>
      <c r="B220" s="17" t="s">
        <v>327</v>
      </c>
      <c r="C220" s="117" t="s">
        <v>347</v>
      </c>
      <c r="D220" s="116"/>
      <c r="E220" s="118" t="s">
        <v>339</v>
      </c>
      <c r="F220" s="114" t="str">
        <f t="shared" si="0"/>
        <v xml:space="preserve">     El riesgo afecta la imagen de la entidad con algunos usuarios de relevancia frente al logro de los objetivos</v>
      </c>
    </row>
    <row r="221" spans="1:8" ht="45" x14ac:dyDescent="0.25">
      <c r="A221" s="66"/>
      <c r="B221" s="18"/>
      <c r="C221" s="18"/>
      <c r="D221" s="116"/>
      <c r="E221" s="118" t="s">
        <v>364</v>
      </c>
      <c r="F221" s="114" t="str">
        <f t="shared" si="0"/>
        <v xml:space="preserve">     El riesgo afecta la imagen de de la entidad con efecto publicitario sostenido a nivel de sector administrativo, nivel departamental o municipal</v>
      </c>
    </row>
    <row r="222" spans="1:8" ht="58.5" customHeight="1" x14ac:dyDescent="0.25">
      <c r="A222" s="66"/>
      <c r="B222" s="18" t="str" cm="1">
        <f t="array" ref="B222:B224">_xlfn.UNIQUE(Tabla1[[#All],[Criterios]])</f>
        <v>Criterios</v>
      </c>
      <c r="C222" s="18"/>
      <c r="D222" s="116"/>
      <c r="E222" s="118" t="s">
        <v>347</v>
      </c>
      <c r="F222" s="114" t="str">
        <f t="shared" si="0"/>
        <v xml:space="preserve">     El riesgo afecta la imagen de la entidad a nivel nacional, con efecto publicitarios sostenible a nivel país</v>
      </c>
    </row>
    <row r="223" spans="1:8" x14ac:dyDescent="0.25">
      <c r="A223" s="66"/>
      <c r="B223" s="18" t="str">
        <v>Afectación Económica o presupuestal</v>
      </c>
      <c r="C223" s="18"/>
    </row>
    <row r="224" spans="1:8" x14ac:dyDescent="0.25">
      <c r="B224" s="18" t="str">
        <v>Pérdida Reputacional</v>
      </c>
      <c r="C224" s="18"/>
      <c r="F224" s="115" t="s">
        <v>365</v>
      </c>
    </row>
    <row r="225" spans="2:6" x14ac:dyDescent="0.25">
      <c r="B225" s="14"/>
      <c r="C225" s="14"/>
      <c r="F225" s="115" t="s">
        <v>366</v>
      </c>
    </row>
    <row r="226" spans="2:6" x14ac:dyDescent="0.25">
      <c r="B226" s="14"/>
      <c r="C226" s="14"/>
    </row>
    <row r="227" spans="2:6" x14ac:dyDescent="0.25">
      <c r="B227" s="14"/>
      <c r="C227" s="14"/>
    </row>
    <row r="228" spans="2:6" x14ac:dyDescent="0.25">
      <c r="B228" s="14"/>
      <c r="C228" s="14"/>
      <c r="D228" s="14"/>
    </row>
    <row r="229" spans="2:6" x14ac:dyDescent="0.25">
      <c r="B229" s="14"/>
      <c r="C229" s="14"/>
      <c r="D229" s="14"/>
    </row>
    <row r="230" spans="2:6" x14ac:dyDescent="0.25">
      <c r="B230" s="14"/>
      <c r="C230" s="14"/>
      <c r="D230" s="14"/>
    </row>
    <row r="231" spans="2:6" x14ac:dyDescent="0.25">
      <c r="B231" s="14"/>
      <c r="C231" s="14"/>
      <c r="D231" s="14"/>
    </row>
    <row r="232" spans="2:6" x14ac:dyDescent="0.25">
      <c r="B232" s="14"/>
      <c r="C232" s="14"/>
      <c r="D232" s="14"/>
    </row>
    <row r="233" spans="2:6" x14ac:dyDescent="0.25">
      <c r="B233" s="14"/>
      <c r="C233" s="14"/>
      <c r="D233" s="14"/>
    </row>
  </sheetData>
  <mergeCells count="1">
    <mergeCell ref="B2:E2"/>
  </mergeCells>
  <dataValidations disablePrompts="1" count="1">
    <dataValidation type="list" allowBlank="1" showInputMessage="1" showErrorMessage="1" sqref="G211" xr:uid="{00000000-0002-0000-0A00-000000000000}">
      <formula1>$F$211:$F$222</formula1>
    </dataValidation>
  </dataValidations>
  <pageMargins left="0.7" right="0.7" top="0.75" bottom="0.75" header="0.3" footer="0.3"/>
  <pageSetup orientation="portrait"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X18"/>
  <sheetViews>
    <sheetView zoomScale="140" zoomScaleNormal="140" workbookViewId="0">
      <pane xSplit="4" ySplit="2" topLeftCell="E3" activePane="bottomRight" state="frozen"/>
      <selection pane="topRight" activeCell="E1" sqref="E1"/>
      <selection pane="bottomLeft" activeCell="A3" sqref="A3"/>
      <selection pane="bottomRight" activeCell="C3" sqref="C3:D3"/>
    </sheetView>
  </sheetViews>
  <sheetFormatPr baseColWidth="10" defaultColWidth="11.42578125" defaultRowHeight="15" x14ac:dyDescent="0.25"/>
  <cols>
    <col min="2" max="2" width="18" customWidth="1"/>
    <col min="3" max="3" width="26.5703125" customWidth="1"/>
    <col min="4" max="4" width="41.85546875" customWidth="1"/>
    <col min="50" max="50" width="15.42578125" customWidth="1"/>
  </cols>
  <sheetData>
    <row r="2" spans="2:50" ht="15.75" thickBot="1" x14ac:dyDescent="0.3"/>
    <row r="3" spans="2:50" ht="33.75" customHeight="1" thickBot="1" x14ac:dyDescent="0.3">
      <c r="B3" s="639" t="s">
        <v>367</v>
      </c>
      <c r="C3" s="155" t="s">
        <v>368</v>
      </c>
      <c r="D3" s="153" t="s">
        <v>369</v>
      </c>
      <c r="AX3" t="s">
        <v>367</v>
      </c>
    </row>
    <row r="4" spans="2:50" ht="48.75" thickBot="1" x14ac:dyDescent="0.3">
      <c r="B4" s="640"/>
      <c r="C4" s="156" t="s">
        <v>370</v>
      </c>
      <c r="D4" s="154" t="s">
        <v>371</v>
      </c>
      <c r="AX4" t="s">
        <v>146</v>
      </c>
    </row>
    <row r="5" spans="2:50" ht="48.75" thickBot="1" x14ac:dyDescent="0.3">
      <c r="B5" s="640"/>
      <c r="C5" s="156" t="s">
        <v>372</v>
      </c>
      <c r="D5" s="154" t="s">
        <v>373</v>
      </c>
      <c r="AX5" t="s">
        <v>374</v>
      </c>
    </row>
    <row r="6" spans="2:50" ht="36.75" thickBot="1" x14ac:dyDescent="0.3">
      <c r="B6" s="641"/>
      <c r="C6" s="156" t="s">
        <v>375</v>
      </c>
      <c r="D6" s="154" t="s">
        <v>376</v>
      </c>
    </row>
    <row r="7" spans="2:50" ht="36.75" thickBot="1" x14ac:dyDescent="0.3">
      <c r="B7" s="639" t="s">
        <v>146</v>
      </c>
      <c r="C7" s="156" t="s">
        <v>377</v>
      </c>
      <c r="D7" s="154" t="s">
        <v>378</v>
      </c>
    </row>
    <row r="8" spans="2:50" ht="96.75" thickBot="1" x14ac:dyDescent="0.3">
      <c r="B8" s="640"/>
      <c r="C8" s="156" t="s">
        <v>379</v>
      </c>
      <c r="D8" s="154" t="s">
        <v>380</v>
      </c>
    </row>
    <row r="9" spans="2:50" ht="48.75" thickBot="1" x14ac:dyDescent="0.3">
      <c r="B9" s="641"/>
      <c r="C9" s="156" t="s">
        <v>150</v>
      </c>
      <c r="D9" s="154" t="s">
        <v>381</v>
      </c>
    </row>
    <row r="10" spans="2:50" x14ac:dyDescent="0.25">
      <c r="B10" s="639" t="s">
        <v>374</v>
      </c>
      <c r="C10" s="157"/>
      <c r="D10" s="642" t="s">
        <v>382</v>
      </c>
    </row>
    <row r="11" spans="2:50" x14ac:dyDescent="0.25">
      <c r="B11" s="640"/>
      <c r="C11" s="157" t="s">
        <v>153</v>
      </c>
      <c r="D11" s="643"/>
    </row>
    <row r="12" spans="2:50" ht="15.75" thickBot="1" x14ac:dyDescent="0.3">
      <c r="B12" s="640"/>
      <c r="C12" s="156"/>
      <c r="D12" s="644"/>
    </row>
    <row r="13" spans="2:50" ht="22.5" customHeight="1" x14ac:dyDescent="0.25">
      <c r="B13" s="640"/>
      <c r="C13" s="157"/>
      <c r="D13" s="642" t="s">
        <v>383</v>
      </c>
    </row>
    <row r="14" spans="2:50" ht="22.5" customHeight="1" x14ac:dyDescent="0.25">
      <c r="B14" s="640"/>
      <c r="C14" s="157" t="s">
        <v>152</v>
      </c>
      <c r="D14" s="643"/>
    </row>
    <row r="15" spans="2:50" ht="22.5" customHeight="1" thickBot="1" x14ac:dyDescent="0.3">
      <c r="B15" s="640"/>
      <c r="C15" s="156"/>
      <c r="D15" s="644"/>
    </row>
    <row r="16" spans="2:50" ht="25.5" customHeight="1" x14ac:dyDescent="0.25">
      <c r="B16" s="640"/>
      <c r="C16" s="157"/>
      <c r="D16" s="642" t="s">
        <v>384</v>
      </c>
    </row>
    <row r="17" spans="2:4" ht="25.5" customHeight="1" x14ac:dyDescent="0.25">
      <c r="B17" s="640"/>
      <c r="C17" s="157" t="s">
        <v>154</v>
      </c>
      <c r="D17" s="643"/>
    </row>
    <row r="18" spans="2:4" ht="25.5" customHeight="1" thickBot="1" x14ac:dyDescent="0.3">
      <c r="B18" s="641"/>
      <c r="C18" s="156"/>
      <c r="D18" s="644"/>
    </row>
  </sheetData>
  <mergeCells count="6">
    <mergeCell ref="B3:B6"/>
    <mergeCell ref="B7:B9"/>
    <mergeCell ref="B10:B18"/>
    <mergeCell ref="D10:D12"/>
    <mergeCell ref="D13:D15"/>
    <mergeCell ref="D16:D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1:F48"/>
  <sheetViews>
    <sheetView topLeftCell="A3" zoomScale="110" zoomScaleNormal="110" workbookViewId="0">
      <selection activeCell="C14" sqref="C14"/>
    </sheetView>
  </sheetViews>
  <sheetFormatPr baseColWidth="10" defaultColWidth="11.42578125" defaultRowHeight="15" x14ac:dyDescent="0.25"/>
  <cols>
    <col min="1" max="1" width="3.7109375" customWidth="1"/>
    <col min="2" max="2" width="8.28515625" customWidth="1"/>
    <col min="3" max="3" width="27" customWidth="1"/>
    <col min="5" max="5" width="15" customWidth="1"/>
    <col min="6" max="6" width="33.42578125" customWidth="1"/>
  </cols>
  <sheetData>
    <row r="1" spans="3:6" ht="15.75" thickBot="1" x14ac:dyDescent="0.3">
      <c r="C1" s="175" t="s">
        <v>385</v>
      </c>
    </row>
    <row r="2" spans="3:6" ht="15.75" thickBot="1" x14ac:dyDescent="0.3">
      <c r="C2" s="173" t="s">
        <v>386</v>
      </c>
      <c r="E2" s="176" t="s">
        <v>159</v>
      </c>
      <c r="F2" s="177" t="s">
        <v>160</v>
      </c>
    </row>
    <row r="3" spans="3:6" ht="15.75" thickBot="1" x14ac:dyDescent="0.3">
      <c r="C3" s="173" t="s">
        <v>387</v>
      </c>
      <c r="E3" s="346" t="s">
        <v>158</v>
      </c>
      <c r="F3" s="162" t="s">
        <v>162</v>
      </c>
    </row>
    <row r="4" spans="3:6" ht="15.75" thickBot="1" x14ac:dyDescent="0.3">
      <c r="C4" s="173" t="s">
        <v>388</v>
      </c>
      <c r="E4" s="344"/>
      <c r="F4" s="162" t="s">
        <v>164</v>
      </c>
    </row>
    <row r="5" spans="3:6" ht="15.75" thickBot="1" x14ac:dyDescent="0.3">
      <c r="C5" s="173" t="s">
        <v>389</v>
      </c>
      <c r="E5" s="344"/>
      <c r="F5" s="162" t="s">
        <v>166</v>
      </c>
    </row>
    <row r="6" spans="3:6" ht="15.75" thickBot="1" x14ac:dyDescent="0.3">
      <c r="C6" s="173" t="s">
        <v>390</v>
      </c>
      <c r="E6" s="344"/>
      <c r="F6" s="162" t="s">
        <v>168</v>
      </c>
    </row>
    <row r="7" spans="3:6" ht="15.75" thickBot="1" x14ac:dyDescent="0.3">
      <c r="C7" s="174" t="s">
        <v>391</v>
      </c>
      <c r="E7" s="344"/>
      <c r="F7" s="162" t="s">
        <v>169</v>
      </c>
    </row>
    <row r="8" spans="3:6" ht="15.75" thickBot="1" x14ac:dyDescent="0.3">
      <c r="C8" s="173" t="s">
        <v>392</v>
      </c>
      <c r="E8" s="345"/>
      <c r="F8" s="162" t="s">
        <v>170</v>
      </c>
    </row>
    <row r="9" spans="3:6" ht="15.75" thickBot="1" x14ac:dyDescent="0.3">
      <c r="C9" s="173" t="s">
        <v>393</v>
      </c>
      <c r="E9" s="343" t="s">
        <v>167</v>
      </c>
      <c r="F9" s="162" t="s">
        <v>171</v>
      </c>
    </row>
    <row r="10" spans="3:6" ht="15.75" thickBot="1" x14ac:dyDescent="0.3">
      <c r="C10" s="172" t="s">
        <v>394</v>
      </c>
      <c r="E10" s="344"/>
      <c r="F10" s="162" t="s">
        <v>172</v>
      </c>
    </row>
    <row r="11" spans="3:6" ht="15.75" thickBot="1" x14ac:dyDescent="0.3">
      <c r="C11" s="248" t="s">
        <v>395</v>
      </c>
      <c r="E11" s="344"/>
      <c r="F11" s="162" t="s">
        <v>173</v>
      </c>
    </row>
    <row r="12" spans="3:6" ht="15.75" thickBot="1" x14ac:dyDescent="0.3">
      <c r="E12" s="344"/>
      <c r="F12" s="162" t="s">
        <v>174</v>
      </c>
    </row>
    <row r="13" spans="3:6" ht="15.75" thickBot="1" x14ac:dyDescent="0.3">
      <c r="E13" s="345"/>
      <c r="F13" s="162" t="s">
        <v>175</v>
      </c>
    </row>
    <row r="14" spans="3:6" ht="24.75" thickBot="1" x14ac:dyDescent="0.3">
      <c r="E14" s="343" t="s">
        <v>163</v>
      </c>
      <c r="F14" s="162" t="s">
        <v>176</v>
      </c>
    </row>
    <row r="15" spans="3:6" ht="15.75" thickBot="1" x14ac:dyDescent="0.3">
      <c r="E15" s="344"/>
      <c r="F15" s="162" t="s">
        <v>177</v>
      </c>
    </row>
    <row r="16" spans="3:6" ht="15.75" thickBot="1" x14ac:dyDescent="0.3">
      <c r="E16" s="345"/>
      <c r="F16" s="162" t="s">
        <v>178</v>
      </c>
    </row>
    <row r="17" spans="5:6" ht="15.75" thickBot="1" x14ac:dyDescent="0.3">
      <c r="E17" s="343" t="s">
        <v>165</v>
      </c>
      <c r="F17" s="162" t="s">
        <v>179</v>
      </c>
    </row>
    <row r="18" spans="5:6" ht="15.75" thickBot="1" x14ac:dyDescent="0.3">
      <c r="E18" s="344"/>
      <c r="F18" s="162" t="s">
        <v>180</v>
      </c>
    </row>
    <row r="19" spans="5:6" ht="15.75" thickBot="1" x14ac:dyDescent="0.3">
      <c r="E19" s="345"/>
      <c r="F19" s="162" t="s">
        <v>181</v>
      </c>
    </row>
    <row r="20" spans="5:6" ht="24.75" thickBot="1" x14ac:dyDescent="0.3">
      <c r="E20" s="343" t="s">
        <v>156</v>
      </c>
      <c r="F20" s="162" t="s">
        <v>182</v>
      </c>
    </row>
    <row r="21" spans="5:6" ht="15.75" thickBot="1" x14ac:dyDescent="0.3">
      <c r="E21" s="344"/>
      <c r="F21" s="162" t="s">
        <v>183</v>
      </c>
    </row>
    <row r="22" spans="5:6" ht="15.75" thickBot="1" x14ac:dyDescent="0.3">
      <c r="E22" s="344"/>
      <c r="F22" s="162" t="s">
        <v>184</v>
      </c>
    </row>
    <row r="23" spans="5:6" ht="15.75" thickBot="1" x14ac:dyDescent="0.3">
      <c r="E23" s="344"/>
      <c r="F23" s="162" t="s">
        <v>185</v>
      </c>
    </row>
    <row r="24" spans="5:6" ht="15.75" thickBot="1" x14ac:dyDescent="0.3">
      <c r="E24" s="344"/>
      <c r="F24" s="162" t="s">
        <v>186</v>
      </c>
    </row>
    <row r="25" spans="5:6" ht="24.75" thickBot="1" x14ac:dyDescent="0.3">
      <c r="E25" s="344"/>
      <c r="F25" s="162" t="s">
        <v>187</v>
      </c>
    </row>
    <row r="26" spans="5:6" ht="15.75" thickBot="1" x14ac:dyDescent="0.3">
      <c r="E26" s="344"/>
      <c r="F26" s="162" t="s">
        <v>188</v>
      </c>
    </row>
    <row r="27" spans="5:6" ht="24.75" thickBot="1" x14ac:dyDescent="0.3">
      <c r="E27" s="344"/>
      <c r="F27" s="162" t="s">
        <v>189</v>
      </c>
    </row>
    <row r="28" spans="5:6" ht="15.75" thickBot="1" x14ac:dyDescent="0.3">
      <c r="E28" s="344"/>
      <c r="F28" s="162" t="s">
        <v>190</v>
      </c>
    </row>
    <row r="29" spans="5:6" ht="15.75" thickBot="1" x14ac:dyDescent="0.3">
      <c r="E29" s="344"/>
      <c r="F29" s="162" t="s">
        <v>191</v>
      </c>
    </row>
    <row r="30" spans="5:6" ht="15.75" thickBot="1" x14ac:dyDescent="0.3">
      <c r="E30" s="345"/>
      <c r="F30" s="162" t="s">
        <v>192</v>
      </c>
    </row>
    <row r="31" spans="5:6" ht="15.75" thickBot="1" x14ac:dyDescent="0.3">
      <c r="E31" s="343" t="s">
        <v>161</v>
      </c>
      <c r="F31" s="162" t="s">
        <v>193</v>
      </c>
    </row>
    <row r="32" spans="5:6" ht="15.75" thickBot="1" x14ac:dyDescent="0.3">
      <c r="E32" s="344"/>
      <c r="F32" s="162" t="s">
        <v>194</v>
      </c>
    </row>
    <row r="33" spans="5:6" ht="15.75" thickBot="1" x14ac:dyDescent="0.3">
      <c r="E33" s="344"/>
      <c r="F33" s="162" t="s">
        <v>195</v>
      </c>
    </row>
    <row r="34" spans="5:6" ht="15.75" thickBot="1" x14ac:dyDescent="0.3">
      <c r="E34" s="344"/>
      <c r="F34" s="162" t="s">
        <v>196</v>
      </c>
    </row>
    <row r="35" spans="5:6" ht="24.75" thickBot="1" x14ac:dyDescent="0.3">
      <c r="E35" s="345"/>
      <c r="F35" s="162" t="s">
        <v>197</v>
      </c>
    </row>
    <row r="36" spans="5:6" ht="15.75" thickBot="1" x14ac:dyDescent="0.3">
      <c r="E36" s="343" t="s">
        <v>155</v>
      </c>
      <c r="F36" s="162" t="s">
        <v>198</v>
      </c>
    </row>
    <row r="37" spans="5:6" ht="15.75" thickBot="1" x14ac:dyDescent="0.3">
      <c r="E37" s="344"/>
      <c r="F37" s="162" t="s">
        <v>199</v>
      </c>
    </row>
    <row r="38" spans="5:6" ht="15.75" thickBot="1" x14ac:dyDescent="0.3">
      <c r="E38" s="344"/>
      <c r="F38" s="162" t="s">
        <v>200</v>
      </c>
    </row>
    <row r="39" spans="5:6" ht="15.75" thickBot="1" x14ac:dyDescent="0.3">
      <c r="E39" s="344"/>
      <c r="F39" s="162" t="s">
        <v>201</v>
      </c>
    </row>
    <row r="40" spans="5:6" ht="15.75" thickBot="1" x14ac:dyDescent="0.3">
      <c r="E40" s="345"/>
      <c r="F40" s="162" t="s">
        <v>202</v>
      </c>
    </row>
    <row r="41" spans="5:6" ht="15.75" thickBot="1" x14ac:dyDescent="0.3">
      <c r="E41" s="343" t="s">
        <v>157</v>
      </c>
      <c r="F41" s="162" t="s">
        <v>203</v>
      </c>
    </row>
    <row r="42" spans="5:6" ht="15.75" thickBot="1" x14ac:dyDescent="0.3">
      <c r="E42" s="344"/>
      <c r="F42" s="162" t="s">
        <v>204</v>
      </c>
    </row>
    <row r="43" spans="5:6" ht="15.75" thickBot="1" x14ac:dyDescent="0.3">
      <c r="E43" s="344"/>
      <c r="F43" s="162" t="s">
        <v>205</v>
      </c>
    </row>
    <row r="44" spans="5:6" ht="15.75" thickBot="1" x14ac:dyDescent="0.3">
      <c r="E44" s="344"/>
      <c r="F44" s="162" t="s">
        <v>206</v>
      </c>
    </row>
    <row r="45" spans="5:6" ht="24.75" thickBot="1" x14ac:dyDescent="0.3">
      <c r="E45" s="345"/>
      <c r="F45" s="162" t="s">
        <v>207</v>
      </c>
    </row>
    <row r="48" spans="5:6" ht="15" customHeight="1" x14ac:dyDescent="0.25"/>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topLeftCell="A2" workbookViewId="0">
      <selection activeCell="AA44" sqref="AA44"/>
    </sheetView>
  </sheetViews>
  <sheetFormatPr baseColWidth="10" defaultColWidth="11.42578125" defaultRowHeight="15" x14ac:dyDescent="0.25"/>
  <cols>
    <col min="27" max="27" width="36" customWidth="1"/>
  </cols>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645" t="s">
        <v>396</v>
      </c>
      <c r="C1" s="646"/>
      <c r="D1" s="646"/>
      <c r="E1" s="646"/>
      <c r="F1" s="647"/>
    </row>
    <row r="2" spans="2:6" ht="16.5" thickBot="1" x14ac:dyDescent="0.3">
      <c r="B2" s="72"/>
      <c r="C2" s="72"/>
      <c r="D2" s="72"/>
      <c r="E2" s="72"/>
      <c r="F2" s="72"/>
    </row>
    <row r="3" spans="2:6" ht="16.5" thickBot="1" x14ac:dyDescent="0.25">
      <c r="B3" s="649" t="s">
        <v>397</v>
      </c>
      <c r="C3" s="650"/>
      <c r="D3" s="650"/>
      <c r="E3" s="84" t="s">
        <v>398</v>
      </c>
      <c r="F3" s="85" t="s">
        <v>399</v>
      </c>
    </row>
    <row r="4" spans="2:6" ht="31.5" x14ac:dyDescent="0.2">
      <c r="B4" s="651" t="s">
        <v>400</v>
      </c>
      <c r="C4" s="653" t="s">
        <v>247</v>
      </c>
      <c r="D4" s="73" t="s">
        <v>254</v>
      </c>
      <c r="E4" s="74" t="s">
        <v>401</v>
      </c>
      <c r="F4" s="75">
        <v>0.25</v>
      </c>
    </row>
    <row r="5" spans="2:6" ht="47.25" x14ac:dyDescent="0.2">
      <c r="B5" s="652"/>
      <c r="C5" s="654"/>
      <c r="D5" s="76" t="s">
        <v>259</v>
      </c>
      <c r="E5" s="77" t="s">
        <v>402</v>
      </c>
      <c r="F5" s="78">
        <v>0.15</v>
      </c>
    </row>
    <row r="6" spans="2:6" ht="47.25" x14ac:dyDescent="0.2">
      <c r="B6" s="652"/>
      <c r="C6" s="654"/>
      <c r="D6" s="76" t="s">
        <v>281</v>
      </c>
      <c r="E6" s="77" t="s">
        <v>403</v>
      </c>
      <c r="F6" s="78">
        <v>0.1</v>
      </c>
    </row>
    <row r="7" spans="2:6" ht="63" x14ac:dyDescent="0.2">
      <c r="B7" s="652"/>
      <c r="C7" s="654" t="s">
        <v>248</v>
      </c>
      <c r="D7" s="76" t="s">
        <v>404</v>
      </c>
      <c r="E7" s="77" t="s">
        <v>405</v>
      </c>
      <c r="F7" s="78">
        <v>0.25</v>
      </c>
    </row>
    <row r="8" spans="2:6" ht="31.5" x14ac:dyDescent="0.2">
      <c r="B8" s="652"/>
      <c r="C8" s="654"/>
      <c r="D8" s="76" t="s">
        <v>255</v>
      </c>
      <c r="E8" s="77" t="s">
        <v>406</v>
      </c>
      <c r="F8" s="78">
        <v>0.15</v>
      </c>
    </row>
    <row r="9" spans="2:6" ht="47.25" x14ac:dyDescent="0.2">
      <c r="B9" s="652" t="s">
        <v>407</v>
      </c>
      <c r="C9" s="654" t="s">
        <v>250</v>
      </c>
      <c r="D9" s="76" t="s">
        <v>256</v>
      </c>
      <c r="E9" s="77" t="s">
        <v>408</v>
      </c>
      <c r="F9" s="79" t="s">
        <v>409</v>
      </c>
    </row>
    <row r="10" spans="2:6" ht="63" x14ac:dyDescent="0.2">
      <c r="B10" s="652"/>
      <c r="C10" s="654"/>
      <c r="D10" s="76" t="s">
        <v>260</v>
      </c>
      <c r="E10" s="77" t="s">
        <v>410</v>
      </c>
      <c r="F10" s="79" t="s">
        <v>409</v>
      </c>
    </row>
    <row r="11" spans="2:6" ht="47.25" x14ac:dyDescent="0.2">
      <c r="B11" s="652"/>
      <c r="C11" s="654" t="s">
        <v>251</v>
      </c>
      <c r="D11" s="76" t="s">
        <v>257</v>
      </c>
      <c r="E11" s="77" t="s">
        <v>411</v>
      </c>
      <c r="F11" s="79" t="s">
        <v>409</v>
      </c>
    </row>
    <row r="12" spans="2:6" ht="47.25" x14ac:dyDescent="0.2">
      <c r="B12" s="652"/>
      <c r="C12" s="654"/>
      <c r="D12" s="76" t="s">
        <v>412</v>
      </c>
      <c r="E12" s="77" t="s">
        <v>413</v>
      </c>
      <c r="F12" s="79" t="s">
        <v>409</v>
      </c>
    </row>
    <row r="13" spans="2:6" ht="31.5" x14ac:dyDescent="0.2">
      <c r="B13" s="652"/>
      <c r="C13" s="654" t="s">
        <v>252</v>
      </c>
      <c r="D13" s="76" t="s">
        <v>258</v>
      </c>
      <c r="E13" s="77" t="s">
        <v>414</v>
      </c>
      <c r="F13" s="79" t="s">
        <v>409</v>
      </c>
    </row>
    <row r="14" spans="2:6" ht="32.25" thickBot="1" x14ac:dyDescent="0.25">
      <c r="B14" s="655"/>
      <c r="C14" s="656"/>
      <c r="D14" s="80" t="s">
        <v>415</v>
      </c>
      <c r="E14" s="81" t="s">
        <v>416</v>
      </c>
      <c r="F14" s="82" t="s">
        <v>409</v>
      </c>
    </row>
    <row r="15" spans="2:6" ht="49.5" customHeight="1" x14ac:dyDescent="0.2">
      <c r="B15" s="648" t="s">
        <v>417</v>
      </c>
      <c r="C15" s="648"/>
      <c r="D15" s="648"/>
      <c r="E15" s="648"/>
      <c r="F15" s="648"/>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254</v>
      </c>
    </row>
    <row r="4" spans="1:1" x14ac:dyDescent="0.2">
      <c r="A4" s="2" t="s">
        <v>259</v>
      </c>
    </row>
    <row r="5" spans="1:1" x14ac:dyDescent="0.2">
      <c r="A5" s="2" t="s">
        <v>281</v>
      </c>
    </row>
    <row r="6" spans="1:1" x14ac:dyDescent="0.2">
      <c r="A6" s="2" t="s">
        <v>404</v>
      </c>
    </row>
    <row r="7" spans="1:1" x14ac:dyDescent="0.2">
      <c r="A7" s="2" t="s">
        <v>255</v>
      </c>
    </row>
    <row r="8" spans="1:1" x14ac:dyDescent="0.2">
      <c r="A8" s="2" t="s">
        <v>256</v>
      </c>
    </row>
    <row r="9" spans="1:1" x14ac:dyDescent="0.2">
      <c r="A9" s="2" t="s">
        <v>260</v>
      </c>
    </row>
    <row r="10" spans="1:1" x14ac:dyDescent="0.2">
      <c r="A10" s="2" t="s">
        <v>257</v>
      </c>
    </row>
    <row r="11" spans="1:1" x14ac:dyDescent="0.2">
      <c r="A11" s="2" t="s">
        <v>412</v>
      </c>
    </row>
    <row r="12" spans="1:1" x14ac:dyDescent="0.2">
      <c r="A12" s="2" t="s">
        <v>418</v>
      </c>
    </row>
    <row r="13" spans="1:1" x14ac:dyDescent="0.2">
      <c r="A13" s="2" t="s">
        <v>419</v>
      </c>
    </row>
    <row r="14" spans="1:1" x14ac:dyDescent="0.2">
      <c r="A14" s="2" t="s">
        <v>420</v>
      </c>
    </row>
    <row r="16" spans="1:1" x14ac:dyDescent="0.2">
      <c r="A16" s="2" t="s">
        <v>421</v>
      </c>
    </row>
    <row r="17" spans="1:1" x14ac:dyDescent="0.2">
      <c r="A17" s="2" t="s">
        <v>117</v>
      </c>
    </row>
    <row r="18" spans="1:1" x14ac:dyDescent="0.2">
      <c r="A18" s="2" t="s">
        <v>119</v>
      </c>
    </row>
    <row r="20" spans="1:1" x14ac:dyDescent="0.2">
      <c r="A20" s="2" t="s">
        <v>129</v>
      </c>
    </row>
    <row r="21" spans="1:1" x14ac:dyDescent="0.2">
      <c r="A21" s="2" t="s">
        <v>132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topLeftCell="B1" zoomScale="50" zoomScaleNormal="50" workbookViewId="0">
      <selection activeCell="I4" sqref="I4"/>
    </sheetView>
  </sheetViews>
  <sheetFormatPr baseColWidth="10" defaultColWidth="11.42578125" defaultRowHeight="26.25" x14ac:dyDescent="0.35"/>
  <cols>
    <col min="1" max="1" width="11.85546875" style="119" customWidth="1"/>
    <col min="2" max="2" width="7.42578125" style="120" customWidth="1"/>
    <col min="3" max="3" width="36.85546875" style="121" customWidth="1"/>
    <col min="4" max="4" width="150" style="147" customWidth="1"/>
    <col min="5" max="5" width="168" style="121" customWidth="1"/>
    <col min="6" max="6" width="51.7109375" style="119" customWidth="1"/>
    <col min="7" max="16384" width="11.42578125" style="119"/>
  </cols>
  <sheetData>
    <row r="1" spans="1:6" x14ac:dyDescent="0.35">
      <c r="D1" s="122"/>
      <c r="E1" s="123"/>
    </row>
    <row r="2" spans="1:6" ht="40.5" customHeight="1" thickBot="1" x14ac:dyDescent="0.3">
      <c r="A2" s="124"/>
      <c r="B2" s="336" t="s">
        <v>90</v>
      </c>
      <c r="C2" s="336"/>
      <c r="D2" s="336"/>
      <c r="E2" s="337"/>
      <c r="F2" s="341" t="s">
        <v>91</v>
      </c>
    </row>
    <row r="3" spans="1:6" s="129" customFormat="1" ht="40.5" customHeight="1" thickBot="1" x14ac:dyDescent="0.4">
      <c r="A3" s="125"/>
      <c r="B3" s="338" t="s">
        <v>92</v>
      </c>
      <c r="C3" s="126" t="s">
        <v>93</v>
      </c>
      <c r="D3" s="127" t="s">
        <v>94</v>
      </c>
      <c r="E3" s="128" t="s">
        <v>95</v>
      </c>
      <c r="F3" s="342"/>
    </row>
    <row r="4" spans="1:6" s="129" customFormat="1" ht="228.75" customHeight="1" thickBot="1" x14ac:dyDescent="0.4">
      <c r="A4" s="125"/>
      <c r="B4" s="339"/>
      <c r="C4" s="130" t="s">
        <v>96</v>
      </c>
      <c r="D4" s="131" t="s">
        <v>97</v>
      </c>
      <c r="E4" s="163" t="s">
        <v>98</v>
      </c>
      <c r="F4" s="168" t="s">
        <v>99</v>
      </c>
    </row>
    <row r="5" spans="1:6" s="129" customFormat="1" ht="289.5" thickBot="1" x14ac:dyDescent="0.4">
      <c r="A5" s="125"/>
      <c r="B5" s="339"/>
      <c r="C5" s="132" t="s">
        <v>100</v>
      </c>
      <c r="D5" s="133" t="s">
        <v>101</v>
      </c>
      <c r="E5" s="164" t="s">
        <v>102</v>
      </c>
      <c r="F5" s="167" t="s">
        <v>103</v>
      </c>
    </row>
    <row r="6" spans="1:6" s="129" customFormat="1" ht="237" thickBot="1" x14ac:dyDescent="0.4">
      <c r="A6" s="125"/>
      <c r="B6" s="339"/>
      <c r="C6" s="134" t="s">
        <v>104</v>
      </c>
      <c r="D6" s="135" t="s">
        <v>105</v>
      </c>
      <c r="E6" s="165" t="s">
        <v>106</v>
      </c>
      <c r="F6" s="167"/>
    </row>
    <row r="7" spans="1:6" s="129" customFormat="1" ht="154.5" customHeight="1" thickBot="1" x14ac:dyDescent="0.4">
      <c r="A7" s="125"/>
      <c r="B7" s="339"/>
      <c r="C7" s="136" t="s">
        <v>107</v>
      </c>
      <c r="D7" s="137"/>
      <c r="E7" s="164"/>
      <c r="F7" s="167"/>
    </row>
    <row r="8" spans="1:6" s="129" customFormat="1" ht="157.5" thickBot="1" x14ac:dyDescent="0.4">
      <c r="A8" s="125"/>
      <c r="B8" s="339"/>
      <c r="C8" s="138" t="s">
        <v>108</v>
      </c>
      <c r="D8" s="135" t="s">
        <v>109</v>
      </c>
      <c r="E8" s="166" t="s">
        <v>110</v>
      </c>
      <c r="F8" s="167"/>
    </row>
    <row r="9" spans="1:6" s="129" customFormat="1" ht="150" thickBot="1" x14ac:dyDescent="0.4">
      <c r="A9" s="125"/>
      <c r="B9" s="339"/>
      <c r="C9" s="136" t="s">
        <v>111</v>
      </c>
      <c r="D9" s="133" t="s">
        <v>112</v>
      </c>
      <c r="E9" s="166" t="s">
        <v>113</v>
      </c>
      <c r="F9" s="167"/>
    </row>
    <row r="10" spans="1:6" s="141" customFormat="1" ht="263.25" thickBot="1" x14ac:dyDescent="0.4">
      <c r="A10" s="139"/>
      <c r="B10" s="339"/>
      <c r="C10" s="140" t="s">
        <v>114</v>
      </c>
      <c r="D10" s="133" t="s">
        <v>115</v>
      </c>
      <c r="E10" s="165" t="s">
        <v>116</v>
      </c>
      <c r="F10" s="169"/>
    </row>
    <row r="11" spans="1:6" s="141" customFormat="1" ht="28.5" thickBot="1" x14ac:dyDescent="0.4">
      <c r="A11" s="139"/>
      <c r="B11" s="340"/>
      <c r="C11" s="142"/>
      <c r="D11" s="143"/>
      <c r="E11" s="144"/>
    </row>
    <row r="12" spans="1:6" ht="27" x14ac:dyDescent="0.35">
      <c r="D12" s="145"/>
      <c r="E12" s="146"/>
    </row>
    <row r="17" spans="4:4" x14ac:dyDescent="0.35">
      <c r="D17" s="122"/>
    </row>
    <row r="18" spans="4:4" x14ac:dyDescent="0.35">
      <c r="D18" s="122"/>
    </row>
    <row r="19" spans="4:4" x14ac:dyDescent="0.35">
      <c r="D19" s="122"/>
    </row>
  </sheetData>
  <mergeCells count="3">
    <mergeCell ref="B2:E2"/>
    <mergeCell ref="B3:B11"/>
    <mergeCell ref="F2:F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71"/>
  <sheetViews>
    <sheetView topLeftCell="A21" workbookViewId="0">
      <selection activeCell="B35" sqref="B35"/>
    </sheetView>
  </sheetViews>
  <sheetFormatPr baseColWidth="10" defaultColWidth="11.42578125" defaultRowHeight="15" x14ac:dyDescent="0.25"/>
  <cols>
    <col min="2" max="2" width="22.85546875" customWidth="1"/>
    <col min="6" max="6" width="17.140625" customWidth="1"/>
    <col min="7" max="7" width="29.28515625" customWidth="1"/>
  </cols>
  <sheetData>
    <row r="2" spans="1:8" x14ac:dyDescent="0.25">
      <c r="B2" t="s">
        <v>117</v>
      </c>
      <c r="E2" t="s">
        <v>118</v>
      </c>
    </row>
    <row r="3" spans="1:8" x14ac:dyDescent="0.25">
      <c r="B3" t="s">
        <v>119</v>
      </c>
      <c r="E3" t="s">
        <v>120</v>
      </c>
    </row>
    <row r="4" spans="1:8" x14ac:dyDescent="0.25">
      <c r="B4" t="s">
        <v>121</v>
      </c>
      <c r="E4" t="s">
        <v>122</v>
      </c>
    </row>
    <row r="5" spans="1:8" x14ac:dyDescent="0.25">
      <c r="B5" t="s">
        <v>123</v>
      </c>
    </row>
    <row r="7" spans="1:8" x14ac:dyDescent="0.25">
      <c r="F7" t="s">
        <v>124</v>
      </c>
      <c r="H7" t="s">
        <v>125</v>
      </c>
    </row>
    <row r="8" spans="1:8" x14ac:dyDescent="0.25">
      <c r="B8" t="s">
        <v>126</v>
      </c>
      <c r="F8" t="s">
        <v>127</v>
      </c>
      <c r="H8" t="s">
        <v>128</v>
      </c>
    </row>
    <row r="9" spans="1:8" x14ac:dyDescent="0.25">
      <c r="B9" t="s">
        <v>129</v>
      </c>
      <c r="F9" t="s">
        <v>130</v>
      </c>
      <c r="H9" t="s">
        <v>131</v>
      </c>
    </row>
    <row r="10" spans="1:8" ht="15.75" thickBot="1" x14ac:dyDescent="0.3">
      <c r="B10" t="s">
        <v>132</v>
      </c>
      <c r="H10" t="s">
        <v>133</v>
      </c>
    </row>
    <row r="11" spans="1:8" ht="15.75" thickBot="1" x14ac:dyDescent="0.3">
      <c r="A11" s="236" t="s">
        <v>23</v>
      </c>
      <c r="B11" s="237"/>
      <c r="C11" s="238"/>
      <c r="D11" s="239"/>
      <c r="H11" t="s">
        <v>134</v>
      </c>
    </row>
    <row r="12" spans="1:8" x14ac:dyDescent="0.25">
      <c r="A12" s="225" t="s">
        <v>135</v>
      </c>
      <c r="B12" s="226" t="s">
        <v>136</v>
      </c>
      <c r="D12" s="227"/>
      <c r="H12" t="s">
        <v>137</v>
      </c>
    </row>
    <row r="13" spans="1:8" x14ac:dyDescent="0.25">
      <c r="A13" s="225"/>
      <c r="B13" s="226" t="s">
        <v>138</v>
      </c>
      <c r="D13" s="227"/>
      <c r="H13" t="s">
        <v>139</v>
      </c>
    </row>
    <row r="14" spans="1:8" x14ac:dyDescent="0.25">
      <c r="A14" s="225"/>
      <c r="B14" s="226" t="s">
        <v>140</v>
      </c>
      <c r="D14" s="227"/>
      <c r="H14" t="s">
        <v>141</v>
      </c>
    </row>
    <row r="15" spans="1:8" x14ac:dyDescent="0.25">
      <c r="A15" s="225"/>
      <c r="B15" s="226" t="s">
        <v>142</v>
      </c>
      <c r="D15" s="227"/>
      <c r="H15" t="s">
        <v>143</v>
      </c>
    </row>
    <row r="16" spans="1:8" x14ac:dyDescent="0.25">
      <c r="A16" s="225"/>
      <c r="B16" s="226" t="s">
        <v>144</v>
      </c>
      <c r="D16" s="227"/>
      <c r="H16" t="s">
        <v>145</v>
      </c>
    </row>
    <row r="17" spans="1:8" x14ac:dyDescent="0.25">
      <c r="A17" s="228" t="s">
        <v>146</v>
      </c>
      <c r="B17" s="229" t="s">
        <v>147</v>
      </c>
      <c r="D17" s="227"/>
      <c r="H17" t="s">
        <v>148</v>
      </c>
    </row>
    <row r="18" spans="1:8" x14ac:dyDescent="0.25">
      <c r="A18" s="228"/>
      <c r="B18" s="229" t="s">
        <v>149</v>
      </c>
      <c r="D18" s="227"/>
      <c r="H18" t="s">
        <v>137</v>
      </c>
    </row>
    <row r="19" spans="1:8" x14ac:dyDescent="0.25">
      <c r="A19" s="228"/>
      <c r="B19" s="229" t="s">
        <v>150</v>
      </c>
      <c r="D19" s="227"/>
    </row>
    <row r="20" spans="1:8" x14ac:dyDescent="0.25">
      <c r="A20" s="230" t="s">
        <v>151</v>
      </c>
      <c r="B20" s="231" t="s">
        <v>152</v>
      </c>
      <c r="D20" s="227"/>
    </row>
    <row r="21" spans="1:8" x14ac:dyDescent="0.25">
      <c r="A21" s="230"/>
      <c r="B21" s="231" t="s">
        <v>153</v>
      </c>
      <c r="D21" s="227"/>
    </row>
    <row r="22" spans="1:8" ht="15.75" thickBot="1" x14ac:dyDescent="0.3">
      <c r="A22" s="232"/>
      <c r="B22" s="233" t="s">
        <v>154</v>
      </c>
      <c r="C22" s="234"/>
      <c r="D22" s="235"/>
    </row>
    <row r="25" spans="1:8" x14ac:dyDescent="0.25">
      <c r="B25" t="s">
        <v>155</v>
      </c>
    </row>
    <row r="26" spans="1:8" x14ac:dyDescent="0.25">
      <c r="B26" t="s">
        <v>156</v>
      </c>
    </row>
    <row r="27" spans="1:8" ht="15.75" thickBot="1" x14ac:dyDescent="0.3">
      <c r="B27" t="s">
        <v>157</v>
      </c>
    </row>
    <row r="28" spans="1:8" ht="15.75" thickBot="1" x14ac:dyDescent="0.3">
      <c r="B28" t="s">
        <v>158</v>
      </c>
      <c r="F28" s="160" t="s">
        <v>159</v>
      </c>
      <c r="G28" s="161" t="s">
        <v>160</v>
      </c>
    </row>
    <row r="29" spans="1:8" ht="15.75" thickBot="1" x14ac:dyDescent="0.3">
      <c r="B29" t="s">
        <v>161</v>
      </c>
      <c r="F29" s="346" t="s">
        <v>158</v>
      </c>
      <c r="G29" s="162" t="s">
        <v>162</v>
      </c>
    </row>
    <row r="30" spans="1:8" ht="15.75" thickBot="1" x14ac:dyDescent="0.3">
      <c r="B30" t="s">
        <v>163</v>
      </c>
      <c r="F30" s="344"/>
      <c r="G30" s="162" t="s">
        <v>164</v>
      </c>
    </row>
    <row r="31" spans="1:8" ht="15.75" thickBot="1" x14ac:dyDescent="0.3">
      <c r="B31" t="s">
        <v>165</v>
      </c>
      <c r="F31" s="344"/>
      <c r="G31" s="162" t="s">
        <v>166</v>
      </c>
    </row>
    <row r="32" spans="1:8" ht="15.75" thickBot="1" x14ac:dyDescent="0.3">
      <c r="B32" t="s">
        <v>167</v>
      </c>
      <c r="F32" s="344"/>
      <c r="G32" s="162" t="s">
        <v>168</v>
      </c>
    </row>
    <row r="33" spans="6:7" ht="15.75" thickBot="1" x14ac:dyDescent="0.3">
      <c r="F33" s="344"/>
      <c r="G33" s="162" t="s">
        <v>169</v>
      </c>
    </row>
    <row r="34" spans="6:7" ht="15.75" thickBot="1" x14ac:dyDescent="0.3">
      <c r="F34" s="345"/>
      <c r="G34" s="162" t="s">
        <v>170</v>
      </c>
    </row>
    <row r="35" spans="6:7" ht="15.75" thickBot="1" x14ac:dyDescent="0.3">
      <c r="F35" s="343" t="s">
        <v>167</v>
      </c>
      <c r="G35" s="162" t="s">
        <v>171</v>
      </c>
    </row>
    <row r="36" spans="6:7" ht="15.75" thickBot="1" x14ac:dyDescent="0.3">
      <c r="F36" s="344"/>
      <c r="G36" s="162" t="s">
        <v>172</v>
      </c>
    </row>
    <row r="37" spans="6:7" ht="15.75" thickBot="1" x14ac:dyDescent="0.3">
      <c r="F37" s="344"/>
      <c r="G37" s="162" t="s">
        <v>173</v>
      </c>
    </row>
    <row r="38" spans="6:7" ht="21.75" customHeight="1" thickBot="1" x14ac:dyDescent="0.3">
      <c r="F38" s="344"/>
      <c r="G38" s="162" t="s">
        <v>174</v>
      </c>
    </row>
    <row r="39" spans="6:7" ht="15.75" thickBot="1" x14ac:dyDescent="0.3">
      <c r="F39" s="345"/>
      <c r="G39" s="162" t="s">
        <v>175</v>
      </c>
    </row>
    <row r="40" spans="6:7" ht="45.75" customHeight="1" thickBot="1" x14ac:dyDescent="0.3">
      <c r="F40" s="343" t="s">
        <v>163</v>
      </c>
      <c r="G40" s="162" t="s">
        <v>176</v>
      </c>
    </row>
    <row r="41" spans="6:7" ht="15.75" thickBot="1" x14ac:dyDescent="0.3">
      <c r="F41" s="344"/>
      <c r="G41" s="162" t="s">
        <v>177</v>
      </c>
    </row>
    <row r="42" spans="6:7" ht="30" customHeight="1" thickBot="1" x14ac:dyDescent="0.3">
      <c r="F42" s="345"/>
      <c r="G42" s="162" t="s">
        <v>178</v>
      </c>
    </row>
    <row r="43" spans="6:7" ht="15.75" thickBot="1" x14ac:dyDescent="0.3">
      <c r="F43" s="343" t="s">
        <v>165</v>
      </c>
      <c r="G43" s="162" t="s">
        <v>179</v>
      </c>
    </row>
    <row r="44" spans="6:7" ht="15.75" thickBot="1" x14ac:dyDescent="0.3">
      <c r="F44" s="344"/>
      <c r="G44" s="162" t="s">
        <v>180</v>
      </c>
    </row>
    <row r="45" spans="6:7" ht="15.75" thickBot="1" x14ac:dyDescent="0.3">
      <c r="F45" s="345"/>
      <c r="G45" s="162" t="s">
        <v>181</v>
      </c>
    </row>
    <row r="46" spans="6:7" ht="24.75" thickBot="1" x14ac:dyDescent="0.3">
      <c r="F46" s="343" t="s">
        <v>156</v>
      </c>
      <c r="G46" s="162" t="s">
        <v>182</v>
      </c>
    </row>
    <row r="47" spans="6:7" ht="15.75" thickBot="1" x14ac:dyDescent="0.3">
      <c r="F47" s="344"/>
      <c r="G47" s="162" t="s">
        <v>183</v>
      </c>
    </row>
    <row r="48" spans="6:7" ht="15.75" thickBot="1" x14ac:dyDescent="0.3">
      <c r="F48" s="344"/>
      <c r="G48" s="162" t="s">
        <v>184</v>
      </c>
    </row>
    <row r="49" spans="6:7" ht="15.75" thickBot="1" x14ac:dyDescent="0.3">
      <c r="F49" s="344"/>
      <c r="G49" s="162" t="s">
        <v>185</v>
      </c>
    </row>
    <row r="50" spans="6:7" ht="15.75" thickBot="1" x14ac:dyDescent="0.3">
      <c r="F50" s="344"/>
      <c r="G50" s="162" t="s">
        <v>186</v>
      </c>
    </row>
    <row r="51" spans="6:7" ht="24.75" thickBot="1" x14ac:dyDescent="0.3">
      <c r="F51" s="344"/>
      <c r="G51" s="162" t="s">
        <v>187</v>
      </c>
    </row>
    <row r="52" spans="6:7" ht="15.75" thickBot="1" x14ac:dyDescent="0.3">
      <c r="F52" s="344"/>
      <c r="G52" s="162" t="s">
        <v>188</v>
      </c>
    </row>
    <row r="53" spans="6:7" ht="24.75" thickBot="1" x14ac:dyDescent="0.3">
      <c r="F53" s="344"/>
      <c r="G53" s="162" t="s">
        <v>189</v>
      </c>
    </row>
    <row r="54" spans="6:7" ht="15.75" thickBot="1" x14ac:dyDescent="0.3">
      <c r="F54" s="344"/>
      <c r="G54" s="162" t="s">
        <v>190</v>
      </c>
    </row>
    <row r="55" spans="6:7" ht="15.75" thickBot="1" x14ac:dyDescent="0.3">
      <c r="F55" s="344"/>
      <c r="G55" s="162" t="s">
        <v>191</v>
      </c>
    </row>
    <row r="56" spans="6:7" ht="15.75" thickBot="1" x14ac:dyDescent="0.3">
      <c r="F56" s="345"/>
      <c r="G56" s="162" t="s">
        <v>192</v>
      </c>
    </row>
    <row r="57" spans="6:7" ht="15.75" thickBot="1" x14ac:dyDescent="0.3">
      <c r="F57" s="343" t="s">
        <v>161</v>
      </c>
      <c r="G57" s="162" t="s">
        <v>193</v>
      </c>
    </row>
    <row r="58" spans="6:7" ht="15.75" thickBot="1" x14ac:dyDescent="0.3">
      <c r="F58" s="344"/>
      <c r="G58" s="162" t="s">
        <v>194</v>
      </c>
    </row>
    <row r="59" spans="6:7" ht="24.75" thickBot="1" x14ac:dyDescent="0.3">
      <c r="F59" s="344"/>
      <c r="G59" s="162" t="s">
        <v>195</v>
      </c>
    </row>
    <row r="60" spans="6:7" ht="15.75" thickBot="1" x14ac:dyDescent="0.3">
      <c r="F60" s="344"/>
      <c r="G60" s="162" t="s">
        <v>196</v>
      </c>
    </row>
    <row r="61" spans="6:7" ht="36.75" thickBot="1" x14ac:dyDescent="0.3">
      <c r="F61" s="345"/>
      <c r="G61" s="162" t="s">
        <v>197</v>
      </c>
    </row>
    <row r="62" spans="6:7" ht="15.75" thickBot="1" x14ac:dyDescent="0.3">
      <c r="F62" s="343" t="s">
        <v>155</v>
      </c>
      <c r="G62" s="162" t="s">
        <v>198</v>
      </c>
    </row>
    <row r="63" spans="6:7" ht="15.75" thickBot="1" x14ac:dyDescent="0.3">
      <c r="F63" s="344"/>
      <c r="G63" s="162" t="s">
        <v>199</v>
      </c>
    </row>
    <row r="64" spans="6:7" ht="15.75" thickBot="1" x14ac:dyDescent="0.3">
      <c r="F64" s="344"/>
      <c r="G64" s="162" t="s">
        <v>200</v>
      </c>
    </row>
    <row r="65" spans="6:7" ht="15.75" thickBot="1" x14ac:dyDescent="0.3">
      <c r="F65" s="344"/>
      <c r="G65" s="162" t="s">
        <v>201</v>
      </c>
    </row>
    <row r="66" spans="6:7" ht="15.75" thickBot="1" x14ac:dyDescent="0.3">
      <c r="F66" s="345"/>
      <c r="G66" s="162" t="s">
        <v>202</v>
      </c>
    </row>
    <row r="67" spans="6:7" ht="15.75" thickBot="1" x14ac:dyDescent="0.3">
      <c r="F67" s="343" t="s">
        <v>157</v>
      </c>
      <c r="G67" s="162" t="s">
        <v>203</v>
      </c>
    </row>
    <row r="68" spans="6:7" ht="15.75" thickBot="1" x14ac:dyDescent="0.3">
      <c r="F68" s="344"/>
      <c r="G68" s="162" t="s">
        <v>204</v>
      </c>
    </row>
    <row r="69" spans="6:7" ht="15.75" thickBot="1" x14ac:dyDescent="0.3">
      <c r="F69" s="344"/>
      <c r="G69" s="162" t="s">
        <v>205</v>
      </c>
    </row>
    <row r="70" spans="6:7" ht="15.75" thickBot="1" x14ac:dyDescent="0.3">
      <c r="F70" s="344"/>
      <c r="G70" s="162" t="s">
        <v>206</v>
      </c>
    </row>
    <row r="71" spans="6:7" ht="24.75" thickBot="1" x14ac:dyDescent="0.3">
      <c r="F71" s="345"/>
      <c r="G71" s="162" t="s">
        <v>207</v>
      </c>
    </row>
  </sheetData>
  <sortState xmlns:xlrd2="http://schemas.microsoft.com/office/spreadsheetml/2017/richdata2"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L69"/>
  <sheetViews>
    <sheetView tabSelected="1" zoomScale="50" zoomScaleNormal="50" zoomScaleSheetLayoutView="50" zoomScalePageLayoutView="60" workbookViewId="0">
      <selection activeCell="Q13" sqref="Q13:Q15"/>
    </sheetView>
  </sheetViews>
  <sheetFormatPr baseColWidth="10" defaultColWidth="11.42578125" defaultRowHeight="15" x14ac:dyDescent="0.2"/>
  <cols>
    <col min="1" max="1" width="6.5703125" style="218" customWidth="1"/>
    <col min="2" max="2" width="16" style="218" customWidth="1"/>
    <col min="3" max="3" width="19.140625" style="218" customWidth="1"/>
    <col min="4" max="4" width="25.28515625" style="218" customWidth="1"/>
    <col min="5" max="5" width="51.140625" style="218" customWidth="1"/>
    <col min="6" max="6" width="21" style="198" customWidth="1"/>
    <col min="7" max="7" width="23.7109375" style="198" customWidth="1"/>
    <col min="8" max="8" width="30.5703125" style="198" customWidth="1"/>
    <col min="9" max="10" width="20.85546875" style="198" customWidth="1"/>
    <col min="11" max="11" width="24.28515625" style="198" customWidth="1"/>
    <col min="12" max="12" width="19.42578125" style="198" customWidth="1"/>
    <col min="13" max="13" width="20.5703125" style="198" customWidth="1"/>
    <col min="14" max="14" width="16.7109375" style="219" customWidth="1"/>
    <col min="15" max="15" width="16.7109375" style="198" customWidth="1"/>
    <col min="16" max="16" width="20.42578125" style="198" hidden="1" customWidth="1"/>
    <col min="17" max="17" width="19.140625" style="198" customWidth="1"/>
    <col min="18" max="18" width="35.85546875" style="198" hidden="1" customWidth="1"/>
    <col min="19" max="19" width="19" style="198" customWidth="1"/>
    <col min="20" max="20" width="17.5703125" style="198" hidden="1" customWidth="1"/>
    <col min="21" max="21" width="15" style="198" customWidth="1"/>
    <col min="22" max="22" width="15.5703125" style="198" customWidth="1"/>
    <col min="23" max="23" width="65.140625" style="198" customWidth="1"/>
    <col min="24" max="24" width="26.85546875" style="198" customWidth="1"/>
    <col min="25" max="25" width="5.85546875" style="198" customWidth="1"/>
    <col min="26" max="26" width="6.85546875" style="198" customWidth="1"/>
    <col min="27" max="27" width="5" style="198" customWidth="1"/>
    <col min="28" max="28" width="5.5703125" style="198" customWidth="1"/>
    <col min="29" max="29" width="7.140625" style="198" customWidth="1"/>
    <col min="30" max="30" width="6.7109375" style="198" customWidth="1"/>
    <col min="31" max="31" width="7.5703125" style="198" customWidth="1"/>
    <col min="32" max="32" width="8.5703125" style="198" customWidth="1"/>
    <col min="33" max="37" width="10.85546875" style="198" customWidth="1"/>
    <col min="38" max="38" width="16.85546875" style="217" customWidth="1"/>
    <col min="39" max="39" width="23" style="198" customWidth="1"/>
    <col min="40" max="40" width="18.85546875" style="198" customWidth="1"/>
    <col min="41" max="41" width="23.7109375" style="198" customWidth="1"/>
    <col min="42" max="42" width="22.42578125" style="198" customWidth="1"/>
    <col min="43" max="43" width="16.42578125" style="198" customWidth="1"/>
    <col min="44" max="44" width="20.5703125" style="198" customWidth="1"/>
    <col min="45" max="16384" width="11.42578125" style="198"/>
  </cols>
  <sheetData>
    <row r="1" spans="1:272" s="201" customFormat="1" ht="20.25" x14ac:dyDescent="0.3">
      <c r="A1" s="456"/>
      <c r="B1" s="457"/>
      <c r="C1" s="458"/>
      <c r="D1" s="446" t="s">
        <v>208</v>
      </c>
      <c r="E1" s="447"/>
      <c r="F1" s="447"/>
      <c r="G1" s="447"/>
      <c r="H1" s="447"/>
      <c r="I1" s="447"/>
      <c r="J1" s="447"/>
      <c r="K1" s="447"/>
      <c r="L1" s="447"/>
      <c r="M1" s="447"/>
      <c r="N1" s="447"/>
      <c r="O1" s="447"/>
      <c r="P1" s="447"/>
      <c r="Q1" s="447"/>
      <c r="R1" s="447"/>
      <c r="S1" s="447"/>
      <c r="T1" s="448"/>
      <c r="U1" s="252"/>
      <c r="V1" s="252"/>
      <c r="W1" s="252"/>
      <c r="X1" s="426"/>
      <c r="Y1" s="426"/>
      <c r="Z1" s="426"/>
      <c r="AA1" s="426"/>
      <c r="AB1" s="426"/>
      <c r="AC1" s="426"/>
      <c r="AD1" s="426"/>
      <c r="AE1" s="426"/>
      <c r="AF1" s="426"/>
      <c r="AG1" s="426"/>
      <c r="AH1" s="426"/>
      <c r="AI1" s="426"/>
      <c r="AJ1" s="426"/>
      <c r="AK1" s="426"/>
      <c r="AL1" s="426"/>
      <c r="AM1" s="426"/>
      <c r="AN1" s="426"/>
      <c r="AO1" s="426"/>
      <c r="AP1" s="426"/>
      <c r="AQ1" s="426"/>
      <c r="AR1" s="426"/>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row>
    <row r="2" spans="1:272" s="201" customFormat="1" ht="21" thickBot="1" x14ac:dyDescent="0.35">
      <c r="A2" s="459"/>
      <c r="B2" s="460"/>
      <c r="C2" s="461"/>
      <c r="D2" s="449"/>
      <c r="E2" s="450"/>
      <c r="F2" s="450"/>
      <c r="G2" s="450"/>
      <c r="H2" s="450"/>
      <c r="I2" s="450"/>
      <c r="J2" s="450"/>
      <c r="K2" s="450"/>
      <c r="L2" s="450"/>
      <c r="M2" s="450"/>
      <c r="N2" s="450"/>
      <c r="O2" s="450"/>
      <c r="P2" s="450"/>
      <c r="Q2" s="450"/>
      <c r="R2" s="450"/>
      <c r="S2" s="450"/>
      <c r="T2" s="451"/>
      <c r="U2" s="252"/>
      <c r="V2" s="252"/>
      <c r="W2" s="252"/>
      <c r="X2" s="426"/>
      <c r="Y2" s="426"/>
      <c r="Z2" s="426"/>
      <c r="AA2" s="426"/>
      <c r="AB2" s="426"/>
      <c r="AC2" s="426"/>
      <c r="AD2" s="426"/>
      <c r="AE2" s="426"/>
      <c r="AF2" s="426"/>
      <c r="AG2" s="426"/>
      <c r="AH2" s="426"/>
      <c r="AI2" s="426"/>
      <c r="AJ2" s="426"/>
      <c r="AK2" s="426"/>
      <c r="AL2" s="426"/>
      <c r="AM2" s="426"/>
      <c r="AN2" s="426"/>
      <c r="AO2" s="426"/>
      <c r="AP2" s="426"/>
      <c r="AQ2" s="426"/>
      <c r="AR2" s="426"/>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row>
    <row r="3" spans="1:272" s="201" customFormat="1" ht="27.75" customHeight="1" thickBot="1" x14ac:dyDescent="0.35">
      <c r="A3" s="459"/>
      <c r="B3" s="460"/>
      <c r="C3" s="461"/>
      <c r="D3" s="452" t="s">
        <v>209</v>
      </c>
      <c r="E3" s="453"/>
      <c r="F3" s="453"/>
      <c r="G3" s="453"/>
      <c r="H3" s="453"/>
      <c r="I3" s="454"/>
      <c r="J3" s="452" t="s">
        <v>210</v>
      </c>
      <c r="K3" s="453"/>
      <c r="L3" s="453"/>
      <c r="M3" s="453"/>
      <c r="N3" s="453"/>
      <c r="O3" s="453"/>
      <c r="P3" s="453"/>
      <c r="Q3" s="453"/>
      <c r="R3" s="453"/>
      <c r="S3" s="453"/>
      <c r="T3" s="454"/>
      <c r="U3" s="253"/>
      <c r="V3" s="253"/>
      <c r="W3" s="252"/>
      <c r="X3" s="427"/>
      <c r="Y3" s="427"/>
      <c r="Z3" s="427"/>
      <c r="AA3" s="427"/>
      <c r="AB3" s="427"/>
      <c r="AC3" s="427"/>
      <c r="AD3" s="427"/>
      <c r="AE3" s="427"/>
      <c r="AF3" s="427"/>
      <c r="AG3" s="427"/>
      <c r="AH3" s="427"/>
      <c r="AI3" s="427"/>
      <c r="AJ3" s="427"/>
      <c r="AK3" s="427"/>
      <c r="AL3" s="427"/>
      <c r="AM3" s="427"/>
      <c r="AN3" s="427"/>
      <c r="AO3" s="427"/>
      <c r="AP3" s="427"/>
      <c r="AQ3" s="427"/>
      <c r="AR3" s="427"/>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row>
    <row r="4" spans="1:272" s="201" customFormat="1" ht="27.75" customHeight="1" thickBot="1" x14ac:dyDescent="0.35">
      <c r="A4" s="462"/>
      <c r="B4" s="463"/>
      <c r="C4" s="464"/>
      <c r="D4" s="452" t="s">
        <v>422</v>
      </c>
      <c r="E4" s="453"/>
      <c r="F4" s="453"/>
      <c r="G4" s="453"/>
      <c r="H4" s="453"/>
      <c r="I4" s="453"/>
      <c r="J4" s="453"/>
      <c r="K4" s="453"/>
      <c r="L4" s="453"/>
      <c r="M4" s="453"/>
      <c r="N4" s="453"/>
      <c r="O4" s="453"/>
      <c r="P4" s="453"/>
      <c r="Q4" s="453"/>
      <c r="R4" s="453"/>
      <c r="S4" s="453"/>
      <c r="T4" s="454"/>
      <c r="U4" s="252"/>
      <c r="V4" s="252"/>
      <c r="W4" s="252"/>
      <c r="X4" s="427"/>
      <c r="Y4" s="427"/>
      <c r="Z4" s="427"/>
      <c r="AA4" s="427"/>
      <c r="AB4" s="427"/>
      <c r="AC4" s="427"/>
      <c r="AD4" s="427"/>
      <c r="AE4" s="427"/>
      <c r="AF4" s="427"/>
      <c r="AG4" s="427"/>
      <c r="AH4" s="427"/>
      <c r="AI4" s="427"/>
      <c r="AJ4" s="427"/>
      <c r="AK4" s="427"/>
      <c r="AL4" s="427"/>
      <c r="AM4" s="427"/>
      <c r="AN4" s="427"/>
      <c r="AO4" s="427"/>
      <c r="AP4" s="427"/>
      <c r="AQ4" s="427"/>
      <c r="AR4" s="427"/>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row>
    <row r="5" spans="1:272" ht="15.75" thickBot="1" x14ac:dyDescent="0.25">
      <c r="A5" s="202"/>
      <c r="B5" s="203"/>
      <c r="C5" s="202"/>
      <c r="D5" s="202"/>
      <c r="E5" s="202"/>
      <c r="F5" s="204"/>
      <c r="G5" s="204"/>
      <c r="H5" s="204"/>
      <c r="I5" s="204"/>
      <c r="J5" s="204"/>
      <c r="K5" s="204"/>
      <c r="L5" s="204"/>
      <c r="M5" s="204"/>
      <c r="N5" s="205"/>
      <c r="O5" s="204"/>
      <c r="P5" s="204"/>
      <c r="Q5" s="204"/>
      <c r="R5" s="204"/>
      <c r="S5" s="204"/>
      <c r="T5" s="204"/>
      <c r="U5" s="204"/>
      <c r="V5" s="204"/>
      <c r="W5" s="204"/>
      <c r="X5" s="204"/>
      <c r="Y5" s="204"/>
      <c r="Z5" s="204"/>
      <c r="AA5" s="204"/>
      <c r="AB5" s="204"/>
      <c r="AC5" s="204"/>
      <c r="AD5" s="204"/>
      <c r="AE5" s="204"/>
      <c r="AF5" s="204"/>
      <c r="AG5" s="204"/>
      <c r="AH5" s="204"/>
      <c r="AI5" s="204"/>
      <c r="AJ5" s="204"/>
      <c r="AK5" s="204"/>
      <c r="AL5" s="25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row>
    <row r="6" spans="1:272" ht="27" customHeight="1" thickBot="1" x14ac:dyDescent="0.25">
      <c r="A6" s="428" t="s">
        <v>211</v>
      </c>
      <c r="B6" s="429"/>
      <c r="C6" s="435" t="s">
        <v>76</v>
      </c>
      <c r="D6" s="436"/>
      <c r="E6" s="436"/>
      <c r="F6" s="436"/>
      <c r="G6" s="436"/>
      <c r="H6" s="436"/>
      <c r="I6" s="436"/>
      <c r="J6" s="436"/>
      <c r="K6" s="436"/>
      <c r="L6" s="436"/>
      <c r="M6" s="436"/>
      <c r="N6" s="436"/>
      <c r="O6" s="436"/>
      <c r="P6" s="436"/>
      <c r="Q6" s="436"/>
      <c r="R6" s="436"/>
      <c r="S6" s="436"/>
      <c r="T6" s="437"/>
      <c r="U6" s="255"/>
      <c r="V6" s="255"/>
      <c r="W6" s="434"/>
      <c r="X6" s="434"/>
      <c r="Y6" s="434"/>
      <c r="Z6" s="425"/>
      <c r="AA6" s="425"/>
      <c r="AB6" s="425"/>
      <c r="AC6" s="425"/>
      <c r="AD6" s="425"/>
      <c r="AE6" s="425"/>
      <c r="AF6" s="425"/>
      <c r="AG6" s="425"/>
      <c r="AH6" s="425"/>
      <c r="AI6" s="425"/>
      <c r="AJ6" s="425"/>
      <c r="AK6" s="425"/>
      <c r="AL6" s="425"/>
      <c r="AM6" s="425"/>
      <c r="AN6" s="425"/>
      <c r="AO6" s="425"/>
      <c r="AP6" s="425"/>
      <c r="AQ6" s="425"/>
      <c r="AR6" s="425"/>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row>
    <row r="7" spans="1:272" ht="55.5" customHeight="1" thickBot="1" x14ac:dyDescent="0.3">
      <c r="A7" s="430" t="s">
        <v>212</v>
      </c>
      <c r="B7" s="431"/>
      <c r="C7" s="438" t="s">
        <v>428</v>
      </c>
      <c r="D7" s="439"/>
      <c r="E7" s="439"/>
      <c r="F7" s="439"/>
      <c r="G7" s="439"/>
      <c r="H7" s="439"/>
      <c r="I7" s="439"/>
      <c r="J7" s="439"/>
      <c r="K7" s="439"/>
      <c r="L7" s="439"/>
      <c r="M7" s="439"/>
      <c r="N7" s="439"/>
      <c r="O7" s="439"/>
      <c r="P7" s="439"/>
      <c r="Q7" s="439"/>
      <c r="R7" s="439"/>
      <c r="S7" s="439"/>
      <c r="T7" s="440"/>
      <c r="U7" s="256"/>
      <c r="V7" s="256"/>
      <c r="W7" s="257"/>
      <c r="X7" s="257"/>
      <c r="Y7" s="257"/>
      <c r="Z7" s="425"/>
      <c r="AA7" s="425"/>
      <c r="AB7" s="425"/>
      <c r="AC7" s="425"/>
      <c r="AD7" s="425"/>
      <c r="AE7" s="425"/>
      <c r="AF7" s="425"/>
      <c r="AG7" s="425"/>
      <c r="AH7" s="425"/>
      <c r="AI7" s="425"/>
      <c r="AJ7" s="425"/>
      <c r="AK7" s="425"/>
      <c r="AL7" s="425"/>
      <c r="AM7" s="425"/>
      <c r="AN7" s="425"/>
      <c r="AO7" s="425"/>
      <c r="AP7" s="425"/>
      <c r="AQ7" s="425"/>
      <c r="AR7" s="425"/>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row>
    <row r="8" spans="1:272" ht="51.75" customHeight="1" thickBot="1" x14ac:dyDescent="0.3">
      <c r="A8" s="432" t="s">
        <v>213</v>
      </c>
      <c r="B8" s="433"/>
      <c r="C8" s="438" t="s">
        <v>429</v>
      </c>
      <c r="D8" s="439"/>
      <c r="E8" s="439"/>
      <c r="F8" s="439"/>
      <c r="G8" s="439"/>
      <c r="H8" s="439"/>
      <c r="I8" s="439"/>
      <c r="J8" s="439"/>
      <c r="K8" s="439"/>
      <c r="L8" s="439"/>
      <c r="M8" s="439"/>
      <c r="N8" s="439"/>
      <c r="O8" s="439"/>
      <c r="P8" s="439"/>
      <c r="Q8" s="439"/>
      <c r="R8" s="439"/>
      <c r="S8" s="439"/>
      <c r="T8" s="440"/>
      <c r="U8" s="256"/>
      <c r="V8" s="256"/>
      <c r="W8" s="257"/>
      <c r="X8" s="257"/>
      <c r="Y8" s="257"/>
      <c r="Z8" s="425"/>
      <c r="AA8" s="425"/>
      <c r="AB8" s="425"/>
      <c r="AC8" s="425"/>
      <c r="AD8" s="425"/>
      <c r="AE8" s="425"/>
      <c r="AF8" s="425"/>
      <c r="AG8" s="425"/>
      <c r="AH8" s="425"/>
      <c r="AI8" s="425"/>
      <c r="AJ8" s="425"/>
      <c r="AK8" s="425"/>
      <c r="AL8" s="425"/>
      <c r="AM8" s="425"/>
      <c r="AN8" s="425"/>
      <c r="AO8" s="425"/>
      <c r="AP8" s="425"/>
      <c r="AQ8" s="425"/>
      <c r="AR8" s="425"/>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row>
    <row r="9" spans="1:272" ht="16.5" thickBot="1" x14ac:dyDescent="0.3">
      <c r="A9" s="206"/>
      <c r="B9" s="206"/>
      <c r="C9" s="207"/>
      <c r="D9" s="207"/>
      <c r="E9" s="207"/>
      <c r="F9" s="207"/>
      <c r="G9" s="207"/>
      <c r="H9" s="207"/>
      <c r="I9" s="207"/>
      <c r="J9" s="207"/>
      <c r="K9" s="207"/>
      <c r="L9" s="207"/>
      <c r="M9" s="207"/>
      <c r="N9" s="207"/>
      <c r="O9" s="207"/>
      <c r="P9" s="207"/>
      <c r="Q9" s="207"/>
      <c r="R9" s="207"/>
      <c r="S9" s="207"/>
      <c r="T9" s="207"/>
      <c r="U9" s="207"/>
      <c r="V9" s="207"/>
      <c r="W9" s="208"/>
      <c r="X9" s="208"/>
      <c r="Y9" s="208"/>
      <c r="Z9" s="209"/>
      <c r="AA9" s="209"/>
      <c r="AB9" s="209"/>
      <c r="AC9" s="209"/>
      <c r="AD9" s="209"/>
      <c r="AE9" s="209"/>
      <c r="AF9" s="209"/>
      <c r="AG9" s="209"/>
      <c r="AH9" s="209"/>
      <c r="AI9" s="209"/>
      <c r="AJ9" s="209"/>
      <c r="AK9" s="209"/>
      <c r="AL9" s="209"/>
      <c r="AM9" s="209"/>
      <c r="AN9" s="209"/>
      <c r="AO9" s="209"/>
      <c r="AP9" s="209"/>
      <c r="AQ9" s="209"/>
      <c r="AR9" s="209"/>
    </row>
    <row r="10" spans="1:272" ht="27.75" customHeight="1" x14ac:dyDescent="0.2">
      <c r="A10" s="443" t="s">
        <v>214</v>
      </c>
      <c r="B10" s="444"/>
      <c r="C10" s="444"/>
      <c r="D10" s="444"/>
      <c r="E10" s="444"/>
      <c r="F10" s="445"/>
      <c r="G10" s="379" t="s">
        <v>215</v>
      </c>
      <c r="H10" s="380"/>
      <c r="I10" s="380"/>
      <c r="J10" s="380"/>
      <c r="K10" s="381"/>
      <c r="L10" s="350" t="s">
        <v>216</v>
      </c>
      <c r="M10" s="351"/>
      <c r="N10" s="354" t="s">
        <v>217</v>
      </c>
      <c r="O10" s="355"/>
      <c r="P10" s="355"/>
      <c r="Q10" s="355"/>
      <c r="R10" s="355"/>
      <c r="S10" s="355"/>
      <c r="T10" s="355"/>
      <c r="U10" s="355"/>
      <c r="V10" s="356"/>
      <c r="W10" s="372" t="s">
        <v>218</v>
      </c>
      <c r="X10" s="372"/>
      <c r="Y10" s="372"/>
      <c r="Z10" s="372"/>
      <c r="AA10" s="372"/>
      <c r="AB10" s="372"/>
      <c r="AC10" s="372"/>
      <c r="AD10" s="372"/>
      <c r="AE10" s="372"/>
      <c r="AF10" s="390" t="s">
        <v>219</v>
      </c>
      <c r="AG10" s="391"/>
      <c r="AH10" s="391"/>
      <c r="AI10" s="391"/>
      <c r="AJ10" s="392"/>
      <c r="AK10" s="354" t="s">
        <v>423</v>
      </c>
      <c r="AL10" s="355"/>
      <c r="AM10" s="355"/>
      <c r="AN10" s="355"/>
      <c r="AO10" s="356"/>
      <c r="AP10" s="354" t="s">
        <v>424</v>
      </c>
      <c r="AQ10" s="355"/>
      <c r="AR10" s="389"/>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row>
    <row r="11" spans="1:272" ht="15.75" x14ac:dyDescent="0.2">
      <c r="A11" s="410" t="s">
        <v>222</v>
      </c>
      <c r="B11" s="412" t="s">
        <v>15</v>
      </c>
      <c r="C11" s="414" t="s">
        <v>17</v>
      </c>
      <c r="D11" s="414" t="s">
        <v>19</v>
      </c>
      <c r="E11" s="412" t="s">
        <v>21</v>
      </c>
      <c r="F11" s="414" t="s">
        <v>23</v>
      </c>
      <c r="G11" s="417" t="s">
        <v>124</v>
      </c>
      <c r="H11" s="417" t="s">
        <v>223</v>
      </c>
      <c r="I11" s="417" t="s">
        <v>224</v>
      </c>
      <c r="J11" s="417" t="s">
        <v>225</v>
      </c>
      <c r="K11" s="417" t="s">
        <v>226</v>
      </c>
      <c r="L11" s="352"/>
      <c r="M11" s="353"/>
      <c r="N11" s="347" t="s">
        <v>227</v>
      </c>
      <c r="O11" s="347" t="s">
        <v>228</v>
      </c>
      <c r="P11" s="393" t="s">
        <v>229</v>
      </c>
      <c r="Q11" s="347" t="s">
        <v>230</v>
      </c>
      <c r="R11" s="347" t="s">
        <v>231</v>
      </c>
      <c r="S11" s="347" t="s">
        <v>232</v>
      </c>
      <c r="T11" s="393" t="s">
        <v>229</v>
      </c>
      <c r="U11" s="347" t="s">
        <v>29</v>
      </c>
      <c r="V11" s="367" t="s">
        <v>233</v>
      </c>
      <c r="W11" s="347" t="s">
        <v>31</v>
      </c>
      <c r="X11" s="347" t="s">
        <v>33</v>
      </c>
      <c r="Y11" s="347" t="s">
        <v>234</v>
      </c>
      <c r="Z11" s="347"/>
      <c r="AA11" s="347"/>
      <c r="AB11" s="347"/>
      <c r="AC11" s="347"/>
      <c r="AD11" s="347"/>
      <c r="AE11" s="367" t="s">
        <v>235</v>
      </c>
      <c r="AF11" s="367" t="s">
        <v>236</v>
      </c>
      <c r="AG11" s="367" t="s">
        <v>229</v>
      </c>
      <c r="AH11" s="367" t="s">
        <v>237</v>
      </c>
      <c r="AI11" s="367" t="s">
        <v>229</v>
      </c>
      <c r="AJ11" s="367" t="s">
        <v>238</v>
      </c>
      <c r="AK11" s="367" t="s">
        <v>49</v>
      </c>
      <c r="AL11" s="347" t="s">
        <v>239</v>
      </c>
      <c r="AM11" s="347" t="s">
        <v>240</v>
      </c>
      <c r="AN11" s="347" t="s">
        <v>241</v>
      </c>
      <c r="AO11" s="347" t="s">
        <v>242</v>
      </c>
      <c r="AP11" s="347" t="s">
        <v>239</v>
      </c>
      <c r="AQ11" s="347" t="s">
        <v>241</v>
      </c>
      <c r="AR11" s="402" t="s">
        <v>240</v>
      </c>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row>
    <row r="12" spans="1:272" s="213" customFormat="1" ht="99.75" thickBot="1" x14ac:dyDescent="0.3">
      <c r="A12" s="411"/>
      <c r="B12" s="413"/>
      <c r="C12" s="415"/>
      <c r="D12" s="415"/>
      <c r="E12" s="413"/>
      <c r="F12" s="415"/>
      <c r="G12" s="418"/>
      <c r="H12" s="418"/>
      <c r="I12" s="418"/>
      <c r="J12" s="418"/>
      <c r="K12" s="418"/>
      <c r="L12" s="284" t="s">
        <v>425</v>
      </c>
      <c r="M12" s="284" t="s">
        <v>246</v>
      </c>
      <c r="N12" s="348"/>
      <c r="O12" s="348"/>
      <c r="P12" s="394"/>
      <c r="Q12" s="348"/>
      <c r="R12" s="348"/>
      <c r="S12" s="394"/>
      <c r="T12" s="394"/>
      <c r="U12" s="348"/>
      <c r="V12" s="368"/>
      <c r="W12" s="348"/>
      <c r="X12" s="348"/>
      <c r="Y12" s="285" t="s">
        <v>247</v>
      </c>
      <c r="Z12" s="285" t="s">
        <v>248</v>
      </c>
      <c r="AA12" s="285" t="s">
        <v>249</v>
      </c>
      <c r="AB12" s="285" t="s">
        <v>250</v>
      </c>
      <c r="AC12" s="285" t="s">
        <v>251</v>
      </c>
      <c r="AD12" s="285" t="s">
        <v>252</v>
      </c>
      <c r="AE12" s="368"/>
      <c r="AF12" s="368"/>
      <c r="AG12" s="368"/>
      <c r="AH12" s="368"/>
      <c r="AI12" s="368"/>
      <c r="AJ12" s="368"/>
      <c r="AK12" s="368"/>
      <c r="AL12" s="348"/>
      <c r="AM12" s="348"/>
      <c r="AN12" s="348"/>
      <c r="AO12" s="348"/>
      <c r="AP12" s="348"/>
      <c r="AQ12" s="348"/>
      <c r="AR12" s="403"/>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c r="FU12" s="212"/>
      <c r="FV12" s="212"/>
      <c r="FW12" s="212"/>
      <c r="FX12" s="212"/>
      <c r="FY12" s="212"/>
      <c r="FZ12" s="212"/>
      <c r="GA12" s="212"/>
      <c r="GB12" s="212"/>
      <c r="GC12" s="212"/>
      <c r="GD12" s="212"/>
      <c r="GE12" s="212"/>
      <c r="GF12" s="212"/>
      <c r="GG12" s="212"/>
      <c r="GH12" s="212"/>
      <c r="GI12" s="212"/>
      <c r="GJ12" s="212"/>
      <c r="GK12" s="212"/>
      <c r="GL12" s="212"/>
      <c r="GM12" s="212"/>
      <c r="GN12" s="212"/>
      <c r="GO12" s="212"/>
      <c r="GP12" s="212"/>
      <c r="GQ12" s="212"/>
      <c r="GR12" s="212"/>
      <c r="GS12" s="212"/>
      <c r="GT12" s="212"/>
      <c r="GU12" s="212"/>
      <c r="GV12" s="212"/>
      <c r="GW12" s="212"/>
      <c r="GX12" s="212"/>
      <c r="GY12" s="212"/>
      <c r="GZ12" s="212"/>
      <c r="HA12" s="212"/>
      <c r="HB12" s="212"/>
      <c r="HC12" s="212"/>
      <c r="HD12" s="212"/>
      <c r="HE12" s="212"/>
      <c r="HF12" s="212"/>
      <c r="HG12" s="212"/>
      <c r="HH12" s="212"/>
      <c r="HI12" s="212"/>
      <c r="HJ12" s="212"/>
      <c r="HK12" s="212"/>
      <c r="HL12" s="212"/>
      <c r="HM12" s="212"/>
      <c r="HN12" s="212"/>
      <c r="HO12" s="212"/>
      <c r="HP12" s="212"/>
      <c r="HQ12" s="212"/>
      <c r="HR12" s="212"/>
      <c r="HS12" s="212"/>
      <c r="HT12" s="212"/>
      <c r="HU12" s="212"/>
      <c r="HV12" s="212"/>
      <c r="HW12" s="212"/>
      <c r="HX12" s="212"/>
      <c r="HY12" s="212"/>
      <c r="HZ12" s="212"/>
      <c r="IA12" s="212"/>
      <c r="IB12" s="212"/>
      <c r="IC12" s="212"/>
      <c r="ID12" s="212"/>
      <c r="IE12" s="212"/>
      <c r="IF12" s="212"/>
      <c r="IG12" s="212"/>
      <c r="IH12" s="212"/>
      <c r="II12" s="212"/>
      <c r="IJ12" s="212"/>
      <c r="IK12" s="212"/>
      <c r="IL12" s="212"/>
      <c r="IM12" s="212"/>
      <c r="IN12" s="212"/>
      <c r="IO12" s="212"/>
      <c r="IP12" s="212"/>
      <c r="IQ12" s="212"/>
      <c r="IR12" s="212"/>
      <c r="IS12" s="212"/>
      <c r="IT12" s="212"/>
      <c r="IU12" s="212"/>
      <c r="IV12" s="212"/>
      <c r="IW12" s="212"/>
      <c r="IX12" s="212"/>
      <c r="IY12" s="212"/>
      <c r="IZ12" s="212"/>
      <c r="JA12" s="212"/>
      <c r="JB12" s="212"/>
      <c r="JC12" s="212"/>
      <c r="JD12" s="212"/>
      <c r="JE12" s="212"/>
      <c r="JF12" s="212"/>
      <c r="JG12" s="212"/>
      <c r="JH12" s="212"/>
      <c r="JI12" s="212"/>
      <c r="JJ12" s="212"/>
      <c r="JK12" s="212"/>
      <c r="JL12" s="212"/>
    </row>
    <row r="13" spans="1:272" s="215" customFormat="1" ht="240" x14ac:dyDescent="0.25">
      <c r="A13" s="407">
        <v>1</v>
      </c>
      <c r="B13" s="382" t="s">
        <v>122</v>
      </c>
      <c r="C13" s="382" t="s">
        <v>456</v>
      </c>
      <c r="D13" s="382" t="s">
        <v>426</v>
      </c>
      <c r="E13" s="385" t="s">
        <v>427</v>
      </c>
      <c r="F13" s="382" t="s">
        <v>140</v>
      </c>
      <c r="G13" s="357" t="s">
        <v>127</v>
      </c>
      <c r="H13" s="357" t="s">
        <v>454</v>
      </c>
      <c r="I13" s="357" t="s">
        <v>430</v>
      </c>
      <c r="J13" s="357" t="s">
        <v>431</v>
      </c>
      <c r="K13" s="395" t="s">
        <v>457</v>
      </c>
      <c r="L13" s="357" t="s">
        <v>133</v>
      </c>
      <c r="M13" s="357" t="s">
        <v>141</v>
      </c>
      <c r="N13" s="375">
        <v>30</v>
      </c>
      <c r="O13" s="378" t="str">
        <f>IF(N13&lt;=0,"",IF(N13&lt;=2,"Muy Baja",IF(N13&lt;=24,"Baja",IF(N13&lt;=500,"Media",IF(N13&lt;=5000,"Alta","Muy Alta")))))</f>
        <v>Media</v>
      </c>
      <c r="P13" s="401">
        <f>IF(O13="","",IF(O13="Muy Baja",0.2,IF(O13="Baja",0.4,IF(O13="Media",0.6,IF(O13="Alta",0.8,IF(O13="Muy Alta",1,))))))</f>
        <v>0.6</v>
      </c>
      <c r="Q13" s="442" t="s">
        <v>353</v>
      </c>
      <c r="R13" s="401" t="str">
        <f>IF(NOT(ISERROR(MATCH(Q13,'Tabla Impacto'!$B$222:$B$224,0))),'Tabla Impacto'!$F$224&amp;"Por favor no seleccionar los criterios de impacto(Afectación Económica o presupuestal y Pérdida Reputacional)",Q13)</f>
        <v xml:space="preserve">     El riesgo afecta la imagen de la entidad internamente, de conocimiento general, nivel interno, de junta dircetiva y accionistas y/o de provedores</v>
      </c>
      <c r="S13" s="378" t="str">
        <f>IF(OR(R13='Tabla Impacto'!$C$12,R13='Tabla Impacto'!$D$12),"Leve",IF(OR(R13='Tabla Impacto'!$C$13,R13='Tabla Impacto'!$D$13),"Menor",IF(OR(R13='Tabla Impacto'!$C$14,R13='Tabla Impacto'!$D$14),"Moderado",IF(OR(R13='Tabla Impacto'!$C$15,R13='Tabla Impacto'!$D$15),"Mayor",IF(OR(R13='Tabla Impacto'!$C$16,R13='Tabla Impacto'!$D$16),"Catastrófico","")))))</f>
        <v>Menor</v>
      </c>
      <c r="T13" s="401">
        <f>IF(S13="","",IF(S13="Leve",0.2,IF(S13="Menor",0.4,IF(S13="Moderado",0.6,IF(S13="Mayor",0.8,IF(S13="Catastrófico",1,))))))</f>
        <v>0.4</v>
      </c>
      <c r="U13" s="441"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Moderado</v>
      </c>
      <c r="V13" s="287">
        <v>1</v>
      </c>
      <c r="W13" s="288" t="s">
        <v>432</v>
      </c>
      <c r="X13" s="289" t="str">
        <f t="shared" ref="X13:X15" si="0">IF(OR(Y13="Preventivo",Y13="Detectivo"),"Probabilidad",IF(Y13="Correctivo","Impacto",""))</f>
        <v>Probabilidad</v>
      </c>
      <c r="Y13" s="290" t="s">
        <v>259</v>
      </c>
      <c r="Z13" s="290" t="s">
        <v>255</v>
      </c>
      <c r="AA13" s="291" t="str">
        <f>IF(AND(Y13="Preventivo",Z13="Automático"),"50%",IF(AND(Y13="Preventivo",Z13="Manual"),"40%",IF(AND(Y13="Detectivo",Z13="Automático"),"40%",IF(AND(Y13="Detectivo",Z13="Manual"),"30%",IF(AND(Y13="Correctivo",Z13="Automático"),"35%",IF(AND(Y13="Correctivo",Z13="Manual"),"25%",""))))))</f>
        <v>30%</v>
      </c>
      <c r="AB13" s="290" t="s">
        <v>260</v>
      </c>
      <c r="AC13" s="290" t="s">
        <v>257</v>
      </c>
      <c r="AD13" s="290" t="s">
        <v>258</v>
      </c>
      <c r="AE13" s="292">
        <f>IFERROR(IF(X13="Probabilidad",(P13-(+P13*AA13)),IF(X13="Impacto",P13,"")),"")</f>
        <v>0.42</v>
      </c>
      <c r="AF13" s="293" t="str">
        <f>IFERROR(IF(AE13="","",IF(AE13&lt;=0.2,"Muy Baja",IF(AE13&lt;=0.4,"Baja",IF(AE13&lt;=0.6,"Media",IF(AE13&lt;=0.8,"Alta","Muy Alta"))))),"")</f>
        <v>Media</v>
      </c>
      <c r="AG13" s="291">
        <f>+AE13</f>
        <v>0.42</v>
      </c>
      <c r="AH13" s="293" t="str">
        <f>IFERROR(IF(AI13="","",IF(AI13&lt;=0.2,"Leve",IF(AI13&lt;=0.4,"Menor",IF(AI13&lt;=0.6,"Moderado",IF(AI13&lt;=0.8,"Mayor","Catastrófico"))))),"")</f>
        <v>Menor</v>
      </c>
      <c r="AI13" s="291">
        <f>IFERROR(IF(X13="Impacto",(T13-(+T13*AA13)),IF(X13="Probabilidad",T13,"")),"")</f>
        <v>0.4</v>
      </c>
      <c r="AJ13" s="294" t="str">
        <f>IFERROR(IF(OR(AND(AF13="Muy Baja",AH13="Leve"),AND(AF13="Muy Baja",AH13="Menor"),AND(AF13="Baja",AH13="Leve")),"Bajo",IF(OR(AND(AF13="Muy baja",AH13="Moderado"),AND(AF13="Baja",AH13="Menor"),AND(AF13="Baja",AH13="Moderado"),AND(AF13="Media",AH13="Leve"),AND(AF13="Media",AH13="Menor"),AND(AF13="Media",AH13="Moderado"),AND(AF13="Alta",AH13="Leve"),AND(AF13="Alta",AH13="Menor")),"Moderado",IF(OR(AND(AF13="Muy Baja",AH13="Mayor"),AND(AF13="Baja",AH13="Mayor"),AND(AF13="Media",AH13="Mayor"),AND(AF13="Alta",AH13="Moderado"),AND(AF13="Alta",AH13="Mayor"),AND(AF13="Muy Alta",AH13="Leve"),AND(AF13="Muy Alta",AH13="Menor"),AND(AF13="Muy Alta",AH13="Moderado"),AND(AF13="Muy Alta",AH13="Mayor")),"Alto",IF(OR(AND(AF13="Muy Baja",AH13="Catastrófico"),AND(AF13="Baja",AH13="Catastrófico"),AND(AF13="Media",AH13="Catastrófico"),AND(AF13="Alta",AH13="Catastrófico"),AND(AF13="Muy Alta",AH13="Catastrófico")),"Extremo","")))),"")</f>
        <v>Moderado</v>
      </c>
      <c r="AK13" s="295" t="s">
        <v>123</v>
      </c>
      <c r="AL13" s="286" t="s">
        <v>435</v>
      </c>
      <c r="AM13" s="286" t="s">
        <v>436</v>
      </c>
      <c r="AN13" s="286" t="s">
        <v>437</v>
      </c>
      <c r="AO13" s="296" t="s">
        <v>438</v>
      </c>
      <c r="AP13" s="382" t="s">
        <v>439</v>
      </c>
      <c r="AQ13" s="382" t="s">
        <v>440</v>
      </c>
      <c r="AR13" s="404" t="s">
        <v>441</v>
      </c>
    </row>
    <row r="14" spans="1:272" ht="225" x14ac:dyDescent="0.2">
      <c r="A14" s="408"/>
      <c r="B14" s="383"/>
      <c r="C14" s="383"/>
      <c r="D14" s="383"/>
      <c r="E14" s="386"/>
      <c r="F14" s="383"/>
      <c r="G14" s="358"/>
      <c r="H14" s="358"/>
      <c r="I14" s="358"/>
      <c r="J14" s="358"/>
      <c r="K14" s="396"/>
      <c r="L14" s="358"/>
      <c r="M14" s="358"/>
      <c r="N14" s="376"/>
      <c r="O14" s="374"/>
      <c r="P14" s="373"/>
      <c r="Q14" s="349"/>
      <c r="R14" s="373">
        <f>IF(NOT(ISERROR(MATCH(Q14,_xlfn.ANCHORARRAY(E18),0))),P20&amp;"Por favor no seleccionar los criterios de impacto",Q14)</f>
        <v>0</v>
      </c>
      <c r="S14" s="374"/>
      <c r="T14" s="373"/>
      <c r="U14" s="360"/>
      <c r="V14" s="214">
        <v>2</v>
      </c>
      <c r="W14" s="240" t="s">
        <v>433</v>
      </c>
      <c r="X14" s="189" t="str">
        <f t="shared" si="0"/>
        <v>Probabilidad</v>
      </c>
      <c r="Y14" s="190" t="s">
        <v>259</v>
      </c>
      <c r="Z14" s="190" t="s">
        <v>255</v>
      </c>
      <c r="AA14" s="191" t="str">
        <f>IF(AND(Y14="Preventivo",Z14="Automático"),"50%",IF(AND(Y14="Preventivo",Z14="Manual"),"40%",IF(AND(Y14="Detectivo",Z14="Automático"),"40%",IF(AND(Y14="Detectivo",Z14="Manual"),"30%",IF(AND(Y14="Correctivo",Z14="Automático"),"35%",IF(AND(Y14="Correctivo",Z14="Manual"),"25%",""))))))</f>
        <v>30%</v>
      </c>
      <c r="AB14" s="190" t="s">
        <v>260</v>
      </c>
      <c r="AC14" s="190" t="s">
        <v>257</v>
      </c>
      <c r="AD14" s="190" t="s">
        <v>258</v>
      </c>
      <c r="AE14" s="192">
        <f>IFERROR(IF(AND(X13="Probabilidad",X14="Probabilidad"),(AG13-(+AG13*AA14)),IF(X14="Probabilidad",(P13-(+P13*AA14)),IF(X14="Impacto",AG13,""))),"")</f>
        <v>0.29399999999999998</v>
      </c>
      <c r="AF14" s="193" t="str">
        <f t="shared" ref="AF14:AF65" si="1">IFERROR(IF(AE14="","",IF(AE14&lt;=0.2,"Muy Baja",IF(AE14&lt;=0.4,"Baja",IF(AE14&lt;=0.6,"Media",IF(AE14&lt;=0.8,"Alta","Muy Alta"))))),"")</f>
        <v>Baja</v>
      </c>
      <c r="AG14" s="191">
        <f t="shared" ref="AG14:AG15" si="2">+AE14</f>
        <v>0.29399999999999998</v>
      </c>
      <c r="AH14" s="193" t="str">
        <f t="shared" ref="AH14:AH65" si="3">IFERROR(IF(AI14="","",IF(AI14&lt;=0.2,"Leve",IF(AI14&lt;=0.4,"Menor",IF(AI14&lt;=0.6,"Moderado",IF(AI14&lt;=0.8,"Mayor","Catastrófico"))))),"")</f>
        <v>Menor</v>
      </c>
      <c r="AI14" s="191">
        <f>IFERROR(IF(AND(X13="Impacto",X14="Impacto"),(AI13-(+AI13*AA14)),IF(X14="Impacto",($T$13-(+$T$13*AA14)),IF(X14="Probabilidad",AI13,""))),"")</f>
        <v>0.4</v>
      </c>
      <c r="AJ14" s="194" t="str">
        <f t="shared" ref="AJ14:AJ15" si="4">IFERROR(IF(OR(AND(AF14="Muy Baja",AH14="Leve"),AND(AF14="Muy Baja",AH14="Menor"),AND(AF14="Baja",AH14="Leve")),"Bajo",IF(OR(AND(AF14="Muy baja",AH14="Moderado"),AND(AF14="Baja",AH14="Menor"),AND(AF14="Baja",AH14="Moderado"),AND(AF14="Media",AH14="Leve"),AND(AF14="Media",AH14="Menor"),AND(AF14="Media",AH14="Moderado"),AND(AF14="Alta",AH14="Leve"),AND(AF14="Alta",AH14="Menor")),"Moderado",IF(OR(AND(AF14="Muy Baja",AH14="Mayor"),AND(AF14="Baja",AH14="Mayor"),AND(AF14="Media",AH14="Mayor"),AND(AF14="Alta",AH14="Moderado"),AND(AF14="Alta",AH14="Mayor"),AND(AF14="Muy Alta",AH14="Leve"),AND(AF14="Muy Alta",AH14="Menor"),AND(AF14="Muy Alta",AH14="Moderado"),AND(AF14="Muy Alta",AH14="Mayor")),"Alto",IF(OR(AND(AF14="Muy Baja",AH14="Catastrófico"),AND(AF14="Baja",AH14="Catastrófico"),AND(AF14="Media",AH14="Catastrófico"),AND(AF14="Alta",AH14="Catastrófico"),AND(AF14="Muy Alta",AH14="Catastrófico")),"Extremo","")))),"")</f>
        <v>Moderado</v>
      </c>
      <c r="AK14" s="195" t="s">
        <v>123</v>
      </c>
      <c r="AL14" s="186" t="s">
        <v>442</v>
      </c>
      <c r="AM14" s="186" t="s">
        <v>436</v>
      </c>
      <c r="AN14" s="186" t="s">
        <v>437</v>
      </c>
      <c r="AO14" s="197" t="s">
        <v>444</v>
      </c>
      <c r="AP14" s="383"/>
      <c r="AQ14" s="383"/>
      <c r="AR14" s="405"/>
    </row>
    <row r="15" spans="1:272" ht="240.75" thickBot="1" x14ac:dyDescent="0.25">
      <c r="A15" s="409"/>
      <c r="B15" s="384"/>
      <c r="C15" s="384"/>
      <c r="D15" s="384"/>
      <c r="E15" s="387"/>
      <c r="F15" s="384"/>
      <c r="G15" s="359"/>
      <c r="H15" s="359"/>
      <c r="I15" s="359"/>
      <c r="J15" s="359"/>
      <c r="K15" s="397"/>
      <c r="L15" s="359"/>
      <c r="M15" s="359"/>
      <c r="N15" s="377"/>
      <c r="O15" s="364"/>
      <c r="P15" s="362"/>
      <c r="Q15" s="371"/>
      <c r="R15" s="362">
        <f>IF(NOT(ISERROR(MATCH(Q15,_xlfn.ANCHORARRAY(E19),0))),P21&amp;"Por favor no seleccionar los criterios de impacto",Q15)</f>
        <v>0</v>
      </c>
      <c r="S15" s="364"/>
      <c r="T15" s="362"/>
      <c r="U15" s="366"/>
      <c r="V15" s="275">
        <v>3</v>
      </c>
      <c r="W15" s="274" t="s">
        <v>434</v>
      </c>
      <c r="X15" s="276" t="str">
        <f t="shared" si="0"/>
        <v>Probabilidad</v>
      </c>
      <c r="Y15" s="277" t="s">
        <v>259</v>
      </c>
      <c r="Z15" s="277" t="s">
        <v>255</v>
      </c>
      <c r="AA15" s="278" t="str">
        <f>IF(AND(Y15="Preventivo",Z15="Automático"),"50%",IF(AND(Y15="Preventivo",Z15="Manual"),"40%",IF(AND(Y15="Detectivo",Z15="Automático"),"40%",IF(AND(Y15="Detectivo",Z15="Manual"),"30%",IF(AND(Y15="Correctivo",Z15="Automático"),"35%",IF(AND(Y15="Correctivo",Z15="Manual"),"25%",""))))))</f>
        <v>30%</v>
      </c>
      <c r="AB15" s="277" t="s">
        <v>260</v>
      </c>
      <c r="AC15" s="277" t="s">
        <v>257</v>
      </c>
      <c r="AD15" s="277" t="s">
        <v>258</v>
      </c>
      <c r="AE15" s="279">
        <f>IFERROR(IF(AND(X14="Probabilidad",X15="Probabilidad"),(AG14-(+AG14*AA15)),IF(AND(X14="Impacto",X15="Probabilidad"),(AG13-(+AG13*AA15)),IF(X15="Impacto",AG14,""))),"")</f>
        <v>0.20579999999999998</v>
      </c>
      <c r="AF15" s="280" t="str">
        <f t="shared" si="1"/>
        <v>Baja</v>
      </c>
      <c r="AG15" s="278">
        <f t="shared" si="2"/>
        <v>0.20579999999999998</v>
      </c>
      <c r="AH15" s="280" t="str">
        <f t="shared" si="3"/>
        <v>Menor</v>
      </c>
      <c r="AI15" s="278">
        <f>IFERROR(IF(AND(X14="Impacto",X15="Impacto"),(AI14-(+AI14*AA15)),IF(AND(X14="Probabilidad",X15="Impacto"),(AI13-(+AI13*AA15)),IF(X15="Probabilidad",AI14,""))),"")</f>
        <v>0.4</v>
      </c>
      <c r="AJ15" s="281" t="str">
        <f t="shared" si="4"/>
        <v>Moderado</v>
      </c>
      <c r="AK15" s="282" t="s">
        <v>123</v>
      </c>
      <c r="AL15" s="273" t="s">
        <v>443</v>
      </c>
      <c r="AM15" s="273" t="s">
        <v>436</v>
      </c>
      <c r="AN15" s="273" t="s">
        <v>437</v>
      </c>
      <c r="AO15" s="283" t="s">
        <v>445</v>
      </c>
      <c r="AP15" s="384"/>
      <c r="AQ15" s="384"/>
      <c r="AR15" s="406"/>
    </row>
    <row r="16" spans="1:272" ht="195" x14ac:dyDescent="0.2">
      <c r="A16" s="465">
        <v>2</v>
      </c>
      <c r="B16" s="369" t="s">
        <v>122</v>
      </c>
      <c r="C16" s="369" t="s">
        <v>456</v>
      </c>
      <c r="D16" s="369" t="s">
        <v>446</v>
      </c>
      <c r="E16" s="416" t="s">
        <v>447</v>
      </c>
      <c r="F16" s="369" t="s">
        <v>140</v>
      </c>
      <c r="G16" s="358" t="s">
        <v>127</v>
      </c>
      <c r="H16" s="358" t="s">
        <v>455</v>
      </c>
      <c r="I16" s="358" t="s">
        <v>448</v>
      </c>
      <c r="J16" s="358" t="s">
        <v>449</v>
      </c>
      <c r="K16" s="358" t="s">
        <v>457</v>
      </c>
      <c r="L16" s="358" t="s">
        <v>133</v>
      </c>
      <c r="M16" s="358" t="s">
        <v>141</v>
      </c>
      <c r="N16" s="398">
        <v>30</v>
      </c>
      <c r="O16" s="363" t="str">
        <f>IF(N16&lt;=0,"",IF(N16&lt;=2,"Muy Baja",IF(N16&lt;=24,"Baja",IF(N16&lt;=500,"Media",IF(N16&lt;=5000,"Alta","Muy Alta")))))</f>
        <v>Media</v>
      </c>
      <c r="P16" s="361">
        <f>IF(O16="","",IF(O16="Muy Baja",0.2,IF(O16="Baja",0.4,IF(O16="Media",0.6,IF(O16="Alta",0.8,IF(O16="Muy Alta",1,))))))</f>
        <v>0.6</v>
      </c>
      <c r="Q16" s="370" t="s">
        <v>353</v>
      </c>
      <c r="R16" s="361" t="str">
        <f>IF(NOT(ISERROR(MATCH(Q16,'Tabla Impacto'!$B$222:$B$224,0))),'Tabla Impacto'!$F$224&amp;"Por favor no seleccionar los criterios de impacto(Afectación Económica o presupuestal y Pérdida Reputacional)",Q16)</f>
        <v xml:space="preserve">     El riesgo afecta la imagen de la entidad internamente, de conocimiento general, nivel interno, de junta dircetiva y accionistas y/o de provedores</v>
      </c>
      <c r="S16" s="363" t="str">
        <f>IF(OR(R16='Tabla Impacto'!$C$12,R16='Tabla Impacto'!$D$12),"Leve",IF(OR(R16='Tabla Impacto'!$C$13,R16='Tabla Impacto'!$D$13),"Menor",IF(OR(R16='Tabla Impacto'!$C$14,R16='Tabla Impacto'!$D$14),"Moderado",IF(OR(R16='Tabla Impacto'!$C$15,R16='Tabla Impacto'!$D$15),"Mayor",IF(OR(R16='Tabla Impacto'!$C$16,R16='Tabla Impacto'!$D$16),"Catastrófico","")))))</f>
        <v>Menor</v>
      </c>
      <c r="T16" s="361">
        <f>IF(S16="","",IF(S16="Leve",0.2,IF(S16="Menor",0.4,IF(S16="Moderado",0.6,IF(S16="Mayor",0.8,IF(S16="Catastrófico",1,))))))</f>
        <v>0.4</v>
      </c>
      <c r="U16" s="365" t="str">
        <f>IF(OR(AND(O16="Muy Baja",S16="Leve"),AND(O16="Muy Baja",S16="Menor"),AND(O16="Baja",S16="Leve")),"Bajo",IF(OR(AND(O16="Muy baja",S16="Moderado"),AND(O16="Baja",S16="Menor"),AND(O16="Baja",S16="Moderado"),AND(O16="Media",S16="Leve"),AND(O16="Media",S16="Menor"),AND(O16="Media",S16="Moderado"),AND(O16="Alta",S16="Leve"),AND(O16="Alta",S16="Menor")),"Moderado",IF(OR(AND(O16="Muy Baja",S16="Mayor"),AND(O16="Baja",S16="Mayor"),AND(O16="Media",S16="Mayor"),AND(O16="Alta",S16="Moderado"),AND(O16="Alta",S16="Mayor"),AND(O16="Muy Alta",S16="Leve"),AND(O16="Muy Alta",S16="Menor"),AND(O16="Muy Alta",S16="Moderado"),AND(O16="Muy Alta",S16="Mayor")),"Alto",IF(OR(AND(O16="Muy Baja",S16="Catastrófico"),AND(O16="Baja",S16="Catastrófico"),AND(O16="Media",S16="Catastrófico"),AND(O16="Alta",S16="Catastrófico"),AND(O16="Muy Alta",S16="Catastrófico")),"Extremo",""))))</f>
        <v>Moderado</v>
      </c>
      <c r="V16" s="264">
        <v>1</v>
      </c>
      <c r="W16" s="262" t="s">
        <v>450</v>
      </c>
      <c r="X16" s="265" t="str">
        <f>IF(OR(Y16="Preventivo",Y16="Detectivo"),"Probabilidad",IF(Y16="Correctivo","Impacto",""))</f>
        <v>Probabilidad</v>
      </c>
      <c r="Y16" s="266" t="s">
        <v>259</v>
      </c>
      <c r="Z16" s="266" t="s">
        <v>255</v>
      </c>
      <c r="AA16" s="267" t="s">
        <v>452</v>
      </c>
      <c r="AB16" s="266" t="s">
        <v>260</v>
      </c>
      <c r="AC16" s="266" t="s">
        <v>257</v>
      </c>
      <c r="AD16" s="266" t="s">
        <v>258</v>
      </c>
      <c r="AE16" s="268">
        <f>IFERROR(IF(X16="Probabilidad",(P16-(+P16*AA16)),IF(X16="Impacto",P16,"")),"")</f>
        <v>0.42</v>
      </c>
      <c r="AF16" s="269" t="str">
        <f>IFERROR(IF(AE16="","",IF(AE16&lt;=0.2,"Muy Baja",IF(AE16&lt;=0.4,"Baja",IF(AE16&lt;=0.6,"Media",IF(AE16&lt;=0.8,"Alta","Muy Alta"))))),"")</f>
        <v>Media</v>
      </c>
      <c r="AG16" s="267">
        <f>+AE16</f>
        <v>0.42</v>
      </c>
      <c r="AH16" s="269" t="str">
        <f>IFERROR(IF(AI16="","",IF(AI16&lt;=0.2,"Leve",IF(AI16&lt;=0.4,"Menor",IF(AI16&lt;=0.6,"Moderado",IF(AI16&lt;=0.8,"Mayor","Catastrófico"))))),"")</f>
        <v>Menor</v>
      </c>
      <c r="AI16" s="267">
        <f t="shared" ref="AI16" si="5">IFERROR(IF(X16="Impacto",(T16-(+T16*AA16)),IF(X16="Probabilidad",T16,"")),"")</f>
        <v>0.4</v>
      </c>
      <c r="AJ16" s="270" t="str">
        <f>IFERROR(IF(OR(AND(AF16="Muy Baja",AH16="Leve"),AND(AF16="Muy Baja",AH16="Menor"),AND(AF16="Baja",AH16="Leve")),"Bajo",IF(OR(AND(AF16="Muy baja",AH16="Moderado"),AND(AF16="Baja",AH16="Menor"),AND(AF16="Baja",AH16="Moderado"),AND(AF16="Media",AH16="Leve"),AND(AF16="Media",AH16="Menor"),AND(AF16="Media",AH16="Moderado"),AND(AF16="Alta",AH16="Leve"),AND(AF16="Alta",AH16="Menor")),"Moderado",IF(OR(AND(AF16="Muy Baja",AH16="Mayor"),AND(AF16="Baja",AH16="Mayor"),AND(AF16="Media",AH16="Mayor"),AND(AF16="Alta",AH16="Moderado"),AND(AF16="Alta",AH16="Mayor"),AND(AF16="Muy Alta",AH16="Leve"),AND(AF16="Muy Alta",AH16="Menor"),AND(AF16="Muy Alta",AH16="Moderado"),AND(AF16="Muy Alta",AH16="Mayor")),"Alto",IF(OR(AND(AF16="Muy Baja",AH16="Catastrófico"),AND(AF16="Baja",AH16="Catastrófico"),AND(AF16="Media",AH16="Catastrófico"),AND(AF16="Alta",AH16="Catastrófico"),AND(AF16="Muy Alta",AH16="Catastrófico")),"Extremo","")))),"")</f>
        <v>Moderado</v>
      </c>
      <c r="AK16" s="271" t="s">
        <v>123</v>
      </c>
      <c r="AL16" s="223" t="s">
        <v>443</v>
      </c>
      <c r="AM16" s="223" t="s">
        <v>436</v>
      </c>
      <c r="AN16" s="223" t="s">
        <v>437</v>
      </c>
      <c r="AO16" s="272" t="s">
        <v>445</v>
      </c>
      <c r="AP16" s="398"/>
      <c r="AQ16" s="398"/>
      <c r="AR16" s="399"/>
    </row>
    <row r="17" spans="1:44" ht="225.75" thickBot="1" x14ac:dyDescent="0.25">
      <c r="A17" s="409"/>
      <c r="B17" s="384"/>
      <c r="C17" s="384"/>
      <c r="D17" s="384"/>
      <c r="E17" s="387"/>
      <c r="F17" s="384"/>
      <c r="G17" s="359"/>
      <c r="H17" s="359"/>
      <c r="I17" s="359"/>
      <c r="J17" s="359"/>
      <c r="K17" s="359"/>
      <c r="L17" s="359"/>
      <c r="M17" s="359"/>
      <c r="N17" s="377"/>
      <c r="O17" s="364"/>
      <c r="P17" s="362"/>
      <c r="Q17" s="371"/>
      <c r="R17" s="362">
        <f>IF(NOT(ISERROR(MATCH(Q17,_xlfn.ANCHORARRAY(E24),0))),P26&amp;"Por favor no seleccionar los criterios de impacto",Q17)</f>
        <v>0</v>
      </c>
      <c r="S17" s="364"/>
      <c r="T17" s="362"/>
      <c r="U17" s="366"/>
      <c r="V17" s="275">
        <v>2</v>
      </c>
      <c r="W17" s="274" t="s">
        <v>451</v>
      </c>
      <c r="X17" s="276" t="str">
        <f>IF(OR(Y17="Preventivo",Y17="Detectivo"),"Probabilidad",IF(Y17="Correctivo","Impacto",""))</f>
        <v>Probabilidad</v>
      </c>
      <c r="Y17" s="277" t="s">
        <v>259</v>
      </c>
      <c r="Z17" s="277" t="s">
        <v>255</v>
      </c>
      <c r="AA17" s="278" t="s">
        <v>452</v>
      </c>
      <c r="AB17" s="277" t="s">
        <v>260</v>
      </c>
      <c r="AC17" s="277" t="s">
        <v>257</v>
      </c>
      <c r="AD17" s="277" t="s">
        <v>258</v>
      </c>
      <c r="AE17" s="279">
        <f>IFERROR(IF(AND(X16="Probabilidad",X17="Probabilidad"),(AG16-(+AG16*AA17)),IF(X17="Probabilidad",(P16-(+P16*AA17)),IF(X17="Impacto",AG16,""))),"")</f>
        <v>0.29399999999999998</v>
      </c>
      <c r="AF17" s="280" t="str">
        <f t="shared" si="1"/>
        <v>Baja</v>
      </c>
      <c r="AG17" s="278">
        <f t="shared" ref="AG17" si="6">+AE17</f>
        <v>0.29399999999999998</v>
      </c>
      <c r="AH17" s="280" t="str">
        <f t="shared" si="3"/>
        <v>Menor</v>
      </c>
      <c r="AI17" s="278">
        <f t="shared" ref="AI17" si="7">IFERROR(IF(AND(X16="Impacto",X17="Impacto"),(AI16-(+AI16*AA17)),IF(X17="Impacto",($T$13-(+$T$13*AA17)),IF(X17="Probabilidad",AI16,""))),"")</f>
        <v>0.4</v>
      </c>
      <c r="AJ17" s="281" t="str">
        <f t="shared" ref="AJ17" si="8">IFERROR(IF(OR(AND(AF17="Muy Baja",AH17="Leve"),AND(AF17="Muy Baja",AH17="Menor"),AND(AF17="Baja",AH17="Leve")),"Bajo",IF(OR(AND(AF17="Muy baja",AH17="Moderado"),AND(AF17="Baja",AH17="Menor"),AND(AF17="Baja",AH17="Moderado"),AND(AF17="Media",AH17="Leve"),AND(AF17="Media",AH17="Menor"),AND(AF17="Media",AH17="Moderado"),AND(AF17="Alta",AH17="Leve"),AND(AF17="Alta",AH17="Menor")),"Moderado",IF(OR(AND(AF17="Muy Baja",AH17="Mayor"),AND(AF17="Baja",AH17="Mayor"),AND(AF17="Media",AH17="Mayor"),AND(AF17="Alta",AH17="Moderado"),AND(AF17="Alta",AH17="Mayor"),AND(AF17="Muy Alta",AH17="Leve"),AND(AF17="Muy Alta",AH17="Menor"),AND(AF17="Muy Alta",AH17="Moderado"),AND(AF17="Muy Alta",AH17="Mayor")),"Alto",IF(OR(AND(AF17="Muy Baja",AH17="Catastrófico"),AND(AF17="Baja",AH17="Catastrófico"),AND(AF17="Media",AH17="Catastrófico"),AND(AF17="Alta",AH17="Catastrófico"),AND(AF17="Muy Alta",AH17="Catastrófico")),"Extremo","")))),"")</f>
        <v>Moderado</v>
      </c>
      <c r="AK17" s="282" t="s">
        <v>123</v>
      </c>
      <c r="AL17" s="273" t="s">
        <v>453</v>
      </c>
      <c r="AM17" s="273" t="s">
        <v>436</v>
      </c>
      <c r="AN17" s="273" t="s">
        <v>437</v>
      </c>
      <c r="AO17" s="283" t="s">
        <v>445</v>
      </c>
      <c r="AP17" s="377"/>
      <c r="AQ17" s="377"/>
      <c r="AR17" s="400"/>
    </row>
    <row r="18" spans="1:44" x14ac:dyDescent="0.2">
      <c r="A18" s="455">
        <v>3</v>
      </c>
      <c r="B18" s="369"/>
      <c r="C18" s="369"/>
      <c r="D18" s="369"/>
      <c r="E18" s="416"/>
      <c r="F18" s="369"/>
      <c r="G18" s="358"/>
      <c r="H18" s="358"/>
      <c r="I18" s="358"/>
      <c r="J18" s="358"/>
      <c r="K18" s="358"/>
      <c r="L18" s="358"/>
      <c r="M18" s="358"/>
      <c r="N18" s="398"/>
      <c r="O18" s="363" t="str">
        <f>IF(N18&lt;=0,"",IF(N18&lt;=2,"Muy Baja",IF(N18&lt;=24,"Baja",IF(N18&lt;=500,"Media",IF(N18&lt;=5000,"Alta","Muy Alta")))))</f>
        <v/>
      </c>
      <c r="P18" s="361" t="str">
        <f>IF(O18="","",IF(O18="Muy Baja",0.2,IF(O18="Baja",0.4,IF(O18="Media",0.6,IF(O18="Alta",0.8,IF(O18="Muy Alta",1,))))))</f>
        <v/>
      </c>
      <c r="Q18" s="370"/>
      <c r="R18" s="361">
        <f>IF(NOT(ISERROR(MATCH(Q18,'Tabla Impacto'!$B$222:$B$224,0))),'Tabla Impacto'!$F$224&amp;"Por favor no seleccionar los criterios de impacto(Afectación Económica o presupuestal y Pérdida Reputacional)",Q18)</f>
        <v>0</v>
      </c>
      <c r="S18" s="363" t="str">
        <f>IF(OR(R18='Tabla Impacto'!$C$12,R18='Tabla Impacto'!$D$12),"Leve",IF(OR(R18='Tabla Impacto'!$C$13,R18='Tabla Impacto'!$D$13),"Menor",IF(OR(R18='Tabla Impacto'!$C$14,R18='Tabla Impacto'!$D$14),"Moderado",IF(OR(R18='Tabla Impacto'!$C$15,R18='Tabla Impacto'!$D$15),"Mayor",IF(OR(R18='Tabla Impacto'!$C$16,R18='Tabla Impacto'!$D$16),"Catastrófico","")))))</f>
        <v/>
      </c>
      <c r="T18" s="361" t="str">
        <f>IF(S18="","",IF(S18="Leve",0.2,IF(S18="Menor",0.4,IF(S18="Moderado",0.6,IF(S18="Mayor",0.8,IF(S18="Catastrófico",1,))))))</f>
        <v/>
      </c>
      <c r="U18" s="365" t="str">
        <f>IF(OR(AND(O18="Muy Baja",S18="Leve"),AND(O18="Muy Baja",S18="Menor"),AND(O18="Baja",S18="Leve")),"Bajo",IF(OR(AND(O18="Muy baja",S18="Moderado"),AND(O18="Baja",S18="Menor"),AND(O18="Baja",S18="Moderado"),AND(O18="Media",S18="Leve"),AND(O18="Media",S18="Menor"),AND(O18="Media",S18="Moderado"),AND(O18="Alta",S18="Leve"),AND(O18="Alta",S18="Menor")),"Moderado",IF(OR(AND(O18="Muy Baja",S18="Mayor"),AND(O18="Baja",S18="Mayor"),AND(O18="Media",S18="Mayor"),AND(O18="Alta",S18="Moderado"),AND(O18="Alta",S18="Mayor"),AND(O18="Muy Alta",S18="Leve"),AND(O18="Muy Alta",S18="Menor"),AND(O18="Muy Alta",S18="Moderado"),AND(O18="Muy Alta",S18="Mayor")),"Alto",IF(OR(AND(O18="Muy Baja",S18="Catastrófico"),AND(O18="Baja",S18="Catastrófico"),AND(O18="Media",S18="Catastrófico"),AND(O18="Alta",S18="Catastrófico"),AND(O18="Muy Alta",S18="Catastrófico")),"Extremo",""))))</f>
        <v/>
      </c>
      <c r="V18" s="264">
        <v>1</v>
      </c>
      <c r="W18" s="262"/>
      <c r="X18" s="265" t="str">
        <f>IF(OR(Y18="Preventivo",Y18="Detectivo"),"Probabilidad",IF(Y18="Correctivo","Impacto",""))</f>
        <v/>
      </c>
      <c r="Y18" s="266"/>
      <c r="Z18" s="266"/>
      <c r="AA18" s="267" t="str">
        <f>IF(AND(Y18="Preventivo",Z18="Automático"),"50%",IF(AND(Y18="Preventivo",Z18="Manual"),"40%",IF(AND(Y18="Detectivo",Z18="Automático"),"40%",IF(AND(Y18="Detectivo",Z18="Manual"),"30%",IF(AND(Y18="Correctivo",Z18="Automático"),"35%",IF(AND(Y18="Correctivo",Z18="Manual"),"25%",""))))))</f>
        <v/>
      </c>
      <c r="AB18" s="266"/>
      <c r="AC18" s="266"/>
      <c r="AD18" s="266"/>
      <c r="AE18" s="268" t="str">
        <f>IFERROR(IF(X18="Probabilidad",(P18-(+P18*AA18)),IF(X18="Impacto",P18,"")),"")</f>
        <v/>
      </c>
      <c r="AF18" s="269" t="str">
        <f>IFERROR(IF(AE18="","",IF(AE18&lt;=0.2,"Muy Baja",IF(AE18&lt;=0.4,"Baja",IF(AE18&lt;=0.6,"Media",IF(AE18&lt;=0.8,"Alta","Muy Alta"))))),"")</f>
        <v/>
      </c>
      <c r="AG18" s="267" t="str">
        <f>+AE18</f>
        <v/>
      </c>
      <c r="AH18" s="269" t="str">
        <f>IFERROR(IF(AI18="","",IF(AI18&lt;=0.2,"Leve",IF(AI18&lt;=0.4,"Menor",IF(AI18&lt;=0.6,"Moderado",IF(AI18&lt;=0.8,"Mayor","Catastrófico"))))),"")</f>
        <v/>
      </c>
      <c r="AI18" s="267" t="str">
        <f t="shared" ref="AI18" si="9">IFERROR(IF(X18="Impacto",(T18-(+T18*AA18)),IF(X18="Probabilidad",T18,"")),"")</f>
        <v/>
      </c>
      <c r="AJ18" s="270" t="str">
        <f>IFERROR(IF(OR(AND(AF18="Muy Baja",AH18="Leve"),AND(AF18="Muy Baja",AH18="Menor"),AND(AF18="Baja",AH18="Leve")),"Bajo",IF(OR(AND(AF18="Muy baja",AH18="Moderado"),AND(AF18="Baja",AH18="Menor"),AND(AF18="Baja",AH18="Moderado"),AND(AF18="Media",AH18="Leve"),AND(AF18="Media",AH18="Menor"),AND(AF18="Media",AH18="Moderado"),AND(AF18="Alta",AH18="Leve"),AND(AF18="Alta",AH18="Menor")),"Moderado",IF(OR(AND(AF18="Muy Baja",AH18="Mayor"),AND(AF18="Baja",AH18="Mayor"),AND(AF18="Media",AH18="Mayor"),AND(AF18="Alta",AH18="Moderado"),AND(AF18="Alta",AH18="Mayor"),AND(AF18="Muy Alta",AH18="Leve"),AND(AF18="Muy Alta",AH18="Menor"),AND(AF18="Muy Alta",AH18="Moderado"),AND(AF18="Muy Alta",AH18="Mayor")),"Alto",IF(OR(AND(AF18="Muy Baja",AH18="Catastrófico"),AND(AF18="Baja",AH18="Catastrófico"),AND(AF18="Media",AH18="Catastrófico"),AND(AF18="Alta",AH18="Catastrófico"),AND(AF18="Muy Alta",AH18="Catastrófico")),"Extremo","")))),"")</f>
        <v/>
      </c>
      <c r="AK18" s="271"/>
      <c r="AL18" s="223"/>
      <c r="AM18" s="263"/>
      <c r="AN18" s="263"/>
      <c r="AO18" s="272"/>
      <c r="AP18" s="398"/>
      <c r="AQ18" s="398"/>
      <c r="AR18" s="398"/>
    </row>
    <row r="19" spans="1:44" x14ac:dyDescent="0.2">
      <c r="A19" s="419"/>
      <c r="B19" s="383"/>
      <c r="C19" s="383"/>
      <c r="D19" s="383"/>
      <c r="E19" s="386"/>
      <c r="F19" s="383"/>
      <c r="G19" s="358"/>
      <c r="H19" s="358"/>
      <c r="I19" s="358"/>
      <c r="J19" s="358"/>
      <c r="K19" s="358"/>
      <c r="L19" s="358"/>
      <c r="M19" s="358"/>
      <c r="N19" s="376"/>
      <c r="O19" s="374"/>
      <c r="P19" s="373"/>
      <c r="Q19" s="349"/>
      <c r="R19" s="373">
        <f>IF(NOT(ISERROR(MATCH(Q19,_xlfn.ANCHORARRAY(E30),0))),P32&amp;"Por favor no seleccionar los criterios de impacto",Q19)</f>
        <v>0</v>
      </c>
      <c r="S19" s="374"/>
      <c r="T19" s="373"/>
      <c r="U19" s="360"/>
      <c r="V19" s="214">
        <v>2</v>
      </c>
      <c r="W19" s="187"/>
      <c r="X19" s="189" t="str">
        <f>IF(OR(Y19="Preventivo",Y19="Detectivo"),"Probabilidad",IF(Y19="Correctivo","Impacto",""))</f>
        <v/>
      </c>
      <c r="Y19" s="190"/>
      <c r="Z19" s="190"/>
      <c r="AA19" s="191" t="str">
        <f t="shared" ref="AA19:AA23" si="10">IF(AND(Y19="Preventivo",Z19="Automático"),"50%",IF(AND(Y19="Preventivo",Z19="Manual"),"40%",IF(AND(Y19="Detectivo",Z19="Automático"),"40%",IF(AND(Y19="Detectivo",Z19="Manual"),"30%",IF(AND(Y19="Correctivo",Z19="Automático"),"35%",IF(AND(Y19="Correctivo",Z19="Manual"),"25%",""))))))</f>
        <v/>
      </c>
      <c r="AB19" s="190"/>
      <c r="AC19" s="190"/>
      <c r="AD19" s="190"/>
      <c r="AE19" s="192" t="str">
        <f>IFERROR(IF(AND(X18="Probabilidad",X19="Probabilidad"),(AG18-(+AG18*AA19)),IF(X19="Probabilidad",(P18-(+P18*AA19)),IF(X19="Impacto",AG18,""))),"")</f>
        <v/>
      </c>
      <c r="AF19" s="193" t="str">
        <f t="shared" si="1"/>
        <v/>
      </c>
      <c r="AG19" s="191" t="str">
        <f t="shared" ref="AG19:AG23" si="11">+AE19</f>
        <v/>
      </c>
      <c r="AH19" s="193" t="str">
        <f t="shared" si="3"/>
        <v/>
      </c>
      <c r="AI19" s="191" t="str">
        <f t="shared" ref="AI19" si="12">IFERROR(IF(AND(X18="Impacto",X19="Impacto"),(AI18-(+AI18*AA19)),IF(X19="Impacto",($T$13-(+$T$13*AA19)),IF(X19="Probabilidad",AI18,""))),"")</f>
        <v/>
      </c>
      <c r="AJ19" s="194" t="str">
        <f t="shared" ref="AJ19:AJ20" si="13">IFERROR(IF(OR(AND(AF19="Muy Baja",AH19="Leve"),AND(AF19="Muy Baja",AH19="Menor"),AND(AF19="Baja",AH19="Leve")),"Bajo",IF(OR(AND(AF19="Muy baja",AH19="Moderado"),AND(AF19="Baja",AH19="Menor"),AND(AF19="Baja",AH19="Moderado"),AND(AF19="Media",AH19="Leve"),AND(AF19="Media",AH19="Menor"),AND(AF19="Media",AH19="Moderado"),AND(AF19="Alta",AH19="Leve"),AND(AF19="Alta",AH19="Menor")),"Moderado",IF(OR(AND(AF19="Muy Baja",AH19="Mayor"),AND(AF19="Baja",AH19="Mayor"),AND(AF19="Media",AH19="Mayor"),AND(AF19="Alta",AH19="Moderado"),AND(AF19="Alta",AH19="Mayor"),AND(AF19="Muy Alta",AH19="Leve"),AND(AF19="Muy Alta",AH19="Menor"),AND(AF19="Muy Alta",AH19="Moderado"),AND(AF19="Muy Alta",AH19="Mayor")),"Alto",IF(OR(AND(AF19="Muy Baja",AH19="Catastrófico"),AND(AF19="Baja",AH19="Catastrófico"),AND(AF19="Media",AH19="Catastrófico"),AND(AF19="Alta",AH19="Catastrófico"),AND(AF19="Muy Alta",AH19="Catastrófico")),"Extremo","")))),"")</f>
        <v/>
      </c>
      <c r="AK19" s="195"/>
      <c r="AL19" s="186"/>
      <c r="AM19" s="196"/>
      <c r="AN19" s="196"/>
      <c r="AO19" s="197"/>
      <c r="AP19" s="376"/>
      <c r="AQ19" s="376"/>
      <c r="AR19" s="376"/>
    </row>
    <row r="20" spans="1:44" x14ac:dyDescent="0.2">
      <c r="A20" s="419"/>
      <c r="B20" s="383"/>
      <c r="C20" s="383"/>
      <c r="D20" s="383"/>
      <c r="E20" s="386"/>
      <c r="F20" s="383"/>
      <c r="G20" s="358"/>
      <c r="H20" s="358"/>
      <c r="I20" s="358"/>
      <c r="J20" s="358"/>
      <c r="K20" s="358"/>
      <c r="L20" s="358"/>
      <c r="M20" s="358"/>
      <c r="N20" s="376"/>
      <c r="O20" s="374"/>
      <c r="P20" s="373"/>
      <c r="Q20" s="349"/>
      <c r="R20" s="373">
        <f>IF(NOT(ISERROR(MATCH(Q20,_xlfn.ANCHORARRAY(E31),0))),P33&amp;"Por favor no seleccionar los criterios de impacto",Q20)</f>
        <v>0</v>
      </c>
      <c r="S20" s="374"/>
      <c r="T20" s="373"/>
      <c r="U20" s="360"/>
      <c r="V20" s="214">
        <v>3</v>
      </c>
      <c r="W20" s="187"/>
      <c r="X20" s="189" t="str">
        <f>IF(OR(Y20="Preventivo",Y20="Detectivo"),"Probabilidad",IF(Y20="Correctivo","Impacto",""))</f>
        <v/>
      </c>
      <c r="Y20" s="190"/>
      <c r="Z20" s="190"/>
      <c r="AA20" s="191" t="str">
        <f t="shared" si="10"/>
        <v/>
      </c>
      <c r="AB20" s="190"/>
      <c r="AC20" s="190"/>
      <c r="AD20" s="190"/>
      <c r="AE20" s="192" t="str">
        <f>IFERROR(IF(AND(X19="Probabilidad",X20="Probabilidad"),(AG19-(+AG19*AA20)),IF(AND(X19="Impacto",X20="Probabilidad"),(AG18-(+AG18*AA20)),IF(X20="Impacto",AG19,""))),"")</f>
        <v/>
      </c>
      <c r="AF20" s="193" t="str">
        <f t="shared" si="1"/>
        <v/>
      </c>
      <c r="AG20" s="191" t="str">
        <f t="shared" si="11"/>
        <v/>
      </c>
      <c r="AH20" s="193" t="str">
        <f t="shared" si="3"/>
        <v/>
      </c>
      <c r="AI20" s="191" t="str">
        <f t="shared" ref="AI20" si="14">IFERROR(IF(AND(X19="Impacto",X20="Impacto"),(AI19-(+AI19*AA20)),IF(AND(X19="Probabilidad",X20="Impacto"),(AI18-(+AI18*AA20)),IF(X20="Probabilidad",AI19,""))),"")</f>
        <v/>
      </c>
      <c r="AJ20" s="194" t="str">
        <f t="shared" si="13"/>
        <v/>
      </c>
      <c r="AK20" s="195"/>
      <c r="AL20" s="186"/>
      <c r="AM20" s="196"/>
      <c r="AN20" s="196"/>
      <c r="AO20" s="197"/>
      <c r="AP20" s="376"/>
      <c r="AQ20" s="376"/>
      <c r="AR20" s="376"/>
    </row>
    <row r="21" spans="1:44" x14ac:dyDescent="0.2">
      <c r="A21" s="419"/>
      <c r="B21" s="383"/>
      <c r="C21" s="383"/>
      <c r="D21" s="383"/>
      <c r="E21" s="386"/>
      <c r="F21" s="383"/>
      <c r="G21" s="358"/>
      <c r="H21" s="358"/>
      <c r="I21" s="358"/>
      <c r="J21" s="358"/>
      <c r="K21" s="358"/>
      <c r="L21" s="358"/>
      <c r="M21" s="358"/>
      <c r="N21" s="376"/>
      <c r="O21" s="374"/>
      <c r="P21" s="373"/>
      <c r="Q21" s="349"/>
      <c r="R21" s="373">
        <f>IF(NOT(ISERROR(MATCH(Q21,_xlfn.ANCHORARRAY(E32),0))),P34&amp;"Por favor no seleccionar los criterios de impacto",Q21)</f>
        <v>0</v>
      </c>
      <c r="S21" s="374"/>
      <c r="T21" s="373"/>
      <c r="U21" s="360"/>
      <c r="V21" s="214">
        <v>4</v>
      </c>
      <c r="W21" s="187"/>
      <c r="X21" s="189" t="str">
        <f t="shared" ref="X21:X23" si="15">IF(OR(Y21="Preventivo",Y21="Detectivo"),"Probabilidad",IF(Y21="Correctivo","Impacto",""))</f>
        <v/>
      </c>
      <c r="Y21" s="190"/>
      <c r="Z21" s="190"/>
      <c r="AA21" s="191" t="str">
        <f t="shared" si="10"/>
        <v/>
      </c>
      <c r="AB21" s="190"/>
      <c r="AC21" s="190"/>
      <c r="AD21" s="190"/>
      <c r="AE21" s="192" t="str">
        <f t="shared" ref="AE21:AE23" si="16">IFERROR(IF(AND(X20="Probabilidad",X21="Probabilidad"),(AG20-(+AG20*AA21)),IF(AND(X20="Impacto",X21="Probabilidad"),(AG19-(+AG19*AA21)),IF(X21="Impacto",AG20,""))),"")</f>
        <v/>
      </c>
      <c r="AF21" s="193" t="str">
        <f t="shared" si="1"/>
        <v/>
      </c>
      <c r="AG21" s="191" t="str">
        <f t="shared" si="11"/>
        <v/>
      </c>
      <c r="AH21" s="193" t="str">
        <f t="shared" si="3"/>
        <v/>
      </c>
      <c r="AI21" s="191" t="str">
        <f t="shared" ref="AI21:AI65" si="17">IFERROR(IF(AND(X20="Impacto",X21="Impacto"),(AI20-(+AI20*AA21)),IF(AND(X20="Probabilidad",X21="Impacto"),(AI19-(+AI19*AA21)),IF(X21="Probabilidad",AI20,""))),"")</f>
        <v/>
      </c>
      <c r="AJ21" s="194" t="str">
        <f>IFERROR(IF(OR(AND(AF21="Muy Baja",AH21="Leve"),AND(AF21="Muy Baja",AH21="Menor"),AND(AF21="Baja",AH21="Leve")),"Bajo",IF(OR(AND(AF21="Muy baja",AH21="Moderado"),AND(AF21="Baja",AH21="Menor"),AND(AF21="Baja",AH21="Moderado"),AND(AF21="Media",AH21="Leve"),AND(AF21="Media",AH21="Menor"),AND(AF21="Media",AH21="Moderado"),AND(AF21="Alta",AH21="Leve"),AND(AF21="Alta",AH21="Menor")),"Moderado",IF(OR(AND(AF21="Muy Baja",AH21="Mayor"),AND(AF21="Baja",AH21="Mayor"),AND(AF21="Media",AH21="Mayor"),AND(AF21="Alta",AH21="Moderado"),AND(AF21="Alta",AH21="Mayor"),AND(AF21="Muy Alta",AH21="Leve"),AND(AF21="Muy Alta",AH21="Menor"),AND(AF21="Muy Alta",AH21="Moderado"),AND(AF21="Muy Alta",AH21="Mayor")),"Alto",IF(OR(AND(AF21="Muy Baja",AH21="Catastrófico"),AND(AF21="Baja",AH21="Catastrófico"),AND(AF21="Media",AH21="Catastrófico"),AND(AF21="Alta",AH21="Catastrófico"),AND(AF21="Muy Alta",AH21="Catastrófico")),"Extremo","")))),"")</f>
        <v/>
      </c>
      <c r="AK21" s="195"/>
      <c r="AL21" s="186"/>
      <c r="AM21" s="196"/>
      <c r="AN21" s="196"/>
      <c r="AO21" s="197"/>
      <c r="AP21" s="376"/>
      <c r="AQ21" s="376"/>
      <c r="AR21" s="376"/>
    </row>
    <row r="22" spans="1:44" x14ac:dyDescent="0.2">
      <c r="A22" s="419"/>
      <c r="B22" s="383"/>
      <c r="C22" s="383"/>
      <c r="D22" s="383"/>
      <c r="E22" s="386"/>
      <c r="F22" s="383"/>
      <c r="G22" s="358"/>
      <c r="H22" s="358"/>
      <c r="I22" s="358"/>
      <c r="J22" s="358"/>
      <c r="K22" s="358"/>
      <c r="L22" s="358"/>
      <c r="M22" s="358"/>
      <c r="N22" s="376"/>
      <c r="O22" s="374"/>
      <c r="P22" s="373"/>
      <c r="Q22" s="349"/>
      <c r="R22" s="373">
        <f>IF(NOT(ISERROR(MATCH(Q22,_xlfn.ANCHORARRAY(E33),0))),P35&amp;"Por favor no seleccionar los criterios de impacto",Q22)</f>
        <v>0</v>
      </c>
      <c r="S22" s="374"/>
      <c r="T22" s="373"/>
      <c r="U22" s="360"/>
      <c r="V22" s="214">
        <v>5</v>
      </c>
      <c r="W22" s="187"/>
      <c r="X22" s="189" t="str">
        <f t="shared" si="15"/>
        <v/>
      </c>
      <c r="Y22" s="190"/>
      <c r="Z22" s="190"/>
      <c r="AA22" s="191" t="str">
        <f t="shared" si="10"/>
        <v/>
      </c>
      <c r="AB22" s="190"/>
      <c r="AC22" s="190"/>
      <c r="AD22" s="190"/>
      <c r="AE22" s="192" t="str">
        <f t="shared" si="16"/>
        <v/>
      </c>
      <c r="AF22" s="193" t="str">
        <f t="shared" si="1"/>
        <v/>
      </c>
      <c r="AG22" s="191" t="str">
        <f t="shared" si="11"/>
        <v/>
      </c>
      <c r="AH22" s="193" t="str">
        <f t="shared" si="3"/>
        <v/>
      </c>
      <c r="AI22" s="191" t="str">
        <f t="shared" si="17"/>
        <v/>
      </c>
      <c r="AJ22" s="194" t="str">
        <f t="shared" ref="AJ22:AJ23" si="18">IFERROR(IF(OR(AND(AF22="Muy Baja",AH22="Leve"),AND(AF22="Muy Baja",AH22="Menor"),AND(AF22="Baja",AH22="Leve")),"Bajo",IF(OR(AND(AF22="Muy baja",AH22="Moderado"),AND(AF22="Baja",AH22="Menor"),AND(AF22="Baja",AH22="Moderado"),AND(AF22="Media",AH22="Leve"),AND(AF22="Media",AH22="Menor"),AND(AF22="Media",AH22="Moderado"),AND(AF22="Alta",AH22="Leve"),AND(AF22="Alta",AH22="Menor")),"Moderado",IF(OR(AND(AF22="Muy Baja",AH22="Mayor"),AND(AF22="Baja",AH22="Mayor"),AND(AF22="Media",AH22="Mayor"),AND(AF22="Alta",AH22="Moderado"),AND(AF22="Alta",AH22="Mayor"),AND(AF22="Muy Alta",AH22="Leve"),AND(AF22="Muy Alta",AH22="Menor"),AND(AF22="Muy Alta",AH22="Moderado"),AND(AF22="Muy Alta",AH22="Mayor")),"Alto",IF(OR(AND(AF22="Muy Baja",AH22="Catastrófico"),AND(AF22="Baja",AH22="Catastrófico"),AND(AF22="Media",AH22="Catastrófico"),AND(AF22="Alta",AH22="Catastrófico"),AND(AF22="Muy Alta",AH22="Catastrófico")),"Extremo","")))),"")</f>
        <v/>
      </c>
      <c r="AK22" s="195"/>
      <c r="AL22" s="186"/>
      <c r="AM22" s="196"/>
      <c r="AN22" s="196"/>
      <c r="AO22" s="197"/>
      <c r="AP22" s="376"/>
      <c r="AQ22" s="376"/>
      <c r="AR22" s="376"/>
    </row>
    <row r="23" spans="1:44" x14ac:dyDescent="0.2">
      <c r="A23" s="419"/>
      <c r="B23" s="383"/>
      <c r="C23" s="383"/>
      <c r="D23" s="383"/>
      <c r="E23" s="386"/>
      <c r="F23" s="383"/>
      <c r="G23" s="369"/>
      <c r="H23" s="369"/>
      <c r="I23" s="369"/>
      <c r="J23" s="369"/>
      <c r="K23" s="369"/>
      <c r="L23" s="369"/>
      <c r="M23" s="369"/>
      <c r="N23" s="376"/>
      <c r="O23" s="374"/>
      <c r="P23" s="373"/>
      <c r="Q23" s="349"/>
      <c r="R23" s="373">
        <f>IF(NOT(ISERROR(MATCH(Q23,_xlfn.ANCHORARRAY(E34),0))),P36&amp;"Por favor no seleccionar los criterios de impacto",Q23)</f>
        <v>0</v>
      </c>
      <c r="S23" s="374"/>
      <c r="T23" s="373"/>
      <c r="U23" s="360"/>
      <c r="V23" s="214">
        <v>6</v>
      </c>
      <c r="W23" s="187"/>
      <c r="X23" s="189" t="str">
        <f t="shared" si="15"/>
        <v/>
      </c>
      <c r="Y23" s="190"/>
      <c r="Z23" s="190"/>
      <c r="AA23" s="191" t="str">
        <f t="shared" si="10"/>
        <v/>
      </c>
      <c r="AB23" s="190"/>
      <c r="AC23" s="190"/>
      <c r="AD23" s="190"/>
      <c r="AE23" s="192" t="str">
        <f t="shared" si="16"/>
        <v/>
      </c>
      <c r="AF23" s="193" t="str">
        <f t="shared" si="1"/>
        <v/>
      </c>
      <c r="AG23" s="191" t="str">
        <f t="shared" si="11"/>
        <v/>
      </c>
      <c r="AH23" s="193" t="str">
        <f t="shared" si="3"/>
        <v/>
      </c>
      <c r="AI23" s="191" t="str">
        <f t="shared" si="17"/>
        <v/>
      </c>
      <c r="AJ23" s="194" t="str">
        <f t="shared" si="18"/>
        <v/>
      </c>
      <c r="AK23" s="195"/>
      <c r="AL23" s="186"/>
      <c r="AM23" s="196"/>
      <c r="AN23" s="196"/>
      <c r="AO23" s="197"/>
      <c r="AP23" s="376"/>
      <c r="AQ23" s="376"/>
      <c r="AR23" s="376"/>
    </row>
    <row r="24" spans="1:44" x14ac:dyDescent="0.2">
      <c r="A24" s="419">
        <v>4</v>
      </c>
      <c r="B24" s="383"/>
      <c r="C24" s="383"/>
      <c r="D24" s="383"/>
      <c r="E24" s="420"/>
      <c r="F24" s="383"/>
      <c r="G24" s="388"/>
      <c r="H24" s="388"/>
      <c r="I24" s="388"/>
      <c r="J24" s="388"/>
      <c r="K24" s="388"/>
      <c r="L24" s="388"/>
      <c r="M24" s="388"/>
      <c r="N24" s="376"/>
      <c r="O24" s="374" t="str">
        <f>IF(N24&lt;=0,"",IF(N24&lt;=2,"Muy Baja",IF(N24&lt;=24,"Baja",IF(N24&lt;=500,"Media",IF(N24&lt;=5000,"Alta","Muy Alta")))))</f>
        <v/>
      </c>
      <c r="P24" s="373" t="str">
        <f>IF(O24="","",IF(O24="Muy Baja",0.2,IF(O24="Baja",0.4,IF(O24="Media",0.6,IF(O24="Alta",0.8,IF(O24="Muy Alta",1,))))))</f>
        <v/>
      </c>
      <c r="Q24" s="349"/>
      <c r="R24" s="373">
        <f>IF(NOT(ISERROR(MATCH(Q24,'Tabla Impacto'!$B$222:$B$224,0))),'Tabla Impacto'!$F$224&amp;"Por favor no seleccionar los criterios de impacto(Afectación Económica o presupuestal y Pérdida Reputacional)",Q24)</f>
        <v>0</v>
      </c>
      <c r="S24" s="374" t="str">
        <f>IF(OR(R24='Tabla Impacto'!$C$12,R24='Tabla Impacto'!$D$12),"Leve",IF(OR(R24='Tabla Impacto'!$C$13,R24='Tabla Impacto'!$D$13),"Menor",IF(OR(R24='Tabla Impacto'!$C$14,R24='Tabla Impacto'!$D$14),"Moderado",IF(OR(R24='Tabla Impacto'!$C$15,R24='Tabla Impacto'!$D$15),"Mayor",IF(OR(R24='Tabla Impacto'!$C$16,R24='Tabla Impacto'!$D$16),"Catastrófico","")))))</f>
        <v/>
      </c>
      <c r="T24" s="373" t="str">
        <f>IF(S24="","",IF(S24="Leve",0.2,IF(S24="Menor",0.4,IF(S24="Moderado",0.6,IF(S24="Mayor",0.8,IF(S24="Catastrófico",1,))))))</f>
        <v/>
      </c>
      <c r="U24" s="360" t="str">
        <f>IF(OR(AND(O24="Muy Baja",S24="Leve"),AND(O24="Muy Baja",S24="Menor"),AND(O24="Baja",S24="Leve")),"Bajo",IF(OR(AND(O24="Muy baja",S24="Moderado"),AND(O24="Baja",S24="Menor"),AND(O24="Baja",S24="Moderado"),AND(O24="Media",S24="Leve"),AND(O24="Media",S24="Menor"),AND(O24="Media",S24="Moderado"),AND(O24="Alta",S24="Leve"),AND(O24="Alta",S24="Menor")),"Moderado",IF(OR(AND(O24="Muy Baja",S24="Mayor"),AND(O24="Baja",S24="Mayor"),AND(O24="Media",S24="Mayor"),AND(O24="Alta",S24="Moderado"),AND(O24="Alta",S24="Mayor"),AND(O24="Muy Alta",S24="Leve"),AND(O24="Muy Alta",S24="Menor"),AND(O24="Muy Alta",S24="Moderado"),AND(O24="Muy Alta",S24="Mayor")),"Alto",IF(OR(AND(O24="Muy Baja",S24="Catastrófico"),AND(O24="Baja",S24="Catastrófico"),AND(O24="Media",S24="Catastrófico"),AND(O24="Alta",S24="Catastrófico"),AND(O24="Muy Alta",S24="Catastrófico")),"Extremo",""))))</f>
        <v/>
      </c>
      <c r="V24" s="214">
        <v>1</v>
      </c>
      <c r="W24" s="187"/>
      <c r="X24" s="189" t="str">
        <f>IF(OR(Y24="Preventivo",Y24="Detectivo"),"Probabilidad",IF(Y24="Correctivo","Impacto",""))</f>
        <v/>
      </c>
      <c r="Y24" s="190"/>
      <c r="Z24" s="190"/>
      <c r="AA24" s="191" t="str">
        <f>IF(AND(Y24="Preventivo",Z24="Automático"),"50%",IF(AND(Y24="Preventivo",Z24="Manual"),"40%",IF(AND(Y24="Detectivo",Z24="Automático"),"40%",IF(AND(Y24="Detectivo",Z24="Manual"),"30%",IF(AND(Y24="Correctivo",Z24="Automático"),"35%",IF(AND(Y24="Correctivo",Z24="Manual"),"25%",""))))))</f>
        <v/>
      </c>
      <c r="AB24" s="190"/>
      <c r="AC24" s="190"/>
      <c r="AD24" s="190"/>
      <c r="AE24" s="192" t="str">
        <f>IFERROR(IF(X24="Probabilidad",(P24-(+P24*AA24)),IF(X24="Impacto",P24,"")),"")</f>
        <v/>
      </c>
      <c r="AF24" s="193" t="str">
        <f>IFERROR(IF(AE24="","",IF(AE24&lt;=0.2,"Muy Baja",IF(AE24&lt;=0.4,"Baja",IF(AE24&lt;=0.6,"Media",IF(AE24&lt;=0.8,"Alta","Muy Alta"))))),"")</f>
        <v/>
      </c>
      <c r="AG24" s="191" t="str">
        <f>+AE24</f>
        <v/>
      </c>
      <c r="AH24" s="193" t="str">
        <f>IFERROR(IF(AI24="","",IF(AI24&lt;=0.2,"Leve",IF(AI24&lt;=0.4,"Menor",IF(AI24&lt;=0.6,"Moderado",IF(AI24&lt;=0.8,"Mayor","Catastrófico"))))),"")</f>
        <v/>
      </c>
      <c r="AI24" s="191" t="str">
        <f t="shared" ref="AI24" si="19">IFERROR(IF(X24="Impacto",(T24-(+T24*AA24)),IF(X24="Probabilidad",T24,"")),"")</f>
        <v/>
      </c>
      <c r="AJ24" s="194" t="str">
        <f>IFERROR(IF(OR(AND(AF24="Muy Baja",AH24="Leve"),AND(AF24="Muy Baja",AH24="Menor"),AND(AF24="Baja",AH24="Leve")),"Bajo",IF(OR(AND(AF24="Muy baja",AH24="Moderado"),AND(AF24="Baja",AH24="Menor"),AND(AF24="Baja",AH24="Moderado"),AND(AF24="Media",AH24="Leve"),AND(AF24="Media",AH24="Menor"),AND(AF24="Media",AH24="Moderado"),AND(AF24="Alta",AH24="Leve"),AND(AF24="Alta",AH24="Menor")),"Moderado",IF(OR(AND(AF24="Muy Baja",AH24="Mayor"),AND(AF24="Baja",AH24="Mayor"),AND(AF24="Media",AH24="Mayor"),AND(AF24="Alta",AH24="Moderado"),AND(AF24="Alta",AH24="Mayor"),AND(AF24="Muy Alta",AH24="Leve"),AND(AF24="Muy Alta",AH24="Menor"),AND(AF24="Muy Alta",AH24="Moderado"),AND(AF24="Muy Alta",AH24="Mayor")),"Alto",IF(OR(AND(AF24="Muy Baja",AH24="Catastrófico"),AND(AF24="Baja",AH24="Catastrófico"),AND(AF24="Media",AH24="Catastrófico"),AND(AF24="Alta",AH24="Catastrófico"),AND(AF24="Muy Alta",AH24="Catastrófico")),"Extremo","")))),"")</f>
        <v/>
      </c>
      <c r="AK24" s="195"/>
      <c r="AL24" s="186"/>
      <c r="AM24" s="196"/>
      <c r="AN24" s="196"/>
      <c r="AO24" s="197"/>
      <c r="AP24" s="376"/>
      <c r="AQ24" s="376"/>
      <c r="AR24" s="376"/>
    </row>
    <row r="25" spans="1:44" x14ac:dyDescent="0.2">
      <c r="A25" s="419"/>
      <c r="B25" s="383"/>
      <c r="C25" s="383"/>
      <c r="D25" s="383"/>
      <c r="E25" s="421"/>
      <c r="F25" s="383"/>
      <c r="G25" s="358"/>
      <c r="H25" s="358"/>
      <c r="I25" s="358"/>
      <c r="J25" s="358"/>
      <c r="K25" s="358"/>
      <c r="L25" s="358"/>
      <c r="M25" s="358"/>
      <c r="N25" s="376"/>
      <c r="O25" s="374"/>
      <c r="P25" s="373"/>
      <c r="Q25" s="349"/>
      <c r="R25" s="373">
        <f>IF(NOT(ISERROR(MATCH(Q25,_xlfn.ANCHORARRAY(E36),0))),P38&amp;"Por favor no seleccionar los criterios de impacto",Q25)</f>
        <v>0</v>
      </c>
      <c r="S25" s="374"/>
      <c r="T25" s="373"/>
      <c r="U25" s="360"/>
      <c r="V25" s="214">
        <v>2</v>
      </c>
      <c r="W25" s="187"/>
      <c r="X25" s="189" t="str">
        <f>IF(OR(Y25="Preventivo",Y25="Detectivo"),"Probabilidad",IF(Y25="Correctivo","Impacto",""))</f>
        <v/>
      </c>
      <c r="Y25" s="190"/>
      <c r="Z25" s="190"/>
      <c r="AA25" s="191" t="str">
        <f t="shared" ref="AA25:AA29" si="20">IF(AND(Y25="Preventivo",Z25="Automático"),"50%",IF(AND(Y25="Preventivo",Z25="Manual"),"40%",IF(AND(Y25="Detectivo",Z25="Automático"),"40%",IF(AND(Y25="Detectivo",Z25="Manual"),"30%",IF(AND(Y25="Correctivo",Z25="Automático"),"35%",IF(AND(Y25="Correctivo",Z25="Manual"),"25%",""))))))</f>
        <v/>
      </c>
      <c r="AB25" s="190"/>
      <c r="AC25" s="190"/>
      <c r="AD25" s="190"/>
      <c r="AE25" s="192" t="str">
        <f>IFERROR(IF(AND(X24="Probabilidad",X25="Probabilidad"),(AG24-(+AG24*AA25)),IF(X25="Probabilidad",(P24-(+P24*AA25)),IF(X25="Impacto",AG24,""))),"")</f>
        <v/>
      </c>
      <c r="AF25" s="193" t="str">
        <f t="shared" si="1"/>
        <v/>
      </c>
      <c r="AG25" s="191" t="str">
        <f t="shared" ref="AG25:AG29" si="21">+AE25</f>
        <v/>
      </c>
      <c r="AH25" s="193" t="str">
        <f t="shared" si="3"/>
        <v/>
      </c>
      <c r="AI25" s="191" t="str">
        <f t="shared" ref="AI25" si="22">IFERROR(IF(AND(X24="Impacto",X25="Impacto"),(AI24-(+AI24*AA25)),IF(X25="Impacto",($T$13-(+$T$13*AA25)),IF(X25="Probabilidad",AI24,""))),"")</f>
        <v/>
      </c>
      <c r="AJ25" s="194" t="str">
        <f t="shared" ref="AJ25:AJ26" si="23">IFERROR(IF(OR(AND(AF25="Muy Baja",AH25="Leve"),AND(AF25="Muy Baja",AH25="Menor"),AND(AF25="Baja",AH25="Leve")),"Bajo",IF(OR(AND(AF25="Muy baja",AH25="Moderado"),AND(AF25="Baja",AH25="Menor"),AND(AF25="Baja",AH25="Moderado"),AND(AF25="Media",AH25="Leve"),AND(AF25="Media",AH25="Menor"),AND(AF25="Media",AH25="Moderado"),AND(AF25="Alta",AH25="Leve"),AND(AF25="Alta",AH25="Menor")),"Moderado",IF(OR(AND(AF25="Muy Baja",AH25="Mayor"),AND(AF25="Baja",AH25="Mayor"),AND(AF25="Media",AH25="Mayor"),AND(AF25="Alta",AH25="Moderado"),AND(AF25="Alta",AH25="Mayor"),AND(AF25="Muy Alta",AH25="Leve"),AND(AF25="Muy Alta",AH25="Menor"),AND(AF25="Muy Alta",AH25="Moderado"),AND(AF25="Muy Alta",AH25="Mayor")),"Alto",IF(OR(AND(AF25="Muy Baja",AH25="Catastrófico"),AND(AF25="Baja",AH25="Catastrófico"),AND(AF25="Media",AH25="Catastrófico"),AND(AF25="Alta",AH25="Catastrófico"),AND(AF25="Muy Alta",AH25="Catastrófico")),"Extremo","")))),"")</f>
        <v/>
      </c>
      <c r="AK25" s="195"/>
      <c r="AL25" s="186"/>
      <c r="AM25" s="196"/>
      <c r="AN25" s="196"/>
      <c r="AO25" s="197"/>
      <c r="AP25" s="376"/>
      <c r="AQ25" s="376"/>
      <c r="AR25" s="376"/>
    </row>
    <row r="26" spans="1:44" x14ac:dyDescent="0.2">
      <c r="A26" s="419"/>
      <c r="B26" s="383"/>
      <c r="C26" s="383"/>
      <c r="D26" s="383"/>
      <c r="E26" s="421"/>
      <c r="F26" s="383"/>
      <c r="G26" s="358"/>
      <c r="H26" s="358"/>
      <c r="I26" s="358"/>
      <c r="J26" s="358"/>
      <c r="K26" s="358"/>
      <c r="L26" s="358"/>
      <c r="M26" s="358"/>
      <c r="N26" s="376"/>
      <c r="O26" s="374"/>
      <c r="P26" s="373"/>
      <c r="Q26" s="349"/>
      <c r="R26" s="373">
        <f>IF(NOT(ISERROR(MATCH(Q26,_xlfn.ANCHORARRAY(E37),0))),P39&amp;"Por favor no seleccionar los criterios de impacto",Q26)</f>
        <v>0</v>
      </c>
      <c r="S26" s="374"/>
      <c r="T26" s="373"/>
      <c r="U26" s="360"/>
      <c r="V26" s="214">
        <v>3</v>
      </c>
      <c r="W26" s="188"/>
      <c r="X26" s="189" t="str">
        <f>IF(OR(Y26="Preventivo",Y26="Detectivo"),"Probabilidad",IF(Y26="Correctivo","Impacto",""))</f>
        <v/>
      </c>
      <c r="Y26" s="190"/>
      <c r="Z26" s="190"/>
      <c r="AA26" s="191" t="str">
        <f t="shared" si="20"/>
        <v/>
      </c>
      <c r="AB26" s="190"/>
      <c r="AC26" s="190"/>
      <c r="AD26" s="190"/>
      <c r="AE26" s="192" t="str">
        <f>IFERROR(IF(AND(X25="Probabilidad",X26="Probabilidad"),(AG25-(+AG25*AA26)),IF(AND(X25="Impacto",X26="Probabilidad"),(AG24-(+AG24*AA26)),IF(X26="Impacto",AG25,""))),"")</f>
        <v/>
      </c>
      <c r="AF26" s="193" t="str">
        <f t="shared" si="1"/>
        <v/>
      </c>
      <c r="AG26" s="191" t="str">
        <f t="shared" si="21"/>
        <v/>
      </c>
      <c r="AH26" s="193" t="str">
        <f t="shared" si="3"/>
        <v/>
      </c>
      <c r="AI26" s="191" t="str">
        <f t="shared" ref="AI26" si="24">IFERROR(IF(AND(X25="Impacto",X26="Impacto"),(AI25-(+AI25*AA26)),IF(AND(X25="Probabilidad",X26="Impacto"),(AI24-(+AI24*AA26)),IF(X26="Probabilidad",AI25,""))),"")</f>
        <v/>
      </c>
      <c r="AJ26" s="194" t="str">
        <f t="shared" si="23"/>
        <v/>
      </c>
      <c r="AK26" s="195"/>
      <c r="AL26" s="186"/>
      <c r="AM26" s="196"/>
      <c r="AN26" s="196"/>
      <c r="AO26" s="197"/>
      <c r="AP26" s="376"/>
      <c r="AQ26" s="376"/>
      <c r="AR26" s="376"/>
    </row>
    <row r="27" spans="1:44" x14ac:dyDescent="0.2">
      <c r="A27" s="419"/>
      <c r="B27" s="383"/>
      <c r="C27" s="383"/>
      <c r="D27" s="383"/>
      <c r="E27" s="421"/>
      <c r="F27" s="383"/>
      <c r="G27" s="358"/>
      <c r="H27" s="358"/>
      <c r="I27" s="358"/>
      <c r="J27" s="358"/>
      <c r="K27" s="358"/>
      <c r="L27" s="358"/>
      <c r="M27" s="358"/>
      <c r="N27" s="376"/>
      <c r="O27" s="374"/>
      <c r="P27" s="373"/>
      <c r="Q27" s="349"/>
      <c r="R27" s="373">
        <f>IF(NOT(ISERROR(MATCH(Q27,_xlfn.ANCHORARRAY(E38),0))),P40&amp;"Por favor no seleccionar los criterios de impacto",Q27)</f>
        <v>0</v>
      </c>
      <c r="S27" s="374"/>
      <c r="T27" s="373"/>
      <c r="U27" s="360"/>
      <c r="V27" s="214">
        <v>4</v>
      </c>
      <c r="W27" s="187"/>
      <c r="X27" s="189" t="str">
        <f t="shared" ref="X27:X29" si="25">IF(OR(Y27="Preventivo",Y27="Detectivo"),"Probabilidad",IF(Y27="Correctivo","Impacto",""))</f>
        <v/>
      </c>
      <c r="Y27" s="190"/>
      <c r="Z27" s="190"/>
      <c r="AA27" s="191" t="str">
        <f t="shared" si="20"/>
        <v/>
      </c>
      <c r="AB27" s="190"/>
      <c r="AC27" s="190"/>
      <c r="AD27" s="190"/>
      <c r="AE27" s="192" t="str">
        <f t="shared" ref="AE27:AE29" si="26">IFERROR(IF(AND(X26="Probabilidad",X27="Probabilidad"),(AG26-(+AG26*AA27)),IF(AND(X26="Impacto",X27="Probabilidad"),(AG25-(+AG25*AA27)),IF(X27="Impacto",AG26,""))),"")</f>
        <v/>
      </c>
      <c r="AF27" s="193" t="str">
        <f t="shared" si="1"/>
        <v/>
      </c>
      <c r="AG27" s="191" t="str">
        <f t="shared" si="21"/>
        <v/>
      </c>
      <c r="AH27" s="193" t="str">
        <f t="shared" si="3"/>
        <v/>
      </c>
      <c r="AI27" s="191" t="str">
        <f t="shared" si="17"/>
        <v/>
      </c>
      <c r="AJ27" s="194" t="str">
        <f>IFERROR(IF(OR(AND(AF27="Muy Baja",AH27="Leve"),AND(AF27="Muy Baja",AH27="Menor"),AND(AF27="Baja",AH27="Leve")),"Bajo",IF(OR(AND(AF27="Muy baja",AH27="Moderado"),AND(AF27="Baja",AH27="Menor"),AND(AF27="Baja",AH27="Moderado"),AND(AF27="Media",AH27="Leve"),AND(AF27="Media",AH27="Menor"),AND(AF27="Media",AH27="Moderado"),AND(AF27="Alta",AH27="Leve"),AND(AF27="Alta",AH27="Menor")),"Moderado",IF(OR(AND(AF27="Muy Baja",AH27="Mayor"),AND(AF27="Baja",AH27="Mayor"),AND(AF27="Media",AH27="Mayor"),AND(AF27="Alta",AH27="Moderado"),AND(AF27="Alta",AH27="Mayor"),AND(AF27="Muy Alta",AH27="Leve"),AND(AF27="Muy Alta",AH27="Menor"),AND(AF27="Muy Alta",AH27="Moderado"),AND(AF27="Muy Alta",AH27="Mayor")),"Alto",IF(OR(AND(AF27="Muy Baja",AH27="Catastrófico"),AND(AF27="Baja",AH27="Catastrófico"),AND(AF27="Media",AH27="Catastrófico"),AND(AF27="Alta",AH27="Catastrófico"),AND(AF27="Muy Alta",AH27="Catastrófico")),"Extremo","")))),"")</f>
        <v/>
      </c>
      <c r="AK27" s="195"/>
      <c r="AL27" s="186"/>
      <c r="AM27" s="196"/>
      <c r="AN27" s="196"/>
      <c r="AO27" s="197"/>
      <c r="AP27" s="376"/>
      <c r="AQ27" s="376"/>
      <c r="AR27" s="376"/>
    </row>
    <row r="28" spans="1:44" x14ac:dyDescent="0.2">
      <c r="A28" s="419"/>
      <c r="B28" s="383"/>
      <c r="C28" s="383"/>
      <c r="D28" s="383"/>
      <c r="E28" s="421"/>
      <c r="F28" s="383"/>
      <c r="G28" s="358"/>
      <c r="H28" s="358"/>
      <c r="I28" s="358"/>
      <c r="J28" s="358"/>
      <c r="K28" s="358"/>
      <c r="L28" s="358"/>
      <c r="M28" s="358"/>
      <c r="N28" s="376"/>
      <c r="O28" s="374"/>
      <c r="P28" s="373"/>
      <c r="Q28" s="349"/>
      <c r="R28" s="373">
        <f>IF(NOT(ISERROR(MATCH(Q28,_xlfn.ANCHORARRAY(E39),0))),P41&amp;"Por favor no seleccionar los criterios de impacto",Q28)</f>
        <v>0</v>
      </c>
      <c r="S28" s="374"/>
      <c r="T28" s="373"/>
      <c r="U28" s="360"/>
      <c r="V28" s="214">
        <v>5</v>
      </c>
      <c r="W28" s="187"/>
      <c r="X28" s="189" t="str">
        <f t="shared" si="25"/>
        <v/>
      </c>
      <c r="Y28" s="190"/>
      <c r="Z28" s="190"/>
      <c r="AA28" s="191" t="str">
        <f t="shared" si="20"/>
        <v/>
      </c>
      <c r="AB28" s="190"/>
      <c r="AC28" s="190"/>
      <c r="AD28" s="190"/>
      <c r="AE28" s="192" t="str">
        <f t="shared" si="26"/>
        <v/>
      </c>
      <c r="AF28" s="193" t="str">
        <f>IFERROR(IF(AE28="","",IF(AE28&lt;=0.2,"Muy Baja",IF(AE28&lt;=0.4,"Baja",IF(AE28&lt;=0.6,"Media",IF(AE28&lt;=0.8,"Alta","Muy Alta"))))),"")</f>
        <v/>
      </c>
      <c r="AG28" s="191" t="str">
        <f t="shared" si="21"/>
        <v/>
      </c>
      <c r="AH28" s="193" t="str">
        <f t="shared" si="3"/>
        <v/>
      </c>
      <c r="AI28" s="191" t="str">
        <f t="shared" si="17"/>
        <v/>
      </c>
      <c r="AJ28" s="194" t="str">
        <f t="shared" ref="AJ28:AJ29" si="27">IFERROR(IF(OR(AND(AF28="Muy Baja",AH28="Leve"),AND(AF28="Muy Baja",AH28="Menor"),AND(AF28="Baja",AH28="Leve")),"Bajo",IF(OR(AND(AF28="Muy baja",AH28="Moderado"),AND(AF28="Baja",AH28="Menor"),AND(AF28="Baja",AH28="Moderado"),AND(AF28="Media",AH28="Leve"),AND(AF28="Media",AH28="Menor"),AND(AF28="Media",AH28="Moderado"),AND(AF28="Alta",AH28="Leve"),AND(AF28="Alta",AH28="Menor")),"Moderado",IF(OR(AND(AF28="Muy Baja",AH28="Mayor"),AND(AF28="Baja",AH28="Mayor"),AND(AF28="Media",AH28="Mayor"),AND(AF28="Alta",AH28="Moderado"),AND(AF28="Alta",AH28="Mayor"),AND(AF28="Muy Alta",AH28="Leve"),AND(AF28="Muy Alta",AH28="Menor"),AND(AF28="Muy Alta",AH28="Moderado"),AND(AF28="Muy Alta",AH28="Mayor")),"Alto",IF(OR(AND(AF28="Muy Baja",AH28="Catastrófico"),AND(AF28="Baja",AH28="Catastrófico"),AND(AF28="Media",AH28="Catastrófico"),AND(AF28="Alta",AH28="Catastrófico"),AND(AF28="Muy Alta",AH28="Catastrófico")),"Extremo","")))),"")</f>
        <v/>
      </c>
      <c r="AK28" s="195"/>
      <c r="AL28" s="186"/>
      <c r="AM28" s="196"/>
      <c r="AN28" s="196"/>
      <c r="AO28" s="197"/>
      <c r="AP28" s="376"/>
      <c r="AQ28" s="376"/>
      <c r="AR28" s="376"/>
    </row>
    <row r="29" spans="1:44" x14ac:dyDescent="0.2">
      <c r="A29" s="419"/>
      <c r="B29" s="383"/>
      <c r="C29" s="383"/>
      <c r="D29" s="383"/>
      <c r="E29" s="421"/>
      <c r="F29" s="383"/>
      <c r="G29" s="369"/>
      <c r="H29" s="369"/>
      <c r="I29" s="369"/>
      <c r="J29" s="369"/>
      <c r="K29" s="369"/>
      <c r="L29" s="369"/>
      <c r="M29" s="369"/>
      <c r="N29" s="376"/>
      <c r="O29" s="374"/>
      <c r="P29" s="373"/>
      <c r="Q29" s="349"/>
      <c r="R29" s="373">
        <f>IF(NOT(ISERROR(MATCH(Q29,_xlfn.ANCHORARRAY(E40),0))),P42&amp;"Por favor no seleccionar los criterios de impacto",Q29)</f>
        <v>0</v>
      </c>
      <c r="S29" s="374"/>
      <c r="T29" s="373"/>
      <c r="U29" s="360"/>
      <c r="V29" s="214">
        <v>6</v>
      </c>
      <c r="W29" s="187"/>
      <c r="X29" s="189" t="str">
        <f t="shared" si="25"/>
        <v/>
      </c>
      <c r="Y29" s="190"/>
      <c r="Z29" s="190"/>
      <c r="AA29" s="191" t="str">
        <f t="shared" si="20"/>
        <v/>
      </c>
      <c r="AB29" s="190"/>
      <c r="AC29" s="190"/>
      <c r="AD29" s="190"/>
      <c r="AE29" s="192" t="str">
        <f t="shared" si="26"/>
        <v/>
      </c>
      <c r="AF29" s="193" t="str">
        <f t="shared" si="1"/>
        <v/>
      </c>
      <c r="AG29" s="191" t="str">
        <f t="shared" si="21"/>
        <v/>
      </c>
      <c r="AH29" s="193" t="str">
        <f t="shared" si="3"/>
        <v/>
      </c>
      <c r="AI29" s="191" t="str">
        <f t="shared" si="17"/>
        <v/>
      </c>
      <c r="AJ29" s="194" t="str">
        <f t="shared" si="27"/>
        <v/>
      </c>
      <c r="AK29" s="195"/>
      <c r="AL29" s="186"/>
      <c r="AM29" s="196"/>
      <c r="AN29" s="196"/>
      <c r="AO29" s="197"/>
      <c r="AP29" s="376"/>
      <c r="AQ29" s="376"/>
      <c r="AR29" s="376"/>
    </row>
    <row r="30" spans="1:44" x14ac:dyDescent="0.2">
      <c r="A30" s="419">
        <v>5</v>
      </c>
      <c r="B30" s="383"/>
      <c r="C30" s="383"/>
      <c r="D30" s="383"/>
      <c r="E30" s="383"/>
      <c r="F30" s="383"/>
      <c r="G30" s="388"/>
      <c r="H30" s="388"/>
      <c r="I30" s="388"/>
      <c r="J30" s="388"/>
      <c r="K30" s="388"/>
      <c r="L30" s="388"/>
      <c r="M30" s="388"/>
      <c r="N30" s="376"/>
      <c r="O30" s="374" t="str">
        <f>IF(N30&lt;=0,"",IF(N30&lt;=2,"Muy Baja",IF(N30&lt;=24,"Baja",IF(N30&lt;=500,"Media",IF(N30&lt;=5000,"Alta","Muy Alta")))))</f>
        <v/>
      </c>
      <c r="P30" s="373" t="str">
        <f>IF(O30="","",IF(O30="Muy Baja",0.2,IF(O30="Baja",0.4,IF(O30="Media",0.6,IF(O30="Alta",0.8,IF(O30="Muy Alta",1,))))))</f>
        <v/>
      </c>
      <c r="Q30" s="349"/>
      <c r="R30" s="373">
        <f>IF(NOT(ISERROR(MATCH(Q30,'Tabla Impacto'!$B$222:$B$224,0))),'Tabla Impacto'!$F$224&amp;"Por favor no seleccionar los criterios de impacto(Afectación Económica o presupuestal y Pérdida Reputacional)",Q30)</f>
        <v>0</v>
      </c>
      <c r="S30" s="374" t="str">
        <f>IF(OR(R30='Tabla Impacto'!$C$12,R30='Tabla Impacto'!$D$12),"Leve",IF(OR(R30='Tabla Impacto'!$C$13,R30='Tabla Impacto'!$D$13),"Menor",IF(OR(R30='Tabla Impacto'!$C$14,R30='Tabla Impacto'!$D$14),"Moderado",IF(OR(R30='Tabla Impacto'!$C$15,R30='Tabla Impacto'!$D$15),"Mayor",IF(OR(R30='Tabla Impacto'!$C$16,R30='Tabla Impacto'!$D$16),"Catastrófico","")))))</f>
        <v/>
      </c>
      <c r="T30" s="373" t="str">
        <f>IF(S30="","",IF(S30="Leve",0.2,IF(S30="Menor",0.4,IF(S30="Moderado",0.6,IF(S30="Mayor",0.8,IF(S30="Catastrófico",1,))))))</f>
        <v/>
      </c>
      <c r="U30" s="360" t="str">
        <f>IF(OR(AND(O30="Muy Baja",S30="Leve"),AND(O30="Muy Baja",S30="Menor"),AND(O30="Baja",S30="Leve")),"Bajo",IF(OR(AND(O30="Muy baja",S30="Moderado"),AND(O30="Baja",S30="Menor"),AND(O30="Baja",S30="Moderado"),AND(O30="Media",S30="Leve"),AND(O30="Media",S30="Menor"),AND(O30="Media",S30="Moderado"),AND(O30="Alta",S30="Leve"),AND(O30="Alta",S30="Menor")),"Moderado",IF(OR(AND(O30="Muy Baja",S30="Mayor"),AND(O30="Baja",S30="Mayor"),AND(O30="Media",S30="Mayor"),AND(O30="Alta",S30="Moderado"),AND(O30="Alta",S30="Mayor"),AND(O30="Muy Alta",S30="Leve"),AND(O30="Muy Alta",S30="Menor"),AND(O30="Muy Alta",S30="Moderado"),AND(O30="Muy Alta",S30="Mayor")),"Alto",IF(OR(AND(O30="Muy Baja",S30="Catastrófico"),AND(O30="Baja",S30="Catastrófico"),AND(O30="Media",S30="Catastrófico"),AND(O30="Alta",S30="Catastrófico"),AND(O30="Muy Alta",S30="Catastrófico")),"Extremo",""))))</f>
        <v/>
      </c>
      <c r="V30" s="214">
        <v>1</v>
      </c>
      <c r="W30" s="187"/>
      <c r="X30" s="189" t="str">
        <f>IF(OR(Y30="Preventivo",Y30="Detectivo"),"Probabilidad",IF(Y30="Correctivo","Impacto",""))</f>
        <v/>
      </c>
      <c r="Y30" s="190"/>
      <c r="Z30" s="190"/>
      <c r="AA30" s="191" t="str">
        <f>IF(AND(Y30="Preventivo",Z30="Automático"),"50%",IF(AND(Y30="Preventivo",Z30="Manual"),"40%",IF(AND(Y30="Detectivo",Z30="Automático"),"40%",IF(AND(Y30="Detectivo",Z30="Manual"),"30%",IF(AND(Y30="Correctivo",Z30="Automático"),"35%",IF(AND(Y30="Correctivo",Z30="Manual"),"25%",""))))))</f>
        <v/>
      </c>
      <c r="AB30" s="190"/>
      <c r="AC30" s="190"/>
      <c r="AD30" s="190"/>
      <c r="AE30" s="192" t="str">
        <f>IFERROR(IF(X30="Probabilidad",(P30-(+P30*AA30)),IF(X30="Impacto",P30,"")),"")</f>
        <v/>
      </c>
      <c r="AF30" s="193" t="str">
        <f>IFERROR(IF(AE30="","",IF(AE30&lt;=0.2,"Muy Baja",IF(AE30&lt;=0.4,"Baja",IF(AE30&lt;=0.6,"Media",IF(AE30&lt;=0.8,"Alta","Muy Alta"))))),"")</f>
        <v/>
      </c>
      <c r="AG30" s="191" t="str">
        <f>+AE30</f>
        <v/>
      </c>
      <c r="AH30" s="193" t="str">
        <f>IFERROR(IF(AI30="","",IF(AI30&lt;=0.2,"Leve",IF(AI30&lt;=0.4,"Menor",IF(AI30&lt;=0.6,"Moderado",IF(AI30&lt;=0.8,"Mayor","Catastrófico"))))),"")</f>
        <v/>
      </c>
      <c r="AI30" s="191" t="str">
        <f t="shared" ref="AI30" si="28">IFERROR(IF(X30="Impacto",(T30-(+T30*AA30)),IF(X30="Probabilidad",T30,"")),"")</f>
        <v/>
      </c>
      <c r="AJ30" s="194" t="str">
        <f>IFERROR(IF(OR(AND(AF30="Muy Baja",AH30="Leve"),AND(AF30="Muy Baja",AH30="Menor"),AND(AF30="Baja",AH30="Leve")),"Bajo",IF(OR(AND(AF30="Muy baja",AH30="Moderado"),AND(AF30="Baja",AH30="Menor"),AND(AF30="Baja",AH30="Moderado"),AND(AF30="Media",AH30="Leve"),AND(AF30="Media",AH30="Menor"),AND(AF30="Media",AH30="Moderado"),AND(AF30="Alta",AH30="Leve"),AND(AF30="Alta",AH30="Menor")),"Moderado",IF(OR(AND(AF30="Muy Baja",AH30="Mayor"),AND(AF30="Baja",AH30="Mayor"),AND(AF30="Media",AH30="Mayor"),AND(AF30="Alta",AH30="Moderado"),AND(AF30="Alta",AH30="Mayor"),AND(AF30="Muy Alta",AH30="Leve"),AND(AF30="Muy Alta",AH30="Menor"),AND(AF30="Muy Alta",AH30="Moderado"),AND(AF30="Muy Alta",AH30="Mayor")),"Alto",IF(OR(AND(AF30="Muy Baja",AH30="Catastrófico"),AND(AF30="Baja",AH30="Catastrófico"),AND(AF30="Media",AH30="Catastrófico"),AND(AF30="Alta",AH30="Catastrófico"),AND(AF30="Muy Alta",AH30="Catastrófico")),"Extremo","")))),"")</f>
        <v/>
      </c>
      <c r="AK30" s="195"/>
      <c r="AL30" s="186"/>
      <c r="AM30" s="196"/>
      <c r="AN30" s="196"/>
      <c r="AO30" s="197"/>
      <c r="AP30" s="376"/>
      <c r="AQ30" s="376"/>
      <c r="AR30" s="376"/>
    </row>
    <row r="31" spans="1:44" x14ac:dyDescent="0.2">
      <c r="A31" s="419"/>
      <c r="B31" s="383"/>
      <c r="C31" s="383"/>
      <c r="D31" s="383"/>
      <c r="E31" s="383"/>
      <c r="F31" s="383"/>
      <c r="G31" s="358"/>
      <c r="H31" s="358"/>
      <c r="I31" s="358"/>
      <c r="J31" s="358"/>
      <c r="K31" s="358"/>
      <c r="L31" s="358"/>
      <c r="M31" s="358"/>
      <c r="N31" s="376"/>
      <c r="O31" s="374"/>
      <c r="P31" s="373"/>
      <c r="Q31" s="349"/>
      <c r="R31" s="373">
        <f>IF(NOT(ISERROR(MATCH(Q31,_xlfn.ANCHORARRAY(E42),0))),P44&amp;"Por favor no seleccionar los criterios de impacto",Q31)</f>
        <v>0</v>
      </c>
      <c r="S31" s="374"/>
      <c r="T31" s="373"/>
      <c r="U31" s="360"/>
      <c r="V31" s="214">
        <v>2</v>
      </c>
      <c r="W31" s="187"/>
      <c r="X31" s="189" t="str">
        <f>IF(OR(Y31="Preventivo",Y31="Detectivo"),"Probabilidad",IF(Y31="Correctivo","Impacto",""))</f>
        <v/>
      </c>
      <c r="Y31" s="190"/>
      <c r="Z31" s="190"/>
      <c r="AA31" s="191" t="str">
        <f t="shared" ref="AA31:AA35" si="29">IF(AND(Y31="Preventivo",Z31="Automático"),"50%",IF(AND(Y31="Preventivo",Z31="Manual"),"40%",IF(AND(Y31="Detectivo",Z31="Automático"),"40%",IF(AND(Y31="Detectivo",Z31="Manual"),"30%",IF(AND(Y31="Correctivo",Z31="Automático"),"35%",IF(AND(Y31="Correctivo",Z31="Manual"),"25%",""))))))</f>
        <v/>
      </c>
      <c r="AB31" s="190"/>
      <c r="AC31" s="190"/>
      <c r="AD31" s="190"/>
      <c r="AE31" s="192" t="str">
        <f>IFERROR(IF(AND(X30="Probabilidad",X31="Probabilidad"),(AG30-(+AG30*AA31)),IF(X31="Probabilidad",(P30-(+P30*AA31)),IF(X31="Impacto",AG30,""))),"")</f>
        <v/>
      </c>
      <c r="AF31" s="193" t="str">
        <f t="shared" si="1"/>
        <v/>
      </c>
      <c r="AG31" s="191" t="str">
        <f t="shared" ref="AG31:AG35" si="30">+AE31</f>
        <v/>
      </c>
      <c r="AH31" s="193" t="str">
        <f t="shared" si="3"/>
        <v/>
      </c>
      <c r="AI31" s="191" t="str">
        <f t="shared" ref="AI31" si="31">IFERROR(IF(AND(X30="Impacto",X31="Impacto"),(AI30-(+AI30*AA31)),IF(X31="Impacto",($T$13-(+$T$13*AA31)),IF(X31="Probabilidad",AI30,""))),"")</f>
        <v/>
      </c>
      <c r="AJ31" s="194" t="str">
        <f t="shared" ref="AJ31:AJ32" si="32">IFERROR(IF(OR(AND(AF31="Muy Baja",AH31="Leve"),AND(AF31="Muy Baja",AH31="Menor"),AND(AF31="Baja",AH31="Leve")),"Bajo",IF(OR(AND(AF31="Muy baja",AH31="Moderado"),AND(AF31="Baja",AH31="Menor"),AND(AF31="Baja",AH31="Moderado"),AND(AF31="Media",AH31="Leve"),AND(AF31="Media",AH31="Menor"),AND(AF31="Media",AH31="Moderado"),AND(AF31="Alta",AH31="Leve"),AND(AF31="Alta",AH31="Menor")),"Moderado",IF(OR(AND(AF31="Muy Baja",AH31="Mayor"),AND(AF31="Baja",AH31="Mayor"),AND(AF31="Media",AH31="Mayor"),AND(AF31="Alta",AH31="Moderado"),AND(AF31="Alta",AH31="Mayor"),AND(AF31="Muy Alta",AH31="Leve"),AND(AF31="Muy Alta",AH31="Menor"),AND(AF31="Muy Alta",AH31="Moderado"),AND(AF31="Muy Alta",AH31="Mayor")),"Alto",IF(OR(AND(AF31="Muy Baja",AH31="Catastrófico"),AND(AF31="Baja",AH31="Catastrófico"),AND(AF31="Media",AH31="Catastrófico"),AND(AF31="Alta",AH31="Catastrófico"),AND(AF31="Muy Alta",AH31="Catastrófico")),"Extremo","")))),"")</f>
        <v/>
      </c>
      <c r="AK31" s="195"/>
      <c r="AL31" s="186"/>
      <c r="AM31" s="196"/>
      <c r="AN31" s="196"/>
      <c r="AO31" s="197"/>
      <c r="AP31" s="376"/>
      <c r="AQ31" s="376"/>
      <c r="AR31" s="376"/>
    </row>
    <row r="32" spans="1:44" x14ac:dyDescent="0.2">
      <c r="A32" s="419"/>
      <c r="B32" s="383"/>
      <c r="C32" s="383"/>
      <c r="D32" s="383"/>
      <c r="E32" s="383"/>
      <c r="F32" s="383"/>
      <c r="G32" s="358"/>
      <c r="H32" s="358"/>
      <c r="I32" s="358"/>
      <c r="J32" s="358"/>
      <c r="K32" s="358"/>
      <c r="L32" s="358"/>
      <c r="M32" s="358"/>
      <c r="N32" s="376"/>
      <c r="O32" s="374"/>
      <c r="P32" s="373"/>
      <c r="Q32" s="349"/>
      <c r="R32" s="373">
        <f>IF(NOT(ISERROR(MATCH(Q32,_xlfn.ANCHORARRAY(E43),0))),P45&amp;"Por favor no seleccionar los criterios de impacto",Q32)</f>
        <v>0</v>
      </c>
      <c r="S32" s="374"/>
      <c r="T32" s="373"/>
      <c r="U32" s="360"/>
      <c r="V32" s="214">
        <v>3</v>
      </c>
      <c r="W32" s="188"/>
      <c r="X32" s="189" t="str">
        <f>IF(OR(Y32="Preventivo",Y32="Detectivo"),"Probabilidad",IF(Y32="Correctivo","Impacto",""))</f>
        <v/>
      </c>
      <c r="Y32" s="190"/>
      <c r="Z32" s="190"/>
      <c r="AA32" s="191" t="str">
        <f t="shared" si="29"/>
        <v/>
      </c>
      <c r="AB32" s="190"/>
      <c r="AC32" s="190"/>
      <c r="AD32" s="190"/>
      <c r="AE32" s="192" t="str">
        <f>IFERROR(IF(AND(X31="Probabilidad",X32="Probabilidad"),(AG31-(+AG31*AA32)),IF(AND(X31="Impacto",X32="Probabilidad"),(AG30-(+AG30*AA32)),IF(X32="Impacto",AG31,""))),"")</f>
        <v/>
      </c>
      <c r="AF32" s="193" t="str">
        <f t="shared" si="1"/>
        <v/>
      </c>
      <c r="AG32" s="191" t="str">
        <f t="shared" si="30"/>
        <v/>
      </c>
      <c r="AH32" s="193" t="str">
        <f t="shared" si="3"/>
        <v/>
      </c>
      <c r="AI32" s="191" t="str">
        <f t="shared" ref="AI32" si="33">IFERROR(IF(AND(X31="Impacto",X32="Impacto"),(AI31-(+AI31*AA32)),IF(AND(X31="Probabilidad",X32="Impacto"),(AI30-(+AI30*AA32)),IF(X32="Probabilidad",AI31,""))),"")</f>
        <v/>
      </c>
      <c r="AJ32" s="194" t="str">
        <f t="shared" si="32"/>
        <v/>
      </c>
      <c r="AK32" s="195"/>
      <c r="AL32" s="186"/>
      <c r="AM32" s="196"/>
      <c r="AN32" s="196"/>
      <c r="AO32" s="197"/>
      <c r="AP32" s="376"/>
      <c r="AQ32" s="376"/>
      <c r="AR32" s="376"/>
    </row>
    <row r="33" spans="1:44" x14ac:dyDescent="0.2">
      <c r="A33" s="419"/>
      <c r="B33" s="383"/>
      <c r="C33" s="383"/>
      <c r="D33" s="383"/>
      <c r="E33" s="383"/>
      <c r="F33" s="383"/>
      <c r="G33" s="358"/>
      <c r="H33" s="358"/>
      <c r="I33" s="358"/>
      <c r="J33" s="358"/>
      <c r="K33" s="358"/>
      <c r="L33" s="358"/>
      <c r="M33" s="358"/>
      <c r="N33" s="376"/>
      <c r="O33" s="374"/>
      <c r="P33" s="373"/>
      <c r="Q33" s="349"/>
      <c r="R33" s="373">
        <f>IF(NOT(ISERROR(MATCH(Q33,_xlfn.ANCHORARRAY(E44),0))),P46&amp;"Por favor no seleccionar los criterios de impacto",Q33)</f>
        <v>0</v>
      </c>
      <c r="S33" s="374"/>
      <c r="T33" s="373"/>
      <c r="U33" s="360"/>
      <c r="V33" s="214">
        <v>4</v>
      </c>
      <c r="W33" s="187"/>
      <c r="X33" s="189" t="str">
        <f t="shared" ref="X33:X35" si="34">IF(OR(Y33="Preventivo",Y33="Detectivo"),"Probabilidad",IF(Y33="Correctivo","Impacto",""))</f>
        <v/>
      </c>
      <c r="Y33" s="190"/>
      <c r="Z33" s="190"/>
      <c r="AA33" s="191" t="str">
        <f t="shared" si="29"/>
        <v/>
      </c>
      <c r="AB33" s="190"/>
      <c r="AC33" s="190"/>
      <c r="AD33" s="190"/>
      <c r="AE33" s="192" t="str">
        <f t="shared" ref="AE33:AE35" si="35">IFERROR(IF(AND(X32="Probabilidad",X33="Probabilidad"),(AG32-(+AG32*AA33)),IF(AND(X32="Impacto",X33="Probabilidad"),(AG31-(+AG31*AA33)),IF(X33="Impacto",AG32,""))),"")</f>
        <v/>
      </c>
      <c r="AF33" s="193" t="str">
        <f t="shared" si="1"/>
        <v/>
      </c>
      <c r="AG33" s="191" t="str">
        <f t="shared" si="30"/>
        <v/>
      </c>
      <c r="AH33" s="193" t="str">
        <f t="shared" si="3"/>
        <v/>
      </c>
      <c r="AI33" s="191" t="str">
        <f t="shared" si="17"/>
        <v/>
      </c>
      <c r="AJ33" s="194" t="str">
        <f>IFERROR(IF(OR(AND(AF33="Muy Baja",AH33="Leve"),AND(AF33="Muy Baja",AH33="Menor"),AND(AF33="Baja",AH33="Leve")),"Bajo",IF(OR(AND(AF33="Muy baja",AH33="Moderado"),AND(AF33="Baja",AH33="Menor"),AND(AF33="Baja",AH33="Moderado"),AND(AF33="Media",AH33="Leve"),AND(AF33="Media",AH33="Menor"),AND(AF33="Media",AH33="Moderado"),AND(AF33="Alta",AH33="Leve"),AND(AF33="Alta",AH33="Menor")),"Moderado",IF(OR(AND(AF33="Muy Baja",AH33="Mayor"),AND(AF33="Baja",AH33="Mayor"),AND(AF33="Media",AH33="Mayor"),AND(AF33="Alta",AH33="Moderado"),AND(AF33="Alta",AH33="Mayor"),AND(AF33="Muy Alta",AH33="Leve"),AND(AF33="Muy Alta",AH33="Menor"),AND(AF33="Muy Alta",AH33="Moderado"),AND(AF33="Muy Alta",AH33="Mayor")),"Alto",IF(OR(AND(AF33="Muy Baja",AH33="Catastrófico"),AND(AF33="Baja",AH33="Catastrófico"),AND(AF33="Media",AH33="Catastrófico"),AND(AF33="Alta",AH33="Catastrófico"),AND(AF33="Muy Alta",AH33="Catastrófico")),"Extremo","")))),"")</f>
        <v/>
      </c>
      <c r="AK33" s="195"/>
      <c r="AL33" s="186"/>
      <c r="AM33" s="196"/>
      <c r="AN33" s="196"/>
      <c r="AO33" s="197"/>
      <c r="AP33" s="376"/>
      <c r="AQ33" s="376"/>
      <c r="AR33" s="376"/>
    </row>
    <row r="34" spans="1:44" x14ac:dyDescent="0.2">
      <c r="A34" s="419"/>
      <c r="B34" s="383"/>
      <c r="C34" s="383"/>
      <c r="D34" s="383"/>
      <c r="E34" s="383"/>
      <c r="F34" s="383"/>
      <c r="G34" s="358"/>
      <c r="H34" s="358"/>
      <c r="I34" s="358"/>
      <c r="J34" s="358"/>
      <c r="K34" s="358"/>
      <c r="L34" s="358"/>
      <c r="M34" s="358"/>
      <c r="N34" s="376"/>
      <c r="O34" s="374"/>
      <c r="P34" s="373"/>
      <c r="Q34" s="349"/>
      <c r="R34" s="373">
        <f>IF(NOT(ISERROR(MATCH(Q34,_xlfn.ANCHORARRAY(E45),0))),P47&amp;"Por favor no seleccionar los criterios de impacto",Q34)</f>
        <v>0</v>
      </c>
      <c r="S34" s="374"/>
      <c r="T34" s="373"/>
      <c r="U34" s="360"/>
      <c r="V34" s="214">
        <v>5</v>
      </c>
      <c r="W34" s="187"/>
      <c r="X34" s="189" t="str">
        <f t="shared" si="34"/>
        <v/>
      </c>
      <c r="Y34" s="190"/>
      <c r="Z34" s="190"/>
      <c r="AA34" s="191" t="str">
        <f t="shared" si="29"/>
        <v/>
      </c>
      <c r="AB34" s="190"/>
      <c r="AC34" s="190"/>
      <c r="AD34" s="190"/>
      <c r="AE34" s="192" t="str">
        <f t="shared" si="35"/>
        <v/>
      </c>
      <c r="AF34" s="193" t="str">
        <f t="shared" si="1"/>
        <v/>
      </c>
      <c r="AG34" s="191" t="str">
        <f t="shared" si="30"/>
        <v/>
      </c>
      <c r="AH34" s="193" t="str">
        <f t="shared" si="3"/>
        <v/>
      </c>
      <c r="AI34" s="191" t="str">
        <f t="shared" si="17"/>
        <v/>
      </c>
      <c r="AJ34" s="194" t="str">
        <f t="shared" ref="AJ34:AJ35" si="36">IFERROR(IF(OR(AND(AF34="Muy Baja",AH34="Leve"),AND(AF34="Muy Baja",AH34="Menor"),AND(AF34="Baja",AH34="Leve")),"Bajo",IF(OR(AND(AF34="Muy baja",AH34="Moderado"),AND(AF34="Baja",AH34="Menor"),AND(AF34="Baja",AH34="Moderado"),AND(AF34="Media",AH34="Leve"),AND(AF34="Media",AH34="Menor"),AND(AF34="Media",AH34="Moderado"),AND(AF34="Alta",AH34="Leve"),AND(AF34="Alta",AH34="Menor")),"Moderado",IF(OR(AND(AF34="Muy Baja",AH34="Mayor"),AND(AF34="Baja",AH34="Mayor"),AND(AF34="Media",AH34="Mayor"),AND(AF34="Alta",AH34="Moderado"),AND(AF34="Alta",AH34="Mayor"),AND(AF34="Muy Alta",AH34="Leve"),AND(AF34="Muy Alta",AH34="Menor"),AND(AF34="Muy Alta",AH34="Moderado"),AND(AF34="Muy Alta",AH34="Mayor")),"Alto",IF(OR(AND(AF34="Muy Baja",AH34="Catastrófico"),AND(AF34="Baja",AH34="Catastrófico"),AND(AF34="Media",AH34="Catastrófico"),AND(AF34="Alta",AH34="Catastrófico"),AND(AF34="Muy Alta",AH34="Catastrófico")),"Extremo","")))),"")</f>
        <v/>
      </c>
      <c r="AK34" s="195"/>
      <c r="AL34" s="186"/>
      <c r="AM34" s="196"/>
      <c r="AN34" s="196"/>
      <c r="AO34" s="197"/>
      <c r="AP34" s="376"/>
      <c r="AQ34" s="376"/>
      <c r="AR34" s="376"/>
    </row>
    <row r="35" spans="1:44" x14ac:dyDescent="0.2">
      <c r="A35" s="419"/>
      <c r="B35" s="383"/>
      <c r="C35" s="383"/>
      <c r="D35" s="383"/>
      <c r="E35" s="383"/>
      <c r="F35" s="383"/>
      <c r="G35" s="369"/>
      <c r="H35" s="369"/>
      <c r="I35" s="369"/>
      <c r="J35" s="369"/>
      <c r="K35" s="369"/>
      <c r="L35" s="369"/>
      <c r="M35" s="369"/>
      <c r="N35" s="376"/>
      <c r="O35" s="374"/>
      <c r="P35" s="373"/>
      <c r="Q35" s="349"/>
      <c r="R35" s="373">
        <f>IF(NOT(ISERROR(MATCH(Q35,_xlfn.ANCHORARRAY(E46),0))),P48&amp;"Por favor no seleccionar los criterios de impacto",Q35)</f>
        <v>0</v>
      </c>
      <c r="S35" s="374"/>
      <c r="T35" s="373"/>
      <c r="U35" s="360"/>
      <c r="V35" s="214">
        <v>6</v>
      </c>
      <c r="W35" s="187"/>
      <c r="X35" s="189" t="str">
        <f t="shared" si="34"/>
        <v/>
      </c>
      <c r="Y35" s="190"/>
      <c r="Z35" s="190"/>
      <c r="AA35" s="191" t="str">
        <f t="shared" si="29"/>
        <v/>
      </c>
      <c r="AB35" s="190"/>
      <c r="AC35" s="190"/>
      <c r="AD35" s="190"/>
      <c r="AE35" s="192" t="str">
        <f t="shared" si="35"/>
        <v/>
      </c>
      <c r="AF35" s="193" t="str">
        <f t="shared" si="1"/>
        <v/>
      </c>
      <c r="AG35" s="191" t="str">
        <f t="shared" si="30"/>
        <v/>
      </c>
      <c r="AH35" s="193" t="str">
        <f t="shared" si="3"/>
        <v/>
      </c>
      <c r="AI35" s="191" t="str">
        <f t="shared" si="17"/>
        <v/>
      </c>
      <c r="AJ35" s="194" t="str">
        <f t="shared" si="36"/>
        <v/>
      </c>
      <c r="AK35" s="195"/>
      <c r="AL35" s="186"/>
      <c r="AM35" s="196"/>
      <c r="AN35" s="196"/>
      <c r="AO35" s="197"/>
      <c r="AP35" s="376"/>
      <c r="AQ35" s="376"/>
      <c r="AR35" s="376"/>
    </row>
    <row r="36" spans="1:44" x14ac:dyDescent="0.2">
      <c r="A36" s="419">
        <v>6</v>
      </c>
      <c r="B36" s="383"/>
      <c r="C36" s="383"/>
      <c r="D36" s="383"/>
      <c r="E36" s="388"/>
      <c r="F36" s="383"/>
      <c r="G36" s="388"/>
      <c r="H36" s="388"/>
      <c r="I36" s="388"/>
      <c r="J36" s="388"/>
      <c r="K36" s="388"/>
      <c r="L36" s="388"/>
      <c r="M36" s="388"/>
      <c r="N36" s="376"/>
      <c r="O36" s="374" t="str">
        <f>IF(N36&lt;=0,"",IF(N36&lt;=2,"Muy Baja",IF(N36&lt;=24,"Baja",IF(N36&lt;=500,"Media",IF(N36&lt;=5000,"Alta","Muy Alta")))))</f>
        <v/>
      </c>
      <c r="P36" s="373" t="str">
        <f>IF(O36="","",IF(O36="Muy Baja",0.2,IF(O36="Baja",0.4,IF(O36="Media",0.6,IF(O36="Alta",0.8,IF(O36="Muy Alta",1,))))))</f>
        <v/>
      </c>
      <c r="Q36" s="349"/>
      <c r="R36" s="373">
        <f>IF(NOT(ISERROR(MATCH(Q36,'Tabla Impacto'!$B$222:$B$224,0))),'Tabla Impacto'!$F$224&amp;"Por favor no seleccionar los criterios de impacto(Afectación Económica o presupuestal y Pérdida Reputacional)",Q36)</f>
        <v>0</v>
      </c>
      <c r="S36" s="374" t="str">
        <f>IF(OR(R36='Tabla Impacto'!$C$12,R36='Tabla Impacto'!$D$12),"Leve",IF(OR(R36='Tabla Impacto'!$C$13,R36='Tabla Impacto'!$D$13),"Menor",IF(OR(R36='Tabla Impacto'!$C$14,R36='Tabla Impacto'!$D$14),"Moderado",IF(OR(R36='Tabla Impacto'!$C$15,R36='Tabla Impacto'!$D$15),"Mayor",IF(OR(R36='Tabla Impacto'!$C$16,R36='Tabla Impacto'!$D$16),"Catastrófico","")))))</f>
        <v/>
      </c>
      <c r="T36" s="373" t="str">
        <f>IF(S36="","",IF(S36="Leve",0.2,IF(S36="Menor",0.4,IF(S36="Moderado",0.6,IF(S36="Mayor",0.8,IF(S36="Catastrófico",1,))))))</f>
        <v/>
      </c>
      <c r="U36" s="360" t="str">
        <f>IF(OR(AND(O36="Muy Baja",S36="Leve"),AND(O36="Muy Baja",S36="Menor"),AND(O36="Baja",S36="Leve")),"Bajo",IF(OR(AND(O36="Muy baja",S36="Moderado"),AND(O36="Baja",S36="Menor"),AND(O36="Baja",S36="Moderado"),AND(O36="Media",S36="Leve"),AND(O36="Media",S36="Menor"),AND(O36="Media",S36="Moderado"),AND(O36="Alta",S36="Leve"),AND(O36="Alta",S36="Menor")),"Moderado",IF(OR(AND(O36="Muy Baja",S36="Mayor"),AND(O36="Baja",S36="Mayor"),AND(O36="Media",S36="Mayor"),AND(O36="Alta",S36="Moderado"),AND(O36="Alta",S36="Mayor"),AND(O36="Muy Alta",S36="Leve"),AND(O36="Muy Alta",S36="Menor"),AND(O36="Muy Alta",S36="Moderado"),AND(O36="Muy Alta",S36="Mayor")),"Alto",IF(OR(AND(O36="Muy Baja",S36="Catastrófico"),AND(O36="Baja",S36="Catastrófico"),AND(O36="Media",S36="Catastrófico"),AND(O36="Alta",S36="Catastrófico"),AND(O36="Muy Alta",S36="Catastrófico")),"Extremo",""))))</f>
        <v/>
      </c>
      <c r="V36" s="214">
        <v>1</v>
      </c>
      <c r="W36" s="187"/>
      <c r="X36" s="189" t="str">
        <f>IF(OR(Y36="Preventivo",Y36="Detectivo"),"Probabilidad",IF(Y36="Correctivo","Impacto",""))</f>
        <v/>
      </c>
      <c r="Y36" s="190"/>
      <c r="Z36" s="190"/>
      <c r="AA36" s="191" t="str">
        <f>IF(AND(Y36="Preventivo",Z36="Automático"),"50%",IF(AND(Y36="Preventivo",Z36="Manual"),"40%",IF(AND(Y36="Detectivo",Z36="Automático"),"40%",IF(AND(Y36="Detectivo",Z36="Manual"),"30%",IF(AND(Y36="Correctivo",Z36="Automático"),"35%",IF(AND(Y36="Correctivo",Z36="Manual"),"25%",""))))))</f>
        <v/>
      </c>
      <c r="AB36" s="190"/>
      <c r="AC36" s="190"/>
      <c r="AD36" s="190"/>
      <c r="AE36" s="192" t="str">
        <f>IFERROR(IF(X36="Probabilidad",(P36-(+P36*AA36)),IF(X36="Impacto",P36,"")),"")</f>
        <v/>
      </c>
      <c r="AF36" s="193" t="str">
        <f>IFERROR(IF(AE36="","",IF(AE36&lt;=0.2,"Muy Baja",IF(AE36&lt;=0.4,"Baja",IF(AE36&lt;=0.6,"Media",IF(AE36&lt;=0.8,"Alta","Muy Alta"))))),"")</f>
        <v/>
      </c>
      <c r="AG36" s="191" t="str">
        <f>+AE36</f>
        <v/>
      </c>
      <c r="AH36" s="193" t="str">
        <f>IFERROR(IF(AI36="","",IF(AI36&lt;=0.2,"Leve",IF(AI36&lt;=0.4,"Menor",IF(AI36&lt;=0.6,"Moderado",IF(AI36&lt;=0.8,"Mayor","Catastrófico"))))),"")</f>
        <v/>
      </c>
      <c r="AI36" s="191" t="str">
        <f t="shared" ref="AI36" si="37">IFERROR(IF(X36="Impacto",(T36-(+T36*AA36)),IF(X36="Probabilidad",T36,"")),"")</f>
        <v/>
      </c>
      <c r="AJ36" s="194" t="str">
        <f>IFERROR(IF(OR(AND(AF36="Muy Baja",AH36="Leve"),AND(AF36="Muy Baja",AH36="Menor"),AND(AF36="Baja",AH36="Leve")),"Bajo",IF(OR(AND(AF36="Muy baja",AH36="Moderado"),AND(AF36="Baja",AH36="Menor"),AND(AF36="Baja",AH36="Moderado"),AND(AF36="Media",AH36="Leve"),AND(AF36="Media",AH36="Menor"),AND(AF36="Media",AH36="Moderado"),AND(AF36="Alta",AH36="Leve"),AND(AF36="Alta",AH36="Menor")),"Moderado",IF(OR(AND(AF36="Muy Baja",AH36="Mayor"),AND(AF36="Baja",AH36="Mayor"),AND(AF36="Media",AH36="Mayor"),AND(AF36="Alta",AH36="Moderado"),AND(AF36="Alta",AH36="Mayor"),AND(AF36="Muy Alta",AH36="Leve"),AND(AF36="Muy Alta",AH36="Menor"),AND(AF36="Muy Alta",AH36="Moderado"),AND(AF36="Muy Alta",AH36="Mayor")),"Alto",IF(OR(AND(AF36="Muy Baja",AH36="Catastrófico"),AND(AF36="Baja",AH36="Catastrófico"),AND(AF36="Media",AH36="Catastrófico"),AND(AF36="Alta",AH36="Catastrófico"),AND(AF36="Muy Alta",AH36="Catastrófico")),"Extremo","")))),"")</f>
        <v/>
      </c>
      <c r="AK36" s="190"/>
      <c r="AL36" s="186"/>
      <c r="AM36" s="196"/>
      <c r="AN36" s="196"/>
      <c r="AO36" s="197"/>
      <c r="AP36" s="376"/>
      <c r="AQ36" s="376"/>
      <c r="AR36" s="376"/>
    </row>
    <row r="37" spans="1:44" x14ac:dyDescent="0.2">
      <c r="A37" s="419"/>
      <c r="B37" s="383"/>
      <c r="C37" s="383"/>
      <c r="D37" s="383"/>
      <c r="E37" s="358"/>
      <c r="F37" s="383"/>
      <c r="G37" s="358"/>
      <c r="H37" s="358"/>
      <c r="I37" s="358"/>
      <c r="J37" s="358"/>
      <c r="K37" s="358"/>
      <c r="L37" s="358"/>
      <c r="M37" s="358"/>
      <c r="N37" s="376"/>
      <c r="O37" s="374"/>
      <c r="P37" s="373"/>
      <c r="Q37" s="349"/>
      <c r="R37" s="373">
        <f>IF(NOT(ISERROR(MATCH(Q37,_xlfn.ANCHORARRAY(E48),0))),P50&amp;"Por favor no seleccionar los criterios de impacto",Q37)</f>
        <v>0</v>
      </c>
      <c r="S37" s="374"/>
      <c r="T37" s="373"/>
      <c r="U37" s="360"/>
      <c r="V37" s="214">
        <v>2</v>
      </c>
      <c r="W37" s="187"/>
      <c r="X37" s="189" t="str">
        <f>IF(OR(Y37="Preventivo",Y37="Detectivo"),"Probabilidad",IF(Y37="Correctivo","Impacto",""))</f>
        <v/>
      </c>
      <c r="Y37" s="190"/>
      <c r="Z37" s="190"/>
      <c r="AA37" s="191" t="str">
        <f t="shared" ref="AA37:AA41" si="38">IF(AND(Y37="Preventivo",Z37="Automático"),"50%",IF(AND(Y37="Preventivo",Z37="Manual"),"40%",IF(AND(Y37="Detectivo",Z37="Automático"),"40%",IF(AND(Y37="Detectivo",Z37="Manual"),"30%",IF(AND(Y37="Correctivo",Z37="Automático"),"35%",IF(AND(Y37="Correctivo",Z37="Manual"),"25%",""))))))</f>
        <v/>
      </c>
      <c r="AB37" s="190"/>
      <c r="AC37" s="190"/>
      <c r="AD37" s="190"/>
      <c r="AE37" s="192" t="str">
        <f>IFERROR(IF(AND(X36="Probabilidad",X37="Probabilidad"),(AG36-(+AG36*AA37)),IF(X37="Probabilidad",(P36-(+P36*AA37)),IF(X37="Impacto",AG36,""))),"")</f>
        <v/>
      </c>
      <c r="AF37" s="193" t="str">
        <f t="shared" si="1"/>
        <v/>
      </c>
      <c r="AG37" s="191" t="str">
        <f t="shared" ref="AG37:AG41" si="39">+AE37</f>
        <v/>
      </c>
      <c r="AH37" s="193" t="str">
        <f t="shared" si="3"/>
        <v/>
      </c>
      <c r="AI37" s="191" t="str">
        <f t="shared" ref="AI37" si="40">IFERROR(IF(AND(X36="Impacto",X37="Impacto"),(AI36-(+AI36*AA37)),IF(X37="Impacto",($T$13-(+$T$13*AA37)),IF(X37="Probabilidad",AI36,""))),"")</f>
        <v/>
      </c>
      <c r="AJ37" s="194" t="str">
        <f t="shared" ref="AJ37:AJ38" si="41">IFERROR(IF(OR(AND(AF37="Muy Baja",AH37="Leve"),AND(AF37="Muy Baja",AH37="Menor"),AND(AF37="Baja",AH37="Leve")),"Bajo",IF(OR(AND(AF37="Muy baja",AH37="Moderado"),AND(AF37="Baja",AH37="Menor"),AND(AF37="Baja",AH37="Moderado"),AND(AF37="Media",AH37="Leve"),AND(AF37="Media",AH37="Menor"),AND(AF37="Media",AH37="Moderado"),AND(AF37="Alta",AH37="Leve"),AND(AF37="Alta",AH37="Menor")),"Moderado",IF(OR(AND(AF37="Muy Baja",AH37="Mayor"),AND(AF37="Baja",AH37="Mayor"),AND(AF37="Media",AH37="Mayor"),AND(AF37="Alta",AH37="Moderado"),AND(AF37="Alta",AH37="Mayor"),AND(AF37="Muy Alta",AH37="Leve"),AND(AF37="Muy Alta",AH37="Menor"),AND(AF37="Muy Alta",AH37="Moderado"),AND(AF37="Muy Alta",AH37="Mayor")),"Alto",IF(OR(AND(AF37="Muy Baja",AH37="Catastrófico"),AND(AF37="Baja",AH37="Catastrófico"),AND(AF37="Media",AH37="Catastrófico"),AND(AF37="Alta",AH37="Catastrófico"),AND(AF37="Muy Alta",AH37="Catastrófico")),"Extremo","")))),"")</f>
        <v/>
      </c>
      <c r="AK37" s="195"/>
      <c r="AL37" s="186"/>
      <c r="AM37" s="196"/>
      <c r="AN37" s="196"/>
      <c r="AO37" s="197"/>
      <c r="AP37" s="376"/>
      <c r="AQ37" s="376"/>
      <c r="AR37" s="376"/>
    </row>
    <row r="38" spans="1:44" x14ac:dyDescent="0.2">
      <c r="A38" s="419"/>
      <c r="B38" s="383"/>
      <c r="C38" s="383"/>
      <c r="D38" s="383"/>
      <c r="E38" s="358"/>
      <c r="F38" s="383"/>
      <c r="G38" s="358"/>
      <c r="H38" s="358"/>
      <c r="I38" s="358"/>
      <c r="J38" s="358"/>
      <c r="K38" s="358"/>
      <c r="L38" s="358"/>
      <c r="M38" s="358"/>
      <c r="N38" s="376"/>
      <c r="O38" s="374"/>
      <c r="P38" s="373"/>
      <c r="Q38" s="349"/>
      <c r="R38" s="373">
        <f>IF(NOT(ISERROR(MATCH(Q38,_xlfn.ANCHORARRAY(E49),0))),P51&amp;"Por favor no seleccionar los criterios de impacto",Q38)</f>
        <v>0</v>
      </c>
      <c r="S38" s="374"/>
      <c r="T38" s="373"/>
      <c r="U38" s="360"/>
      <c r="V38" s="214">
        <v>3</v>
      </c>
      <c r="W38" s="188"/>
      <c r="X38" s="189" t="str">
        <f>IF(OR(Y38="Preventivo",Y38="Detectivo"),"Probabilidad",IF(Y38="Correctivo","Impacto",""))</f>
        <v/>
      </c>
      <c r="Y38" s="190"/>
      <c r="Z38" s="190"/>
      <c r="AA38" s="191" t="str">
        <f t="shared" si="38"/>
        <v/>
      </c>
      <c r="AB38" s="190"/>
      <c r="AC38" s="190"/>
      <c r="AD38" s="190"/>
      <c r="AE38" s="192" t="str">
        <f>IFERROR(IF(AND(X37="Probabilidad",X38="Probabilidad"),(AG37-(+AG37*AA38)),IF(AND(X37="Impacto",X38="Probabilidad"),(AG36-(+AG36*AA38)),IF(X38="Impacto",AG37,""))),"")</f>
        <v/>
      </c>
      <c r="AF38" s="193" t="str">
        <f t="shared" si="1"/>
        <v/>
      </c>
      <c r="AG38" s="191" t="str">
        <f t="shared" si="39"/>
        <v/>
      </c>
      <c r="AH38" s="193" t="str">
        <f t="shared" si="3"/>
        <v/>
      </c>
      <c r="AI38" s="191" t="str">
        <f t="shared" ref="AI38" si="42">IFERROR(IF(AND(X37="Impacto",X38="Impacto"),(AI37-(+AI37*AA38)),IF(AND(X37="Probabilidad",X38="Impacto"),(AI36-(+AI36*AA38)),IF(X38="Probabilidad",AI37,""))),"")</f>
        <v/>
      </c>
      <c r="AJ38" s="194" t="str">
        <f t="shared" si="41"/>
        <v/>
      </c>
      <c r="AK38" s="195"/>
      <c r="AL38" s="186"/>
      <c r="AM38" s="196"/>
      <c r="AN38" s="196"/>
      <c r="AO38" s="197"/>
      <c r="AP38" s="376"/>
      <c r="AQ38" s="376"/>
      <c r="AR38" s="376"/>
    </row>
    <row r="39" spans="1:44" x14ac:dyDescent="0.2">
      <c r="A39" s="419"/>
      <c r="B39" s="383"/>
      <c r="C39" s="383"/>
      <c r="D39" s="383"/>
      <c r="E39" s="358"/>
      <c r="F39" s="383"/>
      <c r="G39" s="358"/>
      <c r="H39" s="358"/>
      <c r="I39" s="358"/>
      <c r="J39" s="358"/>
      <c r="K39" s="358"/>
      <c r="L39" s="358"/>
      <c r="M39" s="358"/>
      <c r="N39" s="376"/>
      <c r="O39" s="374"/>
      <c r="P39" s="373"/>
      <c r="Q39" s="349"/>
      <c r="R39" s="373">
        <f>IF(NOT(ISERROR(MATCH(Q39,_xlfn.ANCHORARRAY(E50),0))),P52&amp;"Por favor no seleccionar los criterios de impacto",Q39)</f>
        <v>0</v>
      </c>
      <c r="S39" s="374"/>
      <c r="T39" s="373"/>
      <c r="U39" s="360"/>
      <c r="V39" s="214">
        <v>4</v>
      </c>
      <c r="W39" s="187"/>
      <c r="X39" s="189" t="str">
        <f t="shared" ref="X39:X41" si="43">IF(OR(Y39="Preventivo",Y39="Detectivo"),"Probabilidad",IF(Y39="Correctivo","Impacto",""))</f>
        <v/>
      </c>
      <c r="Y39" s="190"/>
      <c r="Z39" s="190"/>
      <c r="AA39" s="191" t="str">
        <f t="shared" si="38"/>
        <v/>
      </c>
      <c r="AB39" s="190"/>
      <c r="AC39" s="190"/>
      <c r="AD39" s="190"/>
      <c r="AE39" s="192" t="str">
        <f t="shared" ref="AE39:AE41" si="44">IFERROR(IF(AND(X38="Probabilidad",X39="Probabilidad"),(AG38-(+AG38*AA39)),IF(AND(X38="Impacto",X39="Probabilidad"),(AG37-(+AG37*AA39)),IF(X39="Impacto",AG38,""))),"")</f>
        <v/>
      </c>
      <c r="AF39" s="193" t="str">
        <f t="shared" si="1"/>
        <v/>
      </c>
      <c r="AG39" s="191" t="str">
        <f t="shared" si="39"/>
        <v/>
      </c>
      <c r="AH39" s="193" t="str">
        <f t="shared" si="3"/>
        <v/>
      </c>
      <c r="AI39" s="191" t="str">
        <f t="shared" si="17"/>
        <v/>
      </c>
      <c r="AJ39" s="194" t="str">
        <f>IFERROR(IF(OR(AND(AF39="Muy Baja",AH39="Leve"),AND(AF39="Muy Baja",AH39="Menor"),AND(AF39="Baja",AH39="Leve")),"Bajo",IF(OR(AND(AF39="Muy baja",AH39="Moderado"),AND(AF39="Baja",AH39="Menor"),AND(AF39="Baja",AH39="Moderado"),AND(AF39="Media",AH39="Leve"),AND(AF39="Media",AH39="Menor"),AND(AF39="Media",AH39="Moderado"),AND(AF39="Alta",AH39="Leve"),AND(AF39="Alta",AH39="Menor")),"Moderado",IF(OR(AND(AF39="Muy Baja",AH39="Mayor"),AND(AF39="Baja",AH39="Mayor"),AND(AF39="Media",AH39="Mayor"),AND(AF39="Alta",AH39="Moderado"),AND(AF39="Alta",AH39="Mayor"),AND(AF39="Muy Alta",AH39="Leve"),AND(AF39="Muy Alta",AH39="Menor"),AND(AF39="Muy Alta",AH39="Moderado"),AND(AF39="Muy Alta",AH39="Mayor")),"Alto",IF(OR(AND(AF39="Muy Baja",AH39="Catastrófico"),AND(AF39="Baja",AH39="Catastrófico"),AND(AF39="Media",AH39="Catastrófico"),AND(AF39="Alta",AH39="Catastrófico"),AND(AF39="Muy Alta",AH39="Catastrófico")),"Extremo","")))),"")</f>
        <v/>
      </c>
      <c r="AK39" s="195"/>
      <c r="AL39" s="186"/>
      <c r="AM39" s="196"/>
      <c r="AN39" s="196"/>
      <c r="AO39" s="197"/>
      <c r="AP39" s="376"/>
      <c r="AQ39" s="376"/>
      <c r="AR39" s="376"/>
    </row>
    <row r="40" spans="1:44" x14ac:dyDescent="0.2">
      <c r="A40" s="419"/>
      <c r="B40" s="383"/>
      <c r="C40" s="383"/>
      <c r="D40" s="383"/>
      <c r="E40" s="358"/>
      <c r="F40" s="383"/>
      <c r="G40" s="358"/>
      <c r="H40" s="358"/>
      <c r="I40" s="358"/>
      <c r="J40" s="358"/>
      <c r="K40" s="358"/>
      <c r="L40" s="358"/>
      <c r="M40" s="358"/>
      <c r="N40" s="376"/>
      <c r="O40" s="374"/>
      <c r="P40" s="373"/>
      <c r="Q40" s="349"/>
      <c r="R40" s="373">
        <f>IF(NOT(ISERROR(MATCH(Q40,_xlfn.ANCHORARRAY(E51),0))),P53&amp;"Por favor no seleccionar los criterios de impacto",Q40)</f>
        <v>0</v>
      </c>
      <c r="S40" s="374"/>
      <c r="T40" s="373"/>
      <c r="U40" s="360"/>
      <c r="V40" s="214">
        <v>5</v>
      </c>
      <c r="W40" s="187"/>
      <c r="X40" s="189" t="str">
        <f t="shared" si="43"/>
        <v/>
      </c>
      <c r="Y40" s="190"/>
      <c r="Z40" s="190"/>
      <c r="AA40" s="191" t="str">
        <f t="shared" si="38"/>
        <v/>
      </c>
      <c r="AB40" s="190"/>
      <c r="AC40" s="190"/>
      <c r="AD40" s="190"/>
      <c r="AE40" s="192" t="str">
        <f t="shared" si="44"/>
        <v/>
      </c>
      <c r="AF40" s="193" t="str">
        <f t="shared" si="1"/>
        <v/>
      </c>
      <c r="AG40" s="191" t="str">
        <f t="shared" si="39"/>
        <v/>
      </c>
      <c r="AH40" s="193" t="str">
        <f t="shared" si="3"/>
        <v/>
      </c>
      <c r="AI40" s="191" t="str">
        <f t="shared" si="17"/>
        <v/>
      </c>
      <c r="AJ40" s="194" t="str">
        <f t="shared" ref="AJ40" si="45">IFERROR(IF(OR(AND(AF40="Muy Baja",AH40="Leve"),AND(AF40="Muy Baja",AH40="Menor"),AND(AF40="Baja",AH40="Leve")),"Bajo",IF(OR(AND(AF40="Muy baja",AH40="Moderado"),AND(AF40="Baja",AH40="Menor"),AND(AF40="Baja",AH40="Moderado"),AND(AF40="Media",AH40="Leve"),AND(AF40="Media",AH40="Menor"),AND(AF40="Media",AH40="Moderado"),AND(AF40="Alta",AH40="Leve"),AND(AF40="Alta",AH40="Menor")),"Moderado",IF(OR(AND(AF40="Muy Baja",AH40="Mayor"),AND(AF40="Baja",AH40="Mayor"),AND(AF40="Media",AH40="Mayor"),AND(AF40="Alta",AH40="Moderado"),AND(AF40="Alta",AH40="Mayor"),AND(AF40="Muy Alta",AH40="Leve"),AND(AF40="Muy Alta",AH40="Menor"),AND(AF40="Muy Alta",AH40="Moderado"),AND(AF40="Muy Alta",AH40="Mayor")),"Alto",IF(OR(AND(AF40="Muy Baja",AH40="Catastrófico"),AND(AF40="Baja",AH40="Catastrófico"),AND(AF40="Media",AH40="Catastrófico"),AND(AF40="Alta",AH40="Catastrófico"),AND(AF40="Muy Alta",AH40="Catastrófico")),"Extremo","")))),"")</f>
        <v/>
      </c>
      <c r="AK40" s="195"/>
      <c r="AL40" s="186"/>
      <c r="AM40" s="196"/>
      <c r="AN40" s="196"/>
      <c r="AO40" s="197"/>
      <c r="AP40" s="376"/>
      <c r="AQ40" s="376"/>
      <c r="AR40" s="376"/>
    </row>
    <row r="41" spans="1:44" x14ac:dyDescent="0.2">
      <c r="A41" s="419"/>
      <c r="B41" s="383"/>
      <c r="C41" s="383"/>
      <c r="D41" s="383"/>
      <c r="E41" s="369"/>
      <c r="F41" s="383"/>
      <c r="G41" s="369"/>
      <c r="H41" s="369"/>
      <c r="I41" s="369"/>
      <c r="J41" s="369"/>
      <c r="K41" s="369"/>
      <c r="L41" s="369"/>
      <c r="M41" s="369"/>
      <c r="N41" s="376"/>
      <c r="O41" s="374"/>
      <c r="P41" s="373"/>
      <c r="Q41" s="349"/>
      <c r="R41" s="373">
        <f>IF(NOT(ISERROR(MATCH(Q41,_xlfn.ANCHORARRAY(E52),0))),P54&amp;"Por favor no seleccionar los criterios de impacto",Q41)</f>
        <v>0</v>
      </c>
      <c r="S41" s="374"/>
      <c r="T41" s="373"/>
      <c r="U41" s="360"/>
      <c r="V41" s="214">
        <v>6</v>
      </c>
      <c r="W41" s="187"/>
      <c r="X41" s="189" t="str">
        <f t="shared" si="43"/>
        <v/>
      </c>
      <c r="Y41" s="190"/>
      <c r="Z41" s="190"/>
      <c r="AA41" s="191" t="str">
        <f t="shared" si="38"/>
        <v/>
      </c>
      <c r="AB41" s="190"/>
      <c r="AC41" s="190"/>
      <c r="AD41" s="190"/>
      <c r="AE41" s="192" t="str">
        <f t="shared" si="44"/>
        <v/>
      </c>
      <c r="AF41" s="193" t="str">
        <f t="shared" si="1"/>
        <v/>
      </c>
      <c r="AG41" s="191" t="str">
        <f t="shared" si="39"/>
        <v/>
      </c>
      <c r="AH41" s="193" t="str">
        <f>IFERROR(IF(AI41="","",IF(AI41&lt;=0.2,"Leve",IF(AI41&lt;=0.4,"Menor",IF(AI41&lt;=0.6,"Moderado",IF(AI41&lt;=0.8,"Mayor","Catastrófico"))))),"")</f>
        <v/>
      </c>
      <c r="AI41" s="191" t="str">
        <f t="shared" si="17"/>
        <v/>
      </c>
      <c r="AJ41" s="194" t="str">
        <f>IFERROR(IF(OR(AND(AF41="Muy Baja",AH41="Leve"),AND(AF41="Muy Baja",AH41="Menor"),AND(AF41="Baja",AH41="Leve")),"Bajo",IF(OR(AND(AF41="Muy baja",AH41="Moderado"),AND(AF41="Baja",AH41="Menor"),AND(AF41="Baja",AH41="Moderado"),AND(AF41="Media",AH41="Leve"),AND(AF41="Media",AH41="Menor"),AND(AF41="Media",AH41="Moderado"),AND(AF41="Alta",AH41="Leve"),AND(AF41="Alta",AH41="Menor")),"Moderado",IF(OR(AND(AF41="Muy Baja",AH41="Mayor"),AND(AF41="Baja",AH41="Mayor"),AND(AF41="Media",AH41="Mayor"),AND(AF41="Alta",AH41="Moderado"),AND(AF41="Alta",AH41="Mayor"),AND(AF41="Muy Alta",AH41="Leve"),AND(AF41="Muy Alta",AH41="Menor"),AND(AF41="Muy Alta",AH41="Moderado"),AND(AF41="Muy Alta",AH41="Mayor")),"Alto",IF(OR(AND(AF41="Muy Baja",AH41="Catastrófico"),AND(AF41="Baja",AH41="Catastrófico"),AND(AF41="Media",AH41="Catastrófico"),AND(AF41="Alta",AH41="Catastrófico"),AND(AF41="Muy Alta",AH41="Catastrófico")),"Extremo","")))),"")</f>
        <v/>
      </c>
      <c r="AK41" s="195"/>
      <c r="AL41" s="186"/>
      <c r="AM41" s="196"/>
      <c r="AN41" s="196"/>
      <c r="AO41" s="197"/>
      <c r="AP41" s="376"/>
      <c r="AQ41" s="376"/>
      <c r="AR41" s="376"/>
    </row>
    <row r="42" spans="1:44" x14ac:dyDescent="0.2">
      <c r="A42" s="419">
        <v>7</v>
      </c>
      <c r="B42" s="383"/>
      <c r="C42" s="383"/>
      <c r="D42" s="422"/>
      <c r="E42" s="383"/>
      <c r="F42" s="383"/>
      <c r="G42" s="388"/>
      <c r="H42" s="388"/>
      <c r="I42" s="388"/>
      <c r="J42" s="388"/>
      <c r="K42" s="388"/>
      <c r="L42" s="388"/>
      <c r="M42" s="388"/>
      <c r="N42" s="376"/>
      <c r="O42" s="374" t="str">
        <f>IF(N42&lt;=0,"",IF(N42&lt;=2,"Muy Baja",IF(N42&lt;=24,"Baja",IF(N42&lt;=500,"Media",IF(N42&lt;=5000,"Alta","Muy Alta")))))</f>
        <v/>
      </c>
      <c r="P42" s="373" t="str">
        <f>IF(O42="","",IF(O42="Muy Baja",0.2,IF(O42="Baja",0.4,IF(O42="Media",0.6,IF(O42="Alta",0.8,IF(O42="Muy Alta",1,))))))</f>
        <v/>
      </c>
      <c r="Q42" s="349"/>
      <c r="R42" s="373">
        <f>IF(NOT(ISERROR(MATCH(Q42,'Tabla Impacto'!$B$222:$B$224,0))),'Tabla Impacto'!$F$224&amp;"Por favor no seleccionar los criterios de impacto(Afectación Económica o presupuestal y Pérdida Reputacional)",Q42)</f>
        <v>0</v>
      </c>
      <c r="S42" s="374" t="str">
        <f>IF(OR(R42='Tabla Impacto'!$C$12,R42='Tabla Impacto'!$D$12),"Leve",IF(OR(R42='Tabla Impacto'!$C$13,R42='Tabla Impacto'!$D$13),"Menor",IF(OR(R42='Tabla Impacto'!$C$14,R42='Tabla Impacto'!$D$14),"Moderado",IF(OR(R42='Tabla Impacto'!$C$15,R42='Tabla Impacto'!$D$15),"Mayor",IF(OR(R42='Tabla Impacto'!$C$16,R42='Tabla Impacto'!$D$16),"Catastrófico","")))))</f>
        <v/>
      </c>
      <c r="T42" s="373" t="str">
        <f>IF(S42="","",IF(S42="Leve",0.2,IF(S42="Menor",0.4,IF(S42="Moderado",0.6,IF(S42="Mayor",0.8,IF(S42="Catastrófico",1,))))))</f>
        <v/>
      </c>
      <c r="U42" s="360" t="str">
        <f>IF(OR(AND(O42="Muy Baja",S42="Leve"),AND(O42="Muy Baja",S42="Menor"),AND(O42="Baja",S42="Leve")),"Bajo",IF(OR(AND(O42="Muy baja",S42="Moderado"),AND(O42="Baja",S42="Menor"),AND(O42="Baja",S42="Moderado"),AND(O42="Media",S42="Leve"),AND(O42="Media",S42="Menor"),AND(O42="Media",S42="Moderado"),AND(O42="Alta",S42="Leve"),AND(O42="Alta",S42="Menor")),"Moderado",IF(OR(AND(O42="Muy Baja",S42="Mayor"),AND(O42="Baja",S42="Mayor"),AND(O42="Media",S42="Mayor"),AND(O42="Alta",S42="Moderado"),AND(O42="Alta",S42="Mayor"),AND(O42="Muy Alta",S42="Leve"),AND(O42="Muy Alta",S42="Menor"),AND(O42="Muy Alta",S42="Moderado"),AND(O42="Muy Alta",S42="Mayor")),"Alto",IF(OR(AND(O42="Muy Baja",S42="Catastrófico"),AND(O42="Baja",S42="Catastrófico"),AND(O42="Media",S42="Catastrófico"),AND(O42="Alta",S42="Catastrófico"),AND(O42="Muy Alta",S42="Catastrófico")),"Extremo",""))))</f>
        <v/>
      </c>
      <c r="V42" s="214">
        <v>1</v>
      </c>
      <c r="W42" s="199"/>
      <c r="X42" s="189" t="str">
        <f>IF(OR(Y42="Preventivo",Y42="Detectivo"),"Probabilidad",IF(Y42="Correctivo","Impacto",""))</f>
        <v/>
      </c>
      <c r="Y42" s="190"/>
      <c r="Z42" s="190"/>
      <c r="AA42" s="191" t="str">
        <f>IF(AND(Y42="Preventivo",Z42="Automático"),"50%",IF(AND(Y42="Preventivo",Z42="Manual"),"40%",IF(AND(Y42="Detectivo",Z42="Automático"),"40%",IF(AND(Y42="Detectivo",Z42="Manual"),"30%",IF(AND(Y42="Correctivo",Z42="Automático"),"35%",IF(AND(Y42="Correctivo",Z42="Manual"),"25%",""))))))</f>
        <v/>
      </c>
      <c r="AB42" s="190"/>
      <c r="AC42" s="190"/>
      <c r="AD42" s="190"/>
      <c r="AE42" s="192" t="str">
        <f>IFERROR(IF(X42="Probabilidad",(P42-(+P42*AA42)),IF(X42="Impacto",P42,"")),"")</f>
        <v/>
      </c>
      <c r="AF42" s="193" t="str">
        <f>IFERROR(IF(AE42="","",IF(AE42&lt;=0.2,"Muy Baja",IF(AE42&lt;=0.4,"Baja",IF(AE42&lt;=0.6,"Media",IF(AE42&lt;=0.8,"Alta","Muy Alta"))))),"")</f>
        <v/>
      </c>
      <c r="AG42" s="191" t="str">
        <f>+AE42</f>
        <v/>
      </c>
      <c r="AH42" s="193" t="str">
        <f>IFERROR(IF(AI42="","",IF(AI42&lt;=0.2,"Leve",IF(AI42&lt;=0.4,"Menor",IF(AI42&lt;=0.6,"Moderado",IF(AI42&lt;=0.8,"Mayor","Catastrófico"))))),"")</f>
        <v/>
      </c>
      <c r="AI42" s="191" t="str">
        <f t="shared" ref="AI42" si="46">IFERROR(IF(X42="Impacto",(T42-(+T42*AA42)),IF(X42="Probabilidad",T42,"")),"")</f>
        <v/>
      </c>
      <c r="AJ42" s="194" t="str">
        <f>IFERROR(IF(OR(AND(AF42="Muy Baja",AH42="Leve"),AND(AF42="Muy Baja",AH42="Menor"),AND(AF42="Baja",AH42="Leve")),"Bajo",IF(OR(AND(AF42="Muy baja",AH42="Moderado"),AND(AF42="Baja",AH42="Menor"),AND(AF42="Baja",AH42="Moderado"),AND(AF42="Media",AH42="Leve"),AND(AF42="Media",AH42="Menor"),AND(AF42="Media",AH42="Moderado"),AND(AF42="Alta",AH42="Leve"),AND(AF42="Alta",AH42="Menor")),"Moderado",IF(OR(AND(AF42="Muy Baja",AH42="Mayor"),AND(AF42="Baja",AH42="Mayor"),AND(AF42="Media",AH42="Mayor"),AND(AF42="Alta",AH42="Moderado"),AND(AF42="Alta",AH42="Mayor"),AND(AF42="Muy Alta",AH42="Leve"),AND(AF42="Muy Alta",AH42="Menor"),AND(AF42="Muy Alta",AH42="Moderado"),AND(AF42="Muy Alta",AH42="Mayor")),"Alto",IF(OR(AND(AF42="Muy Baja",AH42="Catastrófico"),AND(AF42="Baja",AH42="Catastrófico"),AND(AF42="Media",AH42="Catastrófico"),AND(AF42="Alta",AH42="Catastrófico"),AND(AF42="Muy Alta",AH42="Catastrófico")),"Extremo","")))),"")</f>
        <v/>
      </c>
      <c r="AK42" s="195"/>
      <c r="AL42" s="186"/>
      <c r="AM42" s="196"/>
      <c r="AN42" s="196"/>
      <c r="AO42" s="197"/>
      <c r="AP42" s="376"/>
      <c r="AQ42" s="376"/>
      <c r="AR42" s="376"/>
    </row>
    <row r="43" spans="1:44" x14ac:dyDescent="0.2">
      <c r="A43" s="419"/>
      <c r="B43" s="383"/>
      <c r="C43" s="383"/>
      <c r="D43" s="422"/>
      <c r="E43" s="383"/>
      <c r="F43" s="383"/>
      <c r="G43" s="358"/>
      <c r="H43" s="358"/>
      <c r="I43" s="358"/>
      <c r="J43" s="358"/>
      <c r="K43" s="358"/>
      <c r="L43" s="358"/>
      <c r="M43" s="358"/>
      <c r="N43" s="376"/>
      <c r="O43" s="374"/>
      <c r="P43" s="373"/>
      <c r="Q43" s="349"/>
      <c r="R43" s="373">
        <f>IF(NOT(ISERROR(MATCH(Q43,_xlfn.ANCHORARRAY(E54),0))),P56&amp;"Por favor no seleccionar los criterios de impacto",Q43)</f>
        <v>0</v>
      </c>
      <c r="S43" s="374"/>
      <c r="T43" s="373"/>
      <c r="U43" s="360"/>
      <c r="V43" s="214">
        <v>2</v>
      </c>
      <c r="W43" s="187"/>
      <c r="X43" s="189" t="str">
        <f>IF(OR(Y43="Preventivo",Y43="Detectivo"),"Probabilidad",IF(Y43="Correctivo","Impacto",""))</f>
        <v/>
      </c>
      <c r="Y43" s="190"/>
      <c r="Z43" s="190"/>
      <c r="AA43" s="191" t="str">
        <f t="shared" ref="AA43:AA47" si="47">IF(AND(Y43="Preventivo",Z43="Automático"),"50%",IF(AND(Y43="Preventivo",Z43="Manual"),"40%",IF(AND(Y43="Detectivo",Z43="Automático"),"40%",IF(AND(Y43="Detectivo",Z43="Manual"),"30%",IF(AND(Y43="Correctivo",Z43="Automático"),"35%",IF(AND(Y43="Correctivo",Z43="Manual"),"25%",""))))))</f>
        <v/>
      </c>
      <c r="AB43" s="190"/>
      <c r="AC43" s="190"/>
      <c r="AD43" s="190"/>
      <c r="AE43" s="192" t="str">
        <f>IFERROR(IF(AND(X42="Probabilidad",X43="Probabilidad"),(AG42-(+AG42*AA43)),IF(X43="Probabilidad",(P42-(+P42*AA43)),IF(X43="Impacto",AG42,""))),"")</f>
        <v/>
      </c>
      <c r="AF43" s="193" t="str">
        <f t="shared" si="1"/>
        <v/>
      </c>
      <c r="AG43" s="191" t="str">
        <f t="shared" ref="AG43:AG47" si="48">+AE43</f>
        <v/>
      </c>
      <c r="AH43" s="193" t="str">
        <f t="shared" si="3"/>
        <v/>
      </c>
      <c r="AI43" s="191" t="str">
        <f t="shared" ref="AI43" si="49">IFERROR(IF(AND(X42="Impacto",X43="Impacto"),(AI42-(+AI42*AA43)),IF(X43="Impacto",($T$13-(+$T$13*AA43)),IF(X43="Probabilidad",AI42,""))),"")</f>
        <v/>
      </c>
      <c r="AJ43" s="194" t="str">
        <f t="shared" ref="AJ43:AJ44" si="50">IFERROR(IF(OR(AND(AF43="Muy Baja",AH43="Leve"),AND(AF43="Muy Baja",AH43="Menor"),AND(AF43="Baja",AH43="Leve")),"Bajo",IF(OR(AND(AF43="Muy baja",AH43="Moderado"),AND(AF43="Baja",AH43="Menor"),AND(AF43="Baja",AH43="Moderado"),AND(AF43="Media",AH43="Leve"),AND(AF43="Media",AH43="Menor"),AND(AF43="Media",AH43="Moderado"),AND(AF43="Alta",AH43="Leve"),AND(AF43="Alta",AH43="Menor")),"Moderado",IF(OR(AND(AF43="Muy Baja",AH43="Mayor"),AND(AF43="Baja",AH43="Mayor"),AND(AF43="Media",AH43="Mayor"),AND(AF43="Alta",AH43="Moderado"),AND(AF43="Alta",AH43="Mayor"),AND(AF43="Muy Alta",AH43="Leve"),AND(AF43="Muy Alta",AH43="Menor"),AND(AF43="Muy Alta",AH43="Moderado"),AND(AF43="Muy Alta",AH43="Mayor")),"Alto",IF(OR(AND(AF43="Muy Baja",AH43="Catastrófico"),AND(AF43="Baja",AH43="Catastrófico"),AND(AF43="Media",AH43="Catastrófico"),AND(AF43="Alta",AH43="Catastrófico"),AND(AF43="Muy Alta",AH43="Catastrófico")),"Extremo","")))),"")</f>
        <v/>
      </c>
      <c r="AK43" s="195"/>
      <c r="AL43" s="186"/>
      <c r="AM43" s="196"/>
      <c r="AN43" s="196"/>
      <c r="AO43" s="197"/>
      <c r="AP43" s="376"/>
      <c r="AQ43" s="376"/>
      <c r="AR43" s="376"/>
    </row>
    <row r="44" spans="1:44" x14ac:dyDescent="0.2">
      <c r="A44" s="419"/>
      <c r="B44" s="383"/>
      <c r="C44" s="383"/>
      <c r="D44" s="422"/>
      <c r="E44" s="383"/>
      <c r="F44" s="383"/>
      <c r="G44" s="358"/>
      <c r="H44" s="358"/>
      <c r="I44" s="358"/>
      <c r="J44" s="358"/>
      <c r="K44" s="358"/>
      <c r="L44" s="358"/>
      <c r="M44" s="358"/>
      <c r="N44" s="376"/>
      <c r="O44" s="374"/>
      <c r="P44" s="373"/>
      <c r="Q44" s="349"/>
      <c r="R44" s="373">
        <f>IF(NOT(ISERROR(MATCH(Q44,_xlfn.ANCHORARRAY(E55),0))),P57&amp;"Por favor no seleccionar los criterios de impacto",Q44)</f>
        <v>0</v>
      </c>
      <c r="S44" s="374"/>
      <c r="T44" s="373"/>
      <c r="U44" s="360"/>
      <c r="V44" s="214">
        <v>3</v>
      </c>
      <c r="W44" s="188"/>
      <c r="X44" s="189" t="str">
        <f>IF(OR(Y44="Preventivo",Y44="Detectivo"),"Probabilidad",IF(Y44="Correctivo","Impacto",""))</f>
        <v/>
      </c>
      <c r="Y44" s="190"/>
      <c r="Z44" s="190"/>
      <c r="AA44" s="191" t="str">
        <f t="shared" si="47"/>
        <v/>
      </c>
      <c r="AB44" s="190"/>
      <c r="AC44" s="190"/>
      <c r="AD44" s="190"/>
      <c r="AE44" s="192" t="str">
        <f>IFERROR(IF(AND(X43="Probabilidad",X44="Probabilidad"),(AG43-(+AG43*AA44)),IF(AND(X43="Impacto",X44="Probabilidad"),(AG42-(+AG42*AA44)),IF(X44="Impacto",AG43,""))),"")</f>
        <v/>
      </c>
      <c r="AF44" s="193" t="str">
        <f t="shared" si="1"/>
        <v/>
      </c>
      <c r="AG44" s="191" t="str">
        <f t="shared" si="48"/>
        <v/>
      </c>
      <c r="AH44" s="193" t="str">
        <f t="shared" si="3"/>
        <v/>
      </c>
      <c r="AI44" s="191" t="str">
        <f t="shared" ref="AI44" si="51">IFERROR(IF(AND(X43="Impacto",X44="Impacto"),(AI43-(+AI43*AA44)),IF(AND(X43="Probabilidad",X44="Impacto"),(AI42-(+AI42*AA44)),IF(X44="Probabilidad",AI43,""))),"")</f>
        <v/>
      </c>
      <c r="AJ44" s="194" t="str">
        <f t="shared" si="50"/>
        <v/>
      </c>
      <c r="AK44" s="195"/>
      <c r="AL44" s="186"/>
      <c r="AM44" s="196"/>
      <c r="AN44" s="196"/>
      <c r="AO44" s="197"/>
      <c r="AP44" s="376"/>
      <c r="AQ44" s="376"/>
      <c r="AR44" s="376"/>
    </row>
    <row r="45" spans="1:44" x14ac:dyDescent="0.2">
      <c r="A45" s="419"/>
      <c r="B45" s="383"/>
      <c r="C45" s="383"/>
      <c r="D45" s="422"/>
      <c r="E45" s="383"/>
      <c r="F45" s="383"/>
      <c r="G45" s="358"/>
      <c r="H45" s="358"/>
      <c r="I45" s="358"/>
      <c r="J45" s="358"/>
      <c r="K45" s="358"/>
      <c r="L45" s="358"/>
      <c r="M45" s="358"/>
      <c r="N45" s="376"/>
      <c r="O45" s="374"/>
      <c r="P45" s="373"/>
      <c r="Q45" s="349"/>
      <c r="R45" s="373">
        <f>IF(NOT(ISERROR(MATCH(Q45,_xlfn.ANCHORARRAY(E56),0))),P58&amp;"Por favor no seleccionar los criterios de impacto",Q45)</f>
        <v>0</v>
      </c>
      <c r="S45" s="374"/>
      <c r="T45" s="373"/>
      <c r="U45" s="360"/>
      <c r="V45" s="214">
        <v>4</v>
      </c>
      <c r="W45" s="187"/>
      <c r="X45" s="189" t="str">
        <f t="shared" ref="X45:X47" si="52">IF(OR(Y45="Preventivo",Y45="Detectivo"),"Probabilidad",IF(Y45="Correctivo","Impacto",""))</f>
        <v/>
      </c>
      <c r="Y45" s="190"/>
      <c r="Z45" s="190"/>
      <c r="AA45" s="191" t="str">
        <f t="shared" si="47"/>
        <v/>
      </c>
      <c r="AB45" s="190"/>
      <c r="AC45" s="190"/>
      <c r="AD45" s="190"/>
      <c r="AE45" s="192" t="str">
        <f t="shared" ref="AE45:AE47" si="53">IFERROR(IF(AND(X44="Probabilidad",X45="Probabilidad"),(AG44-(+AG44*AA45)),IF(AND(X44="Impacto",X45="Probabilidad"),(AG43-(+AG43*AA45)),IF(X45="Impacto",AG44,""))),"")</f>
        <v/>
      </c>
      <c r="AF45" s="193" t="str">
        <f t="shared" si="1"/>
        <v/>
      </c>
      <c r="AG45" s="191" t="str">
        <f t="shared" si="48"/>
        <v/>
      </c>
      <c r="AH45" s="193" t="str">
        <f t="shared" si="3"/>
        <v/>
      </c>
      <c r="AI45" s="191" t="str">
        <f t="shared" si="17"/>
        <v/>
      </c>
      <c r="AJ45" s="194" t="str">
        <f>IFERROR(IF(OR(AND(AF45="Muy Baja",AH45="Leve"),AND(AF45="Muy Baja",AH45="Menor"),AND(AF45="Baja",AH45="Leve")),"Bajo",IF(OR(AND(AF45="Muy baja",AH45="Moderado"),AND(AF45="Baja",AH45="Menor"),AND(AF45="Baja",AH45="Moderado"),AND(AF45="Media",AH45="Leve"),AND(AF45="Media",AH45="Menor"),AND(AF45="Media",AH45="Moderado"),AND(AF45="Alta",AH45="Leve"),AND(AF45="Alta",AH45="Menor")),"Moderado",IF(OR(AND(AF45="Muy Baja",AH45="Mayor"),AND(AF45="Baja",AH45="Mayor"),AND(AF45="Media",AH45="Mayor"),AND(AF45="Alta",AH45="Moderado"),AND(AF45="Alta",AH45="Mayor"),AND(AF45="Muy Alta",AH45="Leve"),AND(AF45="Muy Alta",AH45="Menor"),AND(AF45="Muy Alta",AH45="Moderado"),AND(AF45="Muy Alta",AH45="Mayor")),"Alto",IF(OR(AND(AF45="Muy Baja",AH45="Catastrófico"),AND(AF45="Baja",AH45="Catastrófico"),AND(AF45="Media",AH45="Catastrófico"),AND(AF45="Alta",AH45="Catastrófico"),AND(AF45="Muy Alta",AH45="Catastrófico")),"Extremo","")))),"")</f>
        <v/>
      </c>
      <c r="AK45" s="195"/>
      <c r="AL45" s="186"/>
      <c r="AM45" s="196"/>
      <c r="AN45" s="196"/>
      <c r="AO45" s="197"/>
      <c r="AP45" s="376"/>
      <c r="AQ45" s="376"/>
      <c r="AR45" s="376"/>
    </row>
    <row r="46" spans="1:44" x14ac:dyDescent="0.2">
      <c r="A46" s="419"/>
      <c r="B46" s="383"/>
      <c r="C46" s="383"/>
      <c r="D46" s="422"/>
      <c r="E46" s="383"/>
      <c r="F46" s="383"/>
      <c r="G46" s="358"/>
      <c r="H46" s="358"/>
      <c r="I46" s="358"/>
      <c r="J46" s="358"/>
      <c r="K46" s="358"/>
      <c r="L46" s="358"/>
      <c r="M46" s="358"/>
      <c r="N46" s="376"/>
      <c r="O46" s="374"/>
      <c r="P46" s="373"/>
      <c r="Q46" s="349"/>
      <c r="R46" s="373">
        <f>IF(NOT(ISERROR(MATCH(Q46,_xlfn.ANCHORARRAY(E57),0))),P59&amp;"Por favor no seleccionar los criterios de impacto",Q46)</f>
        <v>0</v>
      </c>
      <c r="S46" s="374"/>
      <c r="T46" s="373"/>
      <c r="U46" s="360"/>
      <c r="V46" s="214">
        <v>5</v>
      </c>
      <c r="W46" s="187"/>
      <c r="X46" s="189" t="str">
        <f t="shared" si="52"/>
        <v/>
      </c>
      <c r="Y46" s="190"/>
      <c r="Z46" s="190"/>
      <c r="AA46" s="191" t="str">
        <f t="shared" si="47"/>
        <v/>
      </c>
      <c r="AB46" s="190"/>
      <c r="AC46" s="190"/>
      <c r="AD46" s="190"/>
      <c r="AE46" s="192" t="str">
        <f t="shared" si="53"/>
        <v/>
      </c>
      <c r="AF46" s="193" t="str">
        <f t="shared" si="1"/>
        <v/>
      </c>
      <c r="AG46" s="191" t="str">
        <f t="shared" si="48"/>
        <v/>
      </c>
      <c r="AH46" s="193" t="str">
        <f t="shared" si="3"/>
        <v/>
      </c>
      <c r="AI46" s="191" t="str">
        <f t="shared" si="17"/>
        <v/>
      </c>
      <c r="AJ46" s="194" t="str">
        <f t="shared" ref="AJ46:AJ47" si="54">IFERROR(IF(OR(AND(AF46="Muy Baja",AH46="Leve"),AND(AF46="Muy Baja",AH46="Menor"),AND(AF46="Baja",AH46="Leve")),"Bajo",IF(OR(AND(AF46="Muy baja",AH46="Moderado"),AND(AF46="Baja",AH46="Menor"),AND(AF46="Baja",AH46="Moderado"),AND(AF46="Media",AH46="Leve"),AND(AF46="Media",AH46="Menor"),AND(AF46="Media",AH46="Moderado"),AND(AF46="Alta",AH46="Leve"),AND(AF46="Alta",AH46="Menor")),"Moderado",IF(OR(AND(AF46="Muy Baja",AH46="Mayor"),AND(AF46="Baja",AH46="Mayor"),AND(AF46="Media",AH46="Mayor"),AND(AF46="Alta",AH46="Moderado"),AND(AF46="Alta",AH46="Mayor"),AND(AF46="Muy Alta",AH46="Leve"),AND(AF46="Muy Alta",AH46="Menor"),AND(AF46="Muy Alta",AH46="Moderado"),AND(AF46="Muy Alta",AH46="Mayor")),"Alto",IF(OR(AND(AF46="Muy Baja",AH46="Catastrófico"),AND(AF46="Baja",AH46="Catastrófico"),AND(AF46="Media",AH46="Catastrófico"),AND(AF46="Alta",AH46="Catastrófico"),AND(AF46="Muy Alta",AH46="Catastrófico")),"Extremo","")))),"")</f>
        <v/>
      </c>
      <c r="AK46" s="195"/>
      <c r="AL46" s="186"/>
      <c r="AM46" s="196"/>
      <c r="AN46" s="196"/>
      <c r="AO46" s="197"/>
      <c r="AP46" s="376"/>
      <c r="AQ46" s="376"/>
      <c r="AR46" s="376"/>
    </row>
    <row r="47" spans="1:44" x14ac:dyDescent="0.2">
      <c r="A47" s="419"/>
      <c r="B47" s="383"/>
      <c r="C47" s="383"/>
      <c r="D47" s="422"/>
      <c r="E47" s="383"/>
      <c r="F47" s="383"/>
      <c r="G47" s="369"/>
      <c r="H47" s="369"/>
      <c r="I47" s="369"/>
      <c r="J47" s="369"/>
      <c r="K47" s="369"/>
      <c r="L47" s="369"/>
      <c r="M47" s="369"/>
      <c r="N47" s="376"/>
      <c r="O47" s="374"/>
      <c r="P47" s="373"/>
      <c r="Q47" s="349"/>
      <c r="R47" s="373">
        <f>IF(NOT(ISERROR(MATCH(Q47,_xlfn.ANCHORARRAY(E58),0))),P60&amp;"Por favor no seleccionar los criterios de impacto",Q47)</f>
        <v>0</v>
      </c>
      <c r="S47" s="374"/>
      <c r="T47" s="373"/>
      <c r="U47" s="360"/>
      <c r="V47" s="214">
        <v>6</v>
      </c>
      <c r="W47" s="187"/>
      <c r="X47" s="189" t="str">
        <f t="shared" si="52"/>
        <v/>
      </c>
      <c r="Y47" s="190"/>
      <c r="Z47" s="190"/>
      <c r="AA47" s="191" t="str">
        <f t="shared" si="47"/>
        <v/>
      </c>
      <c r="AB47" s="190"/>
      <c r="AC47" s="190"/>
      <c r="AD47" s="190"/>
      <c r="AE47" s="192" t="str">
        <f t="shared" si="53"/>
        <v/>
      </c>
      <c r="AF47" s="193" t="str">
        <f t="shared" si="1"/>
        <v/>
      </c>
      <c r="AG47" s="191" t="str">
        <f t="shared" si="48"/>
        <v/>
      </c>
      <c r="AH47" s="193" t="str">
        <f t="shared" si="3"/>
        <v/>
      </c>
      <c r="AI47" s="191" t="str">
        <f t="shared" si="17"/>
        <v/>
      </c>
      <c r="AJ47" s="194" t="str">
        <f t="shared" si="54"/>
        <v/>
      </c>
      <c r="AK47" s="195"/>
      <c r="AL47" s="186"/>
      <c r="AM47" s="196"/>
      <c r="AN47" s="196"/>
      <c r="AO47" s="197"/>
      <c r="AP47" s="376"/>
      <c r="AQ47" s="376"/>
      <c r="AR47" s="376"/>
    </row>
    <row r="48" spans="1:44" x14ac:dyDescent="0.2">
      <c r="A48" s="419">
        <v>8</v>
      </c>
      <c r="B48" s="383"/>
      <c r="C48" s="383"/>
      <c r="D48" s="383"/>
      <c r="E48" s="383"/>
      <c r="F48" s="383"/>
      <c r="G48" s="388"/>
      <c r="H48" s="388"/>
      <c r="I48" s="388"/>
      <c r="J48" s="388"/>
      <c r="K48" s="388"/>
      <c r="L48" s="388"/>
      <c r="M48" s="388"/>
      <c r="N48" s="376"/>
      <c r="O48" s="374" t="str">
        <f>IF(N48&lt;=0,"",IF(N48&lt;=2,"Muy Baja",IF(N48&lt;=24,"Baja",IF(N48&lt;=500,"Media",IF(N48&lt;=5000,"Alta","Muy Alta")))))</f>
        <v/>
      </c>
      <c r="P48" s="373" t="str">
        <f>IF(O48="","",IF(O48="Muy Baja",0.2,IF(O48="Baja",0.4,IF(O48="Media",0.6,IF(O48="Alta",0.8,IF(O48="Muy Alta",1,))))))</f>
        <v/>
      </c>
      <c r="Q48" s="349"/>
      <c r="R48" s="373">
        <f>IF(NOT(ISERROR(MATCH(Q48,'Tabla Impacto'!$B$222:$B$224,0))),'Tabla Impacto'!$F$224&amp;"Por favor no seleccionar los criterios de impacto(Afectación Económica o presupuestal y Pérdida Reputacional)",Q48)</f>
        <v>0</v>
      </c>
      <c r="S48" s="374" t="str">
        <f>IF(OR(R48='Tabla Impacto'!$C$12,R48='Tabla Impacto'!$D$12),"Leve",IF(OR(R48='Tabla Impacto'!$C$13,R48='Tabla Impacto'!$D$13),"Menor",IF(OR(R48='Tabla Impacto'!$C$14,R48='Tabla Impacto'!$D$14),"Moderado",IF(OR(R48='Tabla Impacto'!$C$15,R48='Tabla Impacto'!$D$15),"Mayor",IF(OR(R48='Tabla Impacto'!$C$16,R48='Tabla Impacto'!$D$16),"Catastrófico","")))))</f>
        <v/>
      </c>
      <c r="T48" s="373" t="str">
        <f>IF(S48="","",IF(S48="Leve",0.2,IF(S48="Menor",0.4,IF(S48="Moderado",0.6,IF(S48="Mayor",0.8,IF(S48="Catastrófico",1,))))))</f>
        <v/>
      </c>
      <c r="U48" s="360" t="str">
        <f>IF(OR(AND(O48="Muy Baja",S48="Leve"),AND(O48="Muy Baja",S48="Menor"),AND(O48="Baja",S48="Leve")),"Bajo",IF(OR(AND(O48="Muy baja",S48="Moderado"),AND(O48="Baja",S48="Menor"),AND(O48="Baja",S48="Moderado"),AND(O48="Media",S48="Leve"),AND(O48="Media",S48="Menor"),AND(O48="Media",S48="Moderado"),AND(O48="Alta",S48="Leve"),AND(O48="Alta",S48="Menor")),"Moderado",IF(OR(AND(O48="Muy Baja",S48="Mayor"),AND(O48="Baja",S48="Mayor"),AND(O48="Media",S48="Mayor"),AND(O48="Alta",S48="Moderado"),AND(O48="Alta",S48="Mayor"),AND(O48="Muy Alta",S48="Leve"),AND(O48="Muy Alta",S48="Menor"),AND(O48="Muy Alta",S48="Moderado"),AND(O48="Muy Alta",S48="Mayor")),"Alto",IF(OR(AND(O48="Muy Baja",S48="Catastrófico"),AND(O48="Baja",S48="Catastrófico"),AND(O48="Media",S48="Catastrófico"),AND(O48="Alta",S48="Catastrófico"),AND(O48="Muy Alta",S48="Catastrófico")),"Extremo",""))))</f>
        <v/>
      </c>
      <c r="V48" s="214">
        <v>1</v>
      </c>
      <c r="W48" s="187"/>
      <c r="X48" s="189" t="str">
        <f>IF(OR(Y48="Preventivo",Y48="Detectivo"),"Probabilidad",IF(Y48="Correctivo","Impacto",""))</f>
        <v/>
      </c>
      <c r="Y48" s="190"/>
      <c r="Z48" s="190"/>
      <c r="AA48" s="191" t="str">
        <f>IF(AND(Y48="Preventivo",Z48="Automático"),"50%",IF(AND(Y48="Preventivo",Z48="Manual"),"40%",IF(AND(Y48="Detectivo",Z48="Automático"),"40%",IF(AND(Y48="Detectivo",Z48="Manual"),"30%",IF(AND(Y48="Correctivo",Z48="Automático"),"35%",IF(AND(Y48="Correctivo",Z48="Manual"),"25%",""))))))</f>
        <v/>
      </c>
      <c r="AB48" s="190"/>
      <c r="AC48" s="190"/>
      <c r="AD48" s="190"/>
      <c r="AE48" s="192" t="str">
        <f>IFERROR(IF(X48="Probabilidad",(P48-(+P48*AA48)),IF(X48="Impacto",P48,"")),"")</f>
        <v/>
      </c>
      <c r="AF48" s="193" t="str">
        <f>IFERROR(IF(AE48="","",IF(AE48&lt;=0.2,"Muy Baja",IF(AE48&lt;=0.4,"Baja",IF(AE48&lt;=0.6,"Media",IF(AE48&lt;=0.8,"Alta","Muy Alta"))))),"")</f>
        <v/>
      </c>
      <c r="AG48" s="191" t="str">
        <f>+AE48</f>
        <v/>
      </c>
      <c r="AH48" s="193" t="str">
        <f>IFERROR(IF(AI48="","",IF(AI48&lt;=0.2,"Leve",IF(AI48&lt;=0.4,"Menor",IF(AI48&lt;=0.6,"Moderado",IF(AI48&lt;=0.8,"Mayor","Catastrófico"))))),"")</f>
        <v/>
      </c>
      <c r="AI48" s="191" t="str">
        <f t="shared" ref="AI48" si="55">IFERROR(IF(X48="Impacto",(T48-(+T48*AA48)),IF(X48="Probabilidad",T48,"")),"")</f>
        <v/>
      </c>
      <c r="AJ48" s="194" t="str">
        <f>IFERROR(IF(OR(AND(AF48="Muy Baja",AH48="Leve"),AND(AF48="Muy Baja",AH48="Menor"),AND(AF48="Baja",AH48="Leve")),"Bajo",IF(OR(AND(AF48="Muy baja",AH48="Moderado"),AND(AF48="Baja",AH48="Menor"),AND(AF48="Baja",AH48="Moderado"),AND(AF48="Media",AH48="Leve"),AND(AF48="Media",AH48="Menor"),AND(AF48="Media",AH48="Moderado"),AND(AF48="Alta",AH48="Leve"),AND(AF48="Alta",AH48="Menor")),"Moderado",IF(OR(AND(AF48="Muy Baja",AH48="Mayor"),AND(AF48="Baja",AH48="Mayor"),AND(AF48="Media",AH48="Mayor"),AND(AF48="Alta",AH48="Moderado"),AND(AF48="Alta",AH48="Mayor"),AND(AF48="Muy Alta",AH48="Leve"),AND(AF48="Muy Alta",AH48="Menor"),AND(AF48="Muy Alta",AH48="Moderado"),AND(AF48="Muy Alta",AH48="Mayor")),"Alto",IF(OR(AND(AF48="Muy Baja",AH48="Catastrófico"),AND(AF48="Baja",AH48="Catastrófico"),AND(AF48="Media",AH48="Catastrófico"),AND(AF48="Alta",AH48="Catastrófico"),AND(AF48="Muy Alta",AH48="Catastrófico")),"Extremo","")))),"")</f>
        <v/>
      </c>
      <c r="AK48" s="195"/>
      <c r="AL48" s="186"/>
      <c r="AM48" s="196"/>
      <c r="AN48" s="196"/>
      <c r="AO48" s="197"/>
      <c r="AP48" s="376"/>
      <c r="AQ48" s="376"/>
      <c r="AR48" s="376"/>
    </row>
    <row r="49" spans="1:44" x14ac:dyDescent="0.2">
      <c r="A49" s="419"/>
      <c r="B49" s="383"/>
      <c r="C49" s="383"/>
      <c r="D49" s="383"/>
      <c r="E49" s="383"/>
      <c r="F49" s="383"/>
      <c r="G49" s="358"/>
      <c r="H49" s="358"/>
      <c r="I49" s="358"/>
      <c r="J49" s="358"/>
      <c r="K49" s="358"/>
      <c r="L49" s="358"/>
      <c r="M49" s="358"/>
      <c r="N49" s="376"/>
      <c r="O49" s="374"/>
      <c r="P49" s="373"/>
      <c r="Q49" s="349"/>
      <c r="R49" s="373">
        <f>IF(NOT(ISERROR(MATCH(Q49,_xlfn.ANCHORARRAY(E60),0))),P62&amp;"Por favor no seleccionar los criterios de impacto",Q49)</f>
        <v>0</v>
      </c>
      <c r="S49" s="374"/>
      <c r="T49" s="373"/>
      <c r="U49" s="360"/>
      <c r="V49" s="214">
        <v>2</v>
      </c>
      <c r="W49" s="187"/>
      <c r="X49" s="189" t="str">
        <f>IF(OR(Y49="Preventivo",Y49="Detectivo"),"Probabilidad",IF(Y49="Correctivo","Impacto",""))</f>
        <v/>
      </c>
      <c r="Y49" s="190"/>
      <c r="Z49" s="190"/>
      <c r="AA49" s="191" t="str">
        <f t="shared" ref="AA49:AA53" si="56">IF(AND(Y49="Preventivo",Z49="Automático"),"50%",IF(AND(Y49="Preventivo",Z49="Manual"),"40%",IF(AND(Y49="Detectivo",Z49="Automático"),"40%",IF(AND(Y49="Detectivo",Z49="Manual"),"30%",IF(AND(Y49="Correctivo",Z49="Automático"),"35%",IF(AND(Y49="Correctivo",Z49="Manual"),"25%",""))))))</f>
        <v/>
      </c>
      <c r="AB49" s="190"/>
      <c r="AC49" s="190"/>
      <c r="AD49" s="190"/>
      <c r="AE49" s="192" t="str">
        <f>IFERROR(IF(AND(X48="Probabilidad",X49="Probabilidad"),(AG48-(+AG48*AA49)),IF(X49="Probabilidad",(P48-(+P48*AA49)),IF(X49="Impacto",AG48,""))),"")</f>
        <v/>
      </c>
      <c r="AF49" s="193" t="str">
        <f t="shared" si="1"/>
        <v/>
      </c>
      <c r="AG49" s="191" t="str">
        <f t="shared" ref="AG49:AG53" si="57">+AE49</f>
        <v/>
      </c>
      <c r="AH49" s="193" t="str">
        <f t="shared" si="3"/>
        <v/>
      </c>
      <c r="AI49" s="191" t="str">
        <f t="shared" ref="AI49" si="58">IFERROR(IF(AND(X48="Impacto",X49="Impacto"),(AI48-(+AI48*AA49)),IF(X49="Impacto",($T$13-(+$T$13*AA49)),IF(X49="Probabilidad",AI48,""))),"")</f>
        <v/>
      </c>
      <c r="AJ49" s="194" t="str">
        <f t="shared" ref="AJ49:AJ50" si="59">IFERROR(IF(OR(AND(AF49="Muy Baja",AH49="Leve"),AND(AF49="Muy Baja",AH49="Menor"),AND(AF49="Baja",AH49="Leve")),"Bajo",IF(OR(AND(AF49="Muy baja",AH49="Moderado"),AND(AF49="Baja",AH49="Menor"),AND(AF49="Baja",AH49="Moderado"),AND(AF49="Media",AH49="Leve"),AND(AF49="Media",AH49="Menor"),AND(AF49="Media",AH49="Moderado"),AND(AF49="Alta",AH49="Leve"),AND(AF49="Alta",AH49="Menor")),"Moderado",IF(OR(AND(AF49="Muy Baja",AH49="Mayor"),AND(AF49="Baja",AH49="Mayor"),AND(AF49="Media",AH49="Mayor"),AND(AF49="Alta",AH49="Moderado"),AND(AF49="Alta",AH49="Mayor"),AND(AF49="Muy Alta",AH49="Leve"),AND(AF49="Muy Alta",AH49="Menor"),AND(AF49="Muy Alta",AH49="Moderado"),AND(AF49="Muy Alta",AH49="Mayor")),"Alto",IF(OR(AND(AF49="Muy Baja",AH49="Catastrófico"),AND(AF49="Baja",AH49="Catastrófico"),AND(AF49="Media",AH49="Catastrófico"),AND(AF49="Alta",AH49="Catastrófico"),AND(AF49="Muy Alta",AH49="Catastrófico")),"Extremo","")))),"")</f>
        <v/>
      </c>
      <c r="AK49" s="195"/>
      <c r="AL49" s="186"/>
      <c r="AM49" s="196"/>
      <c r="AN49" s="196"/>
      <c r="AO49" s="197"/>
      <c r="AP49" s="376"/>
      <c r="AQ49" s="376"/>
      <c r="AR49" s="376"/>
    </row>
    <row r="50" spans="1:44" x14ac:dyDescent="0.2">
      <c r="A50" s="419"/>
      <c r="B50" s="383"/>
      <c r="C50" s="383"/>
      <c r="D50" s="383"/>
      <c r="E50" s="383"/>
      <c r="F50" s="383"/>
      <c r="G50" s="358"/>
      <c r="H50" s="358"/>
      <c r="I50" s="358"/>
      <c r="J50" s="358"/>
      <c r="K50" s="358"/>
      <c r="L50" s="358"/>
      <c r="M50" s="358"/>
      <c r="N50" s="376"/>
      <c r="O50" s="374"/>
      <c r="P50" s="373"/>
      <c r="Q50" s="349"/>
      <c r="R50" s="373">
        <f>IF(NOT(ISERROR(MATCH(Q50,_xlfn.ANCHORARRAY(E61),0))),P63&amp;"Por favor no seleccionar los criterios de impacto",Q50)</f>
        <v>0</v>
      </c>
      <c r="S50" s="374"/>
      <c r="T50" s="373"/>
      <c r="U50" s="360"/>
      <c r="V50" s="214">
        <v>3</v>
      </c>
      <c r="W50" s="188"/>
      <c r="X50" s="189" t="str">
        <f>IF(OR(Y50="Preventivo",Y50="Detectivo"),"Probabilidad",IF(Y50="Correctivo","Impacto",""))</f>
        <v/>
      </c>
      <c r="Y50" s="190"/>
      <c r="Z50" s="190"/>
      <c r="AA50" s="191" t="str">
        <f t="shared" si="56"/>
        <v/>
      </c>
      <c r="AB50" s="190"/>
      <c r="AC50" s="190"/>
      <c r="AD50" s="190"/>
      <c r="AE50" s="192" t="str">
        <f>IFERROR(IF(AND(X49="Probabilidad",X50="Probabilidad"),(AG49-(+AG49*AA50)),IF(AND(X49="Impacto",X50="Probabilidad"),(AG48-(+AG48*AA50)),IF(X50="Impacto",AG49,""))),"")</f>
        <v/>
      </c>
      <c r="AF50" s="193" t="str">
        <f t="shared" si="1"/>
        <v/>
      </c>
      <c r="AG50" s="191" t="str">
        <f t="shared" si="57"/>
        <v/>
      </c>
      <c r="AH50" s="193" t="str">
        <f t="shared" si="3"/>
        <v/>
      </c>
      <c r="AI50" s="191" t="str">
        <f t="shared" ref="AI50" si="60">IFERROR(IF(AND(X49="Impacto",X50="Impacto"),(AI49-(+AI49*AA50)),IF(AND(X49="Probabilidad",X50="Impacto"),(AI48-(+AI48*AA50)),IF(X50="Probabilidad",AI49,""))),"")</f>
        <v/>
      </c>
      <c r="AJ50" s="194" t="str">
        <f t="shared" si="59"/>
        <v/>
      </c>
      <c r="AK50" s="195"/>
      <c r="AL50" s="186"/>
      <c r="AM50" s="196"/>
      <c r="AN50" s="196"/>
      <c r="AO50" s="197"/>
      <c r="AP50" s="376"/>
      <c r="AQ50" s="376"/>
      <c r="AR50" s="376"/>
    </row>
    <row r="51" spans="1:44" x14ac:dyDescent="0.2">
      <c r="A51" s="419"/>
      <c r="B51" s="383"/>
      <c r="C51" s="383"/>
      <c r="D51" s="383"/>
      <c r="E51" s="383"/>
      <c r="F51" s="383"/>
      <c r="G51" s="358"/>
      <c r="H51" s="358"/>
      <c r="I51" s="358"/>
      <c r="J51" s="358"/>
      <c r="K51" s="358"/>
      <c r="L51" s="358"/>
      <c r="M51" s="358"/>
      <c r="N51" s="376"/>
      <c r="O51" s="374"/>
      <c r="P51" s="373"/>
      <c r="Q51" s="349"/>
      <c r="R51" s="373">
        <f>IF(NOT(ISERROR(MATCH(Q51,_xlfn.ANCHORARRAY(E62),0))),P64&amp;"Por favor no seleccionar los criterios de impacto",Q51)</f>
        <v>0</v>
      </c>
      <c r="S51" s="374"/>
      <c r="T51" s="373"/>
      <c r="U51" s="360"/>
      <c r="V51" s="214">
        <v>4</v>
      </c>
      <c r="W51" s="187"/>
      <c r="X51" s="189" t="str">
        <f t="shared" ref="X51:X53" si="61">IF(OR(Y51="Preventivo",Y51="Detectivo"),"Probabilidad",IF(Y51="Correctivo","Impacto",""))</f>
        <v/>
      </c>
      <c r="Y51" s="190"/>
      <c r="Z51" s="190"/>
      <c r="AA51" s="191" t="str">
        <f t="shared" si="56"/>
        <v/>
      </c>
      <c r="AB51" s="190"/>
      <c r="AC51" s="190"/>
      <c r="AD51" s="190"/>
      <c r="AE51" s="192" t="str">
        <f t="shared" ref="AE51:AE53" si="62">IFERROR(IF(AND(X50="Probabilidad",X51="Probabilidad"),(AG50-(+AG50*AA51)),IF(AND(X50="Impacto",X51="Probabilidad"),(AG49-(+AG49*AA51)),IF(X51="Impacto",AG50,""))),"")</f>
        <v/>
      </c>
      <c r="AF51" s="193" t="str">
        <f t="shared" si="1"/>
        <v/>
      </c>
      <c r="AG51" s="191" t="str">
        <f t="shared" si="57"/>
        <v/>
      </c>
      <c r="AH51" s="193" t="str">
        <f t="shared" si="3"/>
        <v/>
      </c>
      <c r="AI51" s="191" t="str">
        <f t="shared" si="17"/>
        <v/>
      </c>
      <c r="AJ51" s="194" t="str">
        <f>IFERROR(IF(OR(AND(AF51="Muy Baja",AH51="Leve"),AND(AF51="Muy Baja",AH51="Menor"),AND(AF51="Baja",AH51="Leve")),"Bajo",IF(OR(AND(AF51="Muy baja",AH51="Moderado"),AND(AF51="Baja",AH51="Menor"),AND(AF51="Baja",AH51="Moderado"),AND(AF51="Media",AH51="Leve"),AND(AF51="Media",AH51="Menor"),AND(AF51="Media",AH51="Moderado"),AND(AF51="Alta",AH51="Leve"),AND(AF51="Alta",AH51="Menor")),"Moderado",IF(OR(AND(AF51="Muy Baja",AH51="Mayor"),AND(AF51="Baja",AH51="Mayor"),AND(AF51="Media",AH51="Mayor"),AND(AF51="Alta",AH51="Moderado"),AND(AF51="Alta",AH51="Mayor"),AND(AF51="Muy Alta",AH51="Leve"),AND(AF51="Muy Alta",AH51="Menor"),AND(AF51="Muy Alta",AH51="Moderado"),AND(AF51="Muy Alta",AH51="Mayor")),"Alto",IF(OR(AND(AF51="Muy Baja",AH51="Catastrófico"),AND(AF51="Baja",AH51="Catastrófico"),AND(AF51="Media",AH51="Catastrófico"),AND(AF51="Alta",AH51="Catastrófico"),AND(AF51="Muy Alta",AH51="Catastrófico")),"Extremo","")))),"")</f>
        <v/>
      </c>
      <c r="AK51" s="195"/>
      <c r="AL51" s="186"/>
      <c r="AM51" s="196"/>
      <c r="AN51" s="196"/>
      <c r="AO51" s="197"/>
      <c r="AP51" s="376"/>
      <c r="AQ51" s="376"/>
      <c r="AR51" s="376"/>
    </row>
    <row r="52" spans="1:44" x14ac:dyDescent="0.2">
      <c r="A52" s="419"/>
      <c r="B52" s="383"/>
      <c r="C52" s="383"/>
      <c r="D52" s="383"/>
      <c r="E52" s="383"/>
      <c r="F52" s="383"/>
      <c r="G52" s="358"/>
      <c r="H52" s="358"/>
      <c r="I52" s="358"/>
      <c r="J52" s="358"/>
      <c r="K52" s="358"/>
      <c r="L52" s="358"/>
      <c r="M52" s="358"/>
      <c r="N52" s="376"/>
      <c r="O52" s="374"/>
      <c r="P52" s="373"/>
      <c r="Q52" s="349"/>
      <c r="R52" s="373">
        <f>IF(NOT(ISERROR(MATCH(Q52,_xlfn.ANCHORARRAY(E63),0))),P65&amp;"Por favor no seleccionar los criterios de impacto",Q52)</f>
        <v>0</v>
      </c>
      <c r="S52" s="374"/>
      <c r="T52" s="373"/>
      <c r="U52" s="360"/>
      <c r="V52" s="214">
        <v>5</v>
      </c>
      <c r="W52" s="187"/>
      <c r="X52" s="189" t="str">
        <f t="shared" si="61"/>
        <v/>
      </c>
      <c r="Y52" s="190"/>
      <c r="Z52" s="190"/>
      <c r="AA52" s="191" t="str">
        <f t="shared" si="56"/>
        <v/>
      </c>
      <c r="AB52" s="190"/>
      <c r="AC52" s="190"/>
      <c r="AD52" s="190"/>
      <c r="AE52" s="192" t="str">
        <f t="shared" si="62"/>
        <v/>
      </c>
      <c r="AF52" s="193" t="str">
        <f t="shared" si="1"/>
        <v/>
      </c>
      <c r="AG52" s="191" t="str">
        <f t="shared" si="57"/>
        <v/>
      </c>
      <c r="AH52" s="193" t="str">
        <f t="shared" si="3"/>
        <v/>
      </c>
      <c r="AI52" s="191" t="str">
        <f t="shared" si="17"/>
        <v/>
      </c>
      <c r="AJ52" s="194" t="str">
        <f t="shared" ref="AJ52:AJ53" si="63">IFERROR(IF(OR(AND(AF52="Muy Baja",AH52="Leve"),AND(AF52="Muy Baja",AH52="Menor"),AND(AF52="Baja",AH52="Leve")),"Bajo",IF(OR(AND(AF52="Muy baja",AH52="Moderado"),AND(AF52="Baja",AH52="Menor"),AND(AF52="Baja",AH52="Moderado"),AND(AF52="Media",AH52="Leve"),AND(AF52="Media",AH52="Menor"),AND(AF52="Media",AH52="Moderado"),AND(AF52="Alta",AH52="Leve"),AND(AF52="Alta",AH52="Menor")),"Moderado",IF(OR(AND(AF52="Muy Baja",AH52="Mayor"),AND(AF52="Baja",AH52="Mayor"),AND(AF52="Media",AH52="Mayor"),AND(AF52="Alta",AH52="Moderado"),AND(AF52="Alta",AH52="Mayor"),AND(AF52="Muy Alta",AH52="Leve"),AND(AF52="Muy Alta",AH52="Menor"),AND(AF52="Muy Alta",AH52="Moderado"),AND(AF52="Muy Alta",AH52="Mayor")),"Alto",IF(OR(AND(AF52="Muy Baja",AH52="Catastrófico"),AND(AF52="Baja",AH52="Catastrófico"),AND(AF52="Media",AH52="Catastrófico"),AND(AF52="Alta",AH52="Catastrófico"),AND(AF52="Muy Alta",AH52="Catastrófico")),"Extremo","")))),"")</f>
        <v/>
      </c>
      <c r="AK52" s="195"/>
      <c r="AL52" s="186"/>
      <c r="AM52" s="196"/>
      <c r="AN52" s="196"/>
      <c r="AO52" s="197"/>
      <c r="AP52" s="376"/>
      <c r="AQ52" s="376"/>
      <c r="AR52" s="376"/>
    </row>
    <row r="53" spans="1:44" x14ac:dyDescent="0.2">
      <c r="A53" s="419"/>
      <c r="B53" s="383"/>
      <c r="C53" s="383"/>
      <c r="D53" s="383"/>
      <c r="E53" s="383"/>
      <c r="F53" s="383"/>
      <c r="G53" s="369"/>
      <c r="H53" s="369"/>
      <c r="I53" s="369"/>
      <c r="J53" s="369"/>
      <c r="K53" s="369"/>
      <c r="L53" s="369"/>
      <c r="M53" s="369"/>
      <c r="N53" s="376"/>
      <c r="O53" s="374"/>
      <c r="P53" s="373"/>
      <c r="Q53" s="349"/>
      <c r="R53" s="373">
        <f>IF(NOT(ISERROR(MATCH(Q53,_xlfn.ANCHORARRAY(E64),0))),Q66&amp;"Por favor no seleccionar los criterios de impacto",Q53)</f>
        <v>0</v>
      </c>
      <c r="S53" s="374"/>
      <c r="T53" s="373"/>
      <c r="U53" s="360"/>
      <c r="V53" s="214">
        <v>6</v>
      </c>
      <c r="W53" s="187"/>
      <c r="X53" s="189" t="str">
        <f t="shared" si="61"/>
        <v/>
      </c>
      <c r="Y53" s="190"/>
      <c r="Z53" s="190"/>
      <c r="AA53" s="191" t="str">
        <f t="shared" si="56"/>
        <v/>
      </c>
      <c r="AB53" s="190"/>
      <c r="AC53" s="190"/>
      <c r="AD53" s="190"/>
      <c r="AE53" s="192" t="str">
        <f t="shared" si="62"/>
        <v/>
      </c>
      <c r="AF53" s="193" t="str">
        <f t="shared" si="1"/>
        <v/>
      </c>
      <c r="AG53" s="191" t="str">
        <f t="shared" si="57"/>
        <v/>
      </c>
      <c r="AH53" s="193" t="str">
        <f t="shared" si="3"/>
        <v/>
      </c>
      <c r="AI53" s="191" t="str">
        <f t="shared" si="17"/>
        <v/>
      </c>
      <c r="AJ53" s="194" t="str">
        <f t="shared" si="63"/>
        <v/>
      </c>
      <c r="AK53" s="195"/>
      <c r="AL53" s="186"/>
      <c r="AM53" s="196"/>
      <c r="AN53" s="196"/>
      <c r="AO53" s="197"/>
      <c r="AP53" s="376"/>
      <c r="AQ53" s="376"/>
      <c r="AR53" s="376"/>
    </row>
    <row r="54" spans="1:44" x14ac:dyDescent="0.2">
      <c r="A54" s="419">
        <v>9</v>
      </c>
      <c r="B54" s="383"/>
      <c r="C54" s="383"/>
      <c r="D54" s="383"/>
      <c r="E54" s="383"/>
      <c r="F54" s="383"/>
      <c r="G54" s="388"/>
      <c r="H54" s="388"/>
      <c r="I54" s="221"/>
      <c r="J54" s="221"/>
      <c r="K54" s="221"/>
      <c r="L54" s="388"/>
      <c r="M54" s="388"/>
      <c r="N54" s="376"/>
      <c r="O54" s="374" t="str">
        <f>IF(N54&lt;=0,"",IF(N54&lt;=2,"Muy Baja",IF(N54&lt;=24,"Baja",IF(N54&lt;=500,"Media",IF(N54&lt;=5000,"Alta","Muy Alta")))))</f>
        <v/>
      </c>
      <c r="P54" s="373" t="str">
        <f>IF(O54="","",IF(O54="Muy Baja",0.2,IF(O54="Baja",0.4,IF(O54="Media",0.6,IF(O54="Alta",0.8,IF(O54="Muy Alta",1,))))))</f>
        <v/>
      </c>
      <c r="Q54" s="349"/>
      <c r="R54" s="373">
        <f>IF(NOT(ISERROR(MATCH(Q54,'Tabla Impacto'!$B$222:$B$224,0))),'Tabla Impacto'!$F$224&amp;"Por favor no seleccionar los criterios de impacto(Afectación Económica o presupuestal y Pérdida Reputacional)",Q54)</f>
        <v>0</v>
      </c>
      <c r="S54" s="374" t="str">
        <f>IF(OR(R54='Tabla Impacto'!$C$12,R54='Tabla Impacto'!$D$12),"Leve",IF(OR(R54='Tabla Impacto'!$C$13,R54='Tabla Impacto'!$D$13),"Menor",IF(OR(R54='Tabla Impacto'!$C$14,R54='Tabla Impacto'!$D$14),"Moderado",IF(OR(R54='Tabla Impacto'!$C$15,R54='Tabla Impacto'!$D$15),"Mayor",IF(OR(R54='Tabla Impacto'!$C$16,R54='Tabla Impacto'!$D$16),"Catastrófico","")))))</f>
        <v/>
      </c>
      <c r="T54" s="373" t="str">
        <f>IF(S54="","",IF(S54="Leve",0.2,IF(S54="Menor",0.4,IF(S54="Moderado",0.6,IF(S54="Mayor",0.8,IF(S54="Catastrófico",1,))))))</f>
        <v/>
      </c>
      <c r="U54" s="360" t="str">
        <f>IF(OR(AND(O54="Muy Baja",S54="Leve"),AND(O54="Muy Baja",S54="Menor"),AND(O54="Baja",S54="Leve")),"Bajo",IF(OR(AND(O54="Muy baja",S54="Moderado"),AND(O54="Baja",S54="Menor"),AND(O54="Baja",S54="Moderado"),AND(O54="Media",S54="Leve"),AND(O54="Media",S54="Menor"),AND(O54="Media",S54="Moderado"),AND(O54="Alta",S54="Leve"),AND(O54="Alta",S54="Menor")),"Moderado",IF(OR(AND(O54="Muy Baja",S54="Mayor"),AND(O54="Baja",S54="Mayor"),AND(O54="Media",S54="Mayor"),AND(O54="Alta",S54="Moderado"),AND(O54="Alta",S54="Mayor"),AND(O54="Muy Alta",S54="Leve"),AND(O54="Muy Alta",S54="Menor"),AND(O54="Muy Alta",S54="Moderado"),AND(O54="Muy Alta",S54="Mayor")),"Alto",IF(OR(AND(O54="Muy Baja",S54="Catastrófico"),AND(O54="Baja",S54="Catastrófico"),AND(O54="Media",S54="Catastrófico"),AND(O54="Alta",S54="Catastrófico"),AND(O54="Muy Alta",S54="Catastrófico")),"Extremo",""))))</f>
        <v/>
      </c>
      <c r="V54" s="214">
        <v>1</v>
      </c>
      <c r="W54" s="187"/>
      <c r="X54" s="189" t="str">
        <f>IF(OR(Y54="Preventivo",Y54="Detectivo"),"Probabilidad",IF(Y54="Correctivo","Impacto",""))</f>
        <v/>
      </c>
      <c r="Y54" s="190"/>
      <c r="Z54" s="190"/>
      <c r="AA54" s="191" t="str">
        <f>IF(AND(Y54="Preventivo",Z54="Automático"),"50%",IF(AND(Y54="Preventivo",Z54="Manual"),"40%",IF(AND(Y54="Detectivo",Z54="Automático"),"40%",IF(AND(Y54="Detectivo",Z54="Manual"),"30%",IF(AND(Y54="Correctivo",Z54="Automático"),"35%",IF(AND(Y54="Correctivo",Z54="Manual"),"25%",""))))))</f>
        <v/>
      </c>
      <c r="AB54" s="190"/>
      <c r="AC54" s="190"/>
      <c r="AD54" s="190"/>
      <c r="AE54" s="192" t="str">
        <f>IFERROR(IF(X54="Probabilidad",(P54-(+P54*AA54)),IF(X54="Impacto",P54,"")),"")</f>
        <v/>
      </c>
      <c r="AF54" s="193" t="str">
        <f>IFERROR(IF(AE54="","",IF(AE54&lt;=0.2,"Muy Baja",IF(AE54&lt;=0.4,"Baja",IF(AE54&lt;=0.6,"Media",IF(AE54&lt;=0.8,"Alta","Muy Alta"))))),"")</f>
        <v/>
      </c>
      <c r="AG54" s="191" t="str">
        <f>+AE54</f>
        <v/>
      </c>
      <c r="AH54" s="193" t="str">
        <f>IFERROR(IF(AI54="","",IF(AI54&lt;=0.2,"Leve",IF(AI54&lt;=0.4,"Menor",IF(AI54&lt;=0.6,"Moderado",IF(AI54&lt;=0.8,"Mayor","Catastrófico"))))),"")</f>
        <v/>
      </c>
      <c r="AI54" s="191" t="str">
        <f t="shared" ref="AI54" si="64">IFERROR(IF(X54="Impacto",(T54-(+T54*AA54)),IF(X54="Probabilidad",T54,"")),"")</f>
        <v/>
      </c>
      <c r="AJ54" s="194" t="str">
        <f>IFERROR(IF(OR(AND(AF54="Muy Baja",AH54="Leve"),AND(AF54="Muy Baja",AH54="Menor"),AND(AF54="Baja",AH54="Leve")),"Bajo",IF(OR(AND(AF54="Muy baja",AH54="Moderado"),AND(AF54="Baja",AH54="Menor"),AND(AF54="Baja",AH54="Moderado"),AND(AF54="Media",AH54="Leve"),AND(AF54="Media",AH54="Menor"),AND(AF54="Media",AH54="Moderado"),AND(AF54="Alta",AH54="Leve"),AND(AF54="Alta",AH54="Menor")),"Moderado",IF(OR(AND(AF54="Muy Baja",AH54="Mayor"),AND(AF54="Baja",AH54="Mayor"),AND(AF54="Media",AH54="Mayor"),AND(AF54="Alta",AH54="Moderado"),AND(AF54="Alta",AH54="Mayor"),AND(AF54="Muy Alta",AH54="Leve"),AND(AF54="Muy Alta",AH54="Menor"),AND(AF54="Muy Alta",AH54="Moderado"),AND(AF54="Muy Alta",AH54="Mayor")),"Alto",IF(OR(AND(AF54="Muy Baja",AH54="Catastrófico"),AND(AF54="Baja",AH54="Catastrófico"),AND(AF54="Media",AH54="Catastrófico"),AND(AF54="Alta",AH54="Catastrófico"),AND(AF54="Muy Alta",AH54="Catastrófico")),"Extremo","")))),"")</f>
        <v/>
      </c>
      <c r="AK54" s="195"/>
      <c r="AL54" s="186"/>
      <c r="AM54" s="196"/>
      <c r="AN54" s="196"/>
      <c r="AO54" s="197"/>
      <c r="AP54" s="376"/>
      <c r="AQ54" s="376"/>
      <c r="AR54" s="376"/>
    </row>
    <row r="55" spans="1:44" x14ac:dyDescent="0.2">
      <c r="A55" s="419"/>
      <c r="B55" s="383"/>
      <c r="C55" s="383"/>
      <c r="D55" s="383"/>
      <c r="E55" s="383"/>
      <c r="F55" s="383"/>
      <c r="G55" s="358"/>
      <c r="H55" s="358"/>
      <c r="I55" s="222"/>
      <c r="J55" s="222"/>
      <c r="K55" s="222"/>
      <c r="L55" s="358"/>
      <c r="M55" s="358"/>
      <c r="N55" s="376"/>
      <c r="O55" s="374"/>
      <c r="P55" s="373"/>
      <c r="Q55" s="349"/>
      <c r="R55" s="373">
        <f>IF(NOT(ISERROR(MATCH(Q55,_xlfn.ANCHORARRAY(F66),0))),Q68&amp;"Por favor no seleccionar los criterios de impacto",Q55)</f>
        <v>0</v>
      </c>
      <c r="S55" s="374"/>
      <c r="T55" s="373"/>
      <c r="U55" s="360"/>
      <c r="V55" s="214">
        <v>2</v>
      </c>
      <c r="W55" s="187"/>
      <c r="X55" s="189" t="str">
        <f>IF(OR(Y55="Preventivo",Y55="Detectivo"),"Probabilidad",IF(Y55="Correctivo","Impacto",""))</f>
        <v/>
      </c>
      <c r="Y55" s="190"/>
      <c r="Z55" s="190"/>
      <c r="AA55" s="191" t="str">
        <f t="shared" ref="AA55:AA59" si="65">IF(AND(Y55="Preventivo",Z55="Automático"),"50%",IF(AND(Y55="Preventivo",Z55="Manual"),"40%",IF(AND(Y55="Detectivo",Z55="Automático"),"40%",IF(AND(Y55="Detectivo",Z55="Manual"),"30%",IF(AND(Y55="Correctivo",Z55="Automático"),"35%",IF(AND(Y55="Correctivo",Z55="Manual"),"25%",""))))))</f>
        <v/>
      </c>
      <c r="AB55" s="190"/>
      <c r="AC55" s="190"/>
      <c r="AD55" s="190"/>
      <c r="AE55" s="192" t="str">
        <f>IFERROR(IF(AND(X54="Probabilidad",X55="Probabilidad"),(AG54-(+AG54*AA55)),IF(X55="Probabilidad",(P54-(+P54*AA55)),IF(X55="Impacto",AG54,""))),"")</f>
        <v/>
      </c>
      <c r="AF55" s="193" t="str">
        <f t="shared" si="1"/>
        <v/>
      </c>
      <c r="AG55" s="191" t="str">
        <f t="shared" ref="AG55:AG59" si="66">+AE55</f>
        <v/>
      </c>
      <c r="AH55" s="193" t="str">
        <f t="shared" si="3"/>
        <v/>
      </c>
      <c r="AI55" s="191" t="str">
        <f t="shared" ref="AI55" si="67">IFERROR(IF(AND(X54="Impacto",X55="Impacto"),(AI54-(+AI54*AA55)),IF(X55="Impacto",($T$13-(+$T$13*AA55)),IF(X55="Probabilidad",AI54,""))),"")</f>
        <v/>
      </c>
      <c r="AJ55" s="194" t="str">
        <f t="shared" ref="AJ55:AJ56" si="68">IFERROR(IF(OR(AND(AF55="Muy Baja",AH55="Leve"),AND(AF55="Muy Baja",AH55="Menor"),AND(AF55="Baja",AH55="Leve")),"Bajo",IF(OR(AND(AF55="Muy baja",AH55="Moderado"),AND(AF55="Baja",AH55="Menor"),AND(AF55="Baja",AH55="Moderado"),AND(AF55="Media",AH55="Leve"),AND(AF55="Media",AH55="Menor"),AND(AF55="Media",AH55="Moderado"),AND(AF55="Alta",AH55="Leve"),AND(AF55="Alta",AH55="Menor")),"Moderado",IF(OR(AND(AF55="Muy Baja",AH55="Mayor"),AND(AF55="Baja",AH55="Mayor"),AND(AF55="Media",AH55="Mayor"),AND(AF55="Alta",AH55="Moderado"),AND(AF55="Alta",AH55="Mayor"),AND(AF55="Muy Alta",AH55="Leve"),AND(AF55="Muy Alta",AH55="Menor"),AND(AF55="Muy Alta",AH55="Moderado"),AND(AF55="Muy Alta",AH55="Mayor")),"Alto",IF(OR(AND(AF55="Muy Baja",AH55="Catastrófico"),AND(AF55="Baja",AH55="Catastrófico"),AND(AF55="Media",AH55="Catastrófico"),AND(AF55="Alta",AH55="Catastrófico"),AND(AF55="Muy Alta",AH55="Catastrófico")),"Extremo","")))),"")</f>
        <v/>
      </c>
      <c r="AK55" s="195"/>
      <c r="AL55" s="186"/>
      <c r="AM55" s="196"/>
      <c r="AN55" s="196"/>
      <c r="AO55" s="197"/>
      <c r="AP55" s="376"/>
      <c r="AQ55" s="376"/>
      <c r="AR55" s="376"/>
    </row>
    <row r="56" spans="1:44" x14ac:dyDescent="0.2">
      <c r="A56" s="419"/>
      <c r="B56" s="383"/>
      <c r="C56" s="383"/>
      <c r="D56" s="383"/>
      <c r="E56" s="383"/>
      <c r="F56" s="383"/>
      <c r="G56" s="358"/>
      <c r="H56" s="358"/>
      <c r="I56" s="222"/>
      <c r="J56" s="222"/>
      <c r="K56" s="222"/>
      <c r="L56" s="358"/>
      <c r="M56" s="358"/>
      <c r="N56" s="376"/>
      <c r="O56" s="374"/>
      <c r="P56" s="373"/>
      <c r="Q56" s="349"/>
      <c r="R56" s="373">
        <f>IF(NOT(ISERROR(MATCH(Q56,_xlfn.ANCHORARRAY(F67),0))),Q69&amp;"Por favor no seleccionar los criterios de impacto",Q56)</f>
        <v>0</v>
      </c>
      <c r="S56" s="374"/>
      <c r="T56" s="373"/>
      <c r="U56" s="360"/>
      <c r="V56" s="214">
        <v>3</v>
      </c>
      <c r="W56" s="187"/>
      <c r="X56" s="189" t="str">
        <f>IF(OR(Y56="Preventivo",Y56="Detectivo"),"Probabilidad",IF(Y56="Correctivo","Impacto",""))</f>
        <v/>
      </c>
      <c r="Y56" s="190"/>
      <c r="Z56" s="190"/>
      <c r="AA56" s="191" t="str">
        <f t="shared" si="65"/>
        <v/>
      </c>
      <c r="AB56" s="190"/>
      <c r="AC56" s="190"/>
      <c r="AD56" s="190"/>
      <c r="AE56" s="192" t="str">
        <f>IFERROR(IF(AND(X55="Probabilidad",X56="Probabilidad"),(AG55-(+AG55*AA56)),IF(AND(X55="Impacto",X56="Probabilidad"),(AG54-(+AG54*AA56)),IF(X56="Impacto",AG55,""))),"")</f>
        <v/>
      </c>
      <c r="AF56" s="193" t="str">
        <f t="shared" si="1"/>
        <v/>
      </c>
      <c r="AG56" s="191" t="str">
        <f t="shared" si="66"/>
        <v/>
      </c>
      <c r="AH56" s="193" t="str">
        <f t="shared" si="3"/>
        <v/>
      </c>
      <c r="AI56" s="191" t="str">
        <f t="shared" ref="AI56" si="69">IFERROR(IF(AND(X55="Impacto",X56="Impacto"),(AI55-(+AI55*AA56)),IF(AND(X55="Probabilidad",X56="Impacto"),(AI54-(+AI54*AA56)),IF(X56="Probabilidad",AI55,""))),"")</f>
        <v/>
      </c>
      <c r="AJ56" s="194" t="str">
        <f t="shared" si="68"/>
        <v/>
      </c>
      <c r="AK56" s="195"/>
      <c r="AL56" s="186"/>
      <c r="AM56" s="196"/>
      <c r="AN56" s="196"/>
      <c r="AO56" s="197"/>
      <c r="AP56" s="376"/>
      <c r="AQ56" s="376"/>
      <c r="AR56" s="376"/>
    </row>
    <row r="57" spans="1:44" x14ac:dyDescent="0.2">
      <c r="A57" s="419"/>
      <c r="B57" s="383"/>
      <c r="C57" s="383"/>
      <c r="D57" s="383"/>
      <c r="E57" s="383"/>
      <c r="F57" s="383"/>
      <c r="G57" s="358"/>
      <c r="H57" s="358"/>
      <c r="I57" s="222"/>
      <c r="J57" s="222"/>
      <c r="K57" s="222"/>
      <c r="L57" s="358"/>
      <c r="M57" s="358"/>
      <c r="N57" s="376"/>
      <c r="O57" s="374"/>
      <c r="P57" s="373"/>
      <c r="Q57" s="349"/>
      <c r="R57" s="373">
        <f>IF(NOT(ISERROR(MATCH(Q57,_xlfn.ANCHORARRAY(F68),0))),Q70&amp;"Por favor no seleccionar los criterios de impacto",Q57)</f>
        <v>0</v>
      </c>
      <c r="S57" s="374"/>
      <c r="T57" s="373"/>
      <c r="U57" s="360"/>
      <c r="V57" s="214">
        <v>4</v>
      </c>
      <c r="W57" s="187"/>
      <c r="X57" s="189" t="str">
        <f t="shared" ref="X57:X59" si="70">IF(OR(Y57="Preventivo",Y57="Detectivo"),"Probabilidad",IF(Y57="Correctivo","Impacto",""))</f>
        <v/>
      </c>
      <c r="Y57" s="190"/>
      <c r="Z57" s="190"/>
      <c r="AA57" s="191" t="str">
        <f t="shared" si="65"/>
        <v/>
      </c>
      <c r="AB57" s="190"/>
      <c r="AC57" s="190"/>
      <c r="AD57" s="190"/>
      <c r="AE57" s="192" t="str">
        <f t="shared" ref="AE57:AE59" si="71">IFERROR(IF(AND(X56="Probabilidad",X57="Probabilidad"),(AG56-(+AG56*AA57)),IF(AND(X56="Impacto",X57="Probabilidad"),(AG55-(+AG55*AA57)),IF(X57="Impacto",AG56,""))),"")</f>
        <v/>
      </c>
      <c r="AF57" s="193" t="str">
        <f t="shared" si="1"/>
        <v/>
      </c>
      <c r="AG57" s="191" t="str">
        <f t="shared" si="66"/>
        <v/>
      </c>
      <c r="AH57" s="193" t="str">
        <f t="shared" si="3"/>
        <v/>
      </c>
      <c r="AI57" s="191" t="str">
        <f t="shared" si="17"/>
        <v/>
      </c>
      <c r="AJ57" s="194" t="str">
        <f>IFERROR(IF(OR(AND(AF57="Muy Baja",AH57="Leve"),AND(AF57="Muy Baja",AH57="Menor"),AND(AF57="Baja",AH57="Leve")),"Bajo",IF(OR(AND(AF57="Muy baja",AH57="Moderado"),AND(AF57="Baja",AH57="Menor"),AND(AF57="Baja",AH57="Moderado"),AND(AF57="Media",AH57="Leve"),AND(AF57="Media",AH57="Menor"),AND(AF57="Media",AH57="Moderado"),AND(AF57="Alta",AH57="Leve"),AND(AF57="Alta",AH57="Menor")),"Moderado",IF(OR(AND(AF57="Muy Baja",AH57="Mayor"),AND(AF57="Baja",AH57="Mayor"),AND(AF57="Media",AH57="Mayor"),AND(AF57="Alta",AH57="Moderado"),AND(AF57="Alta",AH57="Mayor"),AND(AF57="Muy Alta",AH57="Leve"),AND(AF57="Muy Alta",AH57="Menor"),AND(AF57="Muy Alta",AH57="Moderado"),AND(AF57="Muy Alta",AH57="Mayor")),"Alto",IF(OR(AND(AF57="Muy Baja",AH57="Catastrófico"),AND(AF57="Baja",AH57="Catastrófico"),AND(AF57="Media",AH57="Catastrófico"),AND(AF57="Alta",AH57="Catastrófico"),AND(AF57="Muy Alta",AH57="Catastrófico")),"Extremo","")))),"")</f>
        <v/>
      </c>
      <c r="AK57" s="195"/>
      <c r="AL57" s="186"/>
      <c r="AM57" s="196"/>
      <c r="AN57" s="196"/>
      <c r="AO57" s="197"/>
      <c r="AP57" s="376"/>
      <c r="AQ57" s="376"/>
      <c r="AR57" s="376"/>
    </row>
    <row r="58" spans="1:44" x14ac:dyDescent="0.2">
      <c r="A58" s="419"/>
      <c r="B58" s="383"/>
      <c r="C58" s="383"/>
      <c r="D58" s="383"/>
      <c r="E58" s="383"/>
      <c r="F58" s="383"/>
      <c r="G58" s="358"/>
      <c r="H58" s="358"/>
      <c r="I58" s="222"/>
      <c r="J58" s="222"/>
      <c r="K58" s="222"/>
      <c r="L58" s="358"/>
      <c r="M58" s="358"/>
      <c r="N58" s="376"/>
      <c r="O58" s="374"/>
      <c r="P58" s="373"/>
      <c r="Q58" s="349"/>
      <c r="R58" s="373">
        <f>IF(NOT(ISERROR(MATCH(Q58,_xlfn.ANCHORARRAY(F69),0))),Q71&amp;"Por favor no seleccionar los criterios de impacto",Q58)</f>
        <v>0</v>
      </c>
      <c r="S58" s="374"/>
      <c r="T58" s="373"/>
      <c r="U58" s="360"/>
      <c r="V58" s="214">
        <v>5</v>
      </c>
      <c r="W58" s="187"/>
      <c r="X58" s="189" t="str">
        <f t="shared" si="70"/>
        <v/>
      </c>
      <c r="Y58" s="190"/>
      <c r="Z58" s="190"/>
      <c r="AA58" s="191" t="str">
        <f t="shared" si="65"/>
        <v/>
      </c>
      <c r="AB58" s="190"/>
      <c r="AC58" s="190"/>
      <c r="AD58" s="190"/>
      <c r="AE58" s="192" t="str">
        <f t="shared" si="71"/>
        <v/>
      </c>
      <c r="AF58" s="193" t="str">
        <f t="shared" si="1"/>
        <v/>
      </c>
      <c r="AG58" s="191" t="str">
        <f t="shared" si="66"/>
        <v/>
      </c>
      <c r="AH58" s="193" t="str">
        <f t="shared" si="3"/>
        <v/>
      </c>
      <c r="AI58" s="191" t="str">
        <f t="shared" si="17"/>
        <v/>
      </c>
      <c r="AJ58" s="194" t="str">
        <f t="shared" ref="AJ58:AJ59" si="72">IFERROR(IF(OR(AND(AF58="Muy Baja",AH58="Leve"),AND(AF58="Muy Baja",AH58="Menor"),AND(AF58="Baja",AH58="Leve")),"Bajo",IF(OR(AND(AF58="Muy baja",AH58="Moderado"),AND(AF58="Baja",AH58="Menor"),AND(AF58="Baja",AH58="Moderado"),AND(AF58="Media",AH58="Leve"),AND(AF58="Media",AH58="Menor"),AND(AF58="Media",AH58="Moderado"),AND(AF58="Alta",AH58="Leve"),AND(AF58="Alta",AH58="Menor")),"Moderado",IF(OR(AND(AF58="Muy Baja",AH58="Mayor"),AND(AF58="Baja",AH58="Mayor"),AND(AF58="Media",AH58="Mayor"),AND(AF58="Alta",AH58="Moderado"),AND(AF58="Alta",AH58="Mayor"),AND(AF58="Muy Alta",AH58="Leve"),AND(AF58="Muy Alta",AH58="Menor"),AND(AF58="Muy Alta",AH58="Moderado"),AND(AF58="Muy Alta",AH58="Mayor")),"Alto",IF(OR(AND(AF58="Muy Baja",AH58="Catastrófico"),AND(AF58="Baja",AH58="Catastrófico"),AND(AF58="Media",AH58="Catastrófico"),AND(AF58="Alta",AH58="Catastrófico"),AND(AF58="Muy Alta",AH58="Catastrófico")),"Extremo","")))),"")</f>
        <v/>
      </c>
      <c r="AK58" s="195"/>
      <c r="AL58" s="186"/>
      <c r="AM58" s="196"/>
      <c r="AN58" s="196"/>
      <c r="AO58" s="197"/>
      <c r="AP58" s="376"/>
      <c r="AQ58" s="376"/>
      <c r="AR58" s="376"/>
    </row>
    <row r="59" spans="1:44" x14ac:dyDescent="0.2">
      <c r="A59" s="419"/>
      <c r="B59" s="383"/>
      <c r="C59" s="383"/>
      <c r="D59" s="383"/>
      <c r="E59" s="383"/>
      <c r="F59" s="383"/>
      <c r="G59" s="369"/>
      <c r="H59" s="369"/>
      <c r="I59" s="223"/>
      <c r="J59" s="223"/>
      <c r="K59" s="223"/>
      <c r="L59" s="369"/>
      <c r="M59" s="369"/>
      <c r="N59" s="376"/>
      <c r="O59" s="374"/>
      <c r="P59" s="373"/>
      <c r="Q59" s="349"/>
      <c r="R59" s="373">
        <f>IF(NOT(ISERROR(MATCH(Q59,_xlfn.ANCHORARRAY(F70),0))),Q72&amp;"Por favor no seleccionar los criterios de impacto",Q59)</f>
        <v>0</v>
      </c>
      <c r="S59" s="374"/>
      <c r="T59" s="373"/>
      <c r="U59" s="360"/>
      <c r="V59" s="214">
        <v>6</v>
      </c>
      <c r="W59" s="187"/>
      <c r="X59" s="189" t="str">
        <f t="shared" si="70"/>
        <v/>
      </c>
      <c r="Y59" s="190"/>
      <c r="Z59" s="190"/>
      <c r="AA59" s="191" t="str">
        <f t="shared" si="65"/>
        <v/>
      </c>
      <c r="AB59" s="190"/>
      <c r="AC59" s="190"/>
      <c r="AD59" s="190"/>
      <c r="AE59" s="192" t="str">
        <f t="shared" si="71"/>
        <v/>
      </c>
      <c r="AF59" s="193" t="str">
        <f t="shared" si="1"/>
        <v/>
      </c>
      <c r="AG59" s="191" t="str">
        <f t="shared" si="66"/>
        <v/>
      </c>
      <c r="AH59" s="193" t="str">
        <f t="shared" si="3"/>
        <v/>
      </c>
      <c r="AI59" s="191" t="str">
        <f t="shared" si="17"/>
        <v/>
      </c>
      <c r="AJ59" s="194" t="str">
        <f t="shared" si="72"/>
        <v/>
      </c>
      <c r="AK59" s="195"/>
      <c r="AL59" s="186"/>
      <c r="AM59" s="196"/>
      <c r="AN59" s="196"/>
      <c r="AO59" s="197"/>
      <c r="AP59" s="376"/>
      <c r="AQ59" s="376"/>
      <c r="AR59" s="376"/>
    </row>
    <row r="60" spans="1:44" x14ac:dyDescent="0.2">
      <c r="A60" s="419">
        <v>10</v>
      </c>
      <c r="B60" s="383"/>
      <c r="C60" s="383"/>
      <c r="D60" s="383"/>
      <c r="E60" s="383"/>
      <c r="F60" s="383"/>
      <c r="G60" s="388"/>
      <c r="H60" s="388"/>
      <c r="I60" s="221"/>
      <c r="J60" s="221"/>
      <c r="K60" s="221"/>
      <c r="L60" s="388"/>
      <c r="M60" s="388"/>
      <c r="N60" s="376"/>
      <c r="O60" s="374" t="str">
        <f>IF(N60&lt;=0,"",IF(N60&lt;=2,"Muy Baja",IF(N60&lt;=24,"Baja",IF(N60&lt;=500,"Media",IF(N60&lt;=5000,"Alta","Muy Alta")))))</f>
        <v/>
      </c>
      <c r="P60" s="373" t="str">
        <f>IF(O60="","",IF(O60="Muy Baja",0.2,IF(O60="Baja",0.4,IF(O60="Media",0.6,IF(O60="Alta",0.8,IF(O60="Muy Alta",1,))))))</f>
        <v/>
      </c>
      <c r="Q60" s="349"/>
      <c r="R60" s="373">
        <f>IF(NOT(ISERROR(MATCH(Q60,'Tabla Impacto'!$B$222:$B$224,0))),'Tabla Impacto'!$F$224&amp;"Por favor no seleccionar los criterios de impacto(Afectación Económica o presupuestal y Pérdida Reputacional)",Q60)</f>
        <v>0</v>
      </c>
      <c r="S60" s="374" t="str">
        <f>IF(OR(R60='Tabla Impacto'!$C$12,R60='Tabla Impacto'!$D$12),"Leve",IF(OR(R60='Tabla Impacto'!$C$13,R60='Tabla Impacto'!$D$13),"Menor",IF(OR(R60='Tabla Impacto'!$C$14,R60='Tabla Impacto'!$D$14),"Moderado",IF(OR(R60='Tabla Impacto'!$C$15,R60='Tabla Impacto'!$D$15),"Mayor",IF(OR(R60='Tabla Impacto'!$C$16,R60='Tabla Impacto'!$D$16),"Catastrófico","")))))</f>
        <v/>
      </c>
      <c r="T60" s="373" t="str">
        <f>IF(S60="","",IF(S60="Leve",0.2,IF(S60="Menor",0.4,IF(S60="Moderado",0.6,IF(S60="Mayor",0.8,IF(S60="Catastrófico",1,))))))</f>
        <v/>
      </c>
      <c r="U60" s="360" t="str">
        <f>IF(OR(AND(O60="Muy Baja",S60="Leve"),AND(O60="Muy Baja",S60="Menor"),AND(O60="Baja",S60="Leve")),"Bajo",IF(OR(AND(O60="Muy baja",S60="Moderado"),AND(O60="Baja",S60="Menor"),AND(O60="Baja",S60="Moderado"),AND(O60="Media",S60="Leve"),AND(O60="Media",S60="Menor"),AND(O60="Media",S60="Moderado"),AND(O60="Alta",S60="Leve"),AND(O60="Alta",S60="Menor")),"Moderado",IF(OR(AND(O60="Muy Baja",S60="Mayor"),AND(O60="Baja",S60="Mayor"),AND(O60="Media",S60="Mayor"),AND(O60="Alta",S60="Moderado"),AND(O60="Alta",S60="Mayor"),AND(O60="Muy Alta",S60="Leve"),AND(O60="Muy Alta",S60="Menor"),AND(O60="Muy Alta",S60="Moderado"),AND(O60="Muy Alta",S60="Mayor")),"Alto",IF(OR(AND(O60="Muy Baja",S60="Catastrófico"),AND(O60="Baja",S60="Catastrófico"),AND(O60="Media",S60="Catastrófico"),AND(O60="Alta",S60="Catastrófico"),AND(O60="Muy Alta",S60="Catastrófico")),"Extremo",""))))</f>
        <v/>
      </c>
      <c r="V60" s="214">
        <v>1</v>
      </c>
      <c r="W60" s="187"/>
      <c r="X60" s="189" t="str">
        <f>IF(OR(Y60="Preventivo",Y60="Detectivo"),"Probabilidad",IF(Y60="Correctivo","Impacto",""))</f>
        <v/>
      </c>
      <c r="Y60" s="190"/>
      <c r="Z60" s="190"/>
      <c r="AA60" s="191" t="str">
        <f>IF(AND(Y60="Preventivo",Z60="Automático"),"50%",IF(AND(Y60="Preventivo",Z60="Manual"),"40%",IF(AND(Y60="Detectivo",Z60="Automático"),"40%",IF(AND(Y60="Detectivo",Z60="Manual"),"30%",IF(AND(Y60="Correctivo",Z60="Automático"),"35%",IF(AND(Y60="Correctivo",Z60="Manual"),"25%",""))))))</f>
        <v/>
      </c>
      <c r="AB60" s="190"/>
      <c r="AC60" s="190"/>
      <c r="AD60" s="190"/>
      <c r="AE60" s="192" t="str">
        <f>IFERROR(IF(X60="Probabilidad",(P60-(+P60*AA60)),IF(X60="Impacto",P60,"")),"")</f>
        <v/>
      </c>
      <c r="AF60" s="193" t="str">
        <f>IFERROR(IF(AE60="","",IF(AE60&lt;=0.2,"Muy Baja",IF(AE60&lt;=0.4,"Baja",IF(AE60&lt;=0.6,"Media",IF(AE60&lt;=0.8,"Alta","Muy Alta"))))),"")</f>
        <v/>
      </c>
      <c r="AG60" s="191" t="str">
        <f>+AE60</f>
        <v/>
      </c>
      <c r="AH60" s="193" t="str">
        <f>IFERROR(IF(AI60="","",IF(AI60&lt;=0.2,"Leve",IF(AI60&lt;=0.4,"Menor",IF(AI60&lt;=0.6,"Moderado",IF(AI60&lt;=0.8,"Mayor","Catastrófico"))))),"")</f>
        <v/>
      </c>
      <c r="AI60" s="191" t="str">
        <f t="shared" ref="AI60" si="73">IFERROR(IF(X60="Impacto",(T60-(+T60*AA60)),IF(X60="Probabilidad",T60,"")),"")</f>
        <v/>
      </c>
      <c r="AJ60" s="194" t="str">
        <f>IFERROR(IF(OR(AND(AF60="Muy Baja",AH60="Leve"),AND(AF60="Muy Baja",AH60="Menor"),AND(AF60="Baja",AH60="Leve")),"Bajo",IF(OR(AND(AF60="Muy baja",AH60="Moderado"),AND(AF60="Baja",AH60="Menor"),AND(AF60="Baja",AH60="Moderado"),AND(AF60="Media",AH60="Leve"),AND(AF60="Media",AH60="Menor"),AND(AF60="Media",AH60="Moderado"),AND(AF60="Alta",AH60="Leve"),AND(AF60="Alta",AH60="Menor")),"Moderado",IF(OR(AND(AF60="Muy Baja",AH60="Mayor"),AND(AF60="Baja",AH60="Mayor"),AND(AF60="Media",AH60="Mayor"),AND(AF60="Alta",AH60="Moderado"),AND(AF60="Alta",AH60="Mayor"),AND(AF60="Muy Alta",AH60="Leve"),AND(AF60="Muy Alta",AH60="Menor"),AND(AF60="Muy Alta",AH60="Moderado"),AND(AF60="Muy Alta",AH60="Mayor")),"Alto",IF(OR(AND(AF60="Muy Baja",AH60="Catastrófico"),AND(AF60="Baja",AH60="Catastrófico"),AND(AF60="Media",AH60="Catastrófico"),AND(AF60="Alta",AH60="Catastrófico"),AND(AF60="Muy Alta",AH60="Catastrófico")),"Extremo","")))),"")</f>
        <v/>
      </c>
      <c r="AK60" s="195"/>
      <c r="AL60" s="186"/>
      <c r="AM60" s="196"/>
      <c r="AN60" s="196"/>
      <c r="AO60" s="197"/>
      <c r="AP60" s="376"/>
      <c r="AQ60" s="376"/>
      <c r="AR60" s="376"/>
    </row>
    <row r="61" spans="1:44" x14ac:dyDescent="0.2">
      <c r="A61" s="419"/>
      <c r="B61" s="383"/>
      <c r="C61" s="383"/>
      <c r="D61" s="383"/>
      <c r="E61" s="383"/>
      <c r="F61" s="383"/>
      <c r="G61" s="358"/>
      <c r="H61" s="358"/>
      <c r="I61" s="222"/>
      <c r="J61" s="222"/>
      <c r="K61" s="222"/>
      <c r="L61" s="358"/>
      <c r="M61" s="358"/>
      <c r="N61" s="376"/>
      <c r="O61" s="374"/>
      <c r="P61" s="373"/>
      <c r="Q61" s="349"/>
      <c r="R61" s="373">
        <f>IF(NOT(ISERROR(MATCH(Q61,_xlfn.ANCHORARRAY(F72),0))),Q74&amp;"Por favor no seleccionar los criterios de impacto",Q61)</f>
        <v>0</v>
      </c>
      <c r="S61" s="374"/>
      <c r="T61" s="373"/>
      <c r="U61" s="360"/>
      <c r="V61" s="214">
        <v>2</v>
      </c>
      <c r="W61" s="187"/>
      <c r="X61" s="189" t="str">
        <f>IF(OR(Y61="Preventivo",Y61="Detectivo"),"Probabilidad",IF(Y61="Correctivo","Impacto",""))</f>
        <v/>
      </c>
      <c r="Y61" s="190"/>
      <c r="Z61" s="190"/>
      <c r="AA61" s="191" t="str">
        <f t="shared" ref="AA61:AA65" si="74">IF(AND(Y61="Preventivo",Z61="Automático"),"50%",IF(AND(Y61="Preventivo",Z61="Manual"),"40%",IF(AND(Y61="Detectivo",Z61="Automático"),"40%",IF(AND(Y61="Detectivo",Z61="Manual"),"30%",IF(AND(Y61="Correctivo",Z61="Automático"),"35%",IF(AND(Y61="Correctivo",Z61="Manual"),"25%",""))))))</f>
        <v/>
      </c>
      <c r="AB61" s="190"/>
      <c r="AC61" s="190"/>
      <c r="AD61" s="190"/>
      <c r="AE61" s="192" t="str">
        <f>IFERROR(IF(AND(X60="Probabilidad",X61="Probabilidad"),(AG60-(+AG60*AA61)),IF(X61="Probabilidad",(P60-(+P60*AA61)),IF(X61="Impacto",AG60,""))),"")</f>
        <v/>
      </c>
      <c r="AF61" s="193" t="str">
        <f t="shared" si="1"/>
        <v/>
      </c>
      <c r="AG61" s="191" t="str">
        <f t="shared" ref="AG61:AG65" si="75">+AE61</f>
        <v/>
      </c>
      <c r="AH61" s="193" t="str">
        <f t="shared" si="3"/>
        <v/>
      </c>
      <c r="AI61" s="191" t="str">
        <f t="shared" ref="AI61" si="76">IFERROR(IF(AND(X60="Impacto",X61="Impacto"),(AI60-(+AI60*AA61)),IF(X61="Impacto",($T$13-(+$T$13*AA61)),IF(X61="Probabilidad",AI60,""))),"")</f>
        <v/>
      </c>
      <c r="AJ61" s="194" t="str">
        <f t="shared" ref="AJ61:AJ62" si="77">IFERROR(IF(OR(AND(AF61="Muy Baja",AH61="Leve"),AND(AF61="Muy Baja",AH61="Menor"),AND(AF61="Baja",AH61="Leve")),"Bajo",IF(OR(AND(AF61="Muy baja",AH61="Moderado"),AND(AF61="Baja",AH61="Menor"),AND(AF61="Baja",AH61="Moderado"),AND(AF61="Media",AH61="Leve"),AND(AF61="Media",AH61="Menor"),AND(AF61="Media",AH61="Moderado"),AND(AF61="Alta",AH61="Leve"),AND(AF61="Alta",AH61="Menor")),"Moderado",IF(OR(AND(AF61="Muy Baja",AH61="Mayor"),AND(AF61="Baja",AH61="Mayor"),AND(AF61="Media",AH61="Mayor"),AND(AF61="Alta",AH61="Moderado"),AND(AF61="Alta",AH61="Mayor"),AND(AF61="Muy Alta",AH61="Leve"),AND(AF61="Muy Alta",AH61="Menor"),AND(AF61="Muy Alta",AH61="Moderado"),AND(AF61="Muy Alta",AH61="Mayor")),"Alto",IF(OR(AND(AF61="Muy Baja",AH61="Catastrófico"),AND(AF61="Baja",AH61="Catastrófico"),AND(AF61="Media",AH61="Catastrófico"),AND(AF61="Alta",AH61="Catastrófico"),AND(AF61="Muy Alta",AH61="Catastrófico")),"Extremo","")))),"")</f>
        <v/>
      </c>
      <c r="AK61" s="195"/>
      <c r="AL61" s="186"/>
      <c r="AM61" s="196"/>
      <c r="AN61" s="196"/>
      <c r="AO61" s="197"/>
      <c r="AP61" s="376"/>
      <c r="AQ61" s="376"/>
      <c r="AR61" s="376"/>
    </row>
    <row r="62" spans="1:44" x14ac:dyDescent="0.2">
      <c r="A62" s="419"/>
      <c r="B62" s="383"/>
      <c r="C62" s="383"/>
      <c r="D62" s="383"/>
      <c r="E62" s="383"/>
      <c r="F62" s="383"/>
      <c r="G62" s="358"/>
      <c r="H62" s="358"/>
      <c r="I62" s="222"/>
      <c r="J62" s="222"/>
      <c r="K62" s="222"/>
      <c r="L62" s="358"/>
      <c r="M62" s="358"/>
      <c r="N62" s="376"/>
      <c r="O62" s="374"/>
      <c r="P62" s="373"/>
      <c r="Q62" s="349"/>
      <c r="R62" s="373">
        <f>IF(NOT(ISERROR(MATCH(Q62,_xlfn.ANCHORARRAY(F73),0))),Q75&amp;"Por favor no seleccionar los criterios de impacto",Q62)</f>
        <v>0</v>
      </c>
      <c r="S62" s="374"/>
      <c r="T62" s="373"/>
      <c r="U62" s="360"/>
      <c r="V62" s="214">
        <v>3</v>
      </c>
      <c r="W62" s="187"/>
      <c r="X62" s="189" t="str">
        <f>IF(OR(Y62="Preventivo",Y62="Detectivo"),"Probabilidad",IF(Y62="Correctivo","Impacto",""))</f>
        <v/>
      </c>
      <c r="Y62" s="190"/>
      <c r="Z62" s="190"/>
      <c r="AA62" s="191" t="str">
        <f t="shared" si="74"/>
        <v/>
      </c>
      <c r="AB62" s="190"/>
      <c r="AC62" s="190"/>
      <c r="AD62" s="190"/>
      <c r="AE62" s="192" t="str">
        <f>IFERROR(IF(AND(X61="Probabilidad",X62="Probabilidad"),(AG61-(+AG61*AA62)),IF(AND(X61="Impacto",X62="Probabilidad"),(AG60-(+AG60*AA62)),IF(X62="Impacto",AG61,""))),"")</f>
        <v/>
      </c>
      <c r="AF62" s="193" t="str">
        <f t="shared" si="1"/>
        <v/>
      </c>
      <c r="AG62" s="191" t="str">
        <f t="shared" si="75"/>
        <v/>
      </c>
      <c r="AH62" s="193" t="str">
        <f t="shared" si="3"/>
        <v/>
      </c>
      <c r="AI62" s="191" t="str">
        <f t="shared" ref="AI62" si="78">IFERROR(IF(AND(X61="Impacto",X62="Impacto"),(AI61-(+AI61*AA62)),IF(AND(X61="Probabilidad",X62="Impacto"),(AI60-(+AI60*AA62)),IF(X62="Probabilidad",AI61,""))),"")</f>
        <v/>
      </c>
      <c r="AJ62" s="194" t="str">
        <f t="shared" si="77"/>
        <v/>
      </c>
      <c r="AK62" s="195"/>
      <c r="AL62" s="186"/>
      <c r="AM62" s="196"/>
      <c r="AN62" s="196"/>
      <c r="AO62" s="197"/>
      <c r="AP62" s="376"/>
      <c r="AQ62" s="376"/>
      <c r="AR62" s="376"/>
    </row>
    <row r="63" spans="1:44" x14ac:dyDescent="0.2">
      <c r="A63" s="419"/>
      <c r="B63" s="383"/>
      <c r="C63" s="383"/>
      <c r="D63" s="383"/>
      <c r="E63" s="383"/>
      <c r="F63" s="383"/>
      <c r="G63" s="358"/>
      <c r="H63" s="358"/>
      <c r="I63" s="222"/>
      <c r="J63" s="222"/>
      <c r="K63" s="222"/>
      <c r="L63" s="358"/>
      <c r="M63" s="358"/>
      <c r="N63" s="376"/>
      <c r="O63" s="374"/>
      <c r="P63" s="373"/>
      <c r="Q63" s="349"/>
      <c r="R63" s="373">
        <f>IF(NOT(ISERROR(MATCH(Q63,_xlfn.ANCHORARRAY(F74),0))),Q76&amp;"Por favor no seleccionar los criterios de impacto",Q63)</f>
        <v>0</v>
      </c>
      <c r="S63" s="374"/>
      <c r="T63" s="373"/>
      <c r="U63" s="360"/>
      <c r="V63" s="214">
        <v>4</v>
      </c>
      <c r="W63" s="187"/>
      <c r="X63" s="189" t="str">
        <f t="shared" ref="X63:X65" si="79">IF(OR(Y63="Preventivo",Y63="Detectivo"),"Probabilidad",IF(Y63="Correctivo","Impacto",""))</f>
        <v/>
      </c>
      <c r="Y63" s="190"/>
      <c r="Z63" s="190"/>
      <c r="AA63" s="191" t="str">
        <f t="shared" si="74"/>
        <v/>
      </c>
      <c r="AB63" s="190"/>
      <c r="AC63" s="190"/>
      <c r="AD63" s="190"/>
      <c r="AE63" s="192" t="str">
        <f t="shared" ref="AE63:AE65" si="80">IFERROR(IF(AND(X62="Probabilidad",X63="Probabilidad"),(AG62-(+AG62*AA63)),IF(AND(X62="Impacto",X63="Probabilidad"),(AG61-(+AG61*AA63)),IF(X63="Impacto",AG62,""))),"")</f>
        <v/>
      </c>
      <c r="AF63" s="193" t="str">
        <f t="shared" si="1"/>
        <v/>
      </c>
      <c r="AG63" s="191" t="str">
        <f t="shared" si="75"/>
        <v/>
      </c>
      <c r="AH63" s="193" t="str">
        <f t="shared" si="3"/>
        <v/>
      </c>
      <c r="AI63" s="191" t="str">
        <f t="shared" si="17"/>
        <v/>
      </c>
      <c r="AJ63" s="194" t="str">
        <f>IFERROR(IF(OR(AND(AF63="Muy Baja",AH63="Leve"),AND(AF63="Muy Baja",AH63="Menor"),AND(AF63="Baja",AH63="Leve")),"Bajo",IF(OR(AND(AF63="Muy baja",AH63="Moderado"),AND(AF63="Baja",AH63="Menor"),AND(AF63="Baja",AH63="Moderado"),AND(AF63="Media",AH63="Leve"),AND(AF63="Media",AH63="Menor"),AND(AF63="Media",AH63="Moderado"),AND(AF63="Alta",AH63="Leve"),AND(AF63="Alta",AH63="Menor")),"Moderado",IF(OR(AND(AF63="Muy Baja",AH63="Mayor"),AND(AF63="Baja",AH63="Mayor"),AND(AF63="Media",AH63="Mayor"),AND(AF63="Alta",AH63="Moderado"),AND(AF63="Alta",AH63="Mayor"),AND(AF63="Muy Alta",AH63="Leve"),AND(AF63="Muy Alta",AH63="Menor"),AND(AF63="Muy Alta",AH63="Moderado"),AND(AF63="Muy Alta",AH63="Mayor")),"Alto",IF(OR(AND(AF63="Muy Baja",AH63="Catastrófico"),AND(AF63="Baja",AH63="Catastrófico"),AND(AF63="Media",AH63="Catastrófico"),AND(AF63="Alta",AH63="Catastrófico"),AND(AF63="Muy Alta",AH63="Catastrófico")),"Extremo","")))),"")</f>
        <v/>
      </c>
      <c r="AK63" s="195"/>
      <c r="AL63" s="186"/>
      <c r="AM63" s="196"/>
      <c r="AN63" s="196"/>
      <c r="AO63" s="197"/>
      <c r="AP63" s="376"/>
      <c r="AQ63" s="376"/>
      <c r="AR63" s="376"/>
    </row>
    <row r="64" spans="1:44" x14ac:dyDescent="0.2">
      <c r="A64" s="419"/>
      <c r="B64" s="383"/>
      <c r="C64" s="383"/>
      <c r="D64" s="383"/>
      <c r="E64" s="383"/>
      <c r="F64" s="383"/>
      <c r="G64" s="358"/>
      <c r="H64" s="358"/>
      <c r="I64" s="222"/>
      <c r="J64" s="222"/>
      <c r="K64" s="222"/>
      <c r="L64" s="358"/>
      <c r="M64" s="358"/>
      <c r="N64" s="376"/>
      <c r="O64" s="374"/>
      <c r="P64" s="373"/>
      <c r="Q64" s="349"/>
      <c r="R64" s="373">
        <f>IF(NOT(ISERROR(MATCH(Q64,_xlfn.ANCHORARRAY(F75),0))),Q77&amp;"Por favor no seleccionar los criterios de impacto",Q64)</f>
        <v>0</v>
      </c>
      <c r="S64" s="374"/>
      <c r="T64" s="373"/>
      <c r="U64" s="360"/>
      <c r="V64" s="214">
        <v>5</v>
      </c>
      <c r="W64" s="187"/>
      <c r="X64" s="189" t="str">
        <f t="shared" si="79"/>
        <v/>
      </c>
      <c r="Y64" s="190"/>
      <c r="Z64" s="190"/>
      <c r="AA64" s="191" t="str">
        <f t="shared" si="74"/>
        <v/>
      </c>
      <c r="AB64" s="190"/>
      <c r="AC64" s="190"/>
      <c r="AD64" s="190"/>
      <c r="AE64" s="192" t="str">
        <f t="shared" si="80"/>
        <v/>
      </c>
      <c r="AF64" s="193" t="str">
        <f t="shared" si="1"/>
        <v/>
      </c>
      <c r="AG64" s="191" t="str">
        <f t="shared" si="75"/>
        <v/>
      </c>
      <c r="AH64" s="193" t="str">
        <f t="shared" si="3"/>
        <v/>
      </c>
      <c r="AI64" s="191" t="str">
        <f t="shared" si="17"/>
        <v/>
      </c>
      <c r="AJ64" s="194" t="str">
        <f t="shared" ref="AJ64:AJ65" si="81">IFERROR(IF(OR(AND(AF64="Muy Baja",AH64="Leve"),AND(AF64="Muy Baja",AH64="Menor"),AND(AF64="Baja",AH64="Leve")),"Bajo",IF(OR(AND(AF64="Muy baja",AH64="Moderado"),AND(AF64="Baja",AH64="Menor"),AND(AF64="Baja",AH64="Moderado"),AND(AF64="Media",AH64="Leve"),AND(AF64="Media",AH64="Menor"),AND(AF64="Media",AH64="Moderado"),AND(AF64="Alta",AH64="Leve"),AND(AF64="Alta",AH64="Menor")),"Moderado",IF(OR(AND(AF64="Muy Baja",AH64="Mayor"),AND(AF64="Baja",AH64="Mayor"),AND(AF64="Media",AH64="Mayor"),AND(AF64="Alta",AH64="Moderado"),AND(AF64="Alta",AH64="Mayor"),AND(AF64="Muy Alta",AH64="Leve"),AND(AF64="Muy Alta",AH64="Menor"),AND(AF64="Muy Alta",AH64="Moderado"),AND(AF64="Muy Alta",AH64="Mayor")),"Alto",IF(OR(AND(AF64="Muy Baja",AH64="Catastrófico"),AND(AF64="Baja",AH64="Catastrófico"),AND(AF64="Media",AH64="Catastrófico"),AND(AF64="Alta",AH64="Catastrófico"),AND(AF64="Muy Alta",AH64="Catastrófico")),"Extremo","")))),"")</f>
        <v/>
      </c>
      <c r="AK64" s="195"/>
      <c r="AL64" s="186"/>
      <c r="AM64" s="196"/>
      <c r="AN64" s="196"/>
      <c r="AO64" s="197"/>
      <c r="AP64" s="376"/>
      <c r="AQ64" s="376"/>
      <c r="AR64" s="376"/>
    </row>
    <row r="65" spans="1:44" x14ac:dyDescent="0.2">
      <c r="A65" s="419"/>
      <c r="B65" s="383"/>
      <c r="C65" s="383"/>
      <c r="D65" s="383"/>
      <c r="E65" s="383"/>
      <c r="F65" s="383"/>
      <c r="G65" s="369"/>
      <c r="H65" s="369"/>
      <c r="I65" s="223"/>
      <c r="J65" s="223"/>
      <c r="K65" s="223"/>
      <c r="L65" s="369"/>
      <c r="M65" s="369"/>
      <c r="N65" s="376"/>
      <c r="O65" s="374"/>
      <c r="P65" s="373"/>
      <c r="Q65" s="349"/>
      <c r="R65" s="373">
        <f>IF(NOT(ISERROR(MATCH(Q65,_xlfn.ANCHORARRAY(F76),0))),Q78&amp;"Por favor no seleccionar los criterios de impacto",Q65)</f>
        <v>0</v>
      </c>
      <c r="S65" s="374"/>
      <c r="T65" s="373"/>
      <c r="U65" s="360"/>
      <c r="V65" s="214">
        <v>6</v>
      </c>
      <c r="W65" s="187"/>
      <c r="X65" s="189" t="str">
        <f t="shared" si="79"/>
        <v/>
      </c>
      <c r="Y65" s="190"/>
      <c r="Z65" s="190"/>
      <c r="AA65" s="191" t="str">
        <f t="shared" si="74"/>
        <v/>
      </c>
      <c r="AB65" s="190"/>
      <c r="AC65" s="190"/>
      <c r="AD65" s="190"/>
      <c r="AE65" s="192" t="str">
        <f t="shared" si="80"/>
        <v/>
      </c>
      <c r="AF65" s="193" t="str">
        <f t="shared" si="1"/>
        <v/>
      </c>
      <c r="AG65" s="191" t="str">
        <f t="shared" si="75"/>
        <v/>
      </c>
      <c r="AH65" s="193" t="str">
        <f t="shared" si="3"/>
        <v/>
      </c>
      <c r="AI65" s="191" t="str">
        <f t="shared" si="17"/>
        <v/>
      </c>
      <c r="AJ65" s="194" t="str">
        <f t="shared" si="81"/>
        <v/>
      </c>
      <c r="AK65" s="195"/>
      <c r="AL65" s="186"/>
      <c r="AM65" s="196"/>
      <c r="AN65" s="196"/>
      <c r="AO65" s="197"/>
      <c r="AP65" s="376"/>
      <c r="AQ65" s="376"/>
      <c r="AR65" s="376"/>
    </row>
    <row r="66" spans="1:44" x14ac:dyDescent="0.2">
      <c r="A66" s="216"/>
      <c r="B66" s="423" t="s">
        <v>261</v>
      </c>
      <c r="C66" s="424"/>
      <c r="D66" s="424"/>
      <c r="E66" s="424"/>
      <c r="F66" s="424"/>
      <c r="G66" s="424"/>
      <c r="H66" s="424"/>
      <c r="I66" s="424"/>
      <c r="J66" s="424"/>
      <c r="K66" s="424"/>
      <c r="L66" s="424"/>
      <c r="M66" s="424"/>
      <c r="N66" s="424"/>
      <c r="O66" s="424"/>
      <c r="P66" s="424"/>
      <c r="Q66" s="424"/>
      <c r="R66" s="424"/>
      <c r="S66" s="424"/>
      <c r="T66" s="424"/>
      <c r="U66" s="424"/>
      <c r="V66" s="424"/>
      <c r="W66" s="424"/>
      <c r="X66" s="424"/>
      <c r="Y66" s="424"/>
      <c r="Z66" s="424"/>
      <c r="AA66" s="424"/>
      <c r="AB66" s="424"/>
      <c r="AC66" s="424"/>
      <c r="AD66" s="424"/>
      <c r="AE66" s="424"/>
      <c r="AF66" s="424"/>
      <c r="AG66" s="424"/>
      <c r="AH66" s="424"/>
      <c r="AI66" s="424"/>
      <c r="AJ66" s="424"/>
      <c r="AK66" s="424"/>
      <c r="AL66" s="424"/>
      <c r="AM66" s="424"/>
      <c r="AN66" s="424"/>
      <c r="AO66" s="424"/>
      <c r="AP66" s="424"/>
    </row>
    <row r="68" spans="1:44" ht="15.75" x14ac:dyDescent="0.2">
      <c r="A68" s="198"/>
      <c r="B68" s="206" t="s">
        <v>262</v>
      </c>
      <c r="C68" s="198"/>
      <c r="D68" s="198"/>
      <c r="E68" s="198"/>
      <c r="N68" s="198"/>
    </row>
    <row r="69" spans="1:44" s="259" customFormat="1" x14ac:dyDescent="0.2">
      <c r="A69" s="258"/>
      <c r="B69" s="258"/>
      <c r="C69" s="258"/>
      <c r="D69" s="258"/>
      <c r="E69" s="258"/>
      <c r="N69" s="260"/>
      <c r="AL69" s="261"/>
    </row>
  </sheetData>
  <dataConsolidate/>
  <mergeCells count="299">
    <mergeCell ref="C8:T8"/>
    <mergeCell ref="D1:T2"/>
    <mergeCell ref="D4:T4"/>
    <mergeCell ref="J3:T3"/>
    <mergeCell ref="D3:I3"/>
    <mergeCell ref="A18:A23"/>
    <mergeCell ref="B18:B23"/>
    <mergeCell ref="C18:C23"/>
    <mergeCell ref="D18:D23"/>
    <mergeCell ref="A1:C4"/>
    <mergeCell ref="N18:N23"/>
    <mergeCell ref="O18:O23"/>
    <mergeCell ref="P18:P23"/>
    <mergeCell ref="F18:F23"/>
    <mergeCell ref="N16:N17"/>
    <mergeCell ref="O16:O17"/>
    <mergeCell ref="P16:P17"/>
    <mergeCell ref="G16:G17"/>
    <mergeCell ref="G18:G23"/>
    <mergeCell ref="L16:L17"/>
    <mergeCell ref="M16:M17"/>
    <mergeCell ref="A16:A17"/>
    <mergeCell ref="B16:B17"/>
    <mergeCell ref="C16:C17"/>
    <mergeCell ref="D16:D17"/>
    <mergeCell ref="Z6:AR6"/>
    <mergeCell ref="Z7:AR7"/>
    <mergeCell ref="Z8:AR8"/>
    <mergeCell ref="X1:AR2"/>
    <mergeCell ref="X3:AL3"/>
    <mergeCell ref="X4:AR4"/>
    <mergeCell ref="AM3:AR3"/>
    <mergeCell ref="A6:B6"/>
    <mergeCell ref="A7:B7"/>
    <mergeCell ref="A8:B8"/>
    <mergeCell ref="W6:Y6"/>
    <mergeCell ref="C6:T6"/>
    <mergeCell ref="C7:T7"/>
    <mergeCell ref="U13:U15"/>
    <mergeCell ref="P13:P15"/>
    <mergeCell ref="Q13:Q15"/>
    <mergeCell ref="R13:R15"/>
    <mergeCell ref="S13:S15"/>
    <mergeCell ref="G13:G15"/>
    <mergeCell ref="A10:F10"/>
    <mergeCell ref="I13:I15"/>
    <mergeCell ref="T11:T12"/>
    <mergeCell ref="F11:F12"/>
    <mergeCell ref="U30:U35"/>
    <mergeCell ref="T36:T41"/>
    <mergeCell ref="U36:U41"/>
    <mergeCell ref="Q42:Q47"/>
    <mergeCell ref="R42:R47"/>
    <mergeCell ref="S42:S47"/>
    <mergeCell ref="F30:F35"/>
    <mergeCell ref="F36:F41"/>
    <mergeCell ref="G30:G35"/>
    <mergeCell ref="Q36:Q41"/>
    <mergeCell ref="R36:R41"/>
    <mergeCell ref="S36:S41"/>
    <mergeCell ref="N30:N35"/>
    <mergeCell ref="O30:O35"/>
    <mergeCell ref="G42:G47"/>
    <mergeCell ref="I42:I47"/>
    <mergeCell ref="J42:J47"/>
    <mergeCell ref="K42:K47"/>
    <mergeCell ref="L30:L35"/>
    <mergeCell ref="G36:G41"/>
    <mergeCell ref="I30:I35"/>
    <mergeCell ref="J30:J35"/>
    <mergeCell ref="K30:K35"/>
    <mergeCell ref="I36:I41"/>
    <mergeCell ref="E54:E59"/>
    <mergeCell ref="N54:N59"/>
    <mergeCell ref="O54:O59"/>
    <mergeCell ref="P54:P59"/>
    <mergeCell ref="P30:P35"/>
    <mergeCell ref="Q30:Q35"/>
    <mergeCell ref="N36:N41"/>
    <mergeCell ref="O36:O41"/>
    <mergeCell ref="P36:P41"/>
    <mergeCell ref="F42:F47"/>
    <mergeCell ref="F48:F53"/>
    <mergeCell ref="G48:G53"/>
    <mergeCell ref="I48:I53"/>
    <mergeCell ref="J48:J53"/>
    <mergeCell ref="K48:K53"/>
    <mergeCell ref="J36:J41"/>
    <mergeCell ref="K36:K41"/>
    <mergeCell ref="H30:H35"/>
    <mergeCell ref="H36:H41"/>
    <mergeCell ref="B66:AP66"/>
    <mergeCell ref="T54:T59"/>
    <mergeCell ref="U54:U59"/>
    <mergeCell ref="A60:A65"/>
    <mergeCell ref="B60:B65"/>
    <mergeCell ref="C60:C65"/>
    <mergeCell ref="D60:D65"/>
    <mergeCell ref="E60:E65"/>
    <mergeCell ref="N60:N65"/>
    <mergeCell ref="O60:O65"/>
    <mergeCell ref="P60:P65"/>
    <mergeCell ref="Q60:Q65"/>
    <mergeCell ref="R60:R65"/>
    <mergeCell ref="S60:S65"/>
    <mergeCell ref="T60:T65"/>
    <mergeCell ref="U60:U65"/>
    <mergeCell ref="Q54:Q59"/>
    <mergeCell ref="R54:R59"/>
    <mergeCell ref="S54:S59"/>
    <mergeCell ref="A54:A59"/>
    <mergeCell ref="B54:B59"/>
    <mergeCell ref="C54:C59"/>
    <mergeCell ref="D54:D59"/>
    <mergeCell ref="F54:F59"/>
    <mergeCell ref="F60:F65"/>
    <mergeCell ref="T42:T47"/>
    <mergeCell ref="U42:U47"/>
    <mergeCell ref="N48:N53"/>
    <mergeCell ref="O48:O53"/>
    <mergeCell ref="P48:P53"/>
    <mergeCell ref="Q48:Q53"/>
    <mergeCell ref="N42:N47"/>
    <mergeCell ref="O42:O47"/>
    <mergeCell ref="P42:P47"/>
    <mergeCell ref="R48:R53"/>
    <mergeCell ref="S48:S53"/>
    <mergeCell ref="T48:T53"/>
    <mergeCell ref="U48:U53"/>
    <mergeCell ref="G54:G59"/>
    <mergeCell ref="G60:G65"/>
    <mergeCell ref="H60:H65"/>
    <mergeCell ref="H42:H47"/>
    <mergeCell ref="H48:H53"/>
    <mergeCell ref="H54:H59"/>
    <mergeCell ref="B48:B53"/>
    <mergeCell ref="C48:C53"/>
    <mergeCell ref="D48:D53"/>
    <mergeCell ref="E48:E53"/>
    <mergeCell ref="A42:A47"/>
    <mergeCell ref="B42:B47"/>
    <mergeCell ref="C42:C47"/>
    <mergeCell ref="D42:D47"/>
    <mergeCell ref="E42:E47"/>
    <mergeCell ref="A48:A53"/>
    <mergeCell ref="A30:A35"/>
    <mergeCell ref="B30:B35"/>
    <mergeCell ref="C30:C35"/>
    <mergeCell ref="A36:A41"/>
    <mergeCell ref="B36:B41"/>
    <mergeCell ref="C36:C41"/>
    <mergeCell ref="D36:D41"/>
    <mergeCell ref="E36:E41"/>
    <mergeCell ref="D30:D35"/>
    <mergeCell ref="E30:E35"/>
    <mergeCell ref="C24:C29"/>
    <mergeCell ref="D24:D29"/>
    <mergeCell ref="E24:E29"/>
    <mergeCell ref="N24:N29"/>
    <mergeCell ref="O24:O29"/>
    <mergeCell ref="P24:P29"/>
    <mergeCell ref="F24:F29"/>
    <mergeCell ref="G24:G29"/>
    <mergeCell ref="I24:I29"/>
    <mergeCell ref="J24:J29"/>
    <mergeCell ref="K24:K29"/>
    <mergeCell ref="L24:L29"/>
    <mergeCell ref="M24:M29"/>
    <mergeCell ref="H24:H29"/>
    <mergeCell ref="A13:A15"/>
    <mergeCell ref="B13:B15"/>
    <mergeCell ref="A11:A12"/>
    <mergeCell ref="E11:E12"/>
    <mergeCell ref="D11:D12"/>
    <mergeCell ref="C11:C12"/>
    <mergeCell ref="AP30:AP35"/>
    <mergeCell ref="T24:T29"/>
    <mergeCell ref="R30:R35"/>
    <mergeCell ref="S30:S35"/>
    <mergeCell ref="T30:T35"/>
    <mergeCell ref="E16:E17"/>
    <mergeCell ref="E18:E23"/>
    <mergeCell ref="B11:B12"/>
    <mergeCell ref="F13:F15"/>
    <mergeCell ref="G11:G12"/>
    <mergeCell ref="H11:H12"/>
    <mergeCell ref="I11:I12"/>
    <mergeCell ref="J11:J12"/>
    <mergeCell ref="K11:K12"/>
    <mergeCell ref="H13:H15"/>
    <mergeCell ref="H16:H17"/>
    <mergeCell ref="A24:A29"/>
    <mergeCell ref="B24:B29"/>
    <mergeCell ref="AQ30:AQ35"/>
    <mergeCell ref="AR30:AR35"/>
    <mergeCell ref="T13:T15"/>
    <mergeCell ref="N11:N12"/>
    <mergeCell ref="O11:O12"/>
    <mergeCell ref="U11:U12"/>
    <mergeCell ref="Q11:Q12"/>
    <mergeCell ref="R11:R12"/>
    <mergeCell ref="AP11:AP12"/>
    <mergeCell ref="AQ11:AQ12"/>
    <mergeCell ref="AR11:AR12"/>
    <mergeCell ref="AP13:AP15"/>
    <mergeCell ref="AQ13:AQ15"/>
    <mergeCell ref="AR13:AR15"/>
    <mergeCell ref="AK11:AK12"/>
    <mergeCell ref="AN11:AN12"/>
    <mergeCell ref="V11:V12"/>
    <mergeCell ref="AJ11:AJ12"/>
    <mergeCell ref="AI11:AI12"/>
    <mergeCell ref="AE11:AE12"/>
    <mergeCell ref="W11:W12"/>
    <mergeCell ref="AH11:AH12"/>
    <mergeCell ref="AF11:AF12"/>
    <mergeCell ref="S24:S29"/>
    <mergeCell ref="AR54:AR59"/>
    <mergeCell ref="T18:T23"/>
    <mergeCell ref="U18:U23"/>
    <mergeCell ref="AP60:AP65"/>
    <mergeCell ref="AQ60:AQ65"/>
    <mergeCell ref="AR60:AR65"/>
    <mergeCell ref="AP36:AP41"/>
    <mergeCell ref="AQ36:AQ41"/>
    <mergeCell ref="AP16:AP17"/>
    <mergeCell ref="AQ16:AQ17"/>
    <mergeCell ref="AR16:AR17"/>
    <mergeCell ref="AR36:AR41"/>
    <mergeCell ref="AP42:AP47"/>
    <mergeCell ref="AQ42:AQ47"/>
    <mergeCell ref="AR42:AR47"/>
    <mergeCell ref="AP48:AP53"/>
    <mergeCell ref="AQ48:AQ53"/>
    <mergeCell ref="AR48:AR53"/>
    <mergeCell ref="AP18:AP23"/>
    <mergeCell ref="AQ18:AQ23"/>
    <mergeCell ref="AR18:AR23"/>
    <mergeCell ref="AP24:AP29"/>
    <mergeCell ref="AQ24:AQ29"/>
    <mergeCell ref="AR24:AR29"/>
    <mergeCell ref="H18:H23"/>
    <mergeCell ref="J13:J15"/>
    <mergeCell ref="K13:K15"/>
    <mergeCell ref="I16:I17"/>
    <mergeCell ref="J16:J17"/>
    <mergeCell ref="K16:K17"/>
    <mergeCell ref="I18:I23"/>
    <mergeCell ref="F16:F17"/>
    <mergeCell ref="J18:J23"/>
    <mergeCell ref="K18:K23"/>
    <mergeCell ref="G10:K10"/>
    <mergeCell ref="C13:C15"/>
    <mergeCell ref="D13:D15"/>
    <mergeCell ref="E13:E15"/>
    <mergeCell ref="L60:L65"/>
    <mergeCell ref="M60:M65"/>
    <mergeCell ref="AP10:AR10"/>
    <mergeCell ref="AF10:AJ10"/>
    <mergeCell ref="AK10:AO10"/>
    <mergeCell ref="M30:M35"/>
    <mergeCell ref="L36:L41"/>
    <mergeCell ref="M36:M41"/>
    <mergeCell ref="L42:L47"/>
    <mergeCell ref="M42:M47"/>
    <mergeCell ref="L48:L53"/>
    <mergeCell ref="M48:M53"/>
    <mergeCell ref="L54:L59"/>
    <mergeCell ref="M54:M59"/>
    <mergeCell ref="AP54:AP59"/>
    <mergeCell ref="AQ54:AQ59"/>
    <mergeCell ref="P11:P12"/>
    <mergeCell ref="S11:S12"/>
    <mergeCell ref="AL11:AL12"/>
    <mergeCell ref="AO11:AO12"/>
    <mergeCell ref="AM11:AM12"/>
    <mergeCell ref="Q24:Q29"/>
    <mergeCell ref="L10:M11"/>
    <mergeCell ref="N10:V10"/>
    <mergeCell ref="L13:L15"/>
    <mergeCell ref="M13:M15"/>
    <mergeCell ref="U24:U29"/>
    <mergeCell ref="R16:R17"/>
    <mergeCell ref="S16:S17"/>
    <mergeCell ref="T16:T17"/>
    <mergeCell ref="U16:U17"/>
    <mergeCell ref="AG11:AG12"/>
    <mergeCell ref="X11:X12"/>
    <mergeCell ref="Y11:AD11"/>
    <mergeCell ref="L18:L23"/>
    <mergeCell ref="M18:M23"/>
    <mergeCell ref="Q16:Q17"/>
    <mergeCell ref="W10:AE10"/>
    <mergeCell ref="Q18:Q23"/>
    <mergeCell ref="R18:R23"/>
    <mergeCell ref="S18:S23"/>
    <mergeCell ref="R24:R29"/>
    <mergeCell ref="N13:N15"/>
    <mergeCell ref="O13:O15"/>
  </mergeCells>
  <conditionalFormatting sqref="O13 O16">
    <cfRule type="cellIs" dxfId="700" priority="324" operator="equal">
      <formula>"Muy Alta"</formula>
    </cfRule>
    <cfRule type="cellIs" dxfId="699" priority="325" operator="equal">
      <formula>"Alta"</formula>
    </cfRule>
    <cfRule type="cellIs" dxfId="698" priority="326" operator="equal">
      <formula>"Media"</formula>
    </cfRule>
    <cfRule type="cellIs" dxfId="697" priority="327" operator="equal">
      <formula>"Baja"</formula>
    </cfRule>
    <cfRule type="cellIs" dxfId="696" priority="328" operator="equal">
      <formula>"Muy Baja"</formula>
    </cfRule>
  </conditionalFormatting>
  <conditionalFormatting sqref="S13 S16 S18 S24 S30 S36 S42 S48 S54 S60">
    <cfRule type="cellIs" dxfId="695" priority="319" operator="equal">
      <formula>"Catastrófico"</formula>
    </cfRule>
    <cfRule type="cellIs" dxfId="694" priority="320" operator="equal">
      <formula>"Mayor"</formula>
    </cfRule>
    <cfRule type="cellIs" dxfId="693" priority="321" operator="equal">
      <formula>"Moderado"</formula>
    </cfRule>
    <cfRule type="cellIs" dxfId="692" priority="322" operator="equal">
      <formula>"Menor"</formula>
    </cfRule>
    <cfRule type="cellIs" dxfId="691" priority="323" operator="equal">
      <formula>"Leve"</formula>
    </cfRule>
  </conditionalFormatting>
  <conditionalFormatting sqref="U13">
    <cfRule type="cellIs" dxfId="690" priority="315" operator="equal">
      <formula>"Extremo"</formula>
    </cfRule>
    <cfRule type="cellIs" dxfId="689" priority="316" operator="equal">
      <formula>"Alto"</formula>
    </cfRule>
    <cfRule type="cellIs" dxfId="688" priority="317" operator="equal">
      <formula>"Moderado"</formula>
    </cfRule>
    <cfRule type="cellIs" dxfId="687" priority="318" operator="equal">
      <formula>"Bajo"</formula>
    </cfRule>
  </conditionalFormatting>
  <conditionalFormatting sqref="AF13:AF15">
    <cfRule type="cellIs" dxfId="686" priority="310" operator="equal">
      <formula>"Muy Alta"</formula>
    </cfRule>
    <cfRule type="cellIs" dxfId="685" priority="311" operator="equal">
      <formula>"Alta"</formula>
    </cfRule>
    <cfRule type="cellIs" dxfId="684" priority="312" operator="equal">
      <formula>"Media"</formula>
    </cfRule>
    <cfRule type="cellIs" dxfId="683" priority="313" operator="equal">
      <formula>"Baja"</formula>
    </cfRule>
    <cfRule type="cellIs" dxfId="682" priority="314" operator="equal">
      <formula>"Muy Baja"</formula>
    </cfRule>
  </conditionalFormatting>
  <conditionalFormatting sqref="AH13:AH15">
    <cfRule type="cellIs" dxfId="681" priority="305" operator="equal">
      <formula>"Catastrófico"</formula>
    </cfRule>
    <cfRule type="cellIs" dxfId="680" priority="306" operator="equal">
      <formula>"Mayor"</formula>
    </cfRule>
    <cfRule type="cellIs" dxfId="679" priority="307" operator="equal">
      <formula>"Moderado"</formula>
    </cfRule>
    <cfRule type="cellIs" dxfId="678" priority="308" operator="equal">
      <formula>"Menor"</formula>
    </cfRule>
    <cfRule type="cellIs" dxfId="677" priority="309" operator="equal">
      <formula>"Leve"</formula>
    </cfRule>
  </conditionalFormatting>
  <conditionalFormatting sqref="AJ13:AJ15">
    <cfRule type="cellIs" dxfId="676" priority="301" operator="equal">
      <formula>"Extremo"</formula>
    </cfRule>
    <cfRule type="cellIs" dxfId="675" priority="302" operator="equal">
      <formula>"Alto"</formula>
    </cfRule>
    <cfRule type="cellIs" dxfId="674" priority="303" operator="equal">
      <formula>"Moderado"</formula>
    </cfRule>
    <cfRule type="cellIs" dxfId="673" priority="304" operator="equal">
      <formula>"Bajo"</formula>
    </cfRule>
  </conditionalFormatting>
  <conditionalFormatting sqref="O54">
    <cfRule type="cellIs" dxfId="672" priority="58" operator="equal">
      <formula>"Muy Alta"</formula>
    </cfRule>
    <cfRule type="cellIs" dxfId="671" priority="59" operator="equal">
      <formula>"Alta"</formula>
    </cfRule>
    <cfRule type="cellIs" dxfId="670" priority="60" operator="equal">
      <formula>"Media"</formula>
    </cfRule>
    <cfRule type="cellIs" dxfId="669" priority="61" operator="equal">
      <formula>"Baja"</formula>
    </cfRule>
    <cfRule type="cellIs" dxfId="668" priority="62" operator="equal">
      <formula>"Muy Baja"</formula>
    </cfRule>
  </conditionalFormatting>
  <conditionalFormatting sqref="U16">
    <cfRule type="cellIs" dxfId="667" priority="245" operator="equal">
      <formula>"Extremo"</formula>
    </cfRule>
    <cfRule type="cellIs" dxfId="666" priority="246" operator="equal">
      <formula>"Alto"</formula>
    </cfRule>
    <cfRule type="cellIs" dxfId="665" priority="247" operator="equal">
      <formula>"Moderado"</formula>
    </cfRule>
    <cfRule type="cellIs" dxfId="664" priority="248" operator="equal">
      <formula>"Bajo"</formula>
    </cfRule>
  </conditionalFormatting>
  <conditionalFormatting sqref="AF16:AF17">
    <cfRule type="cellIs" dxfId="663" priority="240" operator="equal">
      <formula>"Muy Alta"</formula>
    </cfRule>
    <cfRule type="cellIs" dxfId="662" priority="241" operator="equal">
      <formula>"Alta"</formula>
    </cfRule>
    <cfRule type="cellIs" dxfId="661" priority="242" operator="equal">
      <formula>"Media"</formula>
    </cfRule>
    <cfRule type="cellIs" dxfId="660" priority="243" operator="equal">
      <formula>"Baja"</formula>
    </cfRule>
    <cfRule type="cellIs" dxfId="659" priority="244" operator="equal">
      <formula>"Muy Baja"</formula>
    </cfRule>
  </conditionalFormatting>
  <conditionalFormatting sqref="AH16:AH17">
    <cfRule type="cellIs" dxfId="658" priority="235" operator="equal">
      <formula>"Catastrófico"</formula>
    </cfRule>
    <cfRule type="cellIs" dxfId="657" priority="236" operator="equal">
      <formula>"Mayor"</formula>
    </cfRule>
    <cfRule type="cellIs" dxfId="656" priority="237" operator="equal">
      <formula>"Moderado"</formula>
    </cfRule>
    <cfRule type="cellIs" dxfId="655" priority="238" operator="equal">
      <formula>"Menor"</formula>
    </cfRule>
    <cfRule type="cellIs" dxfId="654" priority="239" operator="equal">
      <formula>"Leve"</formula>
    </cfRule>
  </conditionalFormatting>
  <conditionalFormatting sqref="AJ16:AJ17">
    <cfRule type="cellIs" dxfId="653" priority="231" operator="equal">
      <formula>"Extremo"</formula>
    </cfRule>
    <cfRule type="cellIs" dxfId="652" priority="232" operator="equal">
      <formula>"Alto"</formula>
    </cfRule>
    <cfRule type="cellIs" dxfId="651" priority="233" operator="equal">
      <formula>"Moderado"</formula>
    </cfRule>
    <cfRule type="cellIs" dxfId="650" priority="234" operator="equal">
      <formula>"Bajo"</formula>
    </cfRule>
  </conditionalFormatting>
  <conditionalFormatting sqref="O18">
    <cfRule type="cellIs" dxfId="649" priority="226" operator="equal">
      <formula>"Muy Alta"</formula>
    </cfRule>
    <cfRule type="cellIs" dxfId="648" priority="227" operator="equal">
      <formula>"Alta"</formula>
    </cfRule>
    <cfRule type="cellIs" dxfId="647" priority="228" operator="equal">
      <formula>"Media"</formula>
    </cfRule>
    <cfRule type="cellIs" dxfId="646" priority="229" operator="equal">
      <formula>"Baja"</formula>
    </cfRule>
    <cfRule type="cellIs" dxfId="645" priority="230" operator="equal">
      <formula>"Muy Baja"</formula>
    </cfRule>
  </conditionalFormatting>
  <conditionalFormatting sqref="U18">
    <cfRule type="cellIs" dxfId="644" priority="217" operator="equal">
      <formula>"Extremo"</formula>
    </cfRule>
    <cfRule type="cellIs" dxfId="643" priority="218" operator="equal">
      <formula>"Alto"</formula>
    </cfRule>
    <cfRule type="cellIs" dxfId="642" priority="219" operator="equal">
      <formula>"Moderado"</formula>
    </cfRule>
    <cfRule type="cellIs" dxfId="641" priority="220" operator="equal">
      <formula>"Bajo"</formula>
    </cfRule>
  </conditionalFormatting>
  <conditionalFormatting sqref="AF18:AF23">
    <cfRule type="cellIs" dxfId="640" priority="212" operator="equal">
      <formula>"Muy Alta"</formula>
    </cfRule>
    <cfRule type="cellIs" dxfId="639" priority="213" operator="equal">
      <formula>"Alta"</formula>
    </cfRule>
    <cfRule type="cellIs" dxfId="638" priority="214" operator="equal">
      <formula>"Media"</formula>
    </cfRule>
    <cfRule type="cellIs" dxfId="637" priority="215" operator="equal">
      <formula>"Baja"</formula>
    </cfRule>
    <cfRule type="cellIs" dxfId="636" priority="216" operator="equal">
      <formula>"Muy Baja"</formula>
    </cfRule>
  </conditionalFormatting>
  <conditionalFormatting sqref="AH18:AH23">
    <cfRule type="cellIs" dxfId="635" priority="207" operator="equal">
      <formula>"Catastrófico"</formula>
    </cfRule>
    <cfRule type="cellIs" dxfId="634" priority="208" operator="equal">
      <formula>"Mayor"</formula>
    </cfRule>
    <cfRule type="cellIs" dxfId="633" priority="209" operator="equal">
      <formula>"Moderado"</formula>
    </cfRule>
    <cfRule type="cellIs" dxfId="632" priority="210" operator="equal">
      <formula>"Menor"</formula>
    </cfRule>
    <cfRule type="cellIs" dxfId="631" priority="211" operator="equal">
      <formula>"Leve"</formula>
    </cfRule>
  </conditionalFormatting>
  <conditionalFormatting sqref="AJ18:AJ23">
    <cfRule type="cellIs" dxfId="630" priority="203" operator="equal">
      <formula>"Extremo"</formula>
    </cfRule>
    <cfRule type="cellIs" dxfId="629" priority="204" operator="equal">
      <formula>"Alto"</formula>
    </cfRule>
    <cfRule type="cellIs" dxfId="628" priority="205" operator="equal">
      <formula>"Moderado"</formula>
    </cfRule>
    <cfRule type="cellIs" dxfId="627" priority="206" operator="equal">
      <formula>"Bajo"</formula>
    </cfRule>
  </conditionalFormatting>
  <conditionalFormatting sqref="O24">
    <cfRule type="cellIs" dxfId="626" priority="198" operator="equal">
      <formula>"Muy Alta"</formula>
    </cfRule>
    <cfRule type="cellIs" dxfId="625" priority="199" operator="equal">
      <formula>"Alta"</formula>
    </cfRule>
    <cfRule type="cellIs" dxfId="624" priority="200" operator="equal">
      <formula>"Media"</formula>
    </cfRule>
    <cfRule type="cellIs" dxfId="623" priority="201" operator="equal">
      <formula>"Baja"</formula>
    </cfRule>
    <cfRule type="cellIs" dxfId="622" priority="202" operator="equal">
      <formula>"Muy Baja"</formula>
    </cfRule>
  </conditionalFormatting>
  <conditionalFormatting sqref="U24">
    <cfRule type="cellIs" dxfId="621" priority="189" operator="equal">
      <formula>"Extremo"</formula>
    </cfRule>
    <cfRule type="cellIs" dxfId="620" priority="190" operator="equal">
      <formula>"Alto"</formula>
    </cfRule>
    <cfRule type="cellIs" dxfId="619" priority="191" operator="equal">
      <formula>"Moderado"</formula>
    </cfRule>
    <cfRule type="cellIs" dxfId="618" priority="192" operator="equal">
      <formula>"Bajo"</formula>
    </cfRule>
  </conditionalFormatting>
  <conditionalFormatting sqref="AF24:AF29">
    <cfRule type="cellIs" dxfId="617" priority="184" operator="equal">
      <formula>"Muy Alta"</formula>
    </cfRule>
    <cfRule type="cellIs" dxfId="616" priority="185" operator="equal">
      <formula>"Alta"</formula>
    </cfRule>
    <cfRule type="cellIs" dxfId="615" priority="186" operator="equal">
      <formula>"Media"</formula>
    </cfRule>
    <cfRule type="cellIs" dxfId="614" priority="187" operator="equal">
      <formula>"Baja"</formula>
    </cfRule>
    <cfRule type="cellIs" dxfId="613" priority="188" operator="equal">
      <formula>"Muy Baja"</formula>
    </cfRule>
  </conditionalFormatting>
  <conditionalFormatting sqref="AH24:AH29">
    <cfRule type="cellIs" dxfId="612" priority="179" operator="equal">
      <formula>"Catastrófico"</formula>
    </cfRule>
    <cfRule type="cellIs" dxfId="611" priority="180" operator="equal">
      <formula>"Mayor"</formula>
    </cfRule>
    <cfRule type="cellIs" dxfId="610" priority="181" operator="equal">
      <formula>"Moderado"</formula>
    </cfRule>
    <cfRule type="cellIs" dxfId="609" priority="182" operator="equal">
      <formula>"Menor"</formula>
    </cfRule>
    <cfRule type="cellIs" dxfId="608" priority="183" operator="equal">
      <formula>"Leve"</formula>
    </cfRule>
  </conditionalFormatting>
  <conditionalFormatting sqref="AJ24:AJ29">
    <cfRule type="cellIs" dxfId="607" priority="175" operator="equal">
      <formula>"Extremo"</formula>
    </cfRule>
    <cfRule type="cellIs" dxfId="606" priority="176" operator="equal">
      <formula>"Alto"</formula>
    </cfRule>
    <cfRule type="cellIs" dxfId="605" priority="177" operator="equal">
      <formula>"Moderado"</formula>
    </cfRule>
    <cfRule type="cellIs" dxfId="604" priority="178" operator="equal">
      <formula>"Bajo"</formula>
    </cfRule>
  </conditionalFormatting>
  <conditionalFormatting sqref="O30">
    <cfRule type="cellIs" dxfId="603" priority="170" operator="equal">
      <formula>"Muy Alta"</formula>
    </cfRule>
    <cfRule type="cellIs" dxfId="602" priority="171" operator="equal">
      <formula>"Alta"</formula>
    </cfRule>
    <cfRule type="cellIs" dxfId="601" priority="172" operator="equal">
      <formula>"Media"</formula>
    </cfRule>
    <cfRule type="cellIs" dxfId="600" priority="173" operator="equal">
      <formula>"Baja"</formula>
    </cfRule>
    <cfRule type="cellIs" dxfId="599" priority="174" operator="equal">
      <formula>"Muy Baja"</formula>
    </cfRule>
  </conditionalFormatting>
  <conditionalFormatting sqref="U30">
    <cfRule type="cellIs" dxfId="598" priority="161" operator="equal">
      <formula>"Extremo"</formula>
    </cfRule>
    <cfRule type="cellIs" dxfId="597" priority="162" operator="equal">
      <formula>"Alto"</formula>
    </cfRule>
    <cfRule type="cellIs" dxfId="596" priority="163" operator="equal">
      <formula>"Moderado"</formula>
    </cfRule>
    <cfRule type="cellIs" dxfId="595" priority="164" operator="equal">
      <formula>"Bajo"</formula>
    </cfRule>
  </conditionalFormatting>
  <conditionalFormatting sqref="AF30:AF35">
    <cfRule type="cellIs" dxfId="594" priority="156" operator="equal">
      <formula>"Muy Alta"</formula>
    </cfRule>
    <cfRule type="cellIs" dxfId="593" priority="157" operator="equal">
      <formula>"Alta"</formula>
    </cfRule>
    <cfRule type="cellIs" dxfId="592" priority="158" operator="equal">
      <formula>"Media"</formula>
    </cfRule>
    <cfRule type="cellIs" dxfId="591" priority="159" operator="equal">
      <formula>"Baja"</formula>
    </cfRule>
    <cfRule type="cellIs" dxfId="590" priority="160" operator="equal">
      <formula>"Muy Baja"</formula>
    </cfRule>
  </conditionalFormatting>
  <conditionalFormatting sqref="AH30:AH35">
    <cfRule type="cellIs" dxfId="589" priority="151" operator="equal">
      <formula>"Catastrófico"</formula>
    </cfRule>
    <cfRule type="cellIs" dxfId="588" priority="152" operator="equal">
      <formula>"Mayor"</formula>
    </cfRule>
    <cfRule type="cellIs" dxfId="587" priority="153" operator="equal">
      <formula>"Moderado"</formula>
    </cfRule>
    <cfRule type="cellIs" dxfId="586" priority="154" operator="equal">
      <formula>"Menor"</formula>
    </cfRule>
    <cfRule type="cellIs" dxfId="585" priority="155" operator="equal">
      <formula>"Leve"</formula>
    </cfRule>
  </conditionalFormatting>
  <conditionalFormatting sqref="AJ30:AJ35">
    <cfRule type="cellIs" dxfId="584" priority="147" operator="equal">
      <formula>"Extremo"</formula>
    </cfRule>
    <cfRule type="cellIs" dxfId="583" priority="148" operator="equal">
      <formula>"Alto"</formula>
    </cfRule>
    <cfRule type="cellIs" dxfId="582" priority="149" operator="equal">
      <formula>"Moderado"</formula>
    </cfRule>
    <cfRule type="cellIs" dxfId="581" priority="150" operator="equal">
      <formula>"Bajo"</formula>
    </cfRule>
  </conditionalFormatting>
  <conditionalFormatting sqref="O36">
    <cfRule type="cellIs" dxfId="580" priority="142" operator="equal">
      <formula>"Muy Alta"</formula>
    </cfRule>
    <cfRule type="cellIs" dxfId="579" priority="143" operator="equal">
      <formula>"Alta"</formula>
    </cfRule>
    <cfRule type="cellIs" dxfId="578" priority="144" operator="equal">
      <formula>"Media"</formula>
    </cfRule>
    <cfRule type="cellIs" dxfId="577" priority="145" operator="equal">
      <formula>"Baja"</formula>
    </cfRule>
    <cfRule type="cellIs" dxfId="576" priority="146" operator="equal">
      <formula>"Muy Baja"</formula>
    </cfRule>
  </conditionalFormatting>
  <conditionalFormatting sqref="U36">
    <cfRule type="cellIs" dxfId="575" priority="133" operator="equal">
      <formula>"Extremo"</formula>
    </cfRule>
    <cfRule type="cellIs" dxfId="574" priority="134" operator="equal">
      <formula>"Alto"</formula>
    </cfRule>
    <cfRule type="cellIs" dxfId="573" priority="135" operator="equal">
      <formula>"Moderado"</formula>
    </cfRule>
    <cfRule type="cellIs" dxfId="572" priority="136" operator="equal">
      <formula>"Bajo"</formula>
    </cfRule>
  </conditionalFormatting>
  <conditionalFormatting sqref="AF36:AF41">
    <cfRule type="cellIs" dxfId="571" priority="128" operator="equal">
      <formula>"Muy Alta"</formula>
    </cfRule>
    <cfRule type="cellIs" dxfId="570" priority="129" operator="equal">
      <formula>"Alta"</formula>
    </cfRule>
    <cfRule type="cellIs" dxfId="569" priority="130" operator="equal">
      <formula>"Media"</formula>
    </cfRule>
    <cfRule type="cellIs" dxfId="568" priority="131" operator="equal">
      <formula>"Baja"</formula>
    </cfRule>
    <cfRule type="cellIs" dxfId="567" priority="132" operator="equal">
      <formula>"Muy Baja"</formula>
    </cfRule>
  </conditionalFormatting>
  <conditionalFormatting sqref="AH36:AH41">
    <cfRule type="cellIs" dxfId="566" priority="123" operator="equal">
      <formula>"Catastrófico"</formula>
    </cfRule>
    <cfRule type="cellIs" dxfId="565" priority="124" operator="equal">
      <formula>"Mayor"</formula>
    </cfRule>
    <cfRule type="cellIs" dxfId="564" priority="125" operator="equal">
      <formula>"Moderado"</formula>
    </cfRule>
    <cfRule type="cellIs" dxfId="563" priority="126" operator="equal">
      <formula>"Menor"</formula>
    </cfRule>
    <cfRule type="cellIs" dxfId="562" priority="127" operator="equal">
      <formula>"Leve"</formula>
    </cfRule>
  </conditionalFormatting>
  <conditionalFormatting sqref="AJ36:AJ41">
    <cfRule type="cellIs" dxfId="561" priority="119" operator="equal">
      <formula>"Extremo"</formula>
    </cfRule>
    <cfRule type="cellIs" dxfId="560" priority="120" operator="equal">
      <formula>"Alto"</formula>
    </cfRule>
    <cfRule type="cellIs" dxfId="559" priority="121" operator="equal">
      <formula>"Moderado"</formula>
    </cfRule>
    <cfRule type="cellIs" dxfId="558" priority="122" operator="equal">
      <formula>"Bajo"</formula>
    </cfRule>
  </conditionalFormatting>
  <conditionalFormatting sqref="O42">
    <cfRule type="cellIs" dxfId="557" priority="114" operator="equal">
      <formula>"Muy Alta"</formula>
    </cfRule>
    <cfRule type="cellIs" dxfId="556" priority="115" operator="equal">
      <formula>"Alta"</formula>
    </cfRule>
    <cfRule type="cellIs" dxfId="555" priority="116" operator="equal">
      <formula>"Media"</formula>
    </cfRule>
    <cfRule type="cellIs" dxfId="554" priority="117" operator="equal">
      <formula>"Baja"</formula>
    </cfRule>
    <cfRule type="cellIs" dxfId="553" priority="118" operator="equal">
      <formula>"Muy Baja"</formula>
    </cfRule>
  </conditionalFormatting>
  <conditionalFormatting sqref="U42">
    <cfRule type="cellIs" dxfId="552" priority="105" operator="equal">
      <formula>"Extremo"</formula>
    </cfRule>
    <cfRule type="cellIs" dxfId="551" priority="106" operator="equal">
      <formula>"Alto"</formula>
    </cfRule>
    <cfRule type="cellIs" dxfId="550" priority="107" operator="equal">
      <formula>"Moderado"</formula>
    </cfRule>
    <cfRule type="cellIs" dxfId="549" priority="108" operator="equal">
      <formula>"Bajo"</formula>
    </cfRule>
  </conditionalFormatting>
  <conditionalFormatting sqref="AF42:AF47">
    <cfRule type="cellIs" dxfId="548" priority="100" operator="equal">
      <formula>"Muy Alta"</formula>
    </cfRule>
    <cfRule type="cellIs" dxfId="547" priority="101" operator="equal">
      <formula>"Alta"</formula>
    </cfRule>
    <cfRule type="cellIs" dxfId="546" priority="102" operator="equal">
      <formula>"Media"</formula>
    </cfRule>
    <cfRule type="cellIs" dxfId="545" priority="103" operator="equal">
      <formula>"Baja"</formula>
    </cfRule>
    <cfRule type="cellIs" dxfId="544" priority="104" operator="equal">
      <formula>"Muy Baja"</formula>
    </cfRule>
  </conditionalFormatting>
  <conditionalFormatting sqref="AH42:AH47">
    <cfRule type="cellIs" dxfId="543" priority="95" operator="equal">
      <formula>"Catastrófico"</formula>
    </cfRule>
    <cfRule type="cellIs" dxfId="542" priority="96" operator="equal">
      <formula>"Mayor"</formula>
    </cfRule>
    <cfRule type="cellIs" dxfId="541" priority="97" operator="equal">
      <formula>"Moderado"</formula>
    </cfRule>
    <cfRule type="cellIs" dxfId="540" priority="98" operator="equal">
      <formula>"Menor"</formula>
    </cfRule>
    <cfRule type="cellIs" dxfId="539" priority="99" operator="equal">
      <formula>"Leve"</formula>
    </cfRule>
  </conditionalFormatting>
  <conditionalFormatting sqref="AJ42:AJ47">
    <cfRule type="cellIs" dxfId="538" priority="91" operator="equal">
      <formula>"Extremo"</formula>
    </cfRule>
    <cfRule type="cellIs" dxfId="537" priority="92" operator="equal">
      <formula>"Alto"</formula>
    </cfRule>
    <cfRule type="cellIs" dxfId="536" priority="93" operator="equal">
      <formula>"Moderado"</formula>
    </cfRule>
    <cfRule type="cellIs" dxfId="535" priority="94" operator="equal">
      <formula>"Bajo"</formula>
    </cfRule>
  </conditionalFormatting>
  <conditionalFormatting sqref="U48">
    <cfRule type="cellIs" dxfId="534" priority="77" operator="equal">
      <formula>"Extremo"</formula>
    </cfRule>
    <cfRule type="cellIs" dxfId="533" priority="78" operator="equal">
      <formula>"Alto"</formula>
    </cfRule>
    <cfRule type="cellIs" dxfId="532" priority="79" operator="equal">
      <formula>"Moderado"</formula>
    </cfRule>
    <cfRule type="cellIs" dxfId="531" priority="80" operator="equal">
      <formula>"Bajo"</formula>
    </cfRule>
  </conditionalFormatting>
  <conditionalFormatting sqref="AF48:AF53">
    <cfRule type="cellIs" dxfId="530" priority="72" operator="equal">
      <formula>"Muy Alta"</formula>
    </cfRule>
    <cfRule type="cellIs" dxfId="529" priority="73" operator="equal">
      <formula>"Alta"</formula>
    </cfRule>
    <cfRule type="cellIs" dxfId="528" priority="74" operator="equal">
      <formula>"Media"</formula>
    </cfRule>
    <cfRule type="cellIs" dxfId="527" priority="75" operator="equal">
      <formula>"Baja"</formula>
    </cfRule>
    <cfRule type="cellIs" dxfId="526" priority="76" operator="equal">
      <formula>"Muy Baja"</formula>
    </cfRule>
  </conditionalFormatting>
  <conditionalFormatting sqref="AH48:AH53">
    <cfRule type="cellIs" dxfId="525" priority="67" operator="equal">
      <formula>"Catastrófico"</formula>
    </cfRule>
    <cfRule type="cellIs" dxfId="524" priority="68" operator="equal">
      <formula>"Mayor"</formula>
    </cfRule>
    <cfRule type="cellIs" dxfId="523" priority="69" operator="equal">
      <formula>"Moderado"</formula>
    </cfRule>
    <cfRule type="cellIs" dxfId="522" priority="70" operator="equal">
      <formula>"Menor"</formula>
    </cfRule>
    <cfRule type="cellIs" dxfId="521" priority="71" operator="equal">
      <formula>"Leve"</formula>
    </cfRule>
  </conditionalFormatting>
  <conditionalFormatting sqref="AJ48:AJ53">
    <cfRule type="cellIs" dxfId="520" priority="63" operator="equal">
      <formula>"Extremo"</formula>
    </cfRule>
    <cfRule type="cellIs" dxfId="519" priority="64" operator="equal">
      <formula>"Alto"</formula>
    </cfRule>
    <cfRule type="cellIs" dxfId="518" priority="65" operator="equal">
      <formula>"Moderado"</formula>
    </cfRule>
    <cfRule type="cellIs" dxfId="517" priority="66" operator="equal">
      <formula>"Bajo"</formula>
    </cfRule>
  </conditionalFormatting>
  <conditionalFormatting sqref="U54">
    <cfRule type="cellIs" dxfId="516" priority="49" operator="equal">
      <formula>"Extremo"</formula>
    </cfRule>
    <cfRule type="cellIs" dxfId="515" priority="50" operator="equal">
      <formula>"Alto"</formula>
    </cfRule>
    <cfRule type="cellIs" dxfId="514" priority="51" operator="equal">
      <formula>"Moderado"</formula>
    </cfRule>
    <cfRule type="cellIs" dxfId="513" priority="52" operator="equal">
      <formula>"Bajo"</formula>
    </cfRule>
  </conditionalFormatting>
  <conditionalFormatting sqref="AF54:AF59">
    <cfRule type="cellIs" dxfId="512" priority="44" operator="equal">
      <formula>"Muy Alta"</formula>
    </cfRule>
    <cfRule type="cellIs" dxfId="511" priority="45" operator="equal">
      <formula>"Alta"</formula>
    </cfRule>
    <cfRule type="cellIs" dxfId="510" priority="46" operator="equal">
      <formula>"Media"</formula>
    </cfRule>
    <cfRule type="cellIs" dxfId="509" priority="47" operator="equal">
      <formula>"Baja"</formula>
    </cfRule>
    <cfRule type="cellIs" dxfId="508" priority="48" operator="equal">
      <formula>"Muy Baja"</formula>
    </cfRule>
  </conditionalFormatting>
  <conditionalFormatting sqref="AH54:AH59">
    <cfRule type="cellIs" dxfId="507" priority="39" operator="equal">
      <formula>"Catastrófico"</formula>
    </cfRule>
    <cfRule type="cellIs" dxfId="506" priority="40" operator="equal">
      <formula>"Mayor"</formula>
    </cfRule>
    <cfRule type="cellIs" dxfId="505" priority="41" operator="equal">
      <formula>"Moderado"</formula>
    </cfRule>
    <cfRule type="cellIs" dxfId="504" priority="42" operator="equal">
      <formula>"Menor"</formula>
    </cfRule>
    <cfRule type="cellIs" dxfId="503" priority="43" operator="equal">
      <formula>"Leve"</formula>
    </cfRule>
  </conditionalFormatting>
  <conditionalFormatting sqref="AJ54:AJ59">
    <cfRule type="cellIs" dxfId="502" priority="35" operator="equal">
      <formula>"Extremo"</formula>
    </cfRule>
    <cfRule type="cellIs" dxfId="501" priority="36" operator="equal">
      <formula>"Alto"</formula>
    </cfRule>
    <cfRule type="cellIs" dxfId="500" priority="37" operator="equal">
      <formula>"Moderado"</formula>
    </cfRule>
    <cfRule type="cellIs" dxfId="499" priority="38" operator="equal">
      <formula>"Bajo"</formula>
    </cfRule>
  </conditionalFormatting>
  <conditionalFormatting sqref="O60">
    <cfRule type="cellIs" dxfId="498" priority="30" operator="equal">
      <formula>"Muy Alta"</formula>
    </cfRule>
    <cfRule type="cellIs" dxfId="497" priority="31" operator="equal">
      <formula>"Alta"</formula>
    </cfRule>
    <cfRule type="cellIs" dxfId="496" priority="32" operator="equal">
      <formula>"Media"</formula>
    </cfRule>
    <cfRule type="cellIs" dxfId="495" priority="33" operator="equal">
      <formula>"Baja"</formula>
    </cfRule>
    <cfRule type="cellIs" dxfId="494" priority="34" operator="equal">
      <formula>"Muy Baja"</formula>
    </cfRule>
  </conditionalFormatting>
  <conditionalFormatting sqref="U60">
    <cfRule type="cellIs" dxfId="493" priority="21" operator="equal">
      <formula>"Extremo"</formula>
    </cfRule>
    <cfRule type="cellIs" dxfId="492" priority="22" operator="equal">
      <formula>"Alto"</formula>
    </cfRule>
    <cfRule type="cellIs" dxfId="491" priority="23" operator="equal">
      <formula>"Moderado"</formula>
    </cfRule>
    <cfRule type="cellIs" dxfId="490" priority="24" operator="equal">
      <formula>"Bajo"</formula>
    </cfRule>
  </conditionalFormatting>
  <conditionalFormatting sqref="AF60:AF65">
    <cfRule type="cellIs" dxfId="489" priority="16" operator="equal">
      <formula>"Muy Alta"</formula>
    </cfRule>
    <cfRule type="cellIs" dxfId="488" priority="17" operator="equal">
      <formula>"Alta"</formula>
    </cfRule>
    <cfRule type="cellIs" dxfId="487" priority="18" operator="equal">
      <formula>"Media"</formula>
    </cfRule>
    <cfRule type="cellIs" dxfId="486" priority="19" operator="equal">
      <formula>"Baja"</formula>
    </cfRule>
    <cfRule type="cellIs" dxfId="485" priority="20" operator="equal">
      <formula>"Muy Baja"</formula>
    </cfRule>
  </conditionalFormatting>
  <conditionalFormatting sqref="AH60:AH65">
    <cfRule type="cellIs" dxfId="484" priority="11" operator="equal">
      <formula>"Catastrófico"</formula>
    </cfRule>
    <cfRule type="cellIs" dxfId="483" priority="12" operator="equal">
      <formula>"Mayor"</formula>
    </cfRule>
    <cfRule type="cellIs" dxfId="482" priority="13" operator="equal">
      <formula>"Moderado"</formula>
    </cfRule>
    <cfRule type="cellIs" dxfId="481" priority="14" operator="equal">
      <formula>"Menor"</formula>
    </cfRule>
    <cfRule type="cellIs" dxfId="480" priority="15" operator="equal">
      <formula>"Leve"</formula>
    </cfRule>
  </conditionalFormatting>
  <conditionalFormatting sqref="AJ60:AJ65">
    <cfRule type="cellIs" dxfId="479" priority="7" operator="equal">
      <formula>"Extremo"</formula>
    </cfRule>
    <cfRule type="cellIs" dxfId="478" priority="8" operator="equal">
      <formula>"Alto"</formula>
    </cfRule>
    <cfRule type="cellIs" dxfId="477" priority="9" operator="equal">
      <formula>"Moderado"</formula>
    </cfRule>
    <cfRule type="cellIs" dxfId="476" priority="10" operator="equal">
      <formula>"Bajo"</formula>
    </cfRule>
  </conditionalFormatting>
  <conditionalFormatting sqref="R13:R65">
    <cfRule type="containsText" dxfId="475" priority="6" operator="containsText" text="❌">
      <formula>NOT(ISERROR(SEARCH("❌",R13)))</formula>
    </cfRule>
  </conditionalFormatting>
  <conditionalFormatting sqref="O48">
    <cfRule type="cellIs" dxfId="474" priority="1" operator="equal">
      <formula>"Muy Alta"</formula>
    </cfRule>
    <cfRule type="cellIs" dxfId="473" priority="2" operator="equal">
      <formula>"Alta"</formula>
    </cfRule>
    <cfRule type="cellIs" dxfId="472" priority="3" operator="equal">
      <formula>"Media"</formula>
    </cfRule>
    <cfRule type="cellIs" dxfId="471" priority="4" operator="equal">
      <formula>"Baja"</formula>
    </cfRule>
    <cfRule type="cellIs" dxfId="470"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www.umv.gov.co&amp;CDESI-FM-018
Página &amp;P de &amp;N</oddFooter>
  </headerFooter>
  <colBreaks count="1" manualBreakCount="1">
    <brk id="20" max="75" man="1"/>
  </colBreaks>
  <ignoredErrors>
    <ignoredError sqref="AI15" formula="1"/>
  </ignoredErrors>
  <drawing r:id="rId2"/>
  <legacyDrawing r:id="rId3"/>
  <extLst>
    <ext xmlns:x14="http://schemas.microsoft.com/office/spreadsheetml/2009/9/main" uri="{CCE6A557-97BC-4b89-ADB6-D9C93CAAB3DF}">
      <x14:dataValidations xmlns:xm="http://schemas.microsoft.com/office/excel/2006/main" count="14">
        <x14:dataValidation type="custom" allowBlank="1" showInputMessage="1" showErrorMessage="1" error="Recuerde que las acciones se generan bajo la medida de mitigar el riesgo" xr:uid="{00000000-0002-0000-0300-000000000000}">
          <x14:formula1>
            <xm:f>IF(OR(#REF!=Listas!$B$2,#REF!=Listas!$B$3,#REF!=Listas!$B$4),ISBLANK(#REF!),ISTEXT(#REF!))</xm:f>
          </x14:formula1>
          <xm:sqref>AP16:AR16 AP60:AR60 AP54:AR54 AP48:AR48 AP42:AR42 AP36:AR36 AP30:AR30 AP24:AR24 AP18:AR18</xm:sqref>
        </x14:dataValidation>
        <x14:dataValidation type="list" allowBlank="1" showInputMessage="1" showErrorMessage="1" xr:uid="{00000000-0002-0000-0300-000001000000}">
          <x14:formula1>
            <xm:f>Intructivo!$C$300:$C$316</xm:f>
          </x14:formula1>
          <xm:sqref>C6 U6:V6</xm:sqref>
        </x14:dataValidation>
        <x14:dataValidation type="list" allowBlank="1" showInputMessage="1" showErrorMessage="1" xr:uid="{00000000-0002-0000-0300-000002000000}">
          <x14:formula1>
            <xm:f>'Tabla Valoración controles'!$D$4:$D$6</xm:f>
          </x14:formula1>
          <xm:sqref>Y13:Y65</xm:sqref>
        </x14:dataValidation>
        <x14:dataValidation type="list" allowBlank="1" showInputMessage="1" showErrorMessage="1" xr:uid="{00000000-0002-0000-0300-000003000000}">
          <x14:formula1>
            <xm:f>'Tabla Valoración controles'!$D$7:$D$8</xm:f>
          </x14:formula1>
          <xm:sqref>Z13:Z65</xm:sqref>
        </x14:dataValidation>
        <x14:dataValidation type="list" allowBlank="1" showInputMessage="1" showErrorMessage="1" xr:uid="{00000000-0002-0000-0300-000004000000}">
          <x14:formula1>
            <xm:f>'Tabla Valoración controles'!$D$9:$D$10</xm:f>
          </x14:formula1>
          <xm:sqref>AB13:AB65</xm:sqref>
        </x14:dataValidation>
        <x14:dataValidation type="list" allowBlank="1" showInputMessage="1" showErrorMessage="1" xr:uid="{00000000-0002-0000-0300-000005000000}">
          <x14:formula1>
            <xm:f>'Tabla Valoración controles'!$D$11:$D$12</xm:f>
          </x14:formula1>
          <xm:sqref>AC13:AC65</xm:sqref>
        </x14:dataValidation>
        <x14:dataValidation type="list" allowBlank="1" showInputMessage="1" showErrorMessage="1" xr:uid="{00000000-0002-0000-0300-000006000000}">
          <x14:formula1>
            <xm:f>'Tabla Valoración controles'!$D$13:$D$14</xm:f>
          </x14:formula1>
          <xm:sqref>AD13:AD65</xm:sqref>
        </x14:dataValidation>
        <x14:dataValidation type="list" allowBlank="1" showInputMessage="1" showErrorMessage="1" xr:uid="{00000000-0002-0000-0300-000007000000}">
          <x14:formula1>
            <xm:f>Listas!$E$2:$E$4</xm:f>
          </x14:formula1>
          <xm:sqref>B13:B65</xm:sqref>
        </x14:dataValidation>
        <x14:dataValidation type="list" allowBlank="1" showInputMessage="1" showErrorMessage="1" xr:uid="{00000000-0002-0000-0300-000008000000}">
          <x14:formula1>
            <xm:f>Listas!$B$2:$B$5</xm:f>
          </x14:formula1>
          <xm:sqref>AK13:AK65</xm:sqref>
        </x14:dataValidation>
        <x14:dataValidation type="list" allowBlank="1" showInputMessage="1" showErrorMessage="1" xr:uid="{00000000-0002-0000-0300-000009000000}">
          <x14:formula1>
            <xm:f>'Tabla Impacto'!$F$211:$F$222</xm:f>
          </x14:formula1>
          <xm:sqref>Q13:Q65</xm:sqref>
        </x14:dataValidation>
        <x14:dataValidation type="list" allowBlank="1" showInputMessage="1" showErrorMessage="1" xr:uid="{00000000-0002-0000-0300-00000A000000}">
          <x14:formula1>
            <xm:f>Listas!$B$12:$B$16</xm:f>
          </x14:formula1>
          <xm:sqref>F13:F65</xm:sqref>
        </x14:dataValidation>
        <x14:dataValidation type="list" allowBlank="1" showInputMessage="1" showErrorMessage="1" xr:uid="{00000000-0002-0000-0300-00000B000000}">
          <x14:formula1>
            <xm:f>Listas!$F$8:$F$9</xm:f>
          </x14:formula1>
          <xm:sqref>G13:G65</xm:sqref>
        </x14:dataValidation>
        <x14:dataValidation type="list" allowBlank="1" showInputMessage="1" showErrorMessage="1" xr:uid="{00000000-0002-0000-0300-00000C000000}">
          <x14:formula1>
            <xm:f>Listas!$H$8:$H$12</xm:f>
          </x14:formula1>
          <xm:sqref>L13:L65</xm:sqref>
        </x14:dataValidation>
        <x14:dataValidation type="list" allowBlank="1" showInputMessage="1" showErrorMessage="1" xr:uid="{00000000-0002-0000-0300-00000D000000}">
          <x14:formula1>
            <xm:f>Listas!$H$14:$H$18</xm:f>
          </x14:formula1>
          <xm:sqref>M13:M65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zoomScale="40" zoomScaleNormal="40" workbookViewId="0">
      <selection activeCell="Z14" sqref="Z14:AA15"/>
    </sheetView>
  </sheetViews>
  <sheetFormatPr baseColWidth="10" defaultColWidth="11.42578125" defaultRowHeight="15" x14ac:dyDescent="0.25"/>
  <cols>
    <col min="2" max="39" width="5.7109375" customWidth="1"/>
    <col min="41" max="46" width="5.7109375" customWidth="1"/>
  </cols>
  <sheetData>
    <row r="1" spans="1:99"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25">
      <c r="A2" s="66"/>
      <c r="B2" s="466" t="s">
        <v>263</v>
      </c>
      <c r="C2" s="466"/>
      <c r="D2" s="466"/>
      <c r="E2" s="466"/>
      <c r="F2" s="466"/>
      <c r="G2" s="466"/>
      <c r="H2" s="466"/>
      <c r="I2" s="466"/>
      <c r="J2" s="503" t="s">
        <v>15</v>
      </c>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25">
      <c r="A3" s="66"/>
      <c r="B3" s="466"/>
      <c r="C3" s="466"/>
      <c r="D3" s="466"/>
      <c r="E3" s="466"/>
      <c r="F3" s="466"/>
      <c r="G3" s="466"/>
      <c r="H3" s="466"/>
      <c r="I3" s="466"/>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25">
      <c r="A4" s="66"/>
      <c r="B4" s="466"/>
      <c r="C4" s="466"/>
      <c r="D4" s="466"/>
      <c r="E4" s="466"/>
      <c r="F4" s="466"/>
      <c r="G4" s="466"/>
      <c r="H4" s="466"/>
      <c r="I4" s="466"/>
      <c r="J4" s="503"/>
      <c r="K4" s="503"/>
      <c r="L4" s="503"/>
      <c r="M4" s="503"/>
      <c r="N4" s="503"/>
      <c r="O4" s="503"/>
      <c r="P4" s="503"/>
      <c r="Q4" s="503"/>
      <c r="R4" s="503"/>
      <c r="S4" s="503"/>
      <c r="T4" s="503"/>
      <c r="U4" s="503"/>
      <c r="V4" s="503"/>
      <c r="W4" s="503"/>
      <c r="X4" s="503"/>
      <c r="Y4" s="503"/>
      <c r="Z4" s="503"/>
      <c r="AA4" s="503"/>
      <c r="AB4" s="503"/>
      <c r="AC4" s="503"/>
      <c r="AD4" s="503"/>
      <c r="AE4" s="503"/>
      <c r="AF4" s="503"/>
      <c r="AG4" s="503"/>
      <c r="AH4" s="503"/>
      <c r="AI4" s="503"/>
      <c r="AJ4" s="503"/>
      <c r="AK4" s="503"/>
      <c r="AL4" s="503"/>
      <c r="AM4" s="503"/>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25">
      <c r="A6" s="66"/>
      <c r="B6" s="514" t="s">
        <v>264</v>
      </c>
      <c r="C6" s="514"/>
      <c r="D6" s="515"/>
      <c r="E6" s="504" t="s">
        <v>265</v>
      </c>
      <c r="F6" s="505"/>
      <c r="G6" s="505"/>
      <c r="H6" s="505"/>
      <c r="I6" s="506"/>
      <c r="J6" s="500" t="str">
        <f>IF(AND('Riesgos de Gestión'!$O$13="Muy Alta",'Riesgos de Gestión'!$S$13="Leve"),CONCATENATE("R",'Riesgos de Gestión'!$A$13),"")</f>
        <v/>
      </c>
      <c r="K6" s="501"/>
      <c r="L6" s="501" t="str">
        <f>IF(AND('Riesgos de Gestión'!$O$16="Muy Alta",'Riesgos de Gestión'!$S$16="Leve"),CONCATENATE("R",'Riesgos de Gestión'!$A$16),"")</f>
        <v/>
      </c>
      <c r="M6" s="501"/>
      <c r="N6" s="501" t="str">
        <f>IF(AND('Riesgos de Gestión'!$O$18="Muy Alta",'Riesgos de Gestión'!$S$18="Leve"),CONCATENATE("R",'Riesgos de Gestión'!$A$18),"")</f>
        <v/>
      </c>
      <c r="O6" s="502"/>
      <c r="P6" s="500" t="str">
        <f>IF(AND('Riesgos de Gestión'!$O$13="Muy Alta",'Riesgos de Gestión'!$S$13="Menor"),CONCATENATE("R",'Riesgos de Gestión'!$A$13),"")</f>
        <v/>
      </c>
      <c r="Q6" s="501"/>
      <c r="R6" s="501" t="str">
        <f>IF(AND('Riesgos de Gestión'!$O$16="Muy Alta",'Riesgos de Gestión'!$S$16="Menor"),CONCATENATE("R",'Riesgos de Gestión'!$A$16),"")</f>
        <v/>
      </c>
      <c r="S6" s="501"/>
      <c r="T6" s="501" t="str">
        <f>IF(AND('Riesgos de Gestión'!$O$18="Muy Alta",'Riesgos de Gestión'!$S$18="Menor"),CONCATENATE("R",'Riesgos de Gestión'!$A$18),"")</f>
        <v/>
      </c>
      <c r="U6" s="502"/>
      <c r="V6" s="500" t="str">
        <f>IF(AND('Riesgos de Gestión'!$O$13="Muy Alta",'Riesgos de Gestión'!$S$13="Moderado"),CONCATENATE("R",'Riesgos de Gestión'!$A$13),"")</f>
        <v/>
      </c>
      <c r="W6" s="501"/>
      <c r="X6" s="501" t="str">
        <f>IF(AND('Riesgos de Gestión'!$O$16="Muy Alta",'Riesgos de Gestión'!$S$16="Moderado"),CONCATENATE("R",'Riesgos de Gestión'!$A$16),"")</f>
        <v/>
      </c>
      <c r="Y6" s="501"/>
      <c r="Z6" s="501" t="str">
        <f>IF(AND('Riesgos de Gestión'!$O$18="Muy Alta",'Riesgos de Gestión'!$S$18="Moderado"),CONCATENATE("R",'Riesgos de Gestión'!$A$18),"")</f>
        <v/>
      </c>
      <c r="AA6" s="502"/>
      <c r="AB6" s="500" t="str">
        <f>IF(AND('Riesgos de Gestión'!$O$13="Muy Alta",'Riesgos de Gestión'!$S$13="Mayor"),CONCATENATE("R",'Riesgos de Gestión'!$A$13),"")</f>
        <v/>
      </c>
      <c r="AC6" s="501"/>
      <c r="AD6" s="501" t="str">
        <f>IF(AND('Riesgos de Gestión'!$O$16="Muy Alta",'Riesgos de Gestión'!$S$16="Mayor"),CONCATENATE("R",'Riesgos de Gestión'!$A$16),"")</f>
        <v/>
      </c>
      <c r="AE6" s="501"/>
      <c r="AF6" s="501" t="str">
        <f>IF(AND('Riesgos de Gestión'!$O$18="Muy Alta",'Riesgos de Gestión'!$S$18="Mayor"),CONCATENATE("R",'Riesgos de Gestión'!$A$18),"")</f>
        <v/>
      </c>
      <c r="AG6" s="502"/>
      <c r="AH6" s="491" t="str">
        <f>IF(AND('Riesgos de Gestión'!$O$13="Muy Alta",'Riesgos de Gestión'!$S$13="Catastrófico"),CONCATENATE("R",'Riesgos de Gestión'!$A$13),"")</f>
        <v/>
      </c>
      <c r="AI6" s="492"/>
      <c r="AJ6" s="492" t="str">
        <f>IF(AND('Riesgos de Gestión'!$O$16="Muy Alta",'Riesgos de Gestión'!$S$16="Catastrófico"),CONCATENATE("R",'Riesgos de Gestión'!$A$16),"")</f>
        <v/>
      </c>
      <c r="AK6" s="492"/>
      <c r="AL6" s="492" t="str">
        <f>IF(AND('Riesgos de Gestión'!$O$18="Muy Alta",'Riesgos de Gestión'!$S$18="Catastrófico"),CONCATENATE("R",'Riesgos de Gestión'!$A$18),"")</f>
        <v/>
      </c>
      <c r="AM6" s="493"/>
      <c r="AO6" s="516" t="s">
        <v>266</v>
      </c>
      <c r="AP6" s="517"/>
      <c r="AQ6" s="517"/>
      <c r="AR6" s="517"/>
      <c r="AS6" s="517"/>
      <c r="AT6" s="518"/>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25">
      <c r="A7" s="66"/>
      <c r="B7" s="514"/>
      <c r="C7" s="514"/>
      <c r="D7" s="515"/>
      <c r="E7" s="507"/>
      <c r="F7" s="508"/>
      <c r="G7" s="508"/>
      <c r="H7" s="508"/>
      <c r="I7" s="509"/>
      <c r="J7" s="494"/>
      <c r="K7" s="495"/>
      <c r="L7" s="495"/>
      <c r="M7" s="495"/>
      <c r="N7" s="495"/>
      <c r="O7" s="496"/>
      <c r="P7" s="494"/>
      <c r="Q7" s="495"/>
      <c r="R7" s="495"/>
      <c r="S7" s="495"/>
      <c r="T7" s="495"/>
      <c r="U7" s="496"/>
      <c r="V7" s="494"/>
      <c r="W7" s="495"/>
      <c r="X7" s="495"/>
      <c r="Y7" s="495"/>
      <c r="Z7" s="495"/>
      <c r="AA7" s="496"/>
      <c r="AB7" s="494"/>
      <c r="AC7" s="495"/>
      <c r="AD7" s="495"/>
      <c r="AE7" s="495"/>
      <c r="AF7" s="495"/>
      <c r="AG7" s="496"/>
      <c r="AH7" s="485"/>
      <c r="AI7" s="486"/>
      <c r="AJ7" s="486"/>
      <c r="AK7" s="486"/>
      <c r="AL7" s="486"/>
      <c r="AM7" s="487"/>
      <c r="AN7" s="66"/>
      <c r="AO7" s="519"/>
      <c r="AP7" s="520"/>
      <c r="AQ7" s="520"/>
      <c r="AR7" s="520"/>
      <c r="AS7" s="520"/>
      <c r="AT7" s="521"/>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25">
      <c r="A8" s="66"/>
      <c r="B8" s="514"/>
      <c r="C8" s="514"/>
      <c r="D8" s="515"/>
      <c r="E8" s="507"/>
      <c r="F8" s="508"/>
      <c r="G8" s="508"/>
      <c r="H8" s="508"/>
      <c r="I8" s="509"/>
      <c r="J8" s="494" t="str">
        <f>IF(AND('Riesgos de Gestión'!$O$24="Muy Alta",'Riesgos de Gestión'!$S$24="Leve"),CONCATENATE("R",'Riesgos de Gestión'!$A$24),"")</f>
        <v/>
      </c>
      <c r="K8" s="495"/>
      <c r="L8" s="495" t="str">
        <f>IF(AND('Riesgos de Gestión'!$O$30="Muy Alta",'Riesgos de Gestión'!$S$30="Leve"),CONCATENATE("R",'Riesgos de Gestión'!$A$30),"")</f>
        <v/>
      </c>
      <c r="M8" s="495"/>
      <c r="N8" s="495" t="str">
        <f>IF(AND('Riesgos de Gestión'!$O$36="Muy Alta",'Riesgos de Gestión'!$S$36="Leve"),CONCATENATE("R",'Riesgos de Gestión'!$A$36),"")</f>
        <v/>
      </c>
      <c r="O8" s="496"/>
      <c r="P8" s="494" t="str">
        <f>IF(AND('Riesgos de Gestión'!$O$24="Muy Alta",'Riesgos de Gestión'!$S$24="Menor"),CONCATENATE("R",'Riesgos de Gestión'!$A$24),"")</f>
        <v/>
      </c>
      <c r="Q8" s="495"/>
      <c r="R8" s="495" t="str">
        <f>IF(AND('Riesgos de Gestión'!$O$30="Muy Alta",'Riesgos de Gestión'!$S$30="Menor"),CONCATENATE("R",'Riesgos de Gestión'!$A$30),"")</f>
        <v/>
      </c>
      <c r="S8" s="495"/>
      <c r="T8" s="495" t="str">
        <f>IF(AND('Riesgos de Gestión'!$O$36="Muy Alta",'Riesgos de Gestión'!$S$36="Menor"),CONCATENATE("R",'Riesgos de Gestión'!$A$36),"")</f>
        <v/>
      </c>
      <c r="U8" s="496"/>
      <c r="V8" s="494" t="str">
        <f>IF(AND('Riesgos de Gestión'!$O$24="Muy Alta",'Riesgos de Gestión'!$S$24="Moderado"),CONCATENATE("R",'Riesgos de Gestión'!$A$24),"")</f>
        <v/>
      </c>
      <c r="W8" s="495"/>
      <c r="X8" s="495" t="str">
        <f>IF(AND('Riesgos de Gestión'!$O$30="Muy Alta",'Riesgos de Gestión'!$S$30="Moderado"),CONCATENATE("R",'Riesgos de Gestión'!$A$30),"")</f>
        <v/>
      </c>
      <c r="Y8" s="495"/>
      <c r="Z8" s="495" t="str">
        <f>IF(AND('Riesgos de Gestión'!$O$36="Muy Alta",'Riesgos de Gestión'!$S$36="Moderado"),CONCATENATE("R",'Riesgos de Gestión'!$A$36),"")</f>
        <v/>
      </c>
      <c r="AA8" s="496"/>
      <c r="AB8" s="494" t="str">
        <f>IF(AND('Riesgos de Gestión'!$O$24="Muy Alta",'Riesgos de Gestión'!$S$24="Mayor"),CONCATENATE("R",'Riesgos de Gestión'!$A$24),"")</f>
        <v/>
      </c>
      <c r="AC8" s="495"/>
      <c r="AD8" s="495" t="str">
        <f>IF(AND('Riesgos de Gestión'!$O$30="Muy Alta",'Riesgos de Gestión'!$S$30="Mayor"),CONCATENATE("R",'Riesgos de Gestión'!$A$30),"")</f>
        <v/>
      </c>
      <c r="AE8" s="495"/>
      <c r="AF8" s="495" t="str">
        <f>IF(AND('Riesgos de Gestión'!$O$36="Muy Alta",'Riesgos de Gestión'!$S$36="Mayor"),CONCATENATE("R",'Riesgos de Gestión'!$A$36),"")</f>
        <v/>
      </c>
      <c r="AG8" s="496"/>
      <c r="AH8" s="485" t="str">
        <f>IF(AND('Riesgos de Gestión'!$O$24="Muy Alta",'Riesgos de Gestión'!$S$24="Catastrófico"),CONCATENATE("R",'Riesgos de Gestión'!$A$24),"")</f>
        <v/>
      </c>
      <c r="AI8" s="486"/>
      <c r="AJ8" s="486" t="str">
        <f>IF(AND('Riesgos de Gestión'!$O$30="Muy Alta",'Riesgos de Gestión'!$S$30="Catastrófico"),CONCATENATE("R",'Riesgos de Gestión'!$A$30),"")</f>
        <v/>
      </c>
      <c r="AK8" s="486"/>
      <c r="AL8" s="486" t="str">
        <f>IF(AND('Riesgos de Gestión'!$O$36="Muy Alta",'Riesgos de Gestión'!$S$36="Catastrófico"),CONCATENATE("R",'Riesgos de Gestión'!$A$36),"")</f>
        <v/>
      </c>
      <c r="AM8" s="487"/>
      <c r="AN8" s="66"/>
      <c r="AO8" s="519"/>
      <c r="AP8" s="520"/>
      <c r="AQ8" s="520"/>
      <c r="AR8" s="520"/>
      <c r="AS8" s="520"/>
      <c r="AT8" s="521"/>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25">
      <c r="A9" s="66"/>
      <c r="B9" s="514"/>
      <c r="C9" s="514"/>
      <c r="D9" s="515"/>
      <c r="E9" s="507"/>
      <c r="F9" s="508"/>
      <c r="G9" s="508"/>
      <c r="H9" s="508"/>
      <c r="I9" s="509"/>
      <c r="J9" s="494"/>
      <c r="K9" s="495"/>
      <c r="L9" s="495"/>
      <c r="M9" s="495"/>
      <c r="N9" s="495"/>
      <c r="O9" s="496"/>
      <c r="P9" s="494"/>
      <c r="Q9" s="495"/>
      <c r="R9" s="495"/>
      <c r="S9" s="495"/>
      <c r="T9" s="495"/>
      <c r="U9" s="496"/>
      <c r="V9" s="494"/>
      <c r="W9" s="495"/>
      <c r="X9" s="495"/>
      <c r="Y9" s="495"/>
      <c r="Z9" s="495"/>
      <c r="AA9" s="496"/>
      <c r="AB9" s="494"/>
      <c r="AC9" s="495"/>
      <c r="AD9" s="495"/>
      <c r="AE9" s="495"/>
      <c r="AF9" s="495"/>
      <c r="AG9" s="496"/>
      <c r="AH9" s="485"/>
      <c r="AI9" s="486"/>
      <c r="AJ9" s="486"/>
      <c r="AK9" s="486"/>
      <c r="AL9" s="486"/>
      <c r="AM9" s="487"/>
      <c r="AN9" s="66"/>
      <c r="AO9" s="519"/>
      <c r="AP9" s="520"/>
      <c r="AQ9" s="520"/>
      <c r="AR9" s="520"/>
      <c r="AS9" s="520"/>
      <c r="AT9" s="521"/>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25">
      <c r="A10" s="66"/>
      <c r="B10" s="514"/>
      <c r="C10" s="514"/>
      <c r="D10" s="515"/>
      <c r="E10" s="507"/>
      <c r="F10" s="508"/>
      <c r="G10" s="508"/>
      <c r="H10" s="508"/>
      <c r="I10" s="509"/>
      <c r="J10" s="494" t="str">
        <f>IF(AND('Riesgos de Gestión'!$O$42="Muy Alta",'Riesgos de Gestión'!$S$42="Leve"),CONCATENATE("R",'Riesgos de Gestión'!$A$42),"")</f>
        <v/>
      </c>
      <c r="K10" s="495"/>
      <c r="L10" s="495" t="str">
        <f>IF(AND('Riesgos de Gestión'!$O$48="Muy Alta",'Riesgos de Gestión'!$S$48="Leve"),CONCATENATE("R",'Riesgos de Gestión'!$A$48),"")</f>
        <v/>
      </c>
      <c r="M10" s="495"/>
      <c r="N10" s="495" t="str">
        <f>IF(AND('Riesgos de Gestión'!$O$54="Muy Alta",'Riesgos de Gestión'!$S$54="Leve"),CONCATENATE("R",'Riesgos de Gestión'!$A$54),"")</f>
        <v/>
      </c>
      <c r="O10" s="496"/>
      <c r="P10" s="494" t="str">
        <f>IF(AND('Riesgos de Gestión'!$O$42="Muy Alta",'Riesgos de Gestión'!$S$42="Menor"),CONCATENATE("R",'Riesgos de Gestión'!$A$42),"")</f>
        <v/>
      </c>
      <c r="Q10" s="495"/>
      <c r="R10" s="495" t="str">
        <f>IF(AND('Riesgos de Gestión'!$O$48="Muy Alta",'Riesgos de Gestión'!$S$48="Menor"),CONCATENATE("R",'Riesgos de Gestión'!$A$48),"")</f>
        <v/>
      </c>
      <c r="S10" s="495"/>
      <c r="T10" s="495" t="str">
        <f>IF(AND('Riesgos de Gestión'!$O$54="Muy Alta",'Riesgos de Gestión'!$S$54="Menor"),CONCATENATE("R",'Riesgos de Gestión'!$A$54),"")</f>
        <v/>
      </c>
      <c r="U10" s="496"/>
      <c r="V10" s="494" t="str">
        <f>IF(AND('Riesgos de Gestión'!$O$42="Muy Alta",'Riesgos de Gestión'!$S$42="Moderado"),CONCATENATE("R",'Riesgos de Gestión'!$A$42),"")</f>
        <v/>
      </c>
      <c r="W10" s="495"/>
      <c r="X10" s="495" t="str">
        <f>IF(AND('Riesgos de Gestión'!$O$48="Muy Alta",'Riesgos de Gestión'!$S$48="Moderado"),CONCATENATE("R",'Riesgos de Gestión'!$A$48),"")</f>
        <v/>
      </c>
      <c r="Y10" s="495"/>
      <c r="Z10" s="495" t="str">
        <f>IF(AND('Riesgos de Gestión'!$O$54="Muy Alta",'Riesgos de Gestión'!$S$54="Moderado"),CONCATENATE("R",'Riesgos de Gestión'!$A$54),"")</f>
        <v/>
      </c>
      <c r="AA10" s="496"/>
      <c r="AB10" s="494" t="str">
        <f>IF(AND('Riesgos de Gestión'!$O$42="Muy Alta",'Riesgos de Gestión'!$S$42="Mayor"),CONCATENATE("R",'Riesgos de Gestión'!$A$42),"")</f>
        <v/>
      </c>
      <c r="AC10" s="495"/>
      <c r="AD10" s="495" t="str">
        <f>IF(AND('Riesgos de Gestión'!$O$48="Muy Alta",'Riesgos de Gestión'!$S$48="Mayor"),CONCATENATE("R",'Riesgos de Gestión'!$A$48),"")</f>
        <v/>
      </c>
      <c r="AE10" s="495"/>
      <c r="AF10" s="495" t="str">
        <f>IF(AND('Riesgos de Gestión'!$O$54="Muy Alta",'Riesgos de Gestión'!$S$54="Mayor"),CONCATENATE("R",'Riesgos de Gestión'!$A$54),"")</f>
        <v/>
      </c>
      <c r="AG10" s="496"/>
      <c r="AH10" s="485" t="str">
        <f>IF(AND('Riesgos de Gestión'!$O$42="Muy Alta",'Riesgos de Gestión'!$S$42="Catastrófico"),CONCATENATE("R",'Riesgos de Gestión'!$A$42),"")</f>
        <v/>
      </c>
      <c r="AI10" s="486"/>
      <c r="AJ10" s="486" t="str">
        <f>IF(AND('Riesgos de Gestión'!$O$48="Muy Alta",'Riesgos de Gestión'!$S$48="Catastrófico"),CONCATENATE("R",'Riesgos de Gestión'!$A$48),"")</f>
        <v/>
      </c>
      <c r="AK10" s="486"/>
      <c r="AL10" s="486" t="str">
        <f>IF(AND('Riesgos de Gestión'!$O$54="Muy Alta",'Riesgos de Gestión'!$S$54="Catastrófico"),CONCATENATE("R",'Riesgos de Gestión'!$A$54),"")</f>
        <v/>
      </c>
      <c r="AM10" s="487"/>
      <c r="AN10" s="66"/>
      <c r="AO10" s="519"/>
      <c r="AP10" s="520"/>
      <c r="AQ10" s="520"/>
      <c r="AR10" s="520"/>
      <c r="AS10" s="520"/>
      <c r="AT10" s="521"/>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25">
      <c r="A11" s="66"/>
      <c r="B11" s="514"/>
      <c r="C11" s="514"/>
      <c r="D11" s="515"/>
      <c r="E11" s="507"/>
      <c r="F11" s="508"/>
      <c r="G11" s="508"/>
      <c r="H11" s="508"/>
      <c r="I11" s="509"/>
      <c r="J11" s="494"/>
      <c r="K11" s="495"/>
      <c r="L11" s="495"/>
      <c r="M11" s="495"/>
      <c r="N11" s="495"/>
      <c r="O11" s="496"/>
      <c r="P11" s="494"/>
      <c r="Q11" s="495"/>
      <c r="R11" s="495"/>
      <c r="S11" s="495"/>
      <c r="T11" s="495"/>
      <c r="U11" s="496"/>
      <c r="V11" s="494"/>
      <c r="W11" s="495"/>
      <c r="X11" s="495"/>
      <c r="Y11" s="495"/>
      <c r="Z11" s="495"/>
      <c r="AA11" s="496"/>
      <c r="AB11" s="494"/>
      <c r="AC11" s="495"/>
      <c r="AD11" s="495"/>
      <c r="AE11" s="495"/>
      <c r="AF11" s="495"/>
      <c r="AG11" s="496"/>
      <c r="AH11" s="485"/>
      <c r="AI11" s="486"/>
      <c r="AJ11" s="486"/>
      <c r="AK11" s="486"/>
      <c r="AL11" s="486"/>
      <c r="AM11" s="487"/>
      <c r="AN11" s="66"/>
      <c r="AO11" s="519"/>
      <c r="AP11" s="520"/>
      <c r="AQ11" s="520"/>
      <c r="AR11" s="520"/>
      <c r="AS11" s="520"/>
      <c r="AT11" s="521"/>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25">
      <c r="A12" s="66"/>
      <c r="B12" s="514"/>
      <c r="C12" s="514"/>
      <c r="D12" s="515"/>
      <c r="E12" s="507"/>
      <c r="F12" s="508"/>
      <c r="G12" s="508"/>
      <c r="H12" s="508"/>
      <c r="I12" s="509"/>
      <c r="J12" s="494" t="str">
        <f>IF(AND('Riesgos de Gestión'!$O$60="Muy Alta",'Riesgos de Gestión'!$S$60="Leve"),CONCATENATE("R",'Riesgos de Gestión'!$A$60),"")</f>
        <v/>
      </c>
      <c r="K12" s="495"/>
      <c r="L12" s="495" t="str">
        <f>IF(AND('Riesgos de Gestión'!$P$66="Muy Alta",'Riesgos de Gestión'!$T$66="Leve"),CONCATENATE("R",'Riesgos de Gestión'!$A$66),"")</f>
        <v/>
      </c>
      <c r="M12" s="495"/>
      <c r="N12" s="495" t="str">
        <f>IF(AND('Riesgos de Gestión'!$P$72="Muy Alta",'Riesgos de Gestión'!$T$72="Leve"),CONCATENATE("R",'Riesgos de Gestión'!$A$72),"")</f>
        <v/>
      </c>
      <c r="O12" s="496"/>
      <c r="P12" s="494" t="str">
        <f>IF(AND('Riesgos de Gestión'!$O$60="Muy Alta",'Riesgos de Gestión'!$S$60="Menor"),CONCATENATE("R",'Riesgos de Gestión'!$A$60),"")</f>
        <v/>
      </c>
      <c r="Q12" s="495"/>
      <c r="R12" s="495" t="str">
        <f>IF(AND('Riesgos de Gestión'!$P$66="Muy Alta",'Riesgos de Gestión'!$T$66="Menor"),CONCATENATE("R",'Riesgos de Gestión'!$A$66),"")</f>
        <v/>
      </c>
      <c r="S12" s="495"/>
      <c r="T12" s="495" t="str">
        <f>IF(AND('Riesgos de Gestión'!$P$72="Muy Alta",'Riesgos de Gestión'!$T$72="Menor"),CONCATENATE("R",'Riesgos de Gestión'!$A$72),"")</f>
        <v/>
      </c>
      <c r="U12" s="496"/>
      <c r="V12" s="494" t="str">
        <f>IF(AND('Riesgos de Gestión'!$O$60="Muy Alta",'Riesgos de Gestión'!$S$60="Moderado"),CONCATENATE("R",'Riesgos de Gestión'!$A$60),"")</f>
        <v/>
      </c>
      <c r="W12" s="495"/>
      <c r="X12" s="495" t="str">
        <f>IF(AND('Riesgos de Gestión'!$P$66="Muy Alta",'Riesgos de Gestión'!$T$66="Moderado"),CONCATENATE("R",'Riesgos de Gestión'!$A$66),"")</f>
        <v/>
      </c>
      <c r="Y12" s="495"/>
      <c r="Z12" s="495" t="str">
        <f>IF(AND('Riesgos de Gestión'!$P$72="Muy Alta",'Riesgos de Gestión'!$T$72="Moderado"),CONCATENATE("R",'Riesgos de Gestión'!$A$72),"")</f>
        <v/>
      </c>
      <c r="AA12" s="496"/>
      <c r="AB12" s="494" t="str">
        <f>IF(AND('Riesgos de Gestión'!$O$60="Muy Alta",'Riesgos de Gestión'!$S$60="Mayor"),CONCATENATE("R",'Riesgos de Gestión'!$A$60),"")</f>
        <v/>
      </c>
      <c r="AC12" s="495"/>
      <c r="AD12" s="495" t="str">
        <f>IF(AND('Riesgos de Gestión'!$P$66="Muy Alta",'Riesgos de Gestión'!$T$66="Mayor"),CONCATENATE("R",'Riesgos de Gestión'!$A$66),"")</f>
        <v/>
      </c>
      <c r="AE12" s="495"/>
      <c r="AF12" s="495" t="str">
        <f>IF(AND('Riesgos de Gestión'!$P$72="Muy Alta",'Riesgos de Gestión'!$T$72="Mayor"),CONCATENATE("R",'Riesgos de Gestión'!$A$72),"")</f>
        <v/>
      </c>
      <c r="AG12" s="496"/>
      <c r="AH12" s="485" t="str">
        <f>IF(AND('Riesgos de Gestión'!$O$60="Muy Alta",'Riesgos de Gestión'!$S$60="Catastrófico"),CONCATENATE("R",'Riesgos de Gestión'!$A$60),"")</f>
        <v/>
      </c>
      <c r="AI12" s="486"/>
      <c r="AJ12" s="486" t="str">
        <f>IF(AND('Riesgos de Gestión'!$P$66="Muy Alta",'Riesgos de Gestión'!$T$66="Catastrófico"),CONCATENATE("R",'Riesgos de Gestión'!$A$66),"")</f>
        <v/>
      </c>
      <c r="AK12" s="486"/>
      <c r="AL12" s="486" t="str">
        <f>IF(AND('Riesgos de Gestión'!$P$72="Muy Alta",'Riesgos de Gestión'!$T$72="Catastrófico"),CONCATENATE("R",'Riesgos de Gestión'!$A$72),"")</f>
        <v/>
      </c>
      <c r="AM12" s="487"/>
      <c r="AN12" s="66"/>
      <c r="AO12" s="519"/>
      <c r="AP12" s="520"/>
      <c r="AQ12" s="520"/>
      <c r="AR12" s="520"/>
      <c r="AS12" s="520"/>
      <c r="AT12" s="521"/>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
      <c r="A13" s="66"/>
      <c r="B13" s="514"/>
      <c r="C13" s="514"/>
      <c r="D13" s="515"/>
      <c r="E13" s="510"/>
      <c r="F13" s="511"/>
      <c r="G13" s="511"/>
      <c r="H13" s="511"/>
      <c r="I13" s="512"/>
      <c r="J13" s="494"/>
      <c r="K13" s="495"/>
      <c r="L13" s="495"/>
      <c r="M13" s="495"/>
      <c r="N13" s="495"/>
      <c r="O13" s="496"/>
      <c r="P13" s="494"/>
      <c r="Q13" s="495"/>
      <c r="R13" s="495"/>
      <c r="S13" s="495"/>
      <c r="T13" s="495"/>
      <c r="U13" s="496"/>
      <c r="V13" s="494"/>
      <c r="W13" s="495"/>
      <c r="X13" s="495"/>
      <c r="Y13" s="495"/>
      <c r="Z13" s="495"/>
      <c r="AA13" s="496"/>
      <c r="AB13" s="494"/>
      <c r="AC13" s="495"/>
      <c r="AD13" s="495"/>
      <c r="AE13" s="495"/>
      <c r="AF13" s="495"/>
      <c r="AG13" s="496"/>
      <c r="AH13" s="488"/>
      <c r="AI13" s="489"/>
      <c r="AJ13" s="489"/>
      <c r="AK13" s="489"/>
      <c r="AL13" s="489"/>
      <c r="AM13" s="490"/>
      <c r="AN13" s="66"/>
      <c r="AO13" s="522"/>
      <c r="AP13" s="523"/>
      <c r="AQ13" s="523"/>
      <c r="AR13" s="523"/>
      <c r="AS13" s="523"/>
      <c r="AT13" s="524"/>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25">
      <c r="A14" s="66"/>
      <c r="B14" s="514"/>
      <c r="C14" s="514"/>
      <c r="D14" s="515"/>
      <c r="E14" s="504" t="s">
        <v>267</v>
      </c>
      <c r="F14" s="505"/>
      <c r="G14" s="505"/>
      <c r="H14" s="505"/>
      <c r="I14" s="505"/>
      <c r="J14" s="482" t="str">
        <f>IF(AND('Riesgos de Gestión'!$O$13="Alta",'Riesgos de Gestión'!$S$13="Leve"),CONCATENATE("R",'Riesgos de Gestión'!$A$13),"")</f>
        <v/>
      </c>
      <c r="K14" s="483"/>
      <c r="L14" s="483" t="str">
        <f>IF(AND('Riesgos de Gestión'!$O$16="Alta",'Riesgos de Gestión'!$S$16="Leve"),CONCATENATE("R",'Riesgos de Gestión'!$A$16),"")</f>
        <v/>
      </c>
      <c r="M14" s="483"/>
      <c r="N14" s="483" t="str">
        <f>IF(AND('Riesgos de Gestión'!$O$18="Alta",'Riesgos de Gestión'!$S$18="Leve"),CONCATENATE("R",'Riesgos de Gestión'!$A$18),"")</f>
        <v/>
      </c>
      <c r="O14" s="484"/>
      <c r="P14" s="482" t="str">
        <f>IF(AND('Riesgos de Gestión'!$O$13="Alta",'Riesgos de Gestión'!$S$13="Menor"),CONCATENATE("R",'Riesgos de Gestión'!$A$13),"")</f>
        <v/>
      </c>
      <c r="Q14" s="483"/>
      <c r="R14" s="483" t="str">
        <f>IF(AND('Riesgos de Gestión'!$O$16="Alta",'Riesgos de Gestión'!$S$16="Menor"),CONCATENATE("R",'Riesgos de Gestión'!$A$16),"")</f>
        <v/>
      </c>
      <c r="S14" s="483"/>
      <c r="T14" s="483" t="str">
        <f>IF(AND('Riesgos de Gestión'!$O$18="Alta",'Riesgos de Gestión'!$S$18="Menor"),CONCATENATE("R",'Riesgos de Gestión'!$A$18),"")</f>
        <v/>
      </c>
      <c r="U14" s="484"/>
      <c r="V14" s="500" t="str">
        <f>IF(AND('Riesgos de Gestión'!$O$13="Alta",'Riesgos de Gestión'!$S$13="Moderado"),CONCATENATE("R",'Riesgos de Gestión'!$A$13),"")</f>
        <v/>
      </c>
      <c r="W14" s="501"/>
      <c r="X14" s="501" t="str">
        <f>IF(AND('Riesgos de Gestión'!$O$16="Alta",'Riesgos de Gestión'!$S$16="Moderado"),CONCATENATE("R",'Riesgos de Gestión'!$A$16),"")</f>
        <v/>
      </c>
      <c r="Y14" s="501"/>
      <c r="Z14" s="501" t="str">
        <f>IF(AND('Riesgos de Gestión'!$O$18="Alta",'Riesgos de Gestión'!$S$18="Moderado"),CONCATENATE("R",'Riesgos de Gestión'!$A$18),"")</f>
        <v/>
      </c>
      <c r="AA14" s="502"/>
      <c r="AB14" s="500" t="str">
        <f>IF(AND('Riesgos de Gestión'!$O$13="Alta",'Riesgos de Gestión'!$S$13="Mayor"),CONCATENATE("R",'Riesgos de Gestión'!$A$13),"")</f>
        <v/>
      </c>
      <c r="AC14" s="501"/>
      <c r="AD14" s="501" t="str">
        <f>IF(AND('Riesgos de Gestión'!$O$16="Alta",'Riesgos de Gestión'!$S$16="Mayor"),CONCATENATE("R",'Riesgos de Gestión'!$A$16),"")</f>
        <v/>
      </c>
      <c r="AE14" s="501"/>
      <c r="AF14" s="501" t="str">
        <f>IF(AND('Riesgos de Gestión'!$O$18="Alta",'Riesgos de Gestión'!$S$18="Mayor"),CONCATENATE("R",'Riesgos de Gestión'!$A$18),"")</f>
        <v/>
      </c>
      <c r="AG14" s="502"/>
      <c r="AH14" s="491" t="str">
        <f>IF(AND('Riesgos de Gestión'!$O$13="Alta",'Riesgos de Gestión'!$S$13="Catastrófico"),CONCATENATE("R",'Riesgos de Gestión'!$A$13),"")</f>
        <v/>
      </c>
      <c r="AI14" s="492"/>
      <c r="AJ14" s="492" t="str">
        <f>IF(AND('Riesgos de Gestión'!$O$16="Alta",'Riesgos de Gestión'!$S$16="Catastrófico"),CONCATENATE("R",'Riesgos de Gestión'!$A$16),"")</f>
        <v/>
      </c>
      <c r="AK14" s="492"/>
      <c r="AL14" s="492" t="str">
        <f>IF(AND('Riesgos de Gestión'!$O$18="Alta",'Riesgos de Gestión'!$S$18="Catastrófico"),CONCATENATE("R",'Riesgos de Gestión'!$A$18),"")</f>
        <v/>
      </c>
      <c r="AM14" s="493"/>
      <c r="AN14" s="66"/>
      <c r="AO14" s="525" t="s">
        <v>268</v>
      </c>
      <c r="AP14" s="526"/>
      <c r="AQ14" s="526"/>
      <c r="AR14" s="526"/>
      <c r="AS14" s="526"/>
      <c r="AT14" s="527"/>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25">
      <c r="A15" s="66"/>
      <c r="B15" s="514"/>
      <c r="C15" s="514"/>
      <c r="D15" s="515"/>
      <c r="E15" s="507"/>
      <c r="F15" s="508"/>
      <c r="G15" s="508"/>
      <c r="H15" s="508"/>
      <c r="I15" s="508"/>
      <c r="J15" s="476"/>
      <c r="K15" s="477"/>
      <c r="L15" s="477"/>
      <c r="M15" s="477"/>
      <c r="N15" s="477"/>
      <c r="O15" s="478"/>
      <c r="P15" s="476"/>
      <c r="Q15" s="477"/>
      <c r="R15" s="477"/>
      <c r="S15" s="477"/>
      <c r="T15" s="477"/>
      <c r="U15" s="478"/>
      <c r="V15" s="494"/>
      <c r="W15" s="495"/>
      <c r="X15" s="495"/>
      <c r="Y15" s="495"/>
      <c r="Z15" s="495"/>
      <c r="AA15" s="496"/>
      <c r="AB15" s="494"/>
      <c r="AC15" s="495"/>
      <c r="AD15" s="495"/>
      <c r="AE15" s="495"/>
      <c r="AF15" s="495"/>
      <c r="AG15" s="496"/>
      <c r="AH15" s="485"/>
      <c r="AI15" s="486"/>
      <c r="AJ15" s="486"/>
      <c r="AK15" s="486"/>
      <c r="AL15" s="486"/>
      <c r="AM15" s="487"/>
      <c r="AN15" s="66"/>
      <c r="AO15" s="528"/>
      <c r="AP15" s="529"/>
      <c r="AQ15" s="529"/>
      <c r="AR15" s="529"/>
      <c r="AS15" s="529"/>
      <c r="AT15" s="530"/>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25">
      <c r="A16" s="66"/>
      <c r="B16" s="514"/>
      <c r="C16" s="514"/>
      <c r="D16" s="515"/>
      <c r="E16" s="507"/>
      <c r="F16" s="508"/>
      <c r="G16" s="508"/>
      <c r="H16" s="508"/>
      <c r="I16" s="508"/>
      <c r="J16" s="476" t="str">
        <f>IF(AND('Riesgos de Gestión'!$O$24="Alta",'Riesgos de Gestión'!$S$24="Leve"),CONCATENATE("R",'Riesgos de Gestión'!$A$24),"")</f>
        <v/>
      </c>
      <c r="K16" s="477"/>
      <c r="L16" s="477" t="str">
        <f>IF(AND('Riesgos de Gestión'!$O$30="Alta",'Riesgos de Gestión'!$S$30="Leve"),CONCATENATE("R",'Riesgos de Gestión'!$A$30),"")</f>
        <v/>
      </c>
      <c r="M16" s="477"/>
      <c r="N16" s="477" t="str">
        <f>IF(AND('Riesgos de Gestión'!$O$36="Alta",'Riesgos de Gestión'!$S$36="Leve"),CONCATENATE("R",'Riesgos de Gestión'!$A$36),"")</f>
        <v/>
      </c>
      <c r="O16" s="478"/>
      <c r="P16" s="476" t="str">
        <f>IF(AND('Riesgos de Gestión'!$O$24="Alta",'Riesgos de Gestión'!$S$24="Menor"),CONCATENATE("R",'Riesgos de Gestión'!$A$24),"")</f>
        <v/>
      </c>
      <c r="Q16" s="477"/>
      <c r="R16" s="477" t="str">
        <f>IF(AND('Riesgos de Gestión'!$O$30="Alta",'Riesgos de Gestión'!$S$30="Menor"),CONCATENATE("R",'Riesgos de Gestión'!$A$30),"")</f>
        <v/>
      </c>
      <c r="S16" s="477"/>
      <c r="T16" s="477" t="str">
        <f>IF(AND('Riesgos de Gestión'!$O$36="Alta",'Riesgos de Gestión'!$S$36="Menor"),CONCATENATE("R",'Riesgos de Gestión'!$A$36),"")</f>
        <v/>
      </c>
      <c r="U16" s="478"/>
      <c r="V16" s="494" t="str">
        <f>IF(AND('Riesgos de Gestión'!$O$24="Alta",'Riesgos de Gestión'!$S$24="Moderado"),CONCATENATE("R",'Riesgos de Gestión'!$A$24),"")</f>
        <v/>
      </c>
      <c r="W16" s="495"/>
      <c r="X16" s="495" t="str">
        <f>IF(AND('Riesgos de Gestión'!$O$30="Alta",'Riesgos de Gestión'!$S$30="Moderado"),CONCATENATE("R",'Riesgos de Gestión'!$A$30),"")</f>
        <v/>
      </c>
      <c r="Y16" s="495"/>
      <c r="Z16" s="495" t="str">
        <f>IF(AND('Riesgos de Gestión'!$O$36="Alta",'Riesgos de Gestión'!$S$36="Moderado"),CONCATENATE("R",'Riesgos de Gestión'!$A$36),"")</f>
        <v/>
      </c>
      <c r="AA16" s="496"/>
      <c r="AB16" s="494" t="str">
        <f>IF(AND('Riesgos de Gestión'!$O$24="Alta",'Riesgos de Gestión'!$S$24="Mayor"),CONCATENATE("R",'Riesgos de Gestión'!$A$24),"")</f>
        <v/>
      </c>
      <c r="AC16" s="495"/>
      <c r="AD16" s="495" t="str">
        <f>IF(AND('Riesgos de Gestión'!$O$30="Alta",'Riesgos de Gestión'!$S$30="Mayor"),CONCATENATE("R",'Riesgos de Gestión'!$A$30),"")</f>
        <v/>
      </c>
      <c r="AE16" s="495"/>
      <c r="AF16" s="495" t="str">
        <f>IF(AND('Riesgos de Gestión'!$O$36="Alta",'Riesgos de Gestión'!$S$36="Mayor"),CONCATENATE("R",'Riesgos de Gestión'!$A$36),"")</f>
        <v/>
      </c>
      <c r="AG16" s="496"/>
      <c r="AH16" s="485" t="str">
        <f>IF(AND('Riesgos de Gestión'!$O$24="Alta",'Riesgos de Gestión'!$S$24="Catastrófico"),CONCATENATE("R",'Riesgos de Gestión'!$A$24),"")</f>
        <v/>
      </c>
      <c r="AI16" s="486"/>
      <c r="AJ16" s="486" t="str">
        <f>IF(AND('Riesgos de Gestión'!$O$30="Alta",'Riesgos de Gestión'!$S$30="Catastrófico"),CONCATENATE("R",'Riesgos de Gestión'!$A$30),"")</f>
        <v/>
      </c>
      <c r="AK16" s="486"/>
      <c r="AL16" s="486" t="str">
        <f>IF(AND('Riesgos de Gestión'!$O$36="Alta",'Riesgos de Gestión'!$S$36="Catastrófico"),CONCATENATE("R",'Riesgos de Gestión'!$A$36),"")</f>
        <v/>
      </c>
      <c r="AM16" s="487"/>
      <c r="AN16" s="66"/>
      <c r="AO16" s="528"/>
      <c r="AP16" s="529"/>
      <c r="AQ16" s="529"/>
      <c r="AR16" s="529"/>
      <c r="AS16" s="529"/>
      <c r="AT16" s="530"/>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25">
      <c r="A17" s="66"/>
      <c r="B17" s="514"/>
      <c r="C17" s="514"/>
      <c r="D17" s="515"/>
      <c r="E17" s="507"/>
      <c r="F17" s="508"/>
      <c r="G17" s="508"/>
      <c r="H17" s="508"/>
      <c r="I17" s="508"/>
      <c r="J17" s="476"/>
      <c r="K17" s="477"/>
      <c r="L17" s="477"/>
      <c r="M17" s="477"/>
      <c r="N17" s="477"/>
      <c r="O17" s="478"/>
      <c r="P17" s="476"/>
      <c r="Q17" s="477"/>
      <c r="R17" s="477"/>
      <c r="S17" s="477"/>
      <c r="T17" s="477"/>
      <c r="U17" s="478"/>
      <c r="V17" s="494"/>
      <c r="W17" s="495"/>
      <c r="X17" s="495"/>
      <c r="Y17" s="495"/>
      <c r="Z17" s="495"/>
      <c r="AA17" s="496"/>
      <c r="AB17" s="494"/>
      <c r="AC17" s="495"/>
      <c r="AD17" s="495"/>
      <c r="AE17" s="495"/>
      <c r="AF17" s="495"/>
      <c r="AG17" s="496"/>
      <c r="AH17" s="485"/>
      <c r="AI17" s="486"/>
      <c r="AJ17" s="486"/>
      <c r="AK17" s="486"/>
      <c r="AL17" s="486"/>
      <c r="AM17" s="487"/>
      <c r="AN17" s="66"/>
      <c r="AO17" s="528"/>
      <c r="AP17" s="529"/>
      <c r="AQ17" s="529"/>
      <c r="AR17" s="529"/>
      <c r="AS17" s="529"/>
      <c r="AT17" s="530"/>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25">
      <c r="A18" s="66"/>
      <c r="B18" s="514"/>
      <c r="C18" s="514"/>
      <c r="D18" s="515"/>
      <c r="E18" s="507"/>
      <c r="F18" s="508"/>
      <c r="G18" s="508"/>
      <c r="H18" s="508"/>
      <c r="I18" s="508"/>
      <c r="J18" s="476" t="str">
        <f>IF(AND('Riesgos de Gestión'!$O$42="Alta",'Riesgos de Gestión'!$S$42="Leve"),CONCATENATE("R",'Riesgos de Gestión'!$A$42),"")</f>
        <v/>
      </c>
      <c r="K18" s="477"/>
      <c r="L18" s="477" t="str">
        <f>IF(AND('Riesgos de Gestión'!$O$48="Alta",'Riesgos de Gestión'!$S$48="Leve"),CONCATENATE("R",'Riesgos de Gestión'!$A$48),"")</f>
        <v/>
      </c>
      <c r="M18" s="477"/>
      <c r="N18" s="477" t="str">
        <f>IF(AND('Riesgos de Gestión'!$O$54="Alta",'Riesgos de Gestión'!$S$54="Leve"),CONCATENATE("R",'Riesgos de Gestión'!$A$54),"")</f>
        <v/>
      </c>
      <c r="O18" s="478"/>
      <c r="P18" s="476" t="str">
        <f>IF(AND('Riesgos de Gestión'!$O$42="Alta",'Riesgos de Gestión'!$S$42="Menor"),CONCATENATE("R",'Riesgos de Gestión'!$A$42),"")</f>
        <v/>
      </c>
      <c r="Q18" s="477"/>
      <c r="R18" s="477" t="str">
        <f>IF(AND('Riesgos de Gestión'!$O$48="Alta",'Riesgos de Gestión'!$S$48="Menor"),CONCATENATE("R",'Riesgos de Gestión'!$A$48),"")</f>
        <v/>
      </c>
      <c r="S18" s="477"/>
      <c r="T18" s="477" t="str">
        <f>IF(AND('Riesgos de Gestión'!$O$54="Alta",'Riesgos de Gestión'!$S$54="Menor"),CONCATENATE("R",'Riesgos de Gestión'!$A$54),"")</f>
        <v/>
      </c>
      <c r="U18" s="478"/>
      <c r="V18" s="494" t="str">
        <f>IF(AND('Riesgos de Gestión'!$O$42="Alta",'Riesgos de Gestión'!$S$42="Moderado"),CONCATENATE("R",'Riesgos de Gestión'!$A$42),"")</f>
        <v/>
      </c>
      <c r="W18" s="495"/>
      <c r="X18" s="495" t="str">
        <f>IF(AND('Riesgos de Gestión'!$O$48="Alta",'Riesgos de Gestión'!$S$48="Moderado"),CONCATENATE("R",'Riesgos de Gestión'!$A$48),"")</f>
        <v/>
      </c>
      <c r="Y18" s="495"/>
      <c r="Z18" s="495" t="str">
        <f>IF(AND('Riesgos de Gestión'!$O$54="Alta",'Riesgos de Gestión'!$S$54="Moderado"),CONCATENATE("R",'Riesgos de Gestión'!$A$54),"")</f>
        <v/>
      </c>
      <c r="AA18" s="496"/>
      <c r="AB18" s="494" t="str">
        <f>IF(AND('Riesgos de Gestión'!$O$42="Alta",'Riesgos de Gestión'!$S$42="Mayor"),CONCATENATE("R",'Riesgos de Gestión'!$A$42),"")</f>
        <v/>
      </c>
      <c r="AC18" s="495"/>
      <c r="AD18" s="495" t="str">
        <f>IF(AND('Riesgos de Gestión'!$O$48="Alta",'Riesgos de Gestión'!$S$48="Mayor"),CONCATENATE("R",'Riesgos de Gestión'!$A$48),"")</f>
        <v/>
      </c>
      <c r="AE18" s="495"/>
      <c r="AF18" s="495" t="str">
        <f>IF(AND('Riesgos de Gestión'!$O$54="Alta",'Riesgos de Gestión'!$S$54="Mayor"),CONCATENATE("R",'Riesgos de Gestión'!$A$54),"")</f>
        <v/>
      </c>
      <c r="AG18" s="496"/>
      <c r="AH18" s="485" t="str">
        <f>IF(AND('Riesgos de Gestión'!$O$42="Alta",'Riesgos de Gestión'!$S$42="Catastrófico"),CONCATENATE("R",'Riesgos de Gestión'!$A$42),"")</f>
        <v/>
      </c>
      <c r="AI18" s="486"/>
      <c r="AJ18" s="486" t="str">
        <f>IF(AND('Riesgos de Gestión'!$O$48="Alta",'Riesgos de Gestión'!$S$48="Catastrófico"),CONCATENATE("R",'Riesgos de Gestión'!$A$48),"")</f>
        <v/>
      </c>
      <c r="AK18" s="486"/>
      <c r="AL18" s="486" t="str">
        <f>IF(AND('Riesgos de Gestión'!$O$54="Alta",'Riesgos de Gestión'!$S$54="Catastrófico"),CONCATENATE("R",'Riesgos de Gestión'!$A$54),"")</f>
        <v/>
      </c>
      <c r="AM18" s="487"/>
      <c r="AN18" s="66"/>
      <c r="AO18" s="528"/>
      <c r="AP18" s="529"/>
      <c r="AQ18" s="529"/>
      <c r="AR18" s="529"/>
      <c r="AS18" s="529"/>
      <c r="AT18" s="530"/>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25">
      <c r="A19" s="66"/>
      <c r="B19" s="514"/>
      <c r="C19" s="514"/>
      <c r="D19" s="515"/>
      <c r="E19" s="507"/>
      <c r="F19" s="508"/>
      <c r="G19" s="508"/>
      <c r="H19" s="508"/>
      <c r="I19" s="508"/>
      <c r="J19" s="476"/>
      <c r="K19" s="477"/>
      <c r="L19" s="477"/>
      <c r="M19" s="477"/>
      <c r="N19" s="477"/>
      <c r="O19" s="478"/>
      <c r="P19" s="476"/>
      <c r="Q19" s="477"/>
      <c r="R19" s="477"/>
      <c r="S19" s="477"/>
      <c r="T19" s="477"/>
      <c r="U19" s="478"/>
      <c r="V19" s="494"/>
      <c r="W19" s="495"/>
      <c r="X19" s="495"/>
      <c r="Y19" s="495"/>
      <c r="Z19" s="495"/>
      <c r="AA19" s="496"/>
      <c r="AB19" s="494"/>
      <c r="AC19" s="495"/>
      <c r="AD19" s="495"/>
      <c r="AE19" s="495"/>
      <c r="AF19" s="495"/>
      <c r="AG19" s="496"/>
      <c r="AH19" s="485"/>
      <c r="AI19" s="486"/>
      <c r="AJ19" s="486"/>
      <c r="AK19" s="486"/>
      <c r="AL19" s="486"/>
      <c r="AM19" s="487"/>
      <c r="AN19" s="66"/>
      <c r="AO19" s="528"/>
      <c r="AP19" s="529"/>
      <c r="AQ19" s="529"/>
      <c r="AR19" s="529"/>
      <c r="AS19" s="529"/>
      <c r="AT19" s="530"/>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25">
      <c r="A20" s="66"/>
      <c r="B20" s="514"/>
      <c r="C20" s="514"/>
      <c r="D20" s="515"/>
      <c r="E20" s="507"/>
      <c r="F20" s="508"/>
      <c r="G20" s="508"/>
      <c r="H20" s="508"/>
      <c r="I20" s="508"/>
      <c r="J20" s="476" t="str">
        <f>IF(AND('Riesgos de Gestión'!$O$60="Alta",'Riesgos de Gestión'!$S$60="Leve"),CONCATENATE("R",'Riesgos de Gestión'!$A$60),"")</f>
        <v/>
      </c>
      <c r="K20" s="477"/>
      <c r="L20" s="477" t="str">
        <f>IF(AND('Riesgos de Gestión'!$P$66="Alta",'Riesgos de Gestión'!$T$66="Leve"),CONCATENATE("R",'Riesgos de Gestión'!$A$66),"")</f>
        <v/>
      </c>
      <c r="M20" s="477"/>
      <c r="N20" s="477" t="str">
        <f>IF(AND('Riesgos de Gestión'!$P$72="Alta",'Riesgos de Gestión'!$T$72="Leve"),CONCATENATE("R",'Riesgos de Gestión'!$A$72),"")</f>
        <v/>
      </c>
      <c r="O20" s="478"/>
      <c r="P20" s="476" t="str">
        <f>IF(AND('Riesgos de Gestión'!$O$60="Alta",'Riesgos de Gestión'!$S$60="Menor"),CONCATENATE("R",'Riesgos de Gestión'!$A$60),"")</f>
        <v/>
      </c>
      <c r="Q20" s="477"/>
      <c r="R20" s="477" t="str">
        <f>IF(AND('Riesgos de Gestión'!$P$66="Alta",'Riesgos de Gestión'!$T$66="Menor"),CONCATENATE("R",'Riesgos de Gestión'!$A$66),"")</f>
        <v/>
      </c>
      <c r="S20" s="477"/>
      <c r="T20" s="477" t="str">
        <f>IF(AND('Riesgos de Gestión'!$P$72="Alta",'Riesgos de Gestión'!$T$72="Menor"),CONCATENATE("R",'Riesgos de Gestión'!$A$72),"")</f>
        <v/>
      </c>
      <c r="U20" s="478"/>
      <c r="V20" s="494" t="str">
        <f>IF(AND('Riesgos de Gestión'!$O$60="Alta",'Riesgos de Gestión'!$S$60="Moderado"),CONCATENATE("R",'Riesgos de Gestión'!$A$60),"")</f>
        <v/>
      </c>
      <c r="W20" s="495"/>
      <c r="X20" s="495" t="str">
        <f>IF(AND('Riesgos de Gestión'!$P$66="Alta",'Riesgos de Gestión'!$T$66="Moderado"),CONCATENATE("R",'Riesgos de Gestión'!$A$66),"")</f>
        <v/>
      </c>
      <c r="Y20" s="495"/>
      <c r="Z20" s="495" t="str">
        <f>IF(AND('Riesgos de Gestión'!$P$72="Alta",'Riesgos de Gestión'!$T$72="Moderado"),CONCATENATE("R",'Riesgos de Gestión'!$A$72),"")</f>
        <v/>
      </c>
      <c r="AA20" s="496"/>
      <c r="AB20" s="494" t="str">
        <f>IF(AND('Riesgos de Gestión'!$O$60="Alta",'Riesgos de Gestión'!$S$60="Mayor"),CONCATENATE("R",'Riesgos de Gestión'!$A$60),"")</f>
        <v/>
      </c>
      <c r="AC20" s="495"/>
      <c r="AD20" s="495" t="str">
        <f>IF(AND('Riesgos de Gestión'!$P$66="Alta",'Riesgos de Gestión'!$T$66="Mayor"),CONCATENATE("R",'Riesgos de Gestión'!$A$66),"")</f>
        <v/>
      </c>
      <c r="AE20" s="495"/>
      <c r="AF20" s="495" t="str">
        <f>IF(AND('Riesgos de Gestión'!$P$72="Alta",'Riesgos de Gestión'!$T$72="Mayor"),CONCATENATE("R",'Riesgos de Gestión'!$A$72),"")</f>
        <v/>
      </c>
      <c r="AG20" s="496"/>
      <c r="AH20" s="485" t="str">
        <f>IF(AND('Riesgos de Gestión'!$O$60="Alta",'Riesgos de Gestión'!$S$60="Catastrófico"),CONCATENATE("R",'Riesgos de Gestión'!$A$60),"")</f>
        <v/>
      </c>
      <c r="AI20" s="486"/>
      <c r="AJ20" s="486" t="str">
        <f>IF(AND('Riesgos de Gestión'!$P$66="Alta",'Riesgos de Gestión'!$T$66="Catastrófico"),CONCATENATE("R",'Riesgos de Gestión'!$A$66),"")</f>
        <v/>
      </c>
      <c r="AK20" s="486"/>
      <c r="AL20" s="486" t="str">
        <f>IF(AND('Riesgos de Gestión'!$P$72="Alta",'Riesgos de Gestión'!$T$72="Catastrófico"),CONCATENATE("R",'Riesgos de Gestión'!$A$72),"")</f>
        <v/>
      </c>
      <c r="AM20" s="487"/>
      <c r="AN20" s="66"/>
      <c r="AO20" s="528"/>
      <c r="AP20" s="529"/>
      <c r="AQ20" s="529"/>
      <c r="AR20" s="529"/>
      <c r="AS20" s="529"/>
      <c r="AT20" s="530"/>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
      <c r="A21" s="66"/>
      <c r="B21" s="514"/>
      <c r="C21" s="514"/>
      <c r="D21" s="515"/>
      <c r="E21" s="510"/>
      <c r="F21" s="511"/>
      <c r="G21" s="511"/>
      <c r="H21" s="511"/>
      <c r="I21" s="511"/>
      <c r="J21" s="479"/>
      <c r="K21" s="480"/>
      <c r="L21" s="480"/>
      <c r="M21" s="480"/>
      <c r="N21" s="480"/>
      <c r="O21" s="481"/>
      <c r="P21" s="479"/>
      <c r="Q21" s="480"/>
      <c r="R21" s="480"/>
      <c r="S21" s="480"/>
      <c r="T21" s="480"/>
      <c r="U21" s="481"/>
      <c r="V21" s="497"/>
      <c r="W21" s="498"/>
      <c r="X21" s="498"/>
      <c r="Y21" s="498"/>
      <c r="Z21" s="498"/>
      <c r="AA21" s="499"/>
      <c r="AB21" s="497"/>
      <c r="AC21" s="498"/>
      <c r="AD21" s="498"/>
      <c r="AE21" s="498"/>
      <c r="AF21" s="498"/>
      <c r="AG21" s="499"/>
      <c r="AH21" s="488"/>
      <c r="AI21" s="489"/>
      <c r="AJ21" s="489"/>
      <c r="AK21" s="489"/>
      <c r="AL21" s="489"/>
      <c r="AM21" s="490"/>
      <c r="AN21" s="66"/>
      <c r="AO21" s="531"/>
      <c r="AP21" s="532"/>
      <c r="AQ21" s="532"/>
      <c r="AR21" s="532"/>
      <c r="AS21" s="532"/>
      <c r="AT21" s="533"/>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25">
      <c r="A22" s="66"/>
      <c r="B22" s="514"/>
      <c r="C22" s="514"/>
      <c r="D22" s="515"/>
      <c r="E22" s="504" t="s">
        <v>269</v>
      </c>
      <c r="F22" s="505"/>
      <c r="G22" s="505"/>
      <c r="H22" s="505"/>
      <c r="I22" s="506"/>
      <c r="J22" s="482" t="str">
        <f>IF(AND('Riesgos de Gestión'!$O$13="Media",'Riesgos de Gestión'!$S$13="Leve"),CONCATENATE("R",'Riesgos de Gestión'!$A$13),"")</f>
        <v/>
      </c>
      <c r="K22" s="483"/>
      <c r="L22" s="483" t="str">
        <f>IF(AND('Riesgos de Gestión'!$O$16="Media",'Riesgos de Gestión'!$S$16="Leve"),CONCATENATE("R",'Riesgos de Gestión'!$A$16),"")</f>
        <v/>
      </c>
      <c r="M22" s="483"/>
      <c r="N22" s="483" t="str">
        <f>IF(AND('Riesgos de Gestión'!$O$18="Media",'Riesgos de Gestión'!$S$18="Leve"),CONCATENATE("R",'Riesgos de Gestión'!$A$18),"")</f>
        <v/>
      </c>
      <c r="O22" s="484"/>
      <c r="P22" s="482" t="str">
        <f>IF(AND('Riesgos de Gestión'!$O$13="Media",'Riesgos de Gestión'!$S$13="Menor"),CONCATENATE("R",'Riesgos de Gestión'!$A$13),"")</f>
        <v>R1</v>
      </c>
      <c r="Q22" s="483"/>
      <c r="R22" s="483" t="str">
        <f>IF(AND('Riesgos de Gestión'!$O$16="Media",'Riesgos de Gestión'!$S$16="Menor"),CONCATENATE("R",'Riesgos de Gestión'!$A$16),"")</f>
        <v>R2</v>
      </c>
      <c r="S22" s="483"/>
      <c r="T22" s="483" t="str">
        <f>IF(AND('Riesgos de Gestión'!$O$18="Media",'Riesgos de Gestión'!$S$18="Menor"),CONCATENATE("R",'Riesgos de Gestión'!$A$18),"")</f>
        <v/>
      </c>
      <c r="U22" s="484"/>
      <c r="V22" s="482" t="str">
        <f>IF(AND('Riesgos de Gestión'!$O$13="Media",'Riesgos de Gestión'!$S$13="Moderado"),CONCATENATE("R",'Riesgos de Gestión'!$A$13),"")</f>
        <v/>
      </c>
      <c r="W22" s="483"/>
      <c r="X22" s="483" t="str">
        <f>IF(AND('Riesgos de Gestión'!$O$16="Media",'Riesgos de Gestión'!$S$16="Moderado"),CONCATENATE("R",'Riesgos de Gestión'!$A$16),"")</f>
        <v/>
      </c>
      <c r="Y22" s="483"/>
      <c r="Z22" s="483" t="str">
        <f>IF(AND('Riesgos de Gestión'!$O$18="Media",'Riesgos de Gestión'!$S$18="Moderado"),CONCATENATE("R",'Riesgos de Gestión'!$A$18),"")</f>
        <v/>
      </c>
      <c r="AA22" s="484"/>
      <c r="AB22" s="500" t="str">
        <f>IF(AND('Riesgos de Gestión'!$O$13="Media",'Riesgos de Gestión'!$S$13="Mayor"),CONCATENATE("R",'Riesgos de Gestión'!$A$13),"")</f>
        <v/>
      </c>
      <c r="AC22" s="501"/>
      <c r="AD22" s="501" t="str">
        <f>IF(AND('Riesgos de Gestión'!$O$16="Media",'Riesgos de Gestión'!$S$16="Mayor"),CONCATENATE("R",'Riesgos de Gestión'!$A$16),"")</f>
        <v/>
      </c>
      <c r="AE22" s="501"/>
      <c r="AF22" s="501" t="str">
        <f>IF(AND('Riesgos de Gestión'!$O$18="Media",'Riesgos de Gestión'!$S$18="Mayor"),CONCATENATE("R",'Riesgos de Gestión'!$A$18),"")</f>
        <v/>
      </c>
      <c r="AG22" s="502"/>
      <c r="AH22" s="491" t="str">
        <f>IF(AND('Riesgos de Gestión'!$O$13="Media",'Riesgos de Gestión'!$S$13="Catastrófico"),CONCATENATE("R",'Riesgos de Gestión'!$A$13),"")</f>
        <v/>
      </c>
      <c r="AI22" s="492"/>
      <c r="AJ22" s="492" t="str">
        <f>IF(AND('Riesgos de Gestión'!$O$16="Media",'Riesgos de Gestión'!$S$16="Catastrófico"),CONCATENATE("R",'Riesgos de Gestión'!$A$16),"")</f>
        <v/>
      </c>
      <c r="AK22" s="492"/>
      <c r="AL22" s="492" t="str">
        <f>IF(AND('Riesgos de Gestión'!$O$18="Media",'Riesgos de Gestión'!$S$18="Catastrófico"),CONCATENATE("R",'Riesgos de Gestión'!$A$18),"")</f>
        <v/>
      </c>
      <c r="AM22" s="493"/>
      <c r="AN22" s="66"/>
      <c r="AO22" s="534" t="s">
        <v>270</v>
      </c>
      <c r="AP22" s="535"/>
      <c r="AQ22" s="535"/>
      <c r="AR22" s="535"/>
      <c r="AS22" s="535"/>
      <c r="AT22" s="53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25">
      <c r="A23" s="66"/>
      <c r="B23" s="514"/>
      <c r="C23" s="514"/>
      <c r="D23" s="515"/>
      <c r="E23" s="507"/>
      <c r="F23" s="508"/>
      <c r="G23" s="508"/>
      <c r="H23" s="508"/>
      <c r="I23" s="509"/>
      <c r="J23" s="476"/>
      <c r="K23" s="477"/>
      <c r="L23" s="477"/>
      <c r="M23" s="477"/>
      <c r="N23" s="477"/>
      <c r="O23" s="478"/>
      <c r="P23" s="476"/>
      <c r="Q23" s="477"/>
      <c r="R23" s="477"/>
      <c r="S23" s="477"/>
      <c r="T23" s="477"/>
      <c r="U23" s="478"/>
      <c r="V23" s="476"/>
      <c r="W23" s="477"/>
      <c r="X23" s="477"/>
      <c r="Y23" s="477"/>
      <c r="Z23" s="477"/>
      <c r="AA23" s="478"/>
      <c r="AB23" s="494"/>
      <c r="AC23" s="495"/>
      <c r="AD23" s="495"/>
      <c r="AE23" s="495"/>
      <c r="AF23" s="495"/>
      <c r="AG23" s="496"/>
      <c r="AH23" s="485"/>
      <c r="AI23" s="486"/>
      <c r="AJ23" s="486"/>
      <c r="AK23" s="486"/>
      <c r="AL23" s="486"/>
      <c r="AM23" s="487"/>
      <c r="AN23" s="66"/>
      <c r="AO23" s="537"/>
      <c r="AP23" s="538"/>
      <c r="AQ23" s="538"/>
      <c r="AR23" s="538"/>
      <c r="AS23" s="538"/>
      <c r="AT23" s="539"/>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25">
      <c r="A24" s="66"/>
      <c r="B24" s="514"/>
      <c r="C24" s="514"/>
      <c r="D24" s="515"/>
      <c r="E24" s="507"/>
      <c r="F24" s="508"/>
      <c r="G24" s="508"/>
      <c r="H24" s="508"/>
      <c r="I24" s="509"/>
      <c r="J24" s="476" t="str">
        <f>IF(AND('Riesgos de Gestión'!$O$24="Media",'Riesgos de Gestión'!$S$24="Leve"),CONCATENATE("R",'Riesgos de Gestión'!$A$24),"")</f>
        <v/>
      </c>
      <c r="K24" s="477"/>
      <c r="L24" s="477" t="str">
        <f>IF(AND('Riesgos de Gestión'!$O$30="Media",'Riesgos de Gestión'!$S$30="Leve"),CONCATENATE("R",'Riesgos de Gestión'!$A$30),"")</f>
        <v/>
      </c>
      <c r="M24" s="477"/>
      <c r="N24" s="477" t="str">
        <f>IF(AND('Riesgos de Gestión'!$O$36="Media",'Riesgos de Gestión'!$S$36="Leve"),CONCATENATE("R",'Riesgos de Gestión'!$A$36),"")</f>
        <v/>
      </c>
      <c r="O24" s="478"/>
      <c r="P24" s="476" t="str">
        <f>IF(AND('Riesgos de Gestión'!$O$24="Media",'Riesgos de Gestión'!$S$24="Menor"),CONCATENATE("R",'Riesgos de Gestión'!$A$24),"")</f>
        <v/>
      </c>
      <c r="Q24" s="477"/>
      <c r="R24" s="477" t="str">
        <f>IF(AND('Riesgos de Gestión'!$O$30="Media",'Riesgos de Gestión'!$S$30="Menor"),CONCATENATE("R",'Riesgos de Gestión'!$A$30),"")</f>
        <v/>
      </c>
      <c r="S24" s="477"/>
      <c r="T24" s="477" t="str">
        <f>IF(AND('Riesgos de Gestión'!$O$36="Media",'Riesgos de Gestión'!$S$36="Menor"),CONCATENATE("R",'Riesgos de Gestión'!$A$36),"")</f>
        <v/>
      </c>
      <c r="U24" s="478"/>
      <c r="V24" s="476" t="str">
        <f>IF(AND('Riesgos de Gestión'!$O$24="Media",'Riesgos de Gestión'!$S$24="Moderado"),CONCATENATE("R",'Riesgos de Gestión'!$A$24),"")</f>
        <v/>
      </c>
      <c r="W24" s="477"/>
      <c r="X24" s="477" t="str">
        <f>IF(AND('Riesgos de Gestión'!$O$30="Media",'Riesgos de Gestión'!$S$30="Moderado"),CONCATENATE("R",'Riesgos de Gestión'!$A$30),"")</f>
        <v/>
      </c>
      <c r="Y24" s="477"/>
      <c r="Z24" s="477" t="str">
        <f>IF(AND('Riesgos de Gestión'!$O$36="Media",'Riesgos de Gestión'!$S$36="Moderado"),CONCATENATE("R",'Riesgos de Gestión'!$A$36),"")</f>
        <v/>
      </c>
      <c r="AA24" s="478"/>
      <c r="AB24" s="494" t="str">
        <f>IF(AND('Riesgos de Gestión'!$O$24="Media",'Riesgos de Gestión'!$S$24="Mayor"),CONCATENATE("R",'Riesgos de Gestión'!$A$24),"")</f>
        <v/>
      </c>
      <c r="AC24" s="495"/>
      <c r="AD24" s="495" t="str">
        <f>IF(AND('Riesgos de Gestión'!$O$30="Media",'Riesgos de Gestión'!$S$30="Mayor"),CONCATENATE("R",'Riesgos de Gestión'!$A$30),"")</f>
        <v/>
      </c>
      <c r="AE24" s="495"/>
      <c r="AF24" s="495" t="str">
        <f>IF(AND('Riesgos de Gestión'!$O$36="Media",'Riesgos de Gestión'!$S$36="Mayor"),CONCATENATE("R",'Riesgos de Gestión'!$A$36),"")</f>
        <v/>
      </c>
      <c r="AG24" s="496"/>
      <c r="AH24" s="485" t="str">
        <f>IF(AND('Riesgos de Gestión'!$O$24="Media",'Riesgos de Gestión'!$S$24="Catastrófico"),CONCATENATE("R",'Riesgos de Gestión'!$A$24),"")</f>
        <v/>
      </c>
      <c r="AI24" s="486"/>
      <c r="AJ24" s="486" t="str">
        <f>IF(AND('Riesgos de Gestión'!$O$30="Media",'Riesgos de Gestión'!$S$30="Catastrófico"),CONCATENATE("R",'Riesgos de Gestión'!$A$30),"")</f>
        <v/>
      </c>
      <c r="AK24" s="486"/>
      <c r="AL24" s="486" t="str">
        <f>IF(AND('Riesgos de Gestión'!$O$36="Media",'Riesgos de Gestión'!$S$36="Catastrófico"),CONCATENATE("R",'Riesgos de Gestión'!$A$36),"")</f>
        <v/>
      </c>
      <c r="AM24" s="487"/>
      <c r="AN24" s="66"/>
      <c r="AO24" s="537"/>
      <c r="AP24" s="538"/>
      <c r="AQ24" s="538"/>
      <c r="AR24" s="538"/>
      <c r="AS24" s="538"/>
      <c r="AT24" s="539"/>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25">
      <c r="A25" s="66"/>
      <c r="B25" s="514"/>
      <c r="C25" s="514"/>
      <c r="D25" s="515"/>
      <c r="E25" s="507"/>
      <c r="F25" s="508"/>
      <c r="G25" s="508"/>
      <c r="H25" s="508"/>
      <c r="I25" s="509"/>
      <c r="J25" s="476"/>
      <c r="K25" s="477"/>
      <c r="L25" s="477"/>
      <c r="M25" s="477"/>
      <c r="N25" s="477"/>
      <c r="O25" s="478"/>
      <c r="P25" s="476"/>
      <c r="Q25" s="477"/>
      <c r="R25" s="477"/>
      <c r="S25" s="477"/>
      <c r="T25" s="477"/>
      <c r="U25" s="478"/>
      <c r="V25" s="476"/>
      <c r="W25" s="477"/>
      <c r="X25" s="477"/>
      <c r="Y25" s="477"/>
      <c r="Z25" s="477"/>
      <c r="AA25" s="478"/>
      <c r="AB25" s="494"/>
      <c r="AC25" s="495"/>
      <c r="AD25" s="495"/>
      <c r="AE25" s="495"/>
      <c r="AF25" s="495"/>
      <c r="AG25" s="496"/>
      <c r="AH25" s="485"/>
      <c r="AI25" s="486"/>
      <c r="AJ25" s="486"/>
      <c r="AK25" s="486"/>
      <c r="AL25" s="486"/>
      <c r="AM25" s="487"/>
      <c r="AN25" s="66"/>
      <c r="AO25" s="537"/>
      <c r="AP25" s="538"/>
      <c r="AQ25" s="538"/>
      <c r="AR25" s="538"/>
      <c r="AS25" s="538"/>
      <c r="AT25" s="539"/>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25">
      <c r="A26" s="66"/>
      <c r="B26" s="514"/>
      <c r="C26" s="514"/>
      <c r="D26" s="515"/>
      <c r="E26" s="507"/>
      <c r="F26" s="508"/>
      <c r="G26" s="508"/>
      <c r="H26" s="508"/>
      <c r="I26" s="509"/>
      <c r="J26" s="476" t="str">
        <f>IF(AND('Riesgos de Gestión'!$O$42="Media",'Riesgos de Gestión'!$S$42="Leve"),CONCATENATE("R",'Riesgos de Gestión'!$A$42),"")</f>
        <v/>
      </c>
      <c r="K26" s="477"/>
      <c r="L26" s="477" t="str">
        <f>IF(AND('Riesgos de Gestión'!$O$48="Media",'Riesgos de Gestión'!$S$48="Leve"),CONCATENATE("R",'Riesgos de Gestión'!$A$48),"")</f>
        <v/>
      </c>
      <c r="M26" s="477"/>
      <c r="N26" s="477" t="str">
        <f>IF(AND('Riesgos de Gestión'!$O$54="Media",'Riesgos de Gestión'!$S$54="Leve"),CONCATENATE("R",'Riesgos de Gestión'!$A$54),"")</f>
        <v/>
      </c>
      <c r="O26" s="478"/>
      <c r="P26" s="476" t="str">
        <f>IF(AND('Riesgos de Gestión'!$O$42="Media",'Riesgos de Gestión'!$S$42="Menor"),CONCATENATE("R",'Riesgos de Gestión'!$A$42),"")</f>
        <v/>
      </c>
      <c r="Q26" s="477"/>
      <c r="R26" s="477" t="str">
        <f>IF(AND('Riesgos de Gestión'!$O$48="Media",'Riesgos de Gestión'!$S$48="Menor"),CONCATENATE("R",'Riesgos de Gestión'!$A$48),"")</f>
        <v/>
      </c>
      <c r="S26" s="477"/>
      <c r="T26" s="477" t="str">
        <f>IF(AND('Riesgos de Gestión'!$O$54="Media",'Riesgos de Gestión'!$S$54="Menor"),CONCATENATE("R",'Riesgos de Gestión'!$A$54),"")</f>
        <v/>
      </c>
      <c r="U26" s="478"/>
      <c r="V26" s="476" t="str">
        <f>IF(AND('Riesgos de Gestión'!$O$42="Media",'Riesgos de Gestión'!$S$42="Moderado"),CONCATENATE("R",'Riesgos de Gestión'!$A$42),"")</f>
        <v/>
      </c>
      <c r="W26" s="477"/>
      <c r="X26" s="477" t="str">
        <f>IF(AND('Riesgos de Gestión'!$O$48="Media",'Riesgos de Gestión'!$S$48="Moderado"),CONCATENATE("R",'Riesgos de Gestión'!$A$48),"")</f>
        <v/>
      </c>
      <c r="Y26" s="477"/>
      <c r="Z26" s="477" t="str">
        <f>IF(AND('Riesgos de Gestión'!$O$54="Media",'Riesgos de Gestión'!$S$54="Moderado"),CONCATENATE("R",'Riesgos de Gestión'!$A$54),"")</f>
        <v/>
      </c>
      <c r="AA26" s="478"/>
      <c r="AB26" s="494" t="str">
        <f>IF(AND('Riesgos de Gestión'!$O$42="Media",'Riesgos de Gestión'!$S$42="Mayor"),CONCATENATE("R",'Riesgos de Gestión'!$A$42),"")</f>
        <v/>
      </c>
      <c r="AC26" s="495"/>
      <c r="AD26" s="495" t="str">
        <f>IF(AND('Riesgos de Gestión'!$O$48="Media",'Riesgos de Gestión'!$S$48="Mayor"),CONCATENATE("R",'Riesgos de Gestión'!$A$48),"")</f>
        <v/>
      </c>
      <c r="AE26" s="495"/>
      <c r="AF26" s="495" t="str">
        <f>IF(AND('Riesgos de Gestión'!$O$54="Media",'Riesgos de Gestión'!$S$54="Mayor"),CONCATENATE("R",'Riesgos de Gestión'!$A$54),"")</f>
        <v/>
      </c>
      <c r="AG26" s="496"/>
      <c r="AH26" s="485" t="str">
        <f>IF(AND('Riesgos de Gestión'!$O$42="Media",'Riesgos de Gestión'!$S$42="Catastrófico"),CONCATENATE("R",'Riesgos de Gestión'!$A$42),"")</f>
        <v/>
      </c>
      <c r="AI26" s="486"/>
      <c r="AJ26" s="486" t="str">
        <f>IF(AND('Riesgos de Gestión'!$O$48="Media",'Riesgos de Gestión'!$S$48="Catastrófico"),CONCATENATE("R",'Riesgos de Gestión'!$A$48),"")</f>
        <v/>
      </c>
      <c r="AK26" s="486"/>
      <c r="AL26" s="486" t="str">
        <f>IF(AND('Riesgos de Gestión'!$O$54="Media",'Riesgos de Gestión'!$S$54="Catastrófico"),CONCATENATE("R",'Riesgos de Gestión'!$A$54),"")</f>
        <v/>
      </c>
      <c r="AM26" s="487"/>
      <c r="AN26" s="66"/>
      <c r="AO26" s="537"/>
      <c r="AP26" s="538"/>
      <c r="AQ26" s="538"/>
      <c r="AR26" s="538"/>
      <c r="AS26" s="538"/>
      <c r="AT26" s="539"/>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25">
      <c r="A27" s="66"/>
      <c r="B27" s="514"/>
      <c r="C27" s="514"/>
      <c r="D27" s="515"/>
      <c r="E27" s="507"/>
      <c r="F27" s="508"/>
      <c r="G27" s="508"/>
      <c r="H27" s="508"/>
      <c r="I27" s="509"/>
      <c r="J27" s="476"/>
      <c r="K27" s="477"/>
      <c r="L27" s="477"/>
      <c r="M27" s="477"/>
      <c r="N27" s="477"/>
      <c r="O27" s="478"/>
      <c r="P27" s="476"/>
      <c r="Q27" s="477"/>
      <c r="R27" s="477"/>
      <c r="S27" s="477"/>
      <c r="T27" s="477"/>
      <c r="U27" s="478"/>
      <c r="V27" s="476"/>
      <c r="W27" s="477"/>
      <c r="X27" s="477"/>
      <c r="Y27" s="477"/>
      <c r="Z27" s="477"/>
      <c r="AA27" s="478"/>
      <c r="AB27" s="494"/>
      <c r="AC27" s="495"/>
      <c r="AD27" s="495"/>
      <c r="AE27" s="495"/>
      <c r="AF27" s="495"/>
      <c r="AG27" s="496"/>
      <c r="AH27" s="485"/>
      <c r="AI27" s="486"/>
      <c r="AJ27" s="486"/>
      <c r="AK27" s="486"/>
      <c r="AL27" s="486"/>
      <c r="AM27" s="487"/>
      <c r="AN27" s="66"/>
      <c r="AO27" s="537"/>
      <c r="AP27" s="538"/>
      <c r="AQ27" s="538"/>
      <c r="AR27" s="538"/>
      <c r="AS27" s="538"/>
      <c r="AT27" s="539"/>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25">
      <c r="A28" s="66"/>
      <c r="B28" s="514"/>
      <c r="C28" s="514"/>
      <c r="D28" s="515"/>
      <c r="E28" s="507"/>
      <c r="F28" s="508"/>
      <c r="G28" s="508"/>
      <c r="H28" s="508"/>
      <c r="I28" s="509"/>
      <c r="J28" s="476" t="str">
        <f>IF(AND('Riesgos de Gestión'!$O$60="Media",'Riesgos de Gestión'!$S$60="Leve"),CONCATENATE("R",'Riesgos de Gestión'!$A$60),"")</f>
        <v/>
      </c>
      <c r="K28" s="477"/>
      <c r="L28" s="477" t="str">
        <f>IF(AND('Riesgos de Gestión'!$P$66="Media",'Riesgos de Gestión'!$T$66="Leve"),CONCATENATE("R",'Riesgos de Gestión'!$A$66),"")</f>
        <v/>
      </c>
      <c r="M28" s="477"/>
      <c r="N28" s="477" t="str">
        <f>IF(AND('Riesgos de Gestión'!$P$72="Media",'Riesgos de Gestión'!$T$72="Leve"),CONCATENATE("R",'Riesgos de Gestión'!$A$72),"")</f>
        <v/>
      </c>
      <c r="O28" s="478"/>
      <c r="P28" s="476" t="str">
        <f>IF(AND('Riesgos de Gestión'!$O$60="Media",'Riesgos de Gestión'!$S$60="Menor"),CONCATENATE("R",'Riesgos de Gestión'!$A$60),"")</f>
        <v/>
      </c>
      <c r="Q28" s="477"/>
      <c r="R28" s="477" t="str">
        <f>IF(AND('Riesgos de Gestión'!$P$66="Media",'Riesgos de Gestión'!$T$66="Menor"),CONCATENATE("R",'Riesgos de Gestión'!$A$66),"")</f>
        <v/>
      </c>
      <c r="S28" s="477"/>
      <c r="T28" s="477" t="str">
        <f>IF(AND('Riesgos de Gestión'!$P$72="Media",'Riesgos de Gestión'!$T$72="Menor"),CONCATENATE("R",'Riesgos de Gestión'!$A$72),"")</f>
        <v/>
      </c>
      <c r="U28" s="478"/>
      <c r="V28" s="476" t="str">
        <f>IF(AND('Riesgos de Gestión'!$O$60="Media",'Riesgos de Gestión'!$S$60="Moderado"),CONCATENATE("R",'Riesgos de Gestión'!$A$60),"")</f>
        <v/>
      </c>
      <c r="W28" s="477"/>
      <c r="X28" s="477" t="str">
        <f>IF(AND('Riesgos de Gestión'!$P$66="Media",'Riesgos de Gestión'!$T$66="Moderado"),CONCATENATE("R",'Riesgos de Gestión'!$A$66),"")</f>
        <v/>
      </c>
      <c r="Y28" s="477"/>
      <c r="Z28" s="477" t="str">
        <f>IF(AND('Riesgos de Gestión'!$P$72="Media",'Riesgos de Gestión'!$T$72="Moderado"),CONCATENATE("R",'Riesgos de Gestión'!$A$72),"")</f>
        <v/>
      </c>
      <c r="AA28" s="478"/>
      <c r="AB28" s="494" t="str">
        <f>IF(AND('Riesgos de Gestión'!$O$60="Media",'Riesgos de Gestión'!$S$60="Mayor"),CONCATENATE("R",'Riesgos de Gestión'!$A$60),"")</f>
        <v/>
      </c>
      <c r="AC28" s="495"/>
      <c r="AD28" s="495" t="str">
        <f>IF(AND('Riesgos de Gestión'!$P$66="Media",'Riesgos de Gestión'!$T$66="Mayor"),CONCATENATE("R",'Riesgos de Gestión'!$A$66),"")</f>
        <v/>
      </c>
      <c r="AE28" s="495"/>
      <c r="AF28" s="495" t="str">
        <f>IF(AND('Riesgos de Gestión'!$P$72="Media",'Riesgos de Gestión'!$T$72="Mayor"),CONCATENATE("R",'Riesgos de Gestión'!$A$72),"")</f>
        <v/>
      </c>
      <c r="AG28" s="496"/>
      <c r="AH28" s="485" t="str">
        <f>IF(AND('Riesgos de Gestión'!$O$60="Media",'Riesgos de Gestión'!$S$60="Catastrófico"),CONCATENATE("R",'Riesgos de Gestión'!$A$60),"")</f>
        <v/>
      </c>
      <c r="AI28" s="486"/>
      <c r="AJ28" s="486" t="str">
        <f>IF(AND('Riesgos de Gestión'!$P$66="Media",'Riesgos de Gestión'!$T$66="Catastrófico"),CONCATENATE("R",'Riesgos de Gestión'!$A$66),"")</f>
        <v/>
      </c>
      <c r="AK28" s="486"/>
      <c r="AL28" s="486" t="str">
        <f>IF(AND('Riesgos de Gestión'!$P$72="Media",'Riesgos de Gestión'!$T$72="Catastrófico"),CONCATENATE("R",'Riesgos de Gestión'!$A$72),"")</f>
        <v/>
      </c>
      <c r="AM28" s="487"/>
      <c r="AN28" s="66"/>
      <c r="AO28" s="537"/>
      <c r="AP28" s="538"/>
      <c r="AQ28" s="538"/>
      <c r="AR28" s="538"/>
      <c r="AS28" s="538"/>
      <c r="AT28" s="539"/>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75" thickBot="1" x14ac:dyDescent="0.3">
      <c r="A29" s="66"/>
      <c r="B29" s="514"/>
      <c r="C29" s="514"/>
      <c r="D29" s="515"/>
      <c r="E29" s="510"/>
      <c r="F29" s="511"/>
      <c r="G29" s="511"/>
      <c r="H29" s="511"/>
      <c r="I29" s="512"/>
      <c r="J29" s="476"/>
      <c r="K29" s="477"/>
      <c r="L29" s="477"/>
      <c r="M29" s="477"/>
      <c r="N29" s="477"/>
      <c r="O29" s="478"/>
      <c r="P29" s="479"/>
      <c r="Q29" s="480"/>
      <c r="R29" s="480"/>
      <c r="S29" s="480"/>
      <c r="T29" s="480"/>
      <c r="U29" s="481"/>
      <c r="V29" s="479"/>
      <c r="W29" s="480"/>
      <c r="X29" s="480"/>
      <c r="Y29" s="480"/>
      <c r="Z29" s="480"/>
      <c r="AA29" s="481"/>
      <c r="AB29" s="497"/>
      <c r="AC29" s="498"/>
      <c r="AD29" s="498"/>
      <c r="AE29" s="498"/>
      <c r="AF29" s="498"/>
      <c r="AG29" s="499"/>
      <c r="AH29" s="488"/>
      <c r="AI29" s="489"/>
      <c r="AJ29" s="489"/>
      <c r="AK29" s="489"/>
      <c r="AL29" s="489"/>
      <c r="AM29" s="490"/>
      <c r="AN29" s="66"/>
      <c r="AO29" s="540"/>
      <c r="AP29" s="541"/>
      <c r="AQ29" s="541"/>
      <c r="AR29" s="541"/>
      <c r="AS29" s="541"/>
      <c r="AT29" s="542"/>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25">
      <c r="A30" s="66"/>
      <c r="B30" s="514"/>
      <c r="C30" s="514"/>
      <c r="D30" s="515"/>
      <c r="E30" s="504" t="s">
        <v>271</v>
      </c>
      <c r="F30" s="505"/>
      <c r="G30" s="505"/>
      <c r="H30" s="505"/>
      <c r="I30" s="505"/>
      <c r="J30" s="473" t="str">
        <f>IF(AND('Riesgos de Gestión'!$O$13="Baja",'Riesgos de Gestión'!$S$13="Leve"),CONCATENATE("R",'Riesgos de Gestión'!$A$13),"")</f>
        <v/>
      </c>
      <c r="K30" s="474"/>
      <c r="L30" s="474" t="str">
        <f>IF(AND('Riesgos de Gestión'!$O$16="Baja",'Riesgos de Gestión'!$S$16="Leve"),CONCATENATE("R",'Riesgos de Gestión'!$A$16),"")</f>
        <v/>
      </c>
      <c r="M30" s="474"/>
      <c r="N30" s="474" t="str">
        <f>IF(AND('Riesgos de Gestión'!$O$18="Baja",'Riesgos de Gestión'!$S$18="Leve"),CONCATENATE("R",'Riesgos de Gestión'!$A$18),"")</f>
        <v/>
      </c>
      <c r="O30" s="475"/>
      <c r="P30" s="483" t="str">
        <f>IF(AND('Riesgos de Gestión'!$O$13="Baja",'Riesgos de Gestión'!$S$13="Menor"),CONCATENATE("R",'Riesgos de Gestión'!$A$13),"")</f>
        <v/>
      </c>
      <c r="Q30" s="483"/>
      <c r="R30" s="483" t="str">
        <f>IF(AND('Riesgos de Gestión'!$O$16="Baja",'Riesgos de Gestión'!$S$16="Menor"),CONCATENATE("R",'Riesgos de Gestión'!$A$16),"")</f>
        <v/>
      </c>
      <c r="S30" s="483"/>
      <c r="T30" s="483" t="str">
        <f>IF(AND('Riesgos de Gestión'!$O$18="Baja",'Riesgos de Gestión'!$S$18="Menor"),CONCATENATE("R",'Riesgos de Gestión'!$A$18),"")</f>
        <v/>
      </c>
      <c r="U30" s="484"/>
      <c r="V30" s="482" t="str">
        <f>IF(AND('Riesgos de Gestión'!$O$13="Baja",'Riesgos de Gestión'!$S$13="Moderado"),CONCATENATE("R",'Riesgos de Gestión'!$A$13),"")</f>
        <v/>
      </c>
      <c r="W30" s="483"/>
      <c r="X30" s="483" t="str">
        <f>IF(AND('Riesgos de Gestión'!$O$16="Baja",'Riesgos de Gestión'!$S$16="Moderado"),CONCATENATE("R",'Riesgos de Gestión'!$A$16),"")</f>
        <v/>
      </c>
      <c r="Y30" s="483"/>
      <c r="Z30" s="483" t="str">
        <f>IF(AND('Riesgos de Gestión'!$O$18="Baja",'Riesgos de Gestión'!$S$18="Moderado"),CONCATENATE("R",'Riesgos de Gestión'!$A$18),"")</f>
        <v/>
      </c>
      <c r="AA30" s="484"/>
      <c r="AB30" s="500" t="str">
        <f>IF(AND('Riesgos de Gestión'!$O$13="Baja",'Riesgos de Gestión'!$S$13="Mayor"),CONCATENATE("R",'Riesgos de Gestión'!$A$13),"")</f>
        <v/>
      </c>
      <c r="AC30" s="501"/>
      <c r="AD30" s="501" t="str">
        <f>IF(AND('Riesgos de Gestión'!$O$16="Baja",'Riesgos de Gestión'!$S$16="Mayor"),CONCATENATE("R",'Riesgos de Gestión'!$A$16),"")</f>
        <v/>
      </c>
      <c r="AE30" s="501"/>
      <c r="AF30" s="501" t="str">
        <f>IF(AND('Riesgos de Gestión'!$O$18="Baja",'Riesgos de Gestión'!$S$18="Mayor"),CONCATENATE("R",'Riesgos de Gestión'!$A$18),"")</f>
        <v/>
      </c>
      <c r="AG30" s="502"/>
      <c r="AH30" s="491" t="str">
        <f>IF(AND('Riesgos de Gestión'!$O$13="Baja",'Riesgos de Gestión'!$S$13="Catastrófico"),CONCATENATE("R",'Riesgos de Gestión'!$A$13),"")</f>
        <v/>
      </c>
      <c r="AI30" s="492"/>
      <c r="AJ30" s="492" t="str">
        <f>IF(AND('Riesgos de Gestión'!$O$16="Baja",'Riesgos de Gestión'!$S$16="Catastrófico"),CONCATENATE("R",'Riesgos de Gestión'!$A$16),"")</f>
        <v/>
      </c>
      <c r="AK30" s="492"/>
      <c r="AL30" s="492" t="str">
        <f>IF(AND('Riesgos de Gestión'!$O$18="Baja",'Riesgos de Gestión'!$S$18="Catastrófico"),CONCATENATE("R",'Riesgos de Gestión'!$A$18),"")</f>
        <v/>
      </c>
      <c r="AM30" s="493"/>
      <c r="AN30" s="66"/>
      <c r="AO30" s="543" t="s">
        <v>272</v>
      </c>
      <c r="AP30" s="544"/>
      <c r="AQ30" s="544"/>
      <c r="AR30" s="544"/>
      <c r="AS30" s="544"/>
      <c r="AT30" s="545"/>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25">
      <c r="A31" s="66"/>
      <c r="B31" s="514"/>
      <c r="C31" s="514"/>
      <c r="D31" s="515"/>
      <c r="E31" s="507"/>
      <c r="F31" s="508"/>
      <c r="G31" s="508"/>
      <c r="H31" s="508"/>
      <c r="I31" s="508"/>
      <c r="J31" s="467"/>
      <c r="K31" s="468"/>
      <c r="L31" s="468"/>
      <c r="M31" s="468"/>
      <c r="N31" s="468"/>
      <c r="O31" s="469"/>
      <c r="P31" s="477"/>
      <c r="Q31" s="477"/>
      <c r="R31" s="477"/>
      <c r="S31" s="477"/>
      <c r="T31" s="477"/>
      <c r="U31" s="478"/>
      <c r="V31" s="476"/>
      <c r="W31" s="477"/>
      <c r="X31" s="477"/>
      <c r="Y31" s="477"/>
      <c r="Z31" s="477"/>
      <c r="AA31" s="478"/>
      <c r="AB31" s="494"/>
      <c r="AC31" s="495"/>
      <c r="AD31" s="495"/>
      <c r="AE31" s="495"/>
      <c r="AF31" s="495"/>
      <c r="AG31" s="496"/>
      <c r="AH31" s="485"/>
      <c r="AI31" s="486"/>
      <c r="AJ31" s="486"/>
      <c r="AK31" s="486"/>
      <c r="AL31" s="486"/>
      <c r="AM31" s="487"/>
      <c r="AN31" s="66"/>
      <c r="AO31" s="546"/>
      <c r="AP31" s="547"/>
      <c r="AQ31" s="547"/>
      <c r="AR31" s="547"/>
      <c r="AS31" s="547"/>
      <c r="AT31" s="548"/>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25">
      <c r="A32" s="66"/>
      <c r="B32" s="514"/>
      <c r="C32" s="514"/>
      <c r="D32" s="515"/>
      <c r="E32" s="507"/>
      <c r="F32" s="508"/>
      <c r="G32" s="508"/>
      <c r="H32" s="508"/>
      <c r="I32" s="508"/>
      <c r="J32" s="467" t="str">
        <f>IF(AND('Riesgos de Gestión'!$O$24="Baja",'Riesgos de Gestión'!$S$24="Leve"),CONCATENATE("R",'Riesgos de Gestión'!$A$24),"")</f>
        <v/>
      </c>
      <c r="K32" s="468"/>
      <c r="L32" s="468" t="str">
        <f>IF(AND('Riesgos de Gestión'!$O$30="Baja",'Riesgos de Gestión'!$S$30="Leve"),CONCATENATE("R",'Riesgos de Gestión'!$A$30),"")</f>
        <v/>
      </c>
      <c r="M32" s="468"/>
      <c r="N32" s="468" t="str">
        <f>IF(AND('Riesgos de Gestión'!$O$36="Baja",'Riesgos de Gestión'!$S$36="Leve"),CONCATENATE("R",'Riesgos de Gestión'!$A$36),"")</f>
        <v/>
      </c>
      <c r="O32" s="469"/>
      <c r="P32" s="477" t="str">
        <f>IF(AND('Riesgos de Gestión'!$O$24="Baja",'Riesgos de Gestión'!$S$24="Menor"),CONCATENATE("R",'Riesgos de Gestión'!$A$24),"")</f>
        <v/>
      </c>
      <c r="Q32" s="477"/>
      <c r="R32" s="477" t="str">
        <f>IF(AND('Riesgos de Gestión'!$O$30="Baja",'Riesgos de Gestión'!$S$30="Menor"),CONCATENATE("R",'Riesgos de Gestión'!$A$30),"")</f>
        <v/>
      </c>
      <c r="S32" s="477"/>
      <c r="T32" s="477" t="str">
        <f>IF(AND('Riesgos de Gestión'!$O$36="Baja",'Riesgos de Gestión'!$S$36="Menor"),CONCATENATE("R",'Riesgos de Gestión'!$A$36),"")</f>
        <v/>
      </c>
      <c r="U32" s="478"/>
      <c r="V32" s="476" t="str">
        <f>IF(AND('Riesgos de Gestión'!$O$24="Baja",'Riesgos de Gestión'!$S$24="Moderado"),CONCATENATE("R",'Riesgos de Gestión'!$A$24),"")</f>
        <v/>
      </c>
      <c r="W32" s="477"/>
      <c r="X32" s="477" t="str">
        <f>IF(AND('Riesgos de Gestión'!$O$30="Baja",'Riesgos de Gestión'!$S$30="Moderado"),CONCATENATE("R",'Riesgos de Gestión'!$A$30),"")</f>
        <v/>
      </c>
      <c r="Y32" s="477"/>
      <c r="Z32" s="477" t="str">
        <f>IF(AND('Riesgos de Gestión'!$O$36="Baja",'Riesgos de Gestión'!$S$36="Moderado"),CONCATENATE("R",'Riesgos de Gestión'!$A$36),"")</f>
        <v/>
      </c>
      <c r="AA32" s="478"/>
      <c r="AB32" s="494" t="str">
        <f>IF(AND('Riesgos de Gestión'!$O$24="Baja",'Riesgos de Gestión'!$S$24="Mayor"),CONCATENATE("R",'Riesgos de Gestión'!$A$24),"")</f>
        <v/>
      </c>
      <c r="AC32" s="495"/>
      <c r="AD32" s="495" t="str">
        <f>IF(AND('Riesgos de Gestión'!$O$30="Baja",'Riesgos de Gestión'!$S$30="Mayor"),CONCATENATE("R",'Riesgos de Gestión'!$A$30),"")</f>
        <v/>
      </c>
      <c r="AE32" s="495"/>
      <c r="AF32" s="495" t="str">
        <f>IF(AND('Riesgos de Gestión'!$O$36="Baja",'Riesgos de Gestión'!$S$36="Mayor"),CONCATENATE("R",'Riesgos de Gestión'!$A$36),"")</f>
        <v/>
      </c>
      <c r="AG32" s="496"/>
      <c r="AH32" s="485" t="str">
        <f>IF(AND('Riesgos de Gestión'!$O$24="Baja",'Riesgos de Gestión'!$S$24="Catastrófico"),CONCATENATE("R",'Riesgos de Gestión'!$A$24),"")</f>
        <v/>
      </c>
      <c r="AI32" s="486"/>
      <c r="AJ32" s="486" t="str">
        <f>IF(AND('Riesgos de Gestión'!$O$30="Baja",'Riesgos de Gestión'!$S$30="Catastrófico"),CONCATENATE("R",'Riesgos de Gestión'!$A$30),"")</f>
        <v/>
      </c>
      <c r="AK32" s="486"/>
      <c r="AL32" s="486" t="str">
        <f>IF(AND('Riesgos de Gestión'!$O$36="Baja",'Riesgos de Gestión'!$S$36="Catastrófico"),CONCATENATE("R",'Riesgos de Gestión'!$A$36),"")</f>
        <v/>
      </c>
      <c r="AM32" s="487"/>
      <c r="AN32" s="66"/>
      <c r="AO32" s="546"/>
      <c r="AP32" s="547"/>
      <c r="AQ32" s="547"/>
      <c r="AR32" s="547"/>
      <c r="AS32" s="547"/>
      <c r="AT32" s="548"/>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25">
      <c r="A33" s="66"/>
      <c r="B33" s="514"/>
      <c r="C33" s="514"/>
      <c r="D33" s="515"/>
      <c r="E33" s="507"/>
      <c r="F33" s="508"/>
      <c r="G33" s="508"/>
      <c r="H33" s="508"/>
      <c r="I33" s="508"/>
      <c r="J33" s="467"/>
      <c r="K33" s="468"/>
      <c r="L33" s="468"/>
      <c r="M33" s="468"/>
      <c r="N33" s="468"/>
      <c r="O33" s="469"/>
      <c r="P33" s="477"/>
      <c r="Q33" s="477"/>
      <c r="R33" s="477"/>
      <c r="S33" s="477"/>
      <c r="T33" s="477"/>
      <c r="U33" s="478"/>
      <c r="V33" s="476"/>
      <c r="W33" s="477"/>
      <c r="X33" s="477"/>
      <c r="Y33" s="477"/>
      <c r="Z33" s="477"/>
      <c r="AA33" s="478"/>
      <c r="AB33" s="494"/>
      <c r="AC33" s="495"/>
      <c r="AD33" s="495"/>
      <c r="AE33" s="495"/>
      <c r="AF33" s="495"/>
      <c r="AG33" s="496"/>
      <c r="AH33" s="485"/>
      <c r="AI33" s="486"/>
      <c r="AJ33" s="486"/>
      <c r="AK33" s="486"/>
      <c r="AL33" s="486"/>
      <c r="AM33" s="487"/>
      <c r="AN33" s="66"/>
      <c r="AO33" s="546"/>
      <c r="AP33" s="547"/>
      <c r="AQ33" s="547"/>
      <c r="AR33" s="547"/>
      <c r="AS33" s="547"/>
      <c r="AT33" s="548"/>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25">
      <c r="A34" s="66"/>
      <c r="B34" s="514"/>
      <c r="C34" s="514"/>
      <c r="D34" s="515"/>
      <c r="E34" s="507"/>
      <c r="F34" s="508"/>
      <c r="G34" s="508"/>
      <c r="H34" s="508"/>
      <c r="I34" s="508"/>
      <c r="J34" s="467" t="str">
        <f>IF(AND('Riesgos de Gestión'!$O$42="Baja",'Riesgos de Gestión'!$S$42="Leve"),CONCATENATE("R",'Riesgos de Gestión'!$A$42),"")</f>
        <v/>
      </c>
      <c r="K34" s="468"/>
      <c r="L34" s="468" t="str">
        <f>IF(AND('Riesgos de Gestión'!$O$48="Baja",'Riesgos de Gestión'!$S$48="Leve"),CONCATENATE("R",'Riesgos de Gestión'!$A$48),"")</f>
        <v/>
      </c>
      <c r="M34" s="468"/>
      <c r="N34" s="468" t="str">
        <f>IF(AND('Riesgos de Gestión'!$O$54="Baja",'Riesgos de Gestión'!$S$54="Leve"),CONCATENATE("R",'Riesgos de Gestión'!$A$54),"")</f>
        <v/>
      </c>
      <c r="O34" s="469"/>
      <c r="P34" s="477" t="str">
        <f>IF(AND('Riesgos de Gestión'!$O$42="Baja",'Riesgos de Gestión'!$S$42="Menor"),CONCATENATE("R",'Riesgos de Gestión'!$A$42),"")</f>
        <v/>
      </c>
      <c r="Q34" s="477"/>
      <c r="R34" s="477" t="str">
        <f>IF(AND('Riesgos de Gestión'!$O$48="Baja",'Riesgos de Gestión'!$S$48="Menor"),CONCATENATE("R",'Riesgos de Gestión'!$A$48),"")</f>
        <v/>
      </c>
      <c r="S34" s="477"/>
      <c r="T34" s="477" t="str">
        <f>IF(AND('Riesgos de Gestión'!$O$54="Baja",'Riesgos de Gestión'!$S$54="Menor"),CONCATENATE("R",'Riesgos de Gestión'!$A$54),"")</f>
        <v/>
      </c>
      <c r="U34" s="478"/>
      <c r="V34" s="476" t="str">
        <f>IF(AND('Riesgos de Gestión'!$O$42="Baja",'Riesgos de Gestión'!$S$42="Moderado"),CONCATENATE("R",'Riesgos de Gestión'!$A$42),"")</f>
        <v/>
      </c>
      <c r="W34" s="477"/>
      <c r="X34" s="477" t="str">
        <f>IF(AND('Riesgos de Gestión'!$O$48="Baja",'Riesgos de Gestión'!$S$48="Moderado"),CONCATENATE("R",'Riesgos de Gestión'!$A$48),"")</f>
        <v/>
      </c>
      <c r="Y34" s="477"/>
      <c r="Z34" s="477" t="str">
        <f>IF(AND('Riesgos de Gestión'!$O$54="Baja",'Riesgos de Gestión'!$S$54="Moderado"),CONCATENATE("R",'Riesgos de Gestión'!$A$54),"")</f>
        <v/>
      </c>
      <c r="AA34" s="478"/>
      <c r="AB34" s="494" t="str">
        <f>IF(AND('Riesgos de Gestión'!$O$42="Baja",'Riesgos de Gestión'!$S$42="Mayor"),CONCATENATE("R",'Riesgos de Gestión'!$A$42),"")</f>
        <v/>
      </c>
      <c r="AC34" s="495"/>
      <c r="AD34" s="495" t="str">
        <f>IF(AND('Riesgos de Gestión'!$O$48="Baja",'Riesgos de Gestión'!$S$48="Mayor"),CONCATENATE("R",'Riesgos de Gestión'!$A$48),"")</f>
        <v/>
      </c>
      <c r="AE34" s="495"/>
      <c r="AF34" s="495" t="str">
        <f>IF(AND('Riesgos de Gestión'!$O$54="Baja",'Riesgos de Gestión'!$S$54="Mayor"),CONCATENATE("R",'Riesgos de Gestión'!$A$54),"")</f>
        <v/>
      </c>
      <c r="AG34" s="496"/>
      <c r="AH34" s="485" t="str">
        <f>IF(AND('Riesgos de Gestión'!$O$42="Baja",'Riesgos de Gestión'!$S$42="Catastrófico"),CONCATENATE("R",'Riesgos de Gestión'!$A$42),"")</f>
        <v/>
      </c>
      <c r="AI34" s="486"/>
      <c r="AJ34" s="486" t="str">
        <f>IF(AND('Riesgos de Gestión'!$O$48="Baja",'Riesgos de Gestión'!$S$48="Catastrófico"),CONCATENATE("R",'Riesgos de Gestión'!$A$48),"")</f>
        <v/>
      </c>
      <c r="AK34" s="486"/>
      <c r="AL34" s="486" t="str">
        <f>IF(AND('Riesgos de Gestión'!$O$54="Baja",'Riesgos de Gestión'!$S$54="Catastrófico"),CONCATENATE("R",'Riesgos de Gestión'!$A$54),"")</f>
        <v/>
      </c>
      <c r="AM34" s="487"/>
      <c r="AN34" s="66"/>
      <c r="AO34" s="546"/>
      <c r="AP34" s="547"/>
      <c r="AQ34" s="547"/>
      <c r="AR34" s="547"/>
      <c r="AS34" s="547"/>
      <c r="AT34" s="548"/>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25">
      <c r="A35" s="66"/>
      <c r="B35" s="514"/>
      <c r="C35" s="514"/>
      <c r="D35" s="515"/>
      <c r="E35" s="507"/>
      <c r="F35" s="508"/>
      <c r="G35" s="508"/>
      <c r="H35" s="508"/>
      <c r="I35" s="508"/>
      <c r="J35" s="467"/>
      <c r="K35" s="468"/>
      <c r="L35" s="468"/>
      <c r="M35" s="468"/>
      <c r="N35" s="468"/>
      <c r="O35" s="469"/>
      <c r="P35" s="477"/>
      <c r="Q35" s="477"/>
      <c r="R35" s="477"/>
      <c r="S35" s="477"/>
      <c r="T35" s="477"/>
      <c r="U35" s="478"/>
      <c r="V35" s="476"/>
      <c r="W35" s="477"/>
      <c r="X35" s="477"/>
      <c r="Y35" s="477"/>
      <c r="Z35" s="477"/>
      <c r="AA35" s="478"/>
      <c r="AB35" s="494"/>
      <c r="AC35" s="495"/>
      <c r="AD35" s="495"/>
      <c r="AE35" s="495"/>
      <c r="AF35" s="495"/>
      <c r="AG35" s="496"/>
      <c r="AH35" s="485"/>
      <c r="AI35" s="486"/>
      <c r="AJ35" s="486"/>
      <c r="AK35" s="486"/>
      <c r="AL35" s="486"/>
      <c r="AM35" s="487"/>
      <c r="AN35" s="66"/>
      <c r="AO35" s="546"/>
      <c r="AP35" s="547"/>
      <c r="AQ35" s="547"/>
      <c r="AR35" s="547"/>
      <c r="AS35" s="547"/>
      <c r="AT35" s="548"/>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25">
      <c r="A36" s="66"/>
      <c r="B36" s="514"/>
      <c r="C36" s="514"/>
      <c r="D36" s="515"/>
      <c r="E36" s="507"/>
      <c r="F36" s="508"/>
      <c r="G36" s="508"/>
      <c r="H36" s="508"/>
      <c r="I36" s="508"/>
      <c r="J36" s="467" t="str">
        <f>IF(AND('Riesgos de Gestión'!$O$60="Baja",'Riesgos de Gestión'!$S$60="Leve"),CONCATENATE("R",'Riesgos de Gestión'!$A$60),"")</f>
        <v/>
      </c>
      <c r="K36" s="468"/>
      <c r="L36" s="468" t="str">
        <f>IF(AND('Riesgos de Gestión'!$P$66="Baja",'Riesgos de Gestión'!$T$66="Leve"),CONCATENATE("R",'Riesgos de Gestión'!$A$66),"")</f>
        <v/>
      </c>
      <c r="M36" s="468"/>
      <c r="N36" s="468" t="str">
        <f>IF(AND('Riesgos de Gestión'!$P$72="Baja",'Riesgos de Gestión'!$T$72="Leve"),CONCATENATE("R",'Riesgos de Gestión'!$A$72),"")</f>
        <v/>
      </c>
      <c r="O36" s="469"/>
      <c r="P36" s="477" t="str">
        <f>IF(AND('Riesgos de Gestión'!$O$60="Baja",'Riesgos de Gestión'!$S$60="Menor"),CONCATENATE("R",'Riesgos de Gestión'!$A$60),"")</f>
        <v/>
      </c>
      <c r="Q36" s="477"/>
      <c r="R36" s="477" t="str">
        <f>IF(AND('Riesgos de Gestión'!$P$66="Baja",'Riesgos de Gestión'!$T$66="Menor"),CONCATENATE("R",'Riesgos de Gestión'!$A$66),"")</f>
        <v/>
      </c>
      <c r="S36" s="477"/>
      <c r="T36" s="477" t="str">
        <f>IF(AND('Riesgos de Gestión'!$P$72="Baja",'Riesgos de Gestión'!$T$72="Menor"),CONCATENATE("R",'Riesgos de Gestión'!$A$72),"")</f>
        <v/>
      </c>
      <c r="U36" s="478"/>
      <c r="V36" s="476" t="str">
        <f>IF(AND('Riesgos de Gestión'!$O$60="Baja",'Riesgos de Gestión'!$S$60="Moderado"),CONCATENATE("R",'Riesgos de Gestión'!$A$60),"")</f>
        <v/>
      </c>
      <c r="W36" s="477"/>
      <c r="X36" s="477" t="str">
        <f>IF(AND('Riesgos de Gestión'!$P$66="Baja",'Riesgos de Gestión'!$T$66="Moderado"),CONCATENATE("R",'Riesgos de Gestión'!$A$66),"")</f>
        <v/>
      </c>
      <c r="Y36" s="477"/>
      <c r="Z36" s="477" t="str">
        <f>IF(AND('Riesgos de Gestión'!$P$72="Baja",'Riesgos de Gestión'!$T$72="Moderado"),CONCATENATE("R",'Riesgos de Gestión'!$A$72),"")</f>
        <v/>
      </c>
      <c r="AA36" s="478"/>
      <c r="AB36" s="494" t="str">
        <f>IF(AND('Riesgos de Gestión'!$O$60="Baja",'Riesgos de Gestión'!$S$60="Mayor"),CONCATENATE("R",'Riesgos de Gestión'!$A$60),"")</f>
        <v/>
      </c>
      <c r="AC36" s="495"/>
      <c r="AD36" s="495" t="str">
        <f>IF(AND('Riesgos de Gestión'!$P$66="Baja",'Riesgos de Gestión'!$T$66="Mayor"),CONCATENATE("R",'Riesgos de Gestión'!$A$66),"")</f>
        <v/>
      </c>
      <c r="AE36" s="495"/>
      <c r="AF36" s="495" t="str">
        <f>IF(AND('Riesgos de Gestión'!$P$72="Baja",'Riesgos de Gestión'!$T$72="Mayor"),CONCATENATE("R",'Riesgos de Gestión'!$A$72),"")</f>
        <v/>
      </c>
      <c r="AG36" s="496"/>
      <c r="AH36" s="485" t="str">
        <f>IF(AND('Riesgos de Gestión'!$O$60="Baja",'Riesgos de Gestión'!$S$60="Catastrófico"),CONCATENATE("R",'Riesgos de Gestión'!$A$60),"")</f>
        <v/>
      </c>
      <c r="AI36" s="486"/>
      <c r="AJ36" s="486" t="str">
        <f>IF(AND('Riesgos de Gestión'!$P$66="Baja",'Riesgos de Gestión'!$T$66="Catastrófico"),CONCATENATE("R",'Riesgos de Gestión'!$A$66),"")</f>
        <v/>
      </c>
      <c r="AK36" s="486"/>
      <c r="AL36" s="486" t="str">
        <f>IF(AND('Riesgos de Gestión'!$P$72="Baja",'Riesgos de Gestión'!$T$72="Catastrófico"),CONCATENATE("R",'Riesgos de Gestión'!$A$72),"")</f>
        <v/>
      </c>
      <c r="AM36" s="487"/>
      <c r="AN36" s="66"/>
      <c r="AO36" s="546"/>
      <c r="AP36" s="547"/>
      <c r="AQ36" s="547"/>
      <c r="AR36" s="547"/>
      <c r="AS36" s="547"/>
      <c r="AT36" s="548"/>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75" thickBot="1" x14ac:dyDescent="0.3">
      <c r="A37" s="66"/>
      <c r="B37" s="514"/>
      <c r="C37" s="514"/>
      <c r="D37" s="515"/>
      <c r="E37" s="510"/>
      <c r="F37" s="511"/>
      <c r="G37" s="511"/>
      <c r="H37" s="511"/>
      <c r="I37" s="511"/>
      <c r="J37" s="470"/>
      <c r="K37" s="471"/>
      <c r="L37" s="471"/>
      <c r="M37" s="471"/>
      <c r="N37" s="471"/>
      <c r="O37" s="472"/>
      <c r="P37" s="480"/>
      <c r="Q37" s="480"/>
      <c r="R37" s="480"/>
      <c r="S37" s="480"/>
      <c r="T37" s="480"/>
      <c r="U37" s="481"/>
      <c r="V37" s="479"/>
      <c r="W37" s="480"/>
      <c r="X37" s="480"/>
      <c r="Y37" s="480"/>
      <c r="Z37" s="480"/>
      <c r="AA37" s="481"/>
      <c r="AB37" s="497"/>
      <c r="AC37" s="498"/>
      <c r="AD37" s="498"/>
      <c r="AE37" s="498"/>
      <c r="AF37" s="498"/>
      <c r="AG37" s="499"/>
      <c r="AH37" s="488"/>
      <c r="AI37" s="489"/>
      <c r="AJ37" s="489"/>
      <c r="AK37" s="489"/>
      <c r="AL37" s="489"/>
      <c r="AM37" s="490"/>
      <c r="AN37" s="66"/>
      <c r="AO37" s="549"/>
      <c r="AP37" s="550"/>
      <c r="AQ37" s="550"/>
      <c r="AR37" s="550"/>
      <c r="AS37" s="550"/>
      <c r="AT37" s="551"/>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25">
      <c r="A38" s="66"/>
      <c r="B38" s="514"/>
      <c r="C38" s="514"/>
      <c r="D38" s="515"/>
      <c r="E38" s="504" t="s">
        <v>273</v>
      </c>
      <c r="F38" s="505"/>
      <c r="G38" s="505"/>
      <c r="H38" s="505"/>
      <c r="I38" s="506"/>
      <c r="J38" s="473" t="str">
        <f>IF(AND('Riesgos de Gestión'!$O$13="Muy Baja",'Riesgos de Gestión'!$S$13="Leve"),CONCATENATE("R",'Riesgos de Gestión'!$A$13),"")</f>
        <v/>
      </c>
      <c r="K38" s="474"/>
      <c r="L38" s="474" t="str">
        <f>IF(AND('Riesgos de Gestión'!$O$16="Muy Baja",'Riesgos de Gestión'!$S$16="Leve"),CONCATENATE("R",'Riesgos de Gestión'!$A$16),"")</f>
        <v/>
      </c>
      <c r="M38" s="474"/>
      <c r="N38" s="474" t="str">
        <f>IF(AND('Riesgos de Gestión'!$O$18="Muy Baja",'Riesgos de Gestión'!$S$18="Leve"),CONCATENATE("R",'Riesgos de Gestión'!$A$18),"")</f>
        <v/>
      </c>
      <c r="O38" s="475"/>
      <c r="P38" s="473" t="str">
        <f>IF(AND('Riesgos de Gestión'!$O$13="Muy Baja",'Riesgos de Gestión'!$S$13="Menor"),CONCATENATE("R",'Riesgos de Gestión'!$A$13),"")</f>
        <v/>
      </c>
      <c r="Q38" s="474"/>
      <c r="R38" s="474" t="str">
        <f>IF(AND('Riesgos de Gestión'!$O$16="Muy Baja",'Riesgos de Gestión'!$S$16="Menor"),CONCATENATE("R",'Riesgos de Gestión'!$A$16),"")</f>
        <v/>
      </c>
      <c r="S38" s="474"/>
      <c r="T38" s="474" t="str">
        <f>IF(AND('Riesgos de Gestión'!$O$18="Muy Baja",'Riesgos de Gestión'!$S$18="Menor"),CONCATENATE("R",'Riesgos de Gestión'!$A$18),"")</f>
        <v/>
      </c>
      <c r="U38" s="475"/>
      <c r="V38" s="482" t="str">
        <f>IF(AND('Riesgos de Gestión'!$O$13="Muy Baja",'Riesgos de Gestión'!$S$13="Moderado"),CONCATENATE("R",'Riesgos de Gestión'!$A$13),"")</f>
        <v/>
      </c>
      <c r="W38" s="483"/>
      <c r="X38" s="483" t="str">
        <f>IF(AND('Riesgos de Gestión'!$O$16="Muy Baja",'Riesgos de Gestión'!$S$16="Moderado"),CONCATENATE("R",'Riesgos de Gestión'!$A$16),"")</f>
        <v/>
      </c>
      <c r="Y38" s="483"/>
      <c r="Z38" s="483" t="str">
        <f>IF(AND('Riesgos de Gestión'!$O$18="Muy Baja",'Riesgos de Gestión'!$S$18="Moderado"),CONCATENATE("R",'Riesgos de Gestión'!$A$18),"")</f>
        <v/>
      </c>
      <c r="AA38" s="484"/>
      <c r="AB38" s="500" t="str">
        <f>IF(AND('Riesgos de Gestión'!$O$13="Muy Baja",'Riesgos de Gestión'!$S$13="Mayor"),CONCATENATE("R",'Riesgos de Gestión'!$A$13),"")</f>
        <v/>
      </c>
      <c r="AC38" s="501"/>
      <c r="AD38" s="501" t="str">
        <f>IF(AND('Riesgos de Gestión'!$O$16="Muy Baja",'Riesgos de Gestión'!$S$16="Mayor"),CONCATENATE("R",'Riesgos de Gestión'!$A$16),"")</f>
        <v/>
      </c>
      <c r="AE38" s="501"/>
      <c r="AF38" s="501" t="str">
        <f>IF(AND('Riesgos de Gestión'!$O$18="Muy Baja",'Riesgos de Gestión'!$S$18="Mayor"),CONCATENATE("R",'Riesgos de Gestión'!$A$18),"")</f>
        <v/>
      </c>
      <c r="AG38" s="502"/>
      <c r="AH38" s="491" t="str">
        <f>IF(AND('Riesgos de Gestión'!$O$13="Muy Baja",'Riesgos de Gestión'!$S$13="Catastrófico"),CONCATENATE("R",'Riesgos de Gestión'!$A$13),"")</f>
        <v/>
      </c>
      <c r="AI38" s="492"/>
      <c r="AJ38" s="492" t="str">
        <f>IF(AND('Riesgos de Gestión'!$O$16="Muy Baja",'Riesgos de Gestión'!$S$16="Catastrófico"),CONCATENATE("R",'Riesgos de Gestión'!$A$16),"")</f>
        <v/>
      </c>
      <c r="AK38" s="492"/>
      <c r="AL38" s="492" t="str">
        <f>IF(AND('Riesgos de Gestión'!$O$18="Muy Baja",'Riesgos de Gestión'!$S$18="Catastrófico"),CONCATENATE("R",'Riesgos de Gestión'!$A$18),"")</f>
        <v/>
      </c>
      <c r="AM38" s="493"/>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25">
      <c r="A39" s="66"/>
      <c r="B39" s="514"/>
      <c r="C39" s="514"/>
      <c r="D39" s="515"/>
      <c r="E39" s="507"/>
      <c r="F39" s="508"/>
      <c r="G39" s="508"/>
      <c r="H39" s="508"/>
      <c r="I39" s="509"/>
      <c r="J39" s="467"/>
      <c r="K39" s="468"/>
      <c r="L39" s="468"/>
      <c r="M39" s="468"/>
      <c r="N39" s="468"/>
      <c r="O39" s="469"/>
      <c r="P39" s="467"/>
      <c r="Q39" s="468"/>
      <c r="R39" s="468"/>
      <c r="S39" s="468"/>
      <c r="T39" s="468"/>
      <c r="U39" s="469"/>
      <c r="V39" s="476"/>
      <c r="W39" s="477"/>
      <c r="X39" s="477"/>
      <c r="Y39" s="477"/>
      <c r="Z39" s="477"/>
      <c r="AA39" s="478"/>
      <c r="AB39" s="494"/>
      <c r="AC39" s="495"/>
      <c r="AD39" s="495"/>
      <c r="AE39" s="495"/>
      <c r="AF39" s="495"/>
      <c r="AG39" s="496"/>
      <c r="AH39" s="485"/>
      <c r="AI39" s="486"/>
      <c r="AJ39" s="486"/>
      <c r="AK39" s="486"/>
      <c r="AL39" s="486"/>
      <c r="AM39" s="487"/>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25">
      <c r="A40" s="66"/>
      <c r="B40" s="514"/>
      <c r="C40" s="514"/>
      <c r="D40" s="515"/>
      <c r="E40" s="507"/>
      <c r="F40" s="508"/>
      <c r="G40" s="508"/>
      <c r="H40" s="508"/>
      <c r="I40" s="509"/>
      <c r="J40" s="467" t="str">
        <f>IF(AND('Riesgos de Gestión'!$O$24="Muy Baja",'Riesgos de Gestión'!$S$24="Leve"),CONCATENATE("R",'Riesgos de Gestión'!$A$24),"")</f>
        <v/>
      </c>
      <c r="K40" s="468"/>
      <c r="L40" s="468" t="str">
        <f>IF(AND('Riesgos de Gestión'!$O$30="Muy Baja",'Riesgos de Gestión'!$S$30="Leve"),CONCATENATE("R",'Riesgos de Gestión'!$A$30),"")</f>
        <v/>
      </c>
      <c r="M40" s="468"/>
      <c r="N40" s="468" t="str">
        <f>IF(AND('Riesgos de Gestión'!$O$36="Muy Baja",'Riesgos de Gestión'!$S$36="Leve"),CONCATENATE("R",'Riesgos de Gestión'!$A$36),"")</f>
        <v/>
      </c>
      <c r="O40" s="469"/>
      <c r="P40" s="467" t="str">
        <f>IF(AND('Riesgos de Gestión'!$O$24="Muy Baja",'Riesgos de Gestión'!$S$24="Menor"),CONCATENATE("R",'Riesgos de Gestión'!$A$24),"")</f>
        <v/>
      </c>
      <c r="Q40" s="468"/>
      <c r="R40" s="468" t="str">
        <f>IF(AND('Riesgos de Gestión'!$O$30="Muy Baja",'Riesgos de Gestión'!$S$30="Menor"),CONCATENATE("R",'Riesgos de Gestión'!$A$30),"")</f>
        <v/>
      </c>
      <c r="S40" s="468"/>
      <c r="T40" s="468" t="str">
        <f>IF(AND('Riesgos de Gestión'!$O$36="Muy Baja",'Riesgos de Gestión'!$S$36="Menor"),CONCATENATE("R",'Riesgos de Gestión'!$A$36),"")</f>
        <v/>
      </c>
      <c r="U40" s="469"/>
      <c r="V40" s="476" t="str">
        <f>IF(AND('Riesgos de Gestión'!$O$24="Muy Baja",'Riesgos de Gestión'!$S$24="Moderado"),CONCATENATE("R",'Riesgos de Gestión'!$A$24),"")</f>
        <v/>
      </c>
      <c r="W40" s="477"/>
      <c r="X40" s="477" t="str">
        <f>IF(AND('Riesgos de Gestión'!$O$30="Muy Baja",'Riesgos de Gestión'!$S$30="Moderado"),CONCATENATE("R",'Riesgos de Gestión'!$A$30),"")</f>
        <v/>
      </c>
      <c r="Y40" s="477"/>
      <c r="Z40" s="477" t="str">
        <f>IF(AND('Riesgos de Gestión'!$O$36="Muy Baja",'Riesgos de Gestión'!$S$36="Moderado"),CONCATENATE("R",'Riesgos de Gestión'!$A$36),"")</f>
        <v/>
      </c>
      <c r="AA40" s="478"/>
      <c r="AB40" s="494" t="str">
        <f>IF(AND('Riesgos de Gestión'!$O$24="Muy Baja",'Riesgos de Gestión'!$S$24="Mayor"),CONCATENATE("R",'Riesgos de Gestión'!$A$24),"")</f>
        <v/>
      </c>
      <c r="AC40" s="495"/>
      <c r="AD40" s="495" t="str">
        <f>IF(AND('Riesgos de Gestión'!$O$30="Muy Baja",'Riesgos de Gestión'!$S$30="Mayor"),CONCATENATE("R",'Riesgos de Gestión'!$A$30),"")</f>
        <v/>
      </c>
      <c r="AE40" s="495"/>
      <c r="AF40" s="495" t="str">
        <f>IF(AND('Riesgos de Gestión'!$O$36="Muy Baja",'Riesgos de Gestión'!$S$36="Mayor"),CONCATENATE("R",'Riesgos de Gestión'!$A$36),"")</f>
        <v/>
      </c>
      <c r="AG40" s="496"/>
      <c r="AH40" s="485" t="str">
        <f>IF(AND('Riesgos de Gestión'!$O$24="Muy Baja",'Riesgos de Gestión'!$S$24="Catastrófico"),CONCATENATE("R",'Riesgos de Gestión'!$A$24),"")</f>
        <v/>
      </c>
      <c r="AI40" s="486"/>
      <c r="AJ40" s="486" t="str">
        <f>IF(AND('Riesgos de Gestión'!$O$30="Muy Baja",'Riesgos de Gestión'!$S$30="Catastrófico"),CONCATENATE("R",'Riesgos de Gestión'!$A$30),"")</f>
        <v/>
      </c>
      <c r="AK40" s="486"/>
      <c r="AL40" s="486" t="str">
        <f>IF(AND('Riesgos de Gestión'!$O$36="Muy Baja",'Riesgos de Gestión'!$S$36="Catastrófico"),CONCATENATE("R",'Riesgos de Gestión'!$A$36),"")</f>
        <v/>
      </c>
      <c r="AM40" s="487"/>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25">
      <c r="A41" s="66"/>
      <c r="B41" s="514"/>
      <c r="C41" s="514"/>
      <c r="D41" s="515"/>
      <c r="E41" s="507"/>
      <c r="F41" s="508"/>
      <c r="G41" s="508"/>
      <c r="H41" s="508"/>
      <c r="I41" s="509"/>
      <c r="J41" s="467"/>
      <c r="K41" s="468"/>
      <c r="L41" s="468"/>
      <c r="M41" s="468"/>
      <c r="N41" s="468"/>
      <c r="O41" s="469"/>
      <c r="P41" s="467"/>
      <c r="Q41" s="468"/>
      <c r="R41" s="468"/>
      <c r="S41" s="468"/>
      <c r="T41" s="468"/>
      <c r="U41" s="469"/>
      <c r="V41" s="476"/>
      <c r="W41" s="477"/>
      <c r="X41" s="477"/>
      <c r="Y41" s="477"/>
      <c r="Z41" s="477"/>
      <c r="AA41" s="478"/>
      <c r="AB41" s="494"/>
      <c r="AC41" s="495"/>
      <c r="AD41" s="495"/>
      <c r="AE41" s="495"/>
      <c r="AF41" s="495"/>
      <c r="AG41" s="496"/>
      <c r="AH41" s="485"/>
      <c r="AI41" s="486"/>
      <c r="AJ41" s="486"/>
      <c r="AK41" s="486"/>
      <c r="AL41" s="486"/>
      <c r="AM41" s="487"/>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25">
      <c r="A42" s="66"/>
      <c r="B42" s="514"/>
      <c r="C42" s="514"/>
      <c r="D42" s="515"/>
      <c r="E42" s="507"/>
      <c r="F42" s="508"/>
      <c r="G42" s="508"/>
      <c r="H42" s="508"/>
      <c r="I42" s="509"/>
      <c r="J42" s="467" t="str">
        <f>IF(AND('Riesgos de Gestión'!$O$42="Muy Baja",'Riesgos de Gestión'!$S$42="Leve"),CONCATENATE("R",'Riesgos de Gestión'!$A$42),"")</f>
        <v/>
      </c>
      <c r="K42" s="468"/>
      <c r="L42" s="468" t="str">
        <f>IF(AND('Riesgos de Gestión'!$O$48="Muy Baja",'Riesgos de Gestión'!$S$48="Leve"),CONCATENATE("R",'Riesgos de Gestión'!$A$48),"")</f>
        <v/>
      </c>
      <c r="M42" s="468"/>
      <c r="N42" s="468" t="str">
        <f>IF(AND('Riesgos de Gestión'!$O$54="Muy Baja",'Riesgos de Gestión'!$S$54="Leve"),CONCATENATE("R",'Riesgos de Gestión'!$A$54),"")</f>
        <v/>
      </c>
      <c r="O42" s="469"/>
      <c r="P42" s="467" t="str">
        <f>IF(AND('Riesgos de Gestión'!$O$42="Muy Baja",'Riesgos de Gestión'!$S$42="Menor"),CONCATENATE("R",'Riesgos de Gestión'!$A$42),"")</f>
        <v/>
      </c>
      <c r="Q42" s="468"/>
      <c r="R42" s="468" t="str">
        <f>IF(AND('Riesgos de Gestión'!$O$48="Muy Baja",'Riesgos de Gestión'!$S$48="Menor"),CONCATENATE("R",'Riesgos de Gestión'!$A$48),"")</f>
        <v/>
      </c>
      <c r="S42" s="468"/>
      <c r="T42" s="468" t="str">
        <f>IF(AND('Riesgos de Gestión'!$O$54="Muy Baja",'Riesgos de Gestión'!$S$54="Menor"),CONCATENATE("R",'Riesgos de Gestión'!$A$54),"")</f>
        <v/>
      </c>
      <c r="U42" s="469"/>
      <c r="V42" s="476" t="str">
        <f>IF(AND('Riesgos de Gestión'!$O$42="Muy Baja",'Riesgos de Gestión'!$S$42="Moderado"),CONCATENATE("R",'Riesgos de Gestión'!$A$42),"")</f>
        <v/>
      </c>
      <c r="W42" s="477"/>
      <c r="X42" s="477" t="str">
        <f>IF(AND('Riesgos de Gestión'!$O$48="Muy Baja",'Riesgos de Gestión'!$S$48="Moderado"),CONCATENATE("R",'Riesgos de Gestión'!$A$48),"")</f>
        <v/>
      </c>
      <c r="Y42" s="477"/>
      <c r="Z42" s="477" t="str">
        <f>IF(AND('Riesgos de Gestión'!$O$54="Muy Baja",'Riesgos de Gestión'!$S$54="Moderado"),CONCATENATE("R",'Riesgos de Gestión'!$A$54),"")</f>
        <v/>
      </c>
      <c r="AA42" s="478"/>
      <c r="AB42" s="494" t="str">
        <f>IF(AND('Riesgos de Gestión'!$O$42="Muy Baja",'Riesgos de Gestión'!$S$42="Mayor"),CONCATENATE("R",'Riesgos de Gestión'!$A$42),"")</f>
        <v/>
      </c>
      <c r="AC42" s="495"/>
      <c r="AD42" s="495" t="str">
        <f>IF(AND('Riesgos de Gestión'!$O$48="Muy Baja",'Riesgos de Gestión'!$S$48="Mayor"),CONCATENATE("R",'Riesgos de Gestión'!$A$48),"")</f>
        <v/>
      </c>
      <c r="AE42" s="495"/>
      <c r="AF42" s="495" t="str">
        <f>IF(AND('Riesgos de Gestión'!$O$54="Muy Baja",'Riesgos de Gestión'!$S$54="Mayor"),CONCATENATE("R",'Riesgos de Gestión'!$A$54),"")</f>
        <v/>
      </c>
      <c r="AG42" s="496"/>
      <c r="AH42" s="485" t="str">
        <f>IF(AND('Riesgos de Gestión'!$O$42="Muy Baja",'Riesgos de Gestión'!$S$42="Catastrófico"),CONCATENATE("R",'Riesgos de Gestión'!$A$42),"")</f>
        <v/>
      </c>
      <c r="AI42" s="486"/>
      <c r="AJ42" s="486" t="str">
        <f>IF(AND('Riesgos de Gestión'!$O$48="Muy Baja",'Riesgos de Gestión'!$S$48="Catastrófico"),CONCATENATE("R",'Riesgos de Gestión'!$A$48),"")</f>
        <v/>
      </c>
      <c r="AK42" s="486"/>
      <c r="AL42" s="486" t="str">
        <f>IF(AND('Riesgos de Gestión'!$O$54="Muy Baja",'Riesgos de Gestión'!$S$54="Catastrófico"),CONCATENATE("R",'Riesgos de Gestión'!$A$54),"")</f>
        <v/>
      </c>
      <c r="AM42" s="487"/>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25">
      <c r="A43" s="66"/>
      <c r="B43" s="514"/>
      <c r="C43" s="514"/>
      <c r="D43" s="515"/>
      <c r="E43" s="507"/>
      <c r="F43" s="508"/>
      <c r="G43" s="508"/>
      <c r="H43" s="508"/>
      <c r="I43" s="509"/>
      <c r="J43" s="467"/>
      <c r="K43" s="468"/>
      <c r="L43" s="468"/>
      <c r="M43" s="468"/>
      <c r="N43" s="468"/>
      <c r="O43" s="469"/>
      <c r="P43" s="467"/>
      <c r="Q43" s="468"/>
      <c r="R43" s="468"/>
      <c r="S43" s="468"/>
      <c r="T43" s="468"/>
      <c r="U43" s="469"/>
      <c r="V43" s="476"/>
      <c r="W43" s="477"/>
      <c r="X43" s="477"/>
      <c r="Y43" s="477"/>
      <c r="Z43" s="477"/>
      <c r="AA43" s="478"/>
      <c r="AB43" s="494"/>
      <c r="AC43" s="495"/>
      <c r="AD43" s="495"/>
      <c r="AE43" s="495"/>
      <c r="AF43" s="495"/>
      <c r="AG43" s="496"/>
      <c r="AH43" s="485"/>
      <c r="AI43" s="486"/>
      <c r="AJ43" s="486"/>
      <c r="AK43" s="486"/>
      <c r="AL43" s="486"/>
      <c r="AM43" s="487"/>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25">
      <c r="A44" s="66"/>
      <c r="B44" s="514"/>
      <c r="C44" s="514"/>
      <c r="D44" s="515"/>
      <c r="E44" s="507"/>
      <c r="F44" s="508"/>
      <c r="G44" s="508"/>
      <c r="H44" s="508"/>
      <c r="I44" s="509"/>
      <c r="J44" s="467" t="str">
        <f>IF(AND('Riesgos de Gestión'!$O$60="Muy Baja",'Riesgos de Gestión'!$S$60="Leve"),CONCATENATE("R",'Riesgos de Gestión'!$A$60),"")</f>
        <v/>
      </c>
      <c r="K44" s="468"/>
      <c r="L44" s="468" t="str">
        <f>IF(AND('Riesgos de Gestión'!$P$66="Muy Baja",'Riesgos de Gestión'!$T$66="Leve"),CONCATENATE("R",'Riesgos de Gestión'!$A$66),"")</f>
        <v/>
      </c>
      <c r="M44" s="468"/>
      <c r="N44" s="468" t="str">
        <f>IF(AND('Riesgos de Gestión'!$P$72="Muy Baja",'Riesgos de Gestión'!$T$72="Leve"),CONCATENATE("R",'Riesgos de Gestión'!$A$72),"")</f>
        <v/>
      </c>
      <c r="O44" s="469"/>
      <c r="P44" s="467" t="str">
        <f>IF(AND('Riesgos de Gestión'!$O$60="Muy Baja",'Riesgos de Gestión'!$S$60="Menor"),CONCATENATE("R",'Riesgos de Gestión'!$A$60),"")</f>
        <v/>
      </c>
      <c r="Q44" s="468"/>
      <c r="R44" s="468" t="str">
        <f>IF(AND('Riesgos de Gestión'!$P$66="Muy Baja",'Riesgos de Gestión'!$T$66="Menor"),CONCATENATE("R",'Riesgos de Gestión'!$A$66),"")</f>
        <v/>
      </c>
      <c r="S44" s="468"/>
      <c r="T44" s="468" t="str">
        <f>IF(AND('Riesgos de Gestión'!$P$72="Muy Baja",'Riesgos de Gestión'!$T$72="Menor"),CONCATENATE("R",'Riesgos de Gestión'!$A$72),"")</f>
        <v/>
      </c>
      <c r="U44" s="469"/>
      <c r="V44" s="476" t="str">
        <f>IF(AND('Riesgos de Gestión'!$O$60="Muy Baja",'Riesgos de Gestión'!$S$60="Moderado"),CONCATENATE("R",'Riesgos de Gestión'!$A$60),"")</f>
        <v/>
      </c>
      <c r="W44" s="477"/>
      <c r="X44" s="477" t="str">
        <f>IF(AND('Riesgos de Gestión'!$P$66="Muy Baja",'Riesgos de Gestión'!$T$66="Moderado"),CONCATENATE("R",'Riesgos de Gestión'!$A$66),"")</f>
        <v/>
      </c>
      <c r="Y44" s="477"/>
      <c r="Z44" s="477" t="str">
        <f>IF(AND('Riesgos de Gestión'!$P$72="Muy Baja",'Riesgos de Gestión'!$T$72="Moderado"),CONCATENATE("R",'Riesgos de Gestión'!$A$72),"")</f>
        <v/>
      </c>
      <c r="AA44" s="478"/>
      <c r="AB44" s="494" t="str">
        <f>IF(AND('Riesgos de Gestión'!$O$60="Muy Baja",'Riesgos de Gestión'!$S$60="Mayor"),CONCATENATE("R",'Riesgos de Gestión'!$A$60),"")</f>
        <v/>
      </c>
      <c r="AC44" s="495"/>
      <c r="AD44" s="495" t="str">
        <f>IF(AND('Riesgos de Gestión'!$P$66="Muy Baja",'Riesgos de Gestión'!$T$66="Mayor"),CONCATENATE("R",'Riesgos de Gestión'!$A$66),"")</f>
        <v/>
      </c>
      <c r="AE44" s="495"/>
      <c r="AF44" s="495" t="str">
        <f>IF(AND('Riesgos de Gestión'!$P$72="Muy Baja",'Riesgos de Gestión'!$T$72="Mayor"),CONCATENATE("R",'Riesgos de Gestión'!$A$72),"")</f>
        <v/>
      </c>
      <c r="AG44" s="496"/>
      <c r="AH44" s="485" t="str">
        <f>IF(AND('Riesgos de Gestión'!$O$60="Muy Baja",'Riesgos de Gestión'!$S$60="Catastrófico"),CONCATENATE("R",'Riesgos de Gestión'!$A$60),"")</f>
        <v/>
      </c>
      <c r="AI44" s="486"/>
      <c r="AJ44" s="486" t="str">
        <f>IF(AND('Riesgos de Gestión'!$P$66="Muy Baja",'Riesgos de Gestión'!$T$66="Catastrófico"),CONCATENATE("R",'Riesgos de Gestión'!$A$66),"")</f>
        <v/>
      </c>
      <c r="AK44" s="486"/>
      <c r="AL44" s="486" t="str">
        <f>IF(AND('Riesgos de Gestión'!$P$72="Muy Baja",'Riesgos de Gestión'!$T$72="Catastrófico"),CONCATENATE("R",'Riesgos de Gestión'!$A$72),"")</f>
        <v/>
      </c>
      <c r="AM44" s="487"/>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75" thickBot="1" x14ac:dyDescent="0.3">
      <c r="A45" s="66"/>
      <c r="B45" s="514"/>
      <c r="C45" s="514"/>
      <c r="D45" s="515"/>
      <c r="E45" s="510"/>
      <c r="F45" s="511"/>
      <c r="G45" s="511"/>
      <c r="H45" s="511"/>
      <c r="I45" s="512"/>
      <c r="J45" s="470"/>
      <c r="K45" s="471"/>
      <c r="L45" s="471"/>
      <c r="M45" s="471"/>
      <c r="N45" s="471"/>
      <c r="O45" s="472"/>
      <c r="P45" s="470"/>
      <c r="Q45" s="471"/>
      <c r="R45" s="471"/>
      <c r="S45" s="471"/>
      <c r="T45" s="471"/>
      <c r="U45" s="472"/>
      <c r="V45" s="479"/>
      <c r="W45" s="480"/>
      <c r="X45" s="480"/>
      <c r="Y45" s="480"/>
      <c r="Z45" s="480"/>
      <c r="AA45" s="481"/>
      <c r="AB45" s="497"/>
      <c r="AC45" s="498"/>
      <c r="AD45" s="498"/>
      <c r="AE45" s="498"/>
      <c r="AF45" s="498"/>
      <c r="AG45" s="499"/>
      <c r="AH45" s="488"/>
      <c r="AI45" s="489"/>
      <c r="AJ45" s="489"/>
      <c r="AK45" s="489"/>
      <c r="AL45" s="489"/>
      <c r="AM45" s="490"/>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25">
      <c r="A46" s="66"/>
      <c r="B46" s="66"/>
      <c r="C46" s="66"/>
      <c r="D46" s="66"/>
      <c r="E46" s="66"/>
      <c r="F46" s="66"/>
      <c r="G46" s="66"/>
      <c r="H46" s="66"/>
      <c r="I46" s="66"/>
      <c r="J46" s="504" t="s">
        <v>274</v>
      </c>
      <c r="K46" s="505"/>
      <c r="L46" s="505"/>
      <c r="M46" s="505"/>
      <c r="N46" s="505"/>
      <c r="O46" s="506"/>
      <c r="P46" s="504" t="s">
        <v>275</v>
      </c>
      <c r="Q46" s="505"/>
      <c r="R46" s="505"/>
      <c r="S46" s="505"/>
      <c r="T46" s="505"/>
      <c r="U46" s="506"/>
      <c r="V46" s="504" t="s">
        <v>276</v>
      </c>
      <c r="W46" s="505"/>
      <c r="X46" s="505"/>
      <c r="Y46" s="505"/>
      <c r="Z46" s="505"/>
      <c r="AA46" s="506"/>
      <c r="AB46" s="504" t="s">
        <v>277</v>
      </c>
      <c r="AC46" s="513"/>
      <c r="AD46" s="505"/>
      <c r="AE46" s="505"/>
      <c r="AF46" s="505"/>
      <c r="AG46" s="506"/>
      <c r="AH46" s="504" t="s">
        <v>278</v>
      </c>
      <c r="AI46" s="505"/>
      <c r="AJ46" s="505"/>
      <c r="AK46" s="505"/>
      <c r="AL46" s="505"/>
      <c r="AM46" s="50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25">
      <c r="A47" s="66"/>
      <c r="B47" s="66"/>
      <c r="C47" s="66"/>
      <c r="D47" s="66"/>
      <c r="E47" s="66"/>
      <c r="F47" s="66"/>
      <c r="G47" s="66"/>
      <c r="H47" s="66"/>
      <c r="I47" s="66"/>
      <c r="J47" s="507"/>
      <c r="K47" s="508"/>
      <c r="L47" s="508"/>
      <c r="M47" s="508"/>
      <c r="N47" s="508"/>
      <c r="O47" s="509"/>
      <c r="P47" s="507"/>
      <c r="Q47" s="508"/>
      <c r="R47" s="508"/>
      <c r="S47" s="508"/>
      <c r="T47" s="508"/>
      <c r="U47" s="509"/>
      <c r="V47" s="507"/>
      <c r="W47" s="508"/>
      <c r="X47" s="508"/>
      <c r="Y47" s="508"/>
      <c r="Z47" s="508"/>
      <c r="AA47" s="509"/>
      <c r="AB47" s="507"/>
      <c r="AC47" s="508"/>
      <c r="AD47" s="508"/>
      <c r="AE47" s="508"/>
      <c r="AF47" s="508"/>
      <c r="AG47" s="509"/>
      <c r="AH47" s="507"/>
      <c r="AI47" s="508"/>
      <c r="AJ47" s="508"/>
      <c r="AK47" s="508"/>
      <c r="AL47" s="508"/>
      <c r="AM47" s="509"/>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25">
      <c r="A48" s="66"/>
      <c r="B48" s="66"/>
      <c r="C48" s="66"/>
      <c r="D48" s="66"/>
      <c r="E48" s="66"/>
      <c r="F48" s="66"/>
      <c r="G48" s="66"/>
      <c r="H48" s="66"/>
      <c r="I48" s="66"/>
      <c r="J48" s="507"/>
      <c r="K48" s="508"/>
      <c r="L48" s="508"/>
      <c r="M48" s="508"/>
      <c r="N48" s="508"/>
      <c r="O48" s="509"/>
      <c r="P48" s="507"/>
      <c r="Q48" s="508"/>
      <c r="R48" s="508"/>
      <c r="S48" s="508"/>
      <c r="T48" s="508"/>
      <c r="U48" s="509"/>
      <c r="V48" s="507"/>
      <c r="W48" s="508"/>
      <c r="X48" s="508"/>
      <c r="Y48" s="508"/>
      <c r="Z48" s="508"/>
      <c r="AA48" s="509"/>
      <c r="AB48" s="507"/>
      <c r="AC48" s="508"/>
      <c r="AD48" s="508"/>
      <c r="AE48" s="508"/>
      <c r="AF48" s="508"/>
      <c r="AG48" s="509"/>
      <c r="AH48" s="507"/>
      <c r="AI48" s="508"/>
      <c r="AJ48" s="508"/>
      <c r="AK48" s="508"/>
      <c r="AL48" s="508"/>
      <c r="AM48" s="509"/>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25">
      <c r="A49" s="66"/>
      <c r="B49" s="66"/>
      <c r="C49" s="66"/>
      <c r="D49" s="66"/>
      <c r="E49" s="66"/>
      <c r="F49" s="66"/>
      <c r="G49" s="66"/>
      <c r="H49" s="66"/>
      <c r="I49" s="66"/>
      <c r="J49" s="507"/>
      <c r="K49" s="508"/>
      <c r="L49" s="508"/>
      <c r="M49" s="508"/>
      <c r="N49" s="508"/>
      <c r="O49" s="509"/>
      <c r="P49" s="507"/>
      <c r="Q49" s="508"/>
      <c r="R49" s="508"/>
      <c r="S49" s="508"/>
      <c r="T49" s="508"/>
      <c r="U49" s="509"/>
      <c r="V49" s="507"/>
      <c r="W49" s="508"/>
      <c r="X49" s="508"/>
      <c r="Y49" s="508"/>
      <c r="Z49" s="508"/>
      <c r="AA49" s="509"/>
      <c r="AB49" s="507"/>
      <c r="AC49" s="508"/>
      <c r="AD49" s="508"/>
      <c r="AE49" s="508"/>
      <c r="AF49" s="508"/>
      <c r="AG49" s="509"/>
      <c r="AH49" s="507"/>
      <c r="AI49" s="508"/>
      <c r="AJ49" s="508"/>
      <c r="AK49" s="508"/>
      <c r="AL49" s="508"/>
      <c r="AM49" s="509"/>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25">
      <c r="A50" s="66"/>
      <c r="B50" s="66"/>
      <c r="C50" s="66"/>
      <c r="D50" s="66"/>
      <c r="E50" s="66"/>
      <c r="F50" s="66"/>
      <c r="G50" s="66"/>
      <c r="H50" s="66"/>
      <c r="I50" s="66"/>
      <c r="J50" s="507"/>
      <c r="K50" s="508"/>
      <c r="L50" s="508"/>
      <c r="M50" s="508"/>
      <c r="N50" s="508"/>
      <c r="O50" s="509"/>
      <c r="P50" s="507"/>
      <c r="Q50" s="508"/>
      <c r="R50" s="508"/>
      <c r="S50" s="508"/>
      <c r="T50" s="508"/>
      <c r="U50" s="509"/>
      <c r="V50" s="507"/>
      <c r="W50" s="508"/>
      <c r="X50" s="508"/>
      <c r="Y50" s="508"/>
      <c r="Z50" s="508"/>
      <c r="AA50" s="509"/>
      <c r="AB50" s="507"/>
      <c r="AC50" s="508"/>
      <c r="AD50" s="508"/>
      <c r="AE50" s="508"/>
      <c r="AF50" s="508"/>
      <c r="AG50" s="509"/>
      <c r="AH50" s="507"/>
      <c r="AI50" s="508"/>
      <c r="AJ50" s="508"/>
      <c r="AK50" s="508"/>
      <c r="AL50" s="508"/>
      <c r="AM50" s="509"/>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75" thickBot="1" x14ac:dyDescent="0.3">
      <c r="A51" s="66"/>
      <c r="B51" s="66"/>
      <c r="C51" s="66"/>
      <c r="D51" s="66"/>
      <c r="E51" s="66"/>
      <c r="F51" s="66"/>
      <c r="G51" s="66"/>
      <c r="H51" s="66"/>
      <c r="I51" s="66"/>
      <c r="J51" s="510"/>
      <c r="K51" s="511"/>
      <c r="L51" s="511"/>
      <c r="M51" s="511"/>
      <c r="N51" s="511"/>
      <c r="O51" s="512"/>
      <c r="P51" s="510"/>
      <c r="Q51" s="511"/>
      <c r="R51" s="511"/>
      <c r="S51" s="511"/>
      <c r="T51" s="511"/>
      <c r="U51" s="512"/>
      <c r="V51" s="510"/>
      <c r="W51" s="511"/>
      <c r="X51" s="511"/>
      <c r="Y51" s="511"/>
      <c r="Z51" s="511"/>
      <c r="AA51" s="512"/>
      <c r="AB51" s="510"/>
      <c r="AC51" s="511"/>
      <c r="AD51" s="511"/>
      <c r="AE51" s="511"/>
      <c r="AF51" s="511"/>
      <c r="AG51" s="512"/>
      <c r="AH51" s="510"/>
      <c r="AI51" s="511"/>
      <c r="AJ51" s="511"/>
      <c r="AK51" s="511"/>
      <c r="AL51" s="511"/>
      <c r="AM51" s="512"/>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25">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2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25">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25">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25">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25">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25">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25">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25">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25">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25">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25">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25">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25">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2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25">
      <c r="B137" s="66"/>
      <c r="C137" s="66"/>
      <c r="D137" s="66"/>
      <c r="E137" s="66"/>
      <c r="F137" s="66"/>
      <c r="G137" s="66"/>
      <c r="H137" s="66"/>
      <c r="I137" s="66"/>
    </row>
    <row r="138" spans="2:63" x14ac:dyDescent="0.25">
      <c r="B138" s="66"/>
      <c r="C138" s="66"/>
      <c r="D138" s="66"/>
      <c r="E138" s="66"/>
      <c r="F138" s="66"/>
      <c r="G138" s="66"/>
      <c r="H138" s="66"/>
      <c r="I138" s="66"/>
    </row>
    <row r="139" spans="2:63" x14ac:dyDescent="0.25">
      <c r="B139" s="66"/>
      <c r="C139" s="66"/>
      <c r="D139" s="66"/>
      <c r="E139" s="66"/>
      <c r="F139" s="66"/>
      <c r="G139" s="66"/>
      <c r="H139" s="66"/>
      <c r="I139" s="66"/>
    </row>
    <row r="140" spans="2:63" x14ac:dyDescent="0.25">
      <c r="B140" s="66"/>
      <c r="C140" s="66"/>
      <c r="D140" s="66"/>
      <c r="E140" s="66"/>
      <c r="F140" s="66"/>
      <c r="G140" s="66"/>
      <c r="H140" s="66"/>
      <c r="I140" s="66"/>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topLeftCell="A16" zoomScale="40" zoomScaleNormal="40" workbookViewId="0">
      <selection activeCell="V27" sqref="V27:AA35"/>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25">
      <c r="A2" s="66"/>
      <c r="B2" s="581" t="s">
        <v>279</v>
      </c>
      <c r="C2" s="582"/>
      <c r="D2" s="582"/>
      <c r="E2" s="582"/>
      <c r="F2" s="582"/>
      <c r="G2" s="582"/>
      <c r="H2" s="582"/>
      <c r="I2" s="582"/>
      <c r="J2" s="503" t="s">
        <v>15</v>
      </c>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25">
      <c r="A3" s="66"/>
      <c r="B3" s="582"/>
      <c r="C3" s="582"/>
      <c r="D3" s="582"/>
      <c r="E3" s="582"/>
      <c r="F3" s="582"/>
      <c r="G3" s="582"/>
      <c r="H3" s="582"/>
      <c r="I3" s="582"/>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25">
      <c r="A4" s="66"/>
      <c r="B4" s="582"/>
      <c r="C4" s="582"/>
      <c r="D4" s="582"/>
      <c r="E4" s="582"/>
      <c r="F4" s="582"/>
      <c r="G4" s="582"/>
      <c r="H4" s="582"/>
      <c r="I4" s="582"/>
      <c r="J4" s="503"/>
      <c r="K4" s="503"/>
      <c r="L4" s="503"/>
      <c r="M4" s="503"/>
      <c r="N4" s="503"/>
      <c r="O4" s="503"/>
      <c r="P4" s="503"/>
      <c r="Q4" s="503"/>
      <c r="R4" s="503"/>
      <c r="S4" s="503"/>
      <c r="T4" s="503"/>
      <c r="U4" s="503"/>
      <c r="V4" s="503"/>
      <c r="W4" s="503"/>
      <c r="X4" s="503"/>
      <c r="Y4" s="503"/>
      <c r="Z4" s="503"/>
      <c r="AA4" s="503"/>
      <c r="AB4" s="503"/>
      <c r="AC4" s="503"/>
      <c r="AD4" s="503"/>
      <c r="AE4" s="503"/>
      <c r="AF4" s="503"/>
      <c r="AG4" s="503"/>
      <c r="AH4" s="503"/>
      <c r="AI4" s="503"/>
      <c r="AJ4" s="503"/>
      <c r="AK4" s="503"/>
      <c r="AL4" s="503"/>
      <c r="AM4" s="503"/>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25">
      <c r="A6" s="66"/>
      <c r="B6" s="514" t="s">
        <v>264</v>
      </c>
      <c r="C6" s="514"/>
      <c r="D6" s="515"/>
      <c r="E6" s="552" t="s">
        <v>265</v>
      </c>
      <c r="F6" s="553"/>
      <c r="G6" s="553"/>
      <c r="H6" s="553"/>
      <c r="I6" s="554"/>
      <c r="J6" s="29" t="str">
        <f>IF(AND('Riesgos de Gestión'!$AF$13="Muy Alta",'Riesgos de Gestión'!$AH$13="Leve"),CONCATENATE("R1C",'Riesgos de Gestión'!$V$13),"")</f>
        <v/>
      </c>
      <c r="K6" s="30" t="str">
        <f>IF(AND('Riesgos de Gestión'!$AF$14="Muy Alta",'Riesgos de Gestión'!$AH$14="Leve"),CONCATENATE("R1C",'Riesgos de Gestión'!$V$14),"")</f>
        <v/>
      </c>
      <c r="L6" s="30" t="str">
        <f>IF(AND('Riesgos de Gestión'!$AF$15="Muy Alta",'Riesgos de Gestión'!$AH$15="Leve"),CONCATENATE("R1C",'Riesgos de Gestión'!$V$15),"")</f>
        <v/>
      </c>
      <c r="M6" s="30" t="e">
        <f>IF(AND('Riesgos de Gestión'!#REF!="Muy Alta",'Riesgos de Gestión'!#REF!="Leve"),CONCATENATE("R1C",'Riesgos de Gestión'!#REF!),"")</f>
        <v>#REF!</v>
      </c>
      <c r="N6" s="30" t="e">
        <f>IF(AND('Riesgos de Gestión'!#REF!="Muy Alta",'Riesgos de Gestión'!#REF!="Leve"),CONCATENATE("R1C",'Riesgos de Gestión'!#REF!),"")</f>
        <v>#REF!</v>
      </c>
      <c r="O6" s="31" t="e">
        <f>IF(AND('Riesgos de Gestión'!#REF!="Muy Alta",'Riesgos de Gestión'!#REF!="Leve"),CONCATENATE("R1C",'Riesgos de Gestión'!#REF!),"")</f>
        <v>#REF!</v>
      </c>
      <c r="P6" s="29" t="str">
        <f>IF(AND('Riesgos de Gestión'!$AF$13="Muy Alta",'Riesgos de Gestión'!$AH$13="Menor"),CONCATENATE("R1C",'Riesgos de Gestión'!$V$13),"")</f>
        <v/>
      </c>
      <c r="Q6" s="30" t="str">
        <f>IF(AND('Riesgos de Gestión'!$AF$14="Muy Alta",'Riesgos de Gestión'!$AH$14="Menor"),CONCATENATE("R1C",'Riesgos de Gestión'!$V$14),"")</f>
        <v/>
      </c>
      <c r="R6" s="30" t="str">
        <f>IF(AND('Riesgos de Gestión'!$AF$15="Muy Alta",'Riesgos de Gestión'!$AH$15="Menor"),CONCATENATE("R1C",'Riesgos de Gestión'!$V$15),"")</f>
        <v/>
      </c>
      <c r="S6" s="30" t="e">
        <f>IF(AND('Riesgos de Gestión'!#REF!="Muy Alta",'Riesgos de Gestión'!#REF!="Menor"),CONCATENATE("R1C",'Riesgos de Gestión'!#REF!),"")</f>
        <v>#REF!</v>
      </c>
      <c r="T6" s="30" t="e">
        <f>IF(AND('Riesgos de Gestión'!#REF!="Muy Alta",'Riesgos de Gestión'!#REF!="Menor"),CONCATENATE("R1C",'Riesgos de Gestión'!#REF!),"")</f>
        <v>#REF!</v>
      </c>
      <c r="U6" s="31" t="e">
        <f>IF(AND('Riesgos de Gestión'!#REF!="Muy Alta",'Riesgos de Gestión'!#REF!="Menor"),CONCATENATE("R1C",'Riesgos de Gestión'!#REF!),"")</f>
        <v>#REF!</v>
      </c>
      <c r="V6" s="29" t="str">
        <f>IF(AND('Riesgos de Gestión'!$AF$13="Muy Alta",'Riesgos de Gestión'!$AH$13="Moderado"),CONCATENATE("R1C",'Riesgos de Gestión'!$V$13),"")</f>
        <v/>
      </c>
      <c r="W6" s="30" t="str">
        <f>IF(AND('Riesgos de Gestión'!$AF$14="Muy Alta",'Riesgos de Gestión'!$AH$14="Moderado"),CONCATENATE("R1C",'Riesgos de Gestión'!$V$14),"")</f>
        <v/>
      </c>
      <c r="X6" s="30" t="str">
        <f>IF(AND('Riesgos de Gestión'!$AF$15="Muy Alta",'Riesgos de Gestión'!$AH$15="Moderado"),CONCATENATE("R1C",'Riesgos de Gestión'!$V$15),"")</f>
        <v/>
      </c>
      <c r="Y6" s="30" t="e">
        <f>IF(AND('Riesgos de Gestión'!#REF!="Muy Alta",'Riesgos de Gestión'!#REF!="Moderado"),CONCATENATE("R1C",'Riesgos de Gestión'!#REF!),"")</f>
        <v>#REF!</v>
      </c>
      <c r="Z6" s="30" t="e">
        <f>IF(AND('Riesgos de Gestión'!#REF!="Muy Alta",'Riesgos de Gestión'!#REF!="Moderado"),CONCATENATE("R1C",'Riesgos de Gestión'!#REF!),"")</f>
        <v>#REF!</v>
      </c>
      <c r="AA6" s="31" t="e">
        <f>IF(AND('Riesgos de Gestión'!#REF!="Muy Alta",'Riesgos de Gestión'!#REF!="Moderado"),CONCATENATE("R1C",'Riesgos de Gestión'!#REF!),"")</f>
        <v>#REF!</v>
      </c>
      <c r="AB6" s="29" t="str">
        <f>IF(AND('Riesgos de Gestión'!$AF$13="Muy Alta",'Riesgos de Gestión'!$AH$13="Mayor"),CONCATENATE("R1C",'Riesgos de Gestión'!$V$13),"")</f>
        <v/>
      </c>
      <c r="AC6" s="30" t="str">
        <f>IF(AND('Riesgos de Gestión'!$AF$14="Muy Alta",'Riesgos de Gestión'!$AH$14="Mayor"),CONCATENATE("R1C",'Riesgos de Gestión'!$V$14),"")</f>
        <v/>
      </c>
      <c r="AD6" s="30" t="str">
        <f>IF(AND('Riesgos de Gestión'!$AF$15="Muy Alta",'Riesgos de Gestión'!$AH$15="Mayor"),CONCATENATE("R1C",'Riesgos de Gestión'!$V$15),"")</f>
        <v/>
      </c>
      <c r="AE6" s="30" t="e">
        <f>IF(AND('Riesgos de Gestión'!#REF!="Muy Alta",'Riesgos de Gestión'!#REF!="Mayor"),CONCATENATE("R1C",'Riesgos de Gestión'!#REF!),"")</f>
        <v>#REF!</v>
      </c>
      <c r="AF6" s="30" t="e">
        <f>IF(AND('Riesgos de Gestión'!#REF!="Muy Alta",'Riesgos de Gestión'!#REF!="Mayor"),CONCATENATE("R1C",'Riesgos de Gestión'!#REF!),"")</f>
        <v>#REF!</v>
      </c>
      <c r="AG6" s="31" t="e">
        <f>IF(AND('Riesgos de Gestión'!#REF!="Muy Alta",'Riesgos de Gestión'!#REF!="Mayor"),CONCATENATE("R1C",'Riesgos de Gestión'!#REF!),"")</f>
        <v>#REF!</v>
      </c>
      <c r="AH6" s="32" t="str">
        <f>IF(AND('Riesgos de Gestión'!$AF$13="Muy Alta",'Riesgos de Gestión'!$AH$13="Catastrófico"),CONCATENATE("R1C",'Riesgos de Gestión'!$V$13),"")</f>
        <v/>
      </c>
      <c r="AI6" s="33" t="str">
        <f>IF(AND('Riesgos de Gestión'!$AF$14="Muy Alta",'Riesgos de Gestión'!$AH$14="Catastrófico"),CONCATENATE("R1C",'Riesgos de Gestión'!$V$14),"")</f>
        <v/>
      </c>
      <c r="AJ6" s="33" t="str">
        <f>IF(AND('Riesgos de Gestión'!$AF$15="Muy Alta",'Riesgos de Gestión'!$AH$15="Catastrófico"),CONCATENATE("R1C",'Riesgos de Gestión'!$V$15),"")</f>
        <v/>
      </c>
      <c r="AK6" s="33" t="e">
        <f>IF(AND('Riesgos de Gestión'!#REF!="Muy Alta",'Riesgos de Gestión'!#REF!="Catastrófico"),CONCATENATE("R1C",'Riesgos de Gestión'!#REF!),"")</f>
        <v>#REF!</v>
      </c>
      <c r="AL6" s="33" t="e">
        <f>IF(AND('Riesgos de Gestión'!#REF!="Muy Alta",'Riesgos de Gestión'!#REF!="Catastrófico"),CONCATENATE("R1C",'Riesgos de Gestión'!#REF!),"")</f>
        <v>#REF!</v>
      </c>
      <c r="AM6" s="34" t="e">
        <f>IF(AND('Riesgos de Gestión'!#REF!="Muy Alta",'Riesgos de Gestión'!#REF!="Catastrófico"),CONCATENATE("R1C",'Riesgos de Gestión'!#REF!),"")</f>
        <v>#REF!</v>
      </c>
      <c r="AN6" s="66"/>
      <c r="AO6" s="572" t="s">
        <v>266</v>
      </c>
      <c r="AP6" s="573"/>
      <c r="AQ6" s="573"/>
      <c r="AR6" s="573"/>
      <c r="AS6" s="573"/>
      <c r="AT6" s="574"/>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25">
      <c r="A7" s="66"/>
      <c r="B7" s="514"/>
      <c r="C7" s="514"/>
      <c r="D7" s="515"/>
      <c r="E7" s="555"/>
      <c r="F7" s="556"/>
      <c r="G7" s="556"/>
      <c r="H7" s="556"/>
      <c r="I7" s="557"/>
      <c r="J7" s="35" t="str">
        <f>IF(AND('Riesgos de Gestión'!$AF$16="Muy Alta",'Riesgos de Gestión'!$AH$16="Leve"),CONCATENATE("R2C",'Riesgos de Gestión'!$V$16),"")</f>
        <v/>
      </c>
      <c r="K7" s="36" t="str">
        <f>IF(AND('Riesgos de Gestión'!$AF$17="Muy Alta",'Riesgos de Gestión'!$AH$17="Leve"),CONCATENATE("R2C",'Riesgos de Gestión'!$V$17),"")</f>
        <v/>
      </c>
      <c r="L7" s="36" t="e">
        <f>IF(AND('Riesgos de Gestión'!#REF!="Muy Alta",'Riesgos de Gestión'!#REF!="Leve"),CONCATENATE("R2C",'Riesgos de Gestión'!#REF!),"")</f>
        <v>#REF!</v>
      </c>
      <c r="M7" s="36" t="e">
        <f>IF(AND('Riesgos de Gestión'!#REF!="Muy Alta",'Riesgos de Gestión'!#REF!="Leve"),CONCATENATE("R2C",'Riesgos de Gestión'!#REF!),"")</f>
        <v>#REF!</v>
      </c>
      <c r="N7" s="36" t="e">
        <f>IF(AND('Riesgos de Gestión'!#REF!="Muy Alta",'Riesgos de Gestión'!#REF!="Leve"),CONCATENATE("R2C",'Riesgos de Gestión'!#REF!),"")</f>
        <v>#REF!</v>
      </c>
      <c r="O7" s="37" t="e">
        <f>IF(AND('Riesgos de Gestión'!#REF!="Muy Alta",'Riesgos de Gestión'!#REF!="Leve"),CONCATENATE("R2C",'Riesgos de Gestión'!#REF!),"")</f>
        <v>#REF!</v>
      </c>
      <c r="P7" s="35" t="str">
        <f>IF(AND('Riesgos de Gestión'!$AF$16="Muy Alta",'Riesgos de Gestión'!$AH$16="Menor"),CONCATENATE("R2C",'Riesgos de Gestión'!$V$16),"")</f>
        <v/>
      </c>
      <c r="Q7" s="36" t="str">
        <f>IF(AND('Riesgos de Gestión'!$AF$17="Muy Alta",'Riesgos de Gestión'!$AH$17="Menor"),CONCATENATE("R2C",'Riesgos de Gestión'!$V$17),"")</f>
        <v/>
      </c>
      <c r="R7" s="36" t="e">
        <f>IF(AND('Riesgos de Gestión'!#REF!="Muy Alta",'Riesgos de Gestión'!#REF!="Menor"),CONCATENATE("R2C",'Riesgos de Gestión'!#REF!),"")</f>
        <v>#REF!</v>
      </c>
      <c r="S7" s="36" t="e">
        <f>IF(AND('Riesgos de Gestión'!#REF!="Muy Alta",'Riesgos de Gestión'!#REF!="Menor"),CONCATENATE("R2C",'Riesgos de Gestión'!#REF!),"")</f>
        <v>#REF!</v>
      </c>
      <c r="T7" s="36" t="e">
        <f>IF(AND('Riesgos de Gestión'!#REF!="Muy Alta",'Riesgos de Gestión'!#REF!="Menor"),CONCATENATE("R2C",'Riesgos de Gestión'!#REF!),"")</f>
        <v>#REF!</v>
      </c>
      <c r="U7" s="37" t="e">
        <f>IF(AND('Riesgos de Gestión'!#REF!="Muy Alta",'Riesgos de Gestión'!#REF!="Menor"),CONCATENATE("R2C",'Riesgos de Gestión'!#REF!),"")</f>
        <v>#REF!</v>
      </c>
      <c r="V7" s="35" t="str">
        <f>IF(AND('Riesgos de Gestión'!$AF$16="Muy Alta",'Riesgos de Gestión'!$AH$16="Moderado"),CONCATENATE("R2C",'Riesgos de Gestión'!$V$16),"")</f>
        <v/>
      </c>
      <c r="W7" s="36" t="str">
        <f>IF(AND('Riesgos de Gestión'!$AF$17="Muy Alta",'Riesgos de Gestión'!$AH$17="Moderado"),CONCATENATE("R2C",'Riesgos de Gestión'!$V$17),"")</f>
        <v/>
      </c>
      <c r="X7" s="36" t="e">
        <f>IF(AND('Riesgos de Gestión'!#REF!="Muy Alta",'Riesgos de Gestión'!#REF!="Moderado"),CONCATENATE("R2C",'Riesgos de Gestión'!#REF!),"")</f>
        <v>#REF!</v>
      </c>
      <c r="Y7" s="36" t="e">
        <f>IF(AND('Riesgos de Gestión'!#REF!="Muy Alta",'Riesgos de Gestión'!#REF!="Moderado"),CONCATENATE("R2C",'Riesgos de Gestión'!#REF!),"")</f>
        <v>#REF!</v>
      </c>
      <c r="Z7" s="36" t="e">
        <f>IF(AND('Riesgos de Gestión'!#REF!="Muy Alta",'Riesgos de Gestión'!#REF!="Moderado"),CONCATENATE("R2C",'Riesgos de Gestión'!#REF!),"")</f>
        <v>#REF!</v>
      </c>
      <c r="AA7" s="37" t="e">
        <f>IF(AND('Riesgos de Gestión'!#REF!="Muy Alta",'Riesgos de Gestión'!#REF!="Moderado"),CONCATENATE("R2C",'Riesgos de Gestión'!#REF!),"")</f>
        <v>#REF!</v>
      </c>
      <c r="AB7" s="35" t="str">
        <f>IF(AND('Riesgos de Gestión'!$AF$16="Muy Alta",'Riesgos de Gestión'!$AH$16="Mayor"),CONCATENATE("R2C",'Riesgos de Gestión'!$V$16),"")</f>
        <v/>
      </c>
      <c r="AC7" s="36" t="str">
        <f>IF(AND('Riesgos de Gestión'!$AF$17="Muy Alta",'Riesgos de Gestión'!$AH$17="Mayor"),CONCATENATE("R2C",'Riesgos de Gestión'!$V$17),"")</f>
        <v/>
      </c>
      <c r="AD7" s="36" t="e">
        <f>IF(AND('Riesgos de Gestión'!#REF!="Muy Alta",'Riesgos de Gestión'!#REF!="Mayor"),CONCATENATE("R2C",'Riesgos de Gestión'!#REF!),"")</f>
        <v>#REF!</v>
      </c>
      <c r="AE7" s="36" t="e">
        <f>IF(AND('Riesgos de Gestión'!#REF!="Muy Alta",'Riesgos de Gestión'!#REF!="Mayor"),CONCATENATE("R2C",'Riesgos de Gestión'!#REF!),"")</f>
        <v>#REF!</v>
      </c>
      <c r="AF7" s="36" t="e">
        <f>IF(AND('Riesgos de Gestión'!#REF!="Muy Alta",'Riesgos de Gestión'!#REF!="Mayor"),CONCATENATE("R2C",'Riesgos de Gestión'!#REF!),"")</f>
        <v>#REF!</v>
      </c>
      <c r="AG7" s="37" t="e">
        <f>IF(AND('Riesgos de Gestión'!#REF!="Muy Alta",'Riesgos de Gestión'!#REF!="Mayor"),CONCATENATE("R2C",'Riesgos de Gestión'!#REF!),"")</f>
        <v>#REF!</v>
      </c>
      <c r="AH7" s="38" t="str">
        <f>IF(AND('Riesgos de Gestión'!$AF$16="Muy Alta",'Riesgos de Gestión'!$AH$16="Catastrófico"),CONCATENATE("R2C",'Riesgos de Gestión'!$V$16),"")</f>
        <v/>
      </c>
      <c r="AI7" s="39" t="str">
        <f>IF(AND('Riesgos de Gestión'!$AF$17="Muy Alta",'Riesgos de Gestión'!$AH$17="Catastrófico"),CONCATENATE("R2C",'Riesgos de Gestión'!$V$17),"")</f>
        <v/>
      </c>
      <c r="AJ7" s="39" t="e">
        <f>IF(AND('Riesgos de Gestión'!#REF!="Muy Alta",'Riesgos de Gestión'!#REF!="Catastrófico"),CONCATENATE("R2C",'Riesgos de Gestión'!#REF!),"")</f>
        <v>#REF!</v>
      </c>
      <c r="AK7" s="39" t="e">
        <f>IF(AND('Riesgos de Gestión'!#REF!="Muy Alta",'Riesgos de Gestión'!#REF!="Catastrófico"),CONCATENATE("R2C",'Riesgos de Gestión'!#REF!),"")</f>
        <v>#REF!</v>
      </c>
      <c r="AL7" s="39" t="e">
        <f>IF(AND('Riesgos de Gestión'!#REF!="Muy Alta",'Riesgos de Gestión'!#REF!="Catastrófico"),CONCATENATE("R2C",'Riesgos de Gestión'!#REF!),"")</f>
        <v>#REF!</v>
      </c>
      <c r="AM7" s="40" t="e">
        <f>IF(AND('Riesgos de Gestión'!#REF!="Muy Alta",'Riesgos de Gestión'!#REF!="Catastrófico"),CONCATENATE("R2C",'Riesgos de Gestión'!#REF!),"")</f>
        <v>#REF!</v>
      </c>
      <c r="AN7" s="66"/>
      <c r="AO7" s="575"/>
      <c r="AP7" s="576"/>
      <c r="AQ7" s="576"/>
      <c r="AR7" s="576"/>
      <c r="AS7" s="576"/>
      <c r="AT7" s="577"/>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25">
      <c r="A8" s="66"/>
      <c r="B8" s="514"/>
      <c r="C8" s="514"/>
      <c r="D8" s="515"/>
      <c r="E8" s="555"/>
      <c r="F8" s="556"/>
      <c r="G8" s="556"/>
      <c r="H8" s="556"/>
      <c r="I8" s="557"/>
      <c r="J8" s="35" t="str">
        <f>IF(AND('Riesgos de Gestión'!$AF$18="Muy Alta",'Riesgos de Gestión'!$AH$18="Leve"),CONCATENATE("R3C",'Riesgos de Gestión'!$V$18),"")</f>
        <v/>
      </c>
      <c r="K8" s="36" t="str">
        <f>IF(AND('Riesgos de Gestión'!$AF$19="Muy Alta",'Riesgos de Gestión'!$AH$19="Leve"),CONCATENATE("R3C",'Riesgos de Gestión'!$V$19),"")</f>
        <v/>
      </c>
      <c r="L8" s="36" t="str">
        <f>IF(AND('Riesgos de Gestión'!$AF$20="Muy Alta",'Riesgos de Gestión'!$AH$20="Leve"),CONCATENATE("R3C",'Riesgos de Gestión'!$V$20),"")</f>
        <v/>
      </c>
      <c r="M8" s="36" t="str">
        <f>IF(AND('Riesgos de Gestión'!$AF$21="Muy Alta",'Riesgos de Gestión'!$AH$21="Leve"),CONCATENATE("R3C",'Riesgos de Gestión'!$V$21),"")</f>
        <v/>
      </c>
      <c r="N8" s="36" t="str">
        <f>IF(AND('Riesgos de Gestión'!$AF$22="Muy Alta",'Riesgos de Gestión'!$AH$22="Leve"),CONCATENATE("R3C",'Riesgos de Gestión'!$V$22),"")</f>
        <v/>
      </c>
      <c r="O8" s="37" t="str">
        <f>IF(AND('Riesgos de Gestión'!$AF$23="Muy Alta",'Riesgos de Gestión'!$AH$23="Leve"),CONCATENATE("R3C",'Riesgos de Gestión'!$V$23),"")</f>
        <v/>
      </c>
      <c r="P8" s="35" t="str">
        <f>IF(AND('Riesgos de Gestión'!$AF$18="Muy Alta",'Riesgos de Gestión'!$AH$18="Menor"),CONCATENATE("R3C",'Riesgos de Gestión'!$V$18),"")</f>
        <v/>
      </c>
      <c r="Q8" s="36" t="str">
        <f>IF(AND('Riesgos de Gestión'!$AF$19="Muy Alta",'Riesgos de Gestión'!$AH$19="Menor"),CONCATENATE("R3C",'Riesgos de Gestión'!$V$19),"")</f>
        <v/>
      </c>
      <c r="R8" s="36" t="str">
        <f>IF(AND('Riesgos de Gestión'!$AF$20="Muy Alta",'Riesgos de Gestión'!$AH$20="Menor"),CONCATENATE("R3C",'Riesgos de Gestión'!$V$20),"")</f>
        <v/>
      </c>
      <c r="S8" s="36" t="str">
        <f>IF(AND('Riesgos de Gestión'!$AF$21="Muy Alta",'Riesgos de Gestión'!$AH$21="Menor"),CONCATENATE("R3C",'Riesgos de Gestión'!$V$21),"")</f>
        <v/>
      </c>
      <c r="T8" s="36" t="str">
        <f>IF(AND('Riesgos de Gestión'!$AF$22="Muy Alta",'Riesgos de Gestión'!$AH$22="Menor"),CONCATENATE("R3C",'Riesgos de Gestión'!$V$22),"")</f>
        <v/>
      </c>
      <c r="U8" s="37" t="str">
        <f>IF(AND('Riesgos de Gestión'!$AF$23="Muy Alta",'Riesgos de Gestión'!$AH$23="Menor"),CONCATENATE("R3C",'Riesgos de Gestión'!$V$23),"")</f>
        <v/>
      </c>
      <c r="V8" s="35" t="str">
        <f>IF(AND('Riesgos de Gestión'!$AF$18="Muy Alta",'Riesgos de Gestión'!$AH$18="Moderado"),CONCATENATE("R3C",'Riesgos de Gestión'!$V$18),"")</f>
        <v/>
      </c>
      <c r="W8" s="36" t="str">
        <f>IF(AND('Riesgos de Gestión'!$AF$19="Muy Alta",'Riesgos de Gestión'!$AH$19="Moderado"),CONCATENATE("R3C",'Riesgos de Gestión'!$V$19),"")</f>
        <v/>
      </c>
      <c r="X8" s="36" t="str">
        <f>IF(AND('Riesgos de Gestión'!$AF$20="Muy Alta",'Riesgos de Gestión'!$AH$20="Moderado"),CONCATENATE("R3C",'Riesgos de Gestión'!$V$20),"")</f>
        <v/>
      </c>
      <c r="Y8" s="36" t="str">
        <f>IF(AND('Riesgos de Gestión'!$AF$21="Muy Alta",'Riesgos de Gestión'!$AH$21="Moderado"),CONCATENATE("R3C",'Riesgos de Gestión'!$V$21),"")</f>
        <v/>
      </c>
      <c r="Z8" s="36" t="str">
        <f>IF(AND('Riesgos de Gestión'!$AF$22="Muy Alta",'Riesgos de Gestión'!$AH$22="Moderado"),CONCATENATE("R3C",'Riesgos de Gestión'!$V$22),"")</f>
        <v/>
      </c>
      <c r="AA8" s="37" t="str">
        <f>IF(AND('Riesgos de Gestión'!$AF$23="Muy Alta",'Riesgos de Gestión'!$AH$23="Moderado"),CONCATENATE("R3C",'Riesgos de Gestión'!$V$23),"")</f>
        <v/>
      </c>
      <c r="AB8" s="35" t="str">
        <f>IF(AND('Riesgos de Gestión'!$AF$18="Muy Alta",'Riesgos de Gestión'!$AH$18="Mayor"),CONCATENATE("R3C",'Riesgos de Gestión'!$V$18),"")</f>
        <v/>
      </c>
      <c r="AC8" s="36" t="str">
        <f>IF(AND('Riesgos de Gestión'!$AF$19="Muy Alta",'Riesgos de Gestión'!$AH$19="Mayor"),CONCATENATE("R3C",'Riesgos de Gestión'!$V$19),"")</f>
        <v/>
      </c>
      <c r="AD8" s="36" t="str">
        <f>IF(AND('Riesgos de Gestión'!$AF$20="Muy Alta",'Riesgos de Gestión'!$AH$20="Mayor"),CONCATENATE("R3C",'Riesgos de Gestión'!$V$20),"")</f>
        <v/>
      </c>
      <c r="AE8" s="36" t="str">
        <f>IF(AND('Riesgos de Gestión'!$AF$21="Muy Alta",'Riesgos de Gestión'!$AH$21="Mayor"),CONCATENATE("R3C",'Riesgos de Gestión'!$V$21),"")</f>
        <v/>
      </c>
      <c r="AF8" s="36" t="str">
        <f>IF(AND('Riesgos de Gestión'!$AF$22="Muy Alta",'Riesgos de Gestión'!$AH$22="Mayor"),CONCATENATE("R3C",'Riesgos de Gestión'!$V$22),"")</f>
        <v/>
      </c>
      <c r="AG8" s="37" t="str">
        <f>IF(AND('Riesgos de Gestión'!$AF$23="Muy Alta",'Riesgos de Gestión'!$AH$23="Mayor"),CONCATENATE("R3C",'Riesgos de Gestión'!$V$23),"")</f>
        <v/>
      </c>
      <c r="AH8" s="38" t="str">
        <f>IF(AND('Riesgos de Gestión'!$AF$18="Muy Alta",'Riesgos de Gestión'!$AH$18="Catastrófico"),CONCATENATE("R3C",'Riesgos de Gestión'!$V$18),"")</f>
        <v/>
      </c>
      <c r="AI8" s="39" t="str">
        <f>IF(AND('Riesgos de Gestión'!$AF$19="Muy Alta",'Riesgos de Gestión'!$AH$19="Catastrófico"),CONCATENATE("R3C",'Riesgos de Gestión'!$V$19),"")</f>
        <v/>
      </c>
      <c r="AJ8" s="39" t="str">
        <f>IF(AND('Riesgos de Gestión'!$AF$20="Muy Alta",'Riesgos de Gestión'!$AH$20="Catastrófico"),CONCATENATE("R3C",'Riesgos de Gestión'!$V$20),"")</f>
        <v/>
      </c>
      <c r="AK8" s="39" t="str">
        <f>IF(AND('Riesgos de Gestión'!$AF$21="Muy Alta",'Riesgos de Gestión'!$AH$21="Catastrófico"),CONCATENATE("R3C",'Riesgos de Gestión'!$V$21),"")</f>
        <v/>
      </c>
      <c r="AL8" s="39" t="str">
        <f>IF(AND('Riesgos de Gestión'!$AF$22="Muy Alta",'Riesgos de Gestión'!$AH$22="Catastrófico"),CONCATENATE("R3C",'Riesgos de Gestión'!$V$22),"")</f>
        <v/>
      </c>
      <c r="AM8" s="40" t="str">
        <f>IF(AND('Riesgos de Gestión'!$AF$23="Muy Alta",'Riesgos de Gestión'!$AH$23="Catastrófico"),CONCATENATE("R3C",'Riesgos de Gestión'!$V$23),"")</f>
        <v/>
      </c>
      <c r="AN8" s="66"/>
      <c r="AO8" s="575"/>
      <c r="AP8" s="576"/>
      <c r="AQ8" s="576"/>
      <c r="AR8" s="576"/>
      <c r="AS8" s="576"/>
      <c r="AT8" s="577"/>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25">
      <c r="A9" s="66"/>
      <c r="B9" s="514"/>
      <c r="C9" s="514"/>
      <c r="D9" s="515"/>
      <c r="E9" s="555"/>
      <c r="F9" s="556"/>
      <c r="G9" s="556"/>
      <c r="H9" s="556"/>
      <c r="I9" s="557"/>
      <c r="J9" s="35" t="str">
        <f>IF(AND('Riesgos de Gestión'!$AF$24="Muy Alta",'Riesgos de Gestión'!$AH$24="Leve"),CONCATENATE("R4C",'Riesgos de Gestión'!$V$24),"")</f>
        <v/>
      </c>
      <c r="K9" s="36" t="str">
        <f>IF(AND('Riesgos de Gestión'!$AF$25="Muy Alta",'Riesgos de Gestión'!$AH$25="Leve"),CONCATENATE("R4C",'Riesgos de Gestión'!$V$25),"")</f>
        <v/>
      </c>
      <c r="L9" s="36" t="str">
        <f>IF(AND('Riesgos de Gestión'!$AF$26="Muy Alta",'Riesgos de Gestión'!$AH$26="Leve"),CONCATENATE("R4C",'Riesgos de Gestión'!$V$26),"")</f>
        <v/>
      </c>
      <c r="M9" s="36" t="str">
        <f>IF(AND('Riesgos de Gestión'!$AF$27="Muy Alta",'Riesgos de Gestión'!$AH$27="Leve"),CONCATENATE("R4C",'Riesgos de Gestión'!$V$27),"")</f>
        <v/>
      </c>
      <c r="N9" s="36" t="str">
        <f>IF(AND('Riesgos de Gestión'!$AF$28="Muy Alta",'Riesgos de Gestión'!$AH$28="Leve"),CONCATENATE("R4C",'Riesgos de Gestión'!$V$28),"")</f>
        <v/>
      </c>
      <c r="O9" s="37" t="str">
        <f>IF(AND('Riesgos de Gestión'!$AF$29="Muy Alta",'Riesgos de Gestión'!$AH$29="Leve"),CONCATENATE("R4C",'Riesgos de Gestión'!$V$29),"")</f>
        <v/>
      </c>
      <c r="P9" s="35" t="str">
        <f>IF(AND('Riesgos de Gestión'!$AF$24="Muy Alta",'Riesgos de Gestión'!$AH$24="Menor"),CONCATENATE("R4C",'Riesgos de Gestión'!$V$24),"")</f>
        <v/>
      </c>
      <c r="Q9" s="36" t="str">
        <f>IF(AND('Riesgos de Gestión'!$AF$25="Muy Alta",'Riesgos de Gestión'!$AH$25="Menor"),CONCATENATE("R4C",'Riesgos de Gestión'!$V$25),"")</f>
        <v/>
      </c>
      <c r="R9" s="36" t="str">
        <f>IF(AND('Riesgos de Gestión'!$AF$26="Muy Alta",'Riesgos de Gestión'!$AH$26="Menor"),CONCATENATE("R4C",'Riesgos de Gestión'!$V$26),"")</f>
        <v/>
      </c>
      <c r="S9" s="36" t="str">
        <f>IF(AND('Riesgos de Gestión'!$AF$27="Muy Alta",'Riesgos de Gestión'!$AH$27="Menor"),CONCATENATE("R4C",'Riesgos de Gestión'!$V$27),"")</f>
        <v/>
      </c>
      <c r="T9" s="36" t="str">
        <f>IF(AND('Riesgos de Gestión'!$AF$28="Muy Alta",'Riesgos de Gestión'!$AH$28="Menor"),CONCATENATE("R4C",'Riesgos de Gestión'!$V$28),"")</f>
        <v/>
      </c>
      <c r="U9" s="37" t="str">
        <f>IF(AND('Riesgos de Gestión'!$AF$29="Muy Alta",'Riesgos de Gestión'!$AH$29="Menor"),CONCATENATE("R4C",'Riesgos de Gestión'!$V$29),"")</f>
        <v/>
      </c>
      <c r="V9" s="35" t="str">
        <f>IF(AND('Riesgos de Gestión'!$AF$24="Muy Alta",'Riesgos de Gestión'!$AH$24="Moderado"),CONCATENATE("R4C",'Riesgos de Gestión'!$V$24),"")</f>
        <v/>
      </c>
      <c r="W9" s="36" t="str">
        <f>IF(AND('Riesgos de Gestión'!$AF$25="Muy Alta",'Riesgos de Gestión'!$AH$25="Moderado"),CONCATENATE("R4C",'Riesgos de Gestión'!$V$25),"")</f>
        <v/>
      </c>
      <c r="X9" s="36" t="str">
        <f>IF(AND('Riesgos de Gestión'!$AF$26="Muy Alta",'Riesgos de Gestión'!$AH$26="Moderado"),CONCATENATE("R4C",'Riesgos de Gestión'!$V$26),"")</f>
        <v/>
      </c>
      <c r="Y9" s="36" t="str">
        <f>IF(AND('Riesgos de Gestión'!$AF$27="Muy Alta",'Riesgos de Gestión'!$AH$27="Moderado"),CONCATENATE("R4C",'Riesgos de Gestión'!$V$27),"")</f>
        <v/>
      </c>
      <c r="Z9" s="36" t="str">
        <f>IF(AND('Riesgos de Gestión'!$AF$28="Muy Alta",'Riesgos de Gestión'!$AH$28="Moderado"),CONCATENATE("R4C",'Riesgos de Gestión'!$V$28),"")</f>
        <v/>
      </c>
      <c r="AA9" s="37" t="str">
        <f>IF(AND('Riesgos de Gestión'!$AF$29="Muy Alta",'Riesgos de Gestión'!$AH$29="Moderado"),CONCATENATE("R4C",'Riesgos de Gestión'!$V$29),"")</f>
        <v/>
      </c>
      <c r="AB9" s="35" t="str">
        <f>IF(AND('Riesgos de Gestión'!$AF$24="Muy Alta",'Riesgos de Gestión'!$AH$24="Mayor"),CONCATENATE("R4C",'Riesgos de Gestión'!$V$24),"")</f>
        <v/>
      </c>
      <c r="AC9" s="36" t="str">
        <f>IF(AND('Riesgos de Gestión'!$AF$25="Muy Alta",'Riesgos de Gestión'!$AH$25="Mayor"),CONCATENATE("R4C",'Riesgos de Gestión'!$V$25),"")</f>
        <v/>
      </c>
      <c r="AD9" s="36" t="str">
        <f>IF(AND('Riesgos de Gestión'!$AF$26="Muy Alta",'Riesgos de Gestión'!$AH$26="Mayor"),CONCATENATE("R4C",'Riesgos de Gestión'!$V$26),"")</f>
        <v/>
      </c>
      <c r="AE9" s="36" t="str">
        <f>IF(AND('Riesgos de Gestión'!$AF$27="Muy Alta",'Riesgos de Gestión'!$AH$27="Mayor"),CONCATENATE("R4C",'Riesgos de Gestión'!$V$27),"")</f>
        <v/>
      </c>
      <c r="AF9" s="36" t="str">
        <f>IF(AND('Riesgos de Gestión'!$AF$28="Muy Alta",'Riesgos de Gestión'!$AH$28="Mayor"),CONCATENATE("R4C",'Riesgos de Gestión'!$V$28),"")</f>
        <v/>
      </c>
      <c r="AG9" s="37" t="str">
        <f>IF(AND('Riesgos de Gestión'!$AF$29="Muy Alta",'Riesgos de Gestión'!$AH$29="Mayor"),CONCATENATE("R4C",'Riesgos de Gestión'!$V$29),"")</f>
        <v/>
      </c>
      <c r="AH9" s="38" t="str">
        <f>IF(AND('Riesgos de Gestión'!$AF$24="Muy Alta",'Riesgos de Gestión'!$AH$24="Catastrófico"),CONCATENATE("R4C",'Riesgos de Gestión'!$V$24),"")</f>
        <v/>
      </c>
      <c r="AI9" s="39" t="str">
        <f>IF(AND('Riesgos de Gestión'!$AF$25="Muy Alta",'Riesgos de Gestión'!$AH$25="Catastrófico"),CONCATENATE("R4C",'Riesgos de Gestión'!$V$25),"")</f>
        <v/>
      </c>
      <c r="AJ9" s="39" t="str">
        <f>IF(AND('Riesgos de Gestión'!$AF$26="Muy Alta",'Riesgos de Gestión'!$AH$26="Catastrófico"),CONCATENATE("R4C",'Riesgos de Gestión'!$V$26),"")</f>
        <v/>
      </c>
      <c r="AK9" s="39" t="str">
        <f>IF(AND('Riesgos de Gestión'!$AF$27="Muy Alta",'Riesgos de Gestión'!$AH$27="Catastrófico"),CONCATENATE("R4C",'Riesgos de Gestión'!$V$27),"")</f>
        <v/>
      </c>
      <c r="AL9" s="39" t="str">
        <f>IF(AND('Riesgos de Gestión'!$AF$28="Muy Alta",'Riesgos de Gestión'!$AH$28="Catastrófico"),CONCATENATE("R4C",'Riesgos de Gestión'!$V$28),"")</f>
        <v/>
      </c>
      <c r="AM9" s="40" t="str">
        <f>IF(AND('Riesgos de Gestión'!$AF$29="Muy Alta",'Riesgos de Gestión'!$AH$29="Catastrófico"),CONCATENATE("R4C",'Riesgos de Gestión'!$V$29),"")</f>
        <v/>
      </c>
      <c r="AN9" s="66"/>
      <c r="AO9" s="575"/>
      <c r="AP9" s="576"/>
      <c r="AQ9" s="576"/>
      <c r="AR9" s="576"/>
      <c r="AS9" s="576"/>
      <c r="AT9" s="577"/>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25">
      <c r="A10" s="66"/>
      <c r="B10" s="514"/>
      <c r="C10" s="514"/>
      <c r="D10" s="515"/>
      <c r="E10" s="555"/>
      <c r="F10" s="556"/>
      <c r="G10" s="556"/>
      <c r="H10" s="556"/>
      <c r="I10" s="557"/>
      <c r="J10" s="35" t="str">
        <f>IF(AND('Riesgos de Gestión'!$AF$30="Muy Alta",'Riesgos de Gestión'!$AH$30="Leve"),CONCATENATE("R5C",'Riesgos de Gestión'!$V$30),"")</f>
        <v/>
      </c>
      <c r="K10" s="36" t="str">
        <f>IF(AND('Riesgos de Gestión'!$AF$31="Muy Alta",'Riesgos de Gestión'!$AH$31="Leve"),CONCATENATE("R5C",'Riesgos de Gestión'!$V$31),"")</f>
        <v/>
      </c>
      <c r="L10" s="36" t="str">
        <f>IF(AND('Riesgos de Gestión'!$AF$32="Muy Alta",'Riesgos de Gestión'!$AH$32="Leve"),CONCATENATE("R5C",'Riesgos de Gestión'!$V$32),"")</f>
        <v/>
      </c>
      <c r="M10" s="36" t="str">
        <f>IF(AND('Riesgos de Gestión'!$AF$33="Muy Alta",'Riesgos de Gestión'!$AH$33="Leve"),CONCATENATE("R5C",'Riesgos de Gestión'!$V$33),"")</f>
        <v/>
      </c>
      <c r="N10" s="36" t="str">
        <f>IF(AND('Riesgos de Gestión'!$AF$34="Muy Alta",'Riesgos de Gestión'!$AH$34="Leve"),CONCATENATE("R5C",'Riesgos de Gestión'!$V$34),"")</f>
        <v/>
      </c>
      <c r="O10" s="37" t="str">
        <f>IF(AND('Riesgos de Gestión'!$AF$35="Muy Alta",'Riesgos de Gestión'!$AH$35="Leve"),CONCATENATE("R5C",'Riesgos de Gestión'!$V$35),"")</f>
        <v/>
      </c>
      <c r="P10" s="35" t="str">
        <f>IF(AND('Riesgos de Gestión'!$AF$30="Muy Alta",'Riesgos de Gestión'!$AH$30="Menor"),CONCATENATE("R5C",'Riesgos de Gestión'!$V$30),"")</f>
        <v/>
      </c>
      <c r="Q10" s="36" t="str">
        <f>IF(AND('Riesgos de Gestión'!$AF$31="Muy Alta",'Riesgos de Gestión'!$AH$31="Menor"),CONCATENATE("R5C",'Riesgos de Gestión'!$V$31),"")</f>
        <v/>
      </c>
      <c r="R10" s="36" t="str">
        <f>IF(AND('Riesgos de Gestión'!$AF$32="Muy Alta",'Riesgos de Gestión'!$AH$32="Menor"),CONCATENATE("R5C",'Riesgos de Gestión'!$V$32),"")</f>
        <v/>
      </c>
      <c r="S10" s="36" t="str">
        <f>IF(AND('Riesgos de Gestión'!$AF$33="Muy Alta",'Riesgos de Gestión'!$AH$33="Menor"),CONCATENATE("R5C",'Riesgos de Gestión'!$V$33),"")</f>
        <v/>
      </c>
      <c r="T10" s="36" t="str">
        <f>IF(AND('Riesgos de Gestión'!$AF$34="Muy Alta",'Riesgos de Gestión'!$AH$34="Menor"),CONCATENATE("R5C",'Riesgos de Gestión'!$V$34),"")</f>
        <v/>
      </c>
      <c r="U10" s="37" t="str">
        <f>IF(AND('Riesgos de Gestión'!$AF$35="Muy Alta",'Riesgos de Gestión'!$AH$35="Menor"),CONCATENATE("R5C",'Riesgos de Gestión'!$V$35),"")</f>
        <v/>
      </c>
      <c r="V10" s="35" t="str">
        <f>IF(AND('Riesgos de Gestión'!$AF$30="Muy Alta",'Riesgos de Gestión'!$AH$30="Moderado"),CONCATENATE("R5C",'Riesgos de Gestión'!$V$30),"")</f>
        <v/>
      </c>
      <c r="W10" s="36" t="str">
        <f>IF(AND('Riesgos de Gestión'!$AF$31="Muy Alta",'Riesgos de Gestión'!$AH$31="Moderado"),CONCATENATE("R5C",'Riesgos de Gestión'!$V$31),"")</f>
        <v/>
      </c>
      <c r="X10" s="36" t="str">
        <f>IF(AND('Riesgos de Gestión'!$AF$32="Muy Alta",'Riesgos de Gestión'!$AH$32="Moderado"),CONCATENATE("R5C",'Riesgos de Gestión'!$V$32),"")</f>
        <v/>
      </c>
      <c r="Y10" s="36" t="str">
        <f>IF(AND('Riesgos de Gestión'!$AF$33="Muy Alta",'Riesgos de Gestión'!$AH$33="Moderado"),CONCATENATE("R5C",'Riesgos de Gestión'!$V$33),"")</f>
        <v/>
      </c>
      <c r="Z10" s="36" t="str">
        <f>IF(AND('Riesgos de Gestión'!$AF$34="Muy Alta",'Riesgos de Gestión'!$AH$34="Moderado"),CONCATENATE("R5C",'Riesgos de Gestión'!$V$34),"")</f>
        <v/>
      </c>
      <c r="AA10" s="37" t="str">
        <f>IF(AND('Riesgos de Gestión'!$AF$35="Muy Alta",'Riesgos de Gestión'!$AH$35="Moderado"),CONCATENATE("R5C",'Riesgos de Gestión'!$V$35),"")</f>
        <v/>
      </c>
      <c r="AB10" s="35" t="str">
        <f>IF(AND('Riesgos de Gestión'!$AF$30="Muy Alta",'Riesgos de Gestión'!$AH$30="Mayor"),CONCATENATE("R5C",'Riesgos de Gestión'!$V$30),"")</f>
        <v/>
      </c>
      <c r="AC10" s="36" t="str">
        <f>IF(AND('Riesgos de Gestión'!$AF$31="Muy Alta",'Riesgos de Gestión'!$AH$31="Mayor"),CONCATENATE("R5C",'Riesgos de Gestión'!$V$31),"")</f>
        <v/>
      </c>
      <c r="AD10" s="36" t="str">
        <f>IF(AND('Riesgos de Gestión'!$AF$32="Muy Alta",'Riesgos de Gestión'!$AH$32="Mayor"),CONCATENATE("R5C",'Riesgos de Gestión'!$V$32),"")</f>
        <v/>
      </c>
      <c r="AE10" s="36" t="str">
        <f>IF(AND('Riesgos de Gestión'!$AF$33="Muy Alta",'Riesgos de Gestión'!$AH$33="Mayor"),CONCATENATE("R5C",'Riesgos de Gestión'!$V$33),"")</f>
        <v/>
      </c>
      <c r="AF10" s="36" t="str">
        <f>IF(AND('Riesgos de Gestión'!$AF$34="Muy Alta",'Riesgos de Gestión'!$AH$34="Mayor"),CONCATENATE("R5C",'Riesgos de Gestión'!$V$34),"")</f>
        <v/>
      </c>
      <c r="AG10" s="37" t="str">
        <f>IF(AND('Riesgos de Gestión'!$AF$35="Muy Alta",'Riesgos de Gestión'!$AH$35="Mayor"),CONCATENATE("R5C",'Riesgos de Gestión'!$V$35),"")</f>
        <v/>
      </c>
      <c r="AH10" s="38" t="str">
        <f>IF(AND('Riesgos de Gestión'!$AF$30="Muy Alta",'Riesgos de Gestión'!$AH$30="Catastrófico"),CONCATENATE("R5C",'Riesgos de Gestión'!$V$30),"")</f>
        <v/>
      </c>
      <c r="AI10" s="39" t="str">
        <f>IF(AND('Riesgos de Gestión'!$AF$31="Muy Alta",'Riesgos de Gestión'!$AH$31="Catastrófico"),CONCATENATE("R5C",'Riesgos de Gestión'!$V$31),"")</f>
        <v/>
      </c>
      <c r="AJ10" s="39" t="str">
        <f>IF(AND('Riesgos de Gestión'!$AF$32="Muy Alta",'Riesgos de Gestión'!$AH$32="Catastrófico"),CONCATENATE("R5C",'Riesgos de Gestión'!$V$32),"")</f>
        <v/>
      </c>
      <c r="AK10" s="39" t="str">
        <f>IF(AND('Riesgos de Gestión'!$AF$33="Muy Alta",'Riesgos de Gestión'!$AH$33="Catastrófico"),CONCATENATE("R5C",'Riesgos de Gestión'!$V$33),"")</f>
        <v/>
      </c>
      <c r="AL10" s="39" t="str">
        <f>IF(AND('Riesgos de Gestión'!$AF$34="Muy Alta",'Riesgos de Gestión'!$AH$34="Catastrófico"),CONCATENATE("R5C",'Riesgos de Gestión'!$V$34),"")</f>
        <v/>
      </c>
      <c r="AM10" s="40" t="str">
        <f>IF(AND('Riesgos de Gestión'!$AF$35="Muy Alta",'Riesgos de Gestión'!$AH$35="Catastrófico"),CONCATENATE("R5C",'Riesgos de Gestión'!$V$35),"")</f>
        <v/>
      </c>
      <c r="AN10" s="66"/>
      <c r="AO10" s="575"/>
      <c r="AP10" s="576"/>
      <c r="AQ10" s="576"/>
      <c r="AR10" s="576"/>
      <c r="AS10" s="576"/>
      <c r="AT10" s="577"/>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25">
      <c r="A11" s="66"/>
      <c r="B11" s="514"/>
      <c r="C11" s="514"/>
      <c r="D11" s="515"/>
      <c r="E11" s="555"/>
      <c r="F11" s="556"/>
      <c r="G11" s="556"/>
      <c r="H11" s="556"/>
      <c r="I11" s="557"/>
      <c r="J11" s="35" t="str">
        <f>IF(AND('Riesgos de Gestión'!$AF$36="Muy Alta",'Riesgos de Gestión'!$AH$36="Leve"),CONCATENATE("R6C",'Riesgos de Gestión'!$V$36),"")</f>
        <v/>
      </c>
      <c r="K11" s="36" t="str">
        <f>IF(AND('Riesgos de Gestión'!$AF$37="Muy Alta",'Riesgos de Gestión'!$AH$37="Leve"),CONCATENATE("R6C",'Riesgos de Gestión'!$V$37),"")</f>
        <v/>
      </c>
      <c r="L11" s="36" t="str">
        <f>IF(AND('Riesgos de Gestión'!$AF$38="Muy Alta",'Riesgos de Gestión'!$AH$38="Leve"),CONCATENATE("R6C",'Riesgos de Gestión'!$V$38),"")</f>
        <v/>
      </c>
      <c r="M11" s="36" t="str">
        <f>IF(AND('Riesgos de Gestión'!$AF$39="Muy Alta",'Riesgos de Gestión'!$AH$39="Leve"),CONCATENATE("R6C",'Riesgos de Gestión'!$V$39),"")</f>
        <v/>
      </c>
      <c r="N11" s="36" t="str">
        <f>IF(AND('Riesgos de Gestión'!$AF$40="Muy Alta",'Riesgos de Gestión'!$AH$40="Leve"),CONCATENATE("R6C",'Riesgos de Gestión'!$V$40),"")</f>
        <v/>
      </c>
      <c r="O11" s="37" t="str">
        <f>IF(AND('Riesgos de Gestión'!$AF$41="Muy Alta",'Riesgos de Gestión'!$AH$41="Leve"),CONCATENATE("R6C",'Riesgos de Gestión'!$V$41),"")</f>
        <v/>
      </c>
      <c r="P11" s="35" t="str">
        <f>IF(AND('Riesgos de Gestión'!$AF$36="Muy Alta",'Riesgos de Gestión'!$AH$36="Menor"),CONCATENATE("R6C",'Riesgos de Gestión'!$V$36),"")</f>
        <v/>
      </c>
      <c r="Q11" s="36" t="str">
        <f>IF(AND('Riesgos de Gestión'!$AF$37="Muy Alta",'Riesgos de Gestión'!$AH$37="Menor"),CONCATENATE("R6C",'Riesgos de Gestión'!$V$37),"")</f>
        <v/>
      </c>
      <c r="R11" s="36" t="str">
        <f>IF(AND('Riesgos de Gestión'!$AF$38="Muy Alta",'Riesgos de Gestión'!$AH$38="Menor"),CONCATENATE("R6C",'Riesgos de Gestión'!$V$38),"")</f>
        <v/>
      </c>
      <c r="S11" s="36" t="str">
        <f>IF(AND('Riesgos de Gestión'!$AF$39="Muy Alta",'Riesgos de Gestión'!$AH$39="Menor"),CONCATENATE("R6C",'Riesgos de Gestión'!$V$39),"")</f>
        <v/>
      </c>
      <c r="T11" s="36" t="str">
        <f>IF(AND('Riesgos de Gestión'!$AF$40="Muy Alta",'Riesgos de Gestión'!$AH$40="Menor"),CONCATENATE("R6C",'Riesgos de Gestión'!$V$40),"")</f>
        <v/>
      </c>
      <c r="U11" s="37" t="str">
        <f>IF(AND('Riesgos de Gestión'!$AF$41="Muy Alta",'Riesgos de Gestión'!$AH$41="Menor"),CONCATENATE("R6C",'Riesgos de Gestión'!$V$41),"")</f>
        <v/>
      </c>
      <c r="V11" s="35" t="str">
        <f>IF(AND('Riesgos de Gestión'!$AF$36="Muy Alta",'Riesgos de Gestión'!$AH$36="Moderado"),CONCATENATE("R6C",'Riesgos de Gestión'!$V$36),"")</f>
        <v/>
      </c>
      <c r="W11" s="36" t="str">
        <f>IF(AND('Riesgos de Gestión'!$AF$37="Muy Alta",'Riesgos de Gestión'!$AH$37="Moderado"),CONCATENATE("R6C",'Riesgos de Gestión'!$V$37),"")</f>
        <v/>
      </c>
      <c r="X11" s="36" t="str">
        <f>IF(AND('Riesgos de Gestión'!$AF$38="Muy Alta",'Riesgos de Gestión'!$AH$38="Moderado"),CONCATENATE("R6C",'Riesgos de Gestión'!$V$38),"")</f>
        <v/>
      </c>
      <c r="Y11" s="36" t="str">
        <f>IF(AND('Riesgos de Gestión'!$AF$39="Muy Alta",'Riesgos de Gestión'!$AH$39="Moderado"),CONCATENATE("R6C",'Riesgos de Gestión'!$V$39),"")</f>
        <v/>
      </c>
      <c r="Z11" s="36" t="str">
        <f>IF(AND('Riesgos de Gestión'!$AF$40="Muy Alta",'Riesgos de Gestión'!$AH$40="Moderado"),CONCATENATE("R6C",'Riesgos de Gestión'!$V$40),"")</f>
        <v/>
      </c>
      <c r="AA11" s="37" t="str">
        <f>IF(AND('Riesgos de Gestión'!$AF$41="Muy Alta",'Riesgos de Gestión'!$AH$41="Moderado"),CONCATENATE("R6C",'Riesgos de Gestión'!$V$41),"")</f>
        <v/>
      </c>
      <c r="AB11" s="35" t="str">
        <f>IF(AND('Riesgos de Gestión'!$AF$36="Muy Alta",'Riesgos de Gestión'!$AH$36="Mayor"),CONCATENATE("R6C",'Riesgos de Gestión'!$V$36),"")</f>
        <v/>
      </c>
      <c r="AC11" s="36" t="str">
        <f>IF(AND('Riesgos de Gestión'!$AF$37="Muy Alta",'Riesgos de Gestión'!$AH$37="Mayor"),CONCATENATE("R6C",'Riesgos de Gestión'!$V$37),"")</f>
        <v/>
      </c>
      <c r="AD11" s="36" t="str">
        <f>IF(AND('Riesgos de Gestión'!$AF$38="Muy Alta",'Riesgos de Gestión'!$AH$38="Mayor"),CONCATENATE("R6C",'Riesgos de Gestión'!$V$38),"")</f>
        <v/>
      </c>
      <c r="AE11" s="36" t="str">
        <f>IF(AND('Riesgos de Gestión'!$AF$39="Muy Alta",'Riesgos de Gestión'!$AH$39="Mayor"),CONCATENATE("R6C",'Riesgos de Gestión'!$V$39),"")</f>
        <v/>
      </c>
      <c r="AF11" s="36" t="str">
        <f>IF(AND('Riesgos de Gestión'!$AF$40="Muy Alta",'Riesgos de Gestión'!$AH$40="Mayor"),CONCATENATE("R6C",'Riesgos de Gestión'!$V$40),"")</f>
        <v/>
      </c>
      <c r="AG11" s="37" t="str">
        <f>IF(AND('Riesgos de Gestión'!$AF$41="Muy Alta",'Riesgos de Gestión'!$AH$41="Mayor"),CONCATENATE("R6C",'Riesgos de Gestión'!$V$41),"")</f>
        <v/>
      </c>
      <c r="AH11" s="38" t="str">
        <f>IF(AND('Riesgos de Gestión'!$AF$36="Muy Alta",'Riesgos de Gestión'!$AH$36="Catastrófico"),CONCATENATE("R6C",'Riesgos de Gestión'!$V$36),"")</f>
        <v/>
      </c>
      <c r="AI11" s="39" t="str">
        <f>IF(AND('Riesgos de Gestión'!$AF$37="Muy Alta",'Riesgos de Gestión'!$AH$37="Catastrófico"),CONCATENATE("R6C",'Riesgos de Gestión'!$V$37),"")</f>
        <v/>
      </c>
      <c r="AJ11" s="39" t="str">
        <f>IF(AND('Riesgos de Gestión'!$AF$38="Muy Alta",'Riesgos de Gestión'!$AH$38="Catastrófico"),CONCATENATE("R6C",'Riesgos de Gestión'!$V$38),"")</f>
        <v/>
      </c>
      <c r="AK11" s="39" t="str">
        <f>IF(AND('Riesgos de Gestión'!$AF$39="Muy Alta",'Riesgos de Gestión'!$AH$39="Catastrófico"),CONCATENATE("R6C",'Riesgos de Gestión'!$V$39),"")</f>
        <v/>
      </c>
      <c r="AL11" s="39" t="str">
        <f>IF(AND('Riesgos de Gestión'!$AF$40="Muy Alta",'Riesgos de Gestión'!$AH$40="Catastrófico"),CONCATENATE("R6C",'Riesgos de Gestión'!$V$40),"")</f>
        <v/>
      </c>
      <c r="AM11" s="40" t="str">
        <f>IF(AND('Riesgos de Gestión'!$AF$41="Muy Alta",'Riesgos de Gestión'!$AH$41="Catastrófico"),CONCATENATE("R6C",'Riesgos de Gestión'!$V$41),"")</f>
        <v/>
      </c>
      <c r="AN11" s="66"/>
      <c r="AO11" s="575"/>
      <c r="AP11" s="576"/>
      <c r="AQ11" s="576"/>
      <c r="AR11" s="576"/>
      <c r="AS11" s="576"/>
      <c r="AT11" s="577"/>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25">
      <c r="A12" s="66"/>
      <c r="B12" s="514"/>
      <c r="C12" s="514"/>
      <c r="D12" s="515"/>
      <c r="E12" s="555"/>
      <c r="F12" s="556"/>
      <c r="G12" s="556"/>
      <c r="H12" s="556"/>
      <c r="I12" s="557"/>
      <c r="J12" s="35" t="str">
        <f>IF(AND('Riesgos de Gestión'!$AF$42="Muy Alta",'Riesgos de Gestión'!$AH$42="Leve"),CONCATENATE("R7C",'Riesgos de Gestión'!$V$42),"")</f>
        <v/>
      </c>
      <c r="K12" s="36" t="str">
        <f>IF(AND('Riesgos de Gestión'!$AF$43="Muy Alta",'Riesgos de Gestión'!$AH$43="Leve"),CONCATENATE("R7C",'Riesgos de Gestión'!$V$43),"")</f>
        <v/>
      </c>
      <c r="L12" s="36" t="str">
        <f>IF(AND('Riesgos de Gestión'!$AF$44="Muy Alta",'Riesgos de Gestión'!$AH$44="Leve"),CONCATENATE("R7C",'Riesgos de Gestión'!$V$44),"")</f>
        <v/>
      </c>
      <c r="M12" s="36" t="str">
        <f>IF(AND('Riesgos de Gestión'!$AF$45="Muy Alta",'Riesgos de Gestión'!$AH$45="Leve"),CONCATENATE("R7C",'Riesgos de Gestión'!$V$45),"")</f>
        <v/>
      </c>
      <c r="N12" s="36" t="str">
        <f>IF(AND('Riesgos de Gestión'!$AF$46="Muy Alta",'Riesgos de Gestión'!$AH$46="Leve"),CONCATENATE("R7C",'Riesgos de Gestión'!$V$46),"")</f>
        <v/>
      </c>
      <c r="O12" s="37" t="str">
        <f>IF(AND('Riesgos de Gestión'!$AF$47="Muy Alta",'Riesgos de Gestión'!$AH$47="Leve"),CONCATENATE("R7C",'Riesgos de Gestión'!$V$47),"")</f>
        <v/>
      </c>
      <c r="P12" s="35" t="str">
        <f>IF(AND('Riesgos de Gestión'!$AF$42="Muy Alta",'Riesgos de Gestión'!$AH$42="Menor"),CONCATENATE("R7C",'Riesgos de Gestión'!$V$42),"")</f>
        <v/>
      </c>
      <c r="Q12" s="36" t="str">
        <f>IF(AND('Riesgos de Gestión'!$AF$43="Muy Alta",'Riesgos de Gestión'!$AH$43="Menor"),CONCATENATE("R7C",'Riesgos de Gestión'!$V$43),"")</f>
        <v/>
      </c>
      <c r="R12" s="36" t="str">
        <f>IF(AND('Riesgos de Gestión'!$AF$44="Muy Alta",'Riesgos de Gestión'!$AH$44="Menor"),CONCATENATE("R7C",'Riesgos de Gestión'!$V$44),"")</f>
        <v/>
      </c>
      <c r="S12" s="36" t="str">
        <f>IF(AND('Riesgos de Gestión'!$AF$45="Muy Alta",'Riesgos de Gestión'!$AH$45="Menor"),CONCATENATE("R7C",'Riesgos de Gestión'!$V$45),"")</f>
        <v/>
      </c>
      <c r="T12" s="36" t="str">
        <f>IF(AND('Riesgos de Gestión'!$AF$46="Muy Alta",'Riesgos de Gestión'!$AH$46="Menor"),CONCATENATE("R7C",'Riesgos de Gestión'!$V$46),"")</f>
        <v/>
      </c>
      <c r="U12" s="37" t="str">
        <f>IF(AND('Riesgos de Gestión'!$AF$47="Muy Alta",'Riesgos de Gestión'!$AH$47="Menor"),CONCATENATE("R7C",'Riesgos de Gestión'!$V$47),"")</f>
        <v/>
      </c>
      <c r="V12" s="35" t="str">
        <f>IF(AND('Riesgos de Gestión'!$AF$42="Muy Alta",'Riesgos de Gestión'!$AH$42="Moderado"),CONCATENATE("R7C",'Riesgos de Gestión'!$V$42),"")</f>
        <v/>
      </c>
      <c r="W12" s="36" t="str">
        <f>IF(AND('Riesgos de Gestión'!$AF$43="Muy Alta",'Riesgos de Gestión'!$AH$43="Moderado"),CONCATENATE("R7C",'Riesgos de Gestión'!$V$43),"")</f>
        <v/>
      </c>
      <c r="X12" s="36" t="str">
        <f>IF(AND('Riesgos de Gestión'!$AF$44="Muy Alta",'Riesgos de Gestión'!$AH$44="Moderado"),CONCATENATE("R7C",'Riesgos de Gestión'!$V$44),"")</f>
        <v/>
      </c>
      <c r="Y12" s="36" t="str">
        <f>IF(AND('Riesgos de Gestión'!$AF$45="Muy Alta",'Riesgos de Gestión'!$AH$45="Moderado"),CONCATENATE("R7C",'Riesgos de Gestión'!$V$45),"")</f>
        <v/>
      </c>
      <c r="Z12" s="36" t="str">
        <f>IF(AND('Riesgos de Gestión'!$AF$46="Muy Alta",'Riesgos de Gestión'!$AH$46="Moderado"),CONCATENATE("R7C",'Riesgos de Gestión'!$V$46),"")</f>
        <v/>
      </c>
      <c r="AA12" s="37" t="str">
        <f>IF(AND('Riesgos de Gestión'!$AF$47="Muy Alta",'Riesgos de Gestión'!$AH$47="Moderado"),CONCATENATE("R7C",'Riesgos de Gestión'!$V$47),"")</f>
        <v/>
      </c>
      <c r="AB12" s="35" t="str">
        <f>IF(AND('Riesgos de Gestión'!$AF$42="Muy Alta",'Riesgos de Gestión'!$AH$42="Mayor"),CONCATENATE("R7C",'Riesgos de Gestión'!$V$42),"")</f>
        <v/>
      </c>
      <c r="AC12" s="36" t="str">
        <f>IF(AND('Riesgos de Gestión'!$AF$43="Muy Alta",'Riesgos de Gestión'!$AH$43="Mayor"),CONCATENATE("R7C",'Riesgos de Gestión'!$V$43),"")</f>
        <v/>
      </c>
      <c r="AD12" s="36" t="str">
        <f>IF(AND('Riesgos de Gestión'!$AF$44="Muy Alta",'Riesgos de Gestión'!$AH$44="Mayor"),CONCATENATE("R7C",'Riesgos de Gestión'!$V$44),"")</f>
        <v/>
      </c>
      <c r="AE12" s="36" t="str">
        <f>IF(AND('Riesgos de Gestión'!$AF$45="Muy Alta",'Riesgos de Gestión'!$AH$45="Mayor"),CONCATENATE("R7C",'Riesgos de Gestión'!$V$45),"")</f>
        <v/>
      </c>
      <c r="AF12" s="36" t="str">
        <f>IF(AND('Riesgos de Gestión'!$AF$46="Muy Alta",'Riesgos de Gestión'!$AH$46="Mayor"),CONCATENATE("R7C",'Riesgos de Gestión'!$V$46),"")</f>
        <v/>
      </c>
      <c r="AG12" s="37" t="str">
        <f>IF(AND('Riesgos de Gestión'!$AF$47="Muy Alta",'Riesgos de Gestión'!$AH$47="Mayor"),CONCATENATE("R7C",'Riesgos de Gestión'!$V$47),"")</f>
        <v/>
      </c>
      <c r="AH12" s="38" t="str">
        <f>IF(AND('Riesgos de Gestión'!$AF$42="Muy Alta",'Riesgos de Gestión'!$AH$42="Catastrófico"),CONCATENATE("R7C",'Riesgos de Gestión'!$V$42),"")</f>
        <v/>
      </c>
      <c r="AI12" s="39" t="str">
        <f>IF(AND('Riesgos de Gestión'!$AF$43="Muy Alta",'Riesgos de Gestión'!$AH$43="Catastrófico"),CONCATENATE("R7C",'Riesgos de Gestión'!$V$43),"")</f>
        <v/>
      </c>
      <c r="AJ12" s="39" t="str">
        <f>IF(AND('Riesgos de Gestión'!$AF$44="Muy Alta",'Riesgos de Gestión'!$AH$44="Catastrófico"),CONCATENATE("R7C",'Riesgos de Gestión'!$V$44),"")</f>
        <v/>
      </c>
      <c r="AK12" s="39" t="str">
        <f>IF(AND('Riesgos de Gestión'!$AF$45="Muy Alta",'Riesgos de Gestión'!$AH$45="Catastrófico"),CONCATENATE("R7C",'Riesgos de Gestión'!$V$45),"")</f>
        <v/>
      </c>
      <c r="AL12" s="39" t="str">
        <f>IF(AND('Riesgos de Gestión'!$AF$46="Muy Alta",'Riesgos de Gestión'!$AH$46="Catastrófico"),CONCATENATE("R7C",'Riesgos de Gestión'!$V$46),"")</f>
        <v/>
      </c>
      <c r="AM12" s="40" t="str">
        <f>IF(AND('Riesgos de Gestión'!$AF$47="Muy Alta",'Riesgos de Gestión'!$AH$47="Catastrófico"),CONCATENATE("R7C",'Riesgos de Gestión'!$V$47),"")</f>
        <v/>
      </c>
      <c r="AN12" s="66"/>
      <c r="AO12" s="575"/>
      <c r="AP12" s="576"/>
      <c r="AQ12" s="576"/>
      <c r="AR12" s="576"/>
      <c r="AS12" s="576"/>
      <c r="AT12" s="577"/>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25">
      <c r="A13" s="66"/>
      <c r="B13" s="514"/>
      <c r="C13" s="514"/>
      <c r="D13" s="515"/>
      <c r="E13" s="555"/>
      <c r="F13" s="556"/>
      <c r="G13" s="556"/>
      <c r="H13" s="556"/>
      <c r="I13" s="557"/>
      <c r="J13" s="35" t="str">
        <f>IF(AND('Riesgos de Gestión'!$AF$48="Muy Alta",'Riesgos de Gestión'!$AH$48="Leve"),CONCATENATE("R8C",'Riesgos de Gestión'!$V$48),"")</f>
        <v/>
      </c>
      <c r="K13" s="36" t="str">
        <f>IF(AND('Riesgos de Gestión'!$AF$49="Muy Alta",'Riesgos de Gestión'!$AH$49="Leve"),CONCATENATE("R8C",'Riesgos de Gestión'!$V$49),"")</f>
        <v/>
      </c>
      <c r="L13" s="36" t="str">
        <f>IF(AND('Riesgos de Gestión'!$AF$50="Muy Alta",'Riesgos de Gestión'!$AH$50="Leve"),CONCATENATE("R8C",'Riesgos de Gestión'!$V$50),"")</f>
        <v/>
      </c>
      <c r="M13" s="36" t="str">
        <f>IF(AND('Riesgos de Gestión'!$AF$51="Muy Alta",'Riesgos de Gestión'!$AH$51="Leve"),CONCATENATE("R8C",'Riesgos de Gestión'!$V$51),"")</f>
        <v/>
      </c>
      <c r="N13" s="36" t="str">
        <f>IF(AND('Riesgos de Gestión'!$AF$52="Muy Alta",'Riesgos de Gestión'!$AH$52="Leve"),CONCATENATE("R8C",'Riesgos de Gestión'!$V$52),"")</f>
        <v/>
      </c>
      <c r="O13" s="37" t="str">
        <f>IF(AND('Riesgos de Gestión'!$AF$53="Muy Alta",'Riesgos de Gestión'!$AH$53="Leve"),CONCATENATE("R8C",'Riesgos de Gestión'!$V$53),"")</f>
        <v/>
      </c>
      <c r="P13" s="35" t="str">
        <f>IF(AND('Riesgos de Gestión'!$AF$48="Muy Alta",'Riesgos de Gestión'!$AH$48="Menor"),CONCATENATE("R8C",'Riesgos de Gestión'!$V$48),"")</f>
        <v/>
      </c>
      <c r="Q13" s="36" t="str">
        <f>IF(AND('Riesgos de Gestión'!$AF$49="Muy Alta",'Riesgos de Gestión'!$AH$49="Menor"),CONCATENATE("R8C",'Riesgos de Gestión'!$V$49),"")</f>
        <v/>
      </c>
      <c r="R13" s="36" t="str">
        <f>IF(AND('Riesgos de Gestión'!$AF$50="Muy Alta",'Riesgos de Gestión'!$AH$50="Menor"),CONCATENATE("R8C",'Riesgos de Gestión'!$V$50),"")</f>
        <v/>
      </c>
      <c r="S13" s="36" t="str">
        <f>IF(AND('Riesgos de Gestión'!$AF$51="Muy Alta",'Riesgos de Gestión'!$AH$51="Menor"),CONCATENATE("R8C",'Riesgos de Gestión'!$V$51),"")</f>
        <v/>
      </c>
      <c r="T13" s="36" t="str">
        <f>IF(AND('Riesgos de Gestión'!$AF$52="Muy Alta",'Riesgos de Gestión'!$AH$52="Menor"),CONCATENATE("R8C",'Riesgos de Gestión'!$V$52),"")</f>
        <v/>
      </c>
      <c r="U13" s="37" t="str">
        <f>IF(AND('Riesgos de Gestión'!$AF$53="Muy Alta",'Riesgos de Gestión'!$AH$53="Menor"),CONCATENATE("R8C",'Riesgos de Gestión'!$V$53),"")</f>
        <v/>
      </c>
      <c r="V13" s="35" t="str">
        <f>IF(AND('Riesgos de Gestión'!$AF$48="Muy Alta",'Riesgos de Gestión'!$AH$48="Moderado"),CONCATENATE("R8C",'Riesgos de Gestión'!$V$48),"")</f>
        <v/>
      </c>
      <c r="W13" s="36" t="str">
        <f>IF(AND('Riesgos de Gestión'!$AF$49="Muy Alta",'Riesgos de Gestión'!$AH$49="Moderado"),CONCATENATE("R8C",'Riesgos de Gestión'!$V$49),"")</f>
        <v/>
      </c>
      <c r="X13" s="36" t="str">
        <f>IF(AND('Riesgos de Gestión'!$AF$50="Muy Alta",'Riesgos de Gestión'!$AH$50="Moderado"),CONCATENATE("R8C",'Riesgos de Gestión'!$V$50),"")</f>
        <v/>
      </c>
      <c r="Y13" s="36" t="str">
        <f>IF(AND('Riesgos de Gestión'!$AF$51="Muy Alta",'Riesgos de Gestión'!$AH$51="Moderado"),CONCATENATE("R8C",'Riesgos de Gestión'!$V$51),"")</f>
        <v/>
      </c>
      <c r="Z13" s="36" t="str">
        <f>IF(AND('Riesgos de Gestión'!$AF$52="Muy Alta",'Riesgos de Gestión'!$AH$52="Moderado"),CONCATENATE("R8C",'Riesgos de Gestión'!$V$52),"")</f>
        <v/>
      </c>
      <c r="AA13" s="37" t="str">
        <f>IF(AND('Riesgos de Gestión'!$AF$53="Muy Alta",'Riesgos de Gestión'!$AH$53="Moderado"),CONCATENATE("R8C",'Riesgos de Gestión'!$V$53),"")</f>
        <v/>
      </c>
      <c r="AB13" s="35" t="str">
        <f>IF(AND('Riesgos de Gestión'!$AF$48="Muy Alta",'Riesgos de Gestión'!$AH$48="Mayor"),CONCATENATE("R8C",'Riesgos de Gestión'!$V$48),"")</f>
        <v/>
      </c>
      <c r="AC13" s="36" t="str">
        <f>IF(AND('Riesgos de Gestión'!$AF$49="Muy Alta",'Riesgos de Gestión'!$AH$49="Mayor"),CONCATENATE("R8C",'Riesgos de Gestión'!$V$49),"")</f>
        <v/>
      </c>
      <c r="AD13" s="36" t="str">
        <f>IF(AND('Riesgos de Gestión'!$AF$50="Muy Alta",'Riesgos de Gestión'!$AH$50="Mayor"),CONCATENATE("R8C",'Riesgos de Gestión'!$V$50),"")</f>
        <v/>
      </c>
      <c r="AE13" s="36" t="str">
        <f>IF(AND('Riesgos de Gestión'!$AF$51="Muy Alta",'Riesgos de Gestión'!$AH$51="Mayor"),CONCATENATE("R8C",'Riesgos de Gestión'!$V$51),"")</f>
        <v/>
      </c>
      <c r="AF13" s="36" t="str">
        <f>IF(AND('Riesgos de Gestión'!$AF$52="Muy Alta",'Riesgos de Gestión'!$AH$52="Mayor"),CONCATENATE("R8C",'Riesgos de Gestión'!$V$52),"")</f>
        <v/>
      </c>
      <c r="AG13" s="37" t="str">
        <f>IF(AND('Riesgos de Gestión'!$AF$53="Muy Alta",'Riesgos de Gestión'!$AH$53="Mayor"),CONCATENATE("R8C",'Riesgos de Gestión'!$V$53),"")</f>
        <v/>
      </c>
      <c r="AH13" s="38" t="str">
        <f>IF(AND('Riesgos de Gestión'!$AF$48="Muy Alta",'Riesgos de Gestión'!$AH$48="Catastrófico"),CONCATENATE("R8C",'Riesgos de Gestión'!$V$48),"")</f>
        <v/>
      </c>
      <c r="AI13" s="39" t="str">
        <f>IF(AND('Riesgos de Gestión'!$AF$49="Muy Alta",'Riesgos de Gestión'!$AH$49="Catastrófico"),CONCATENATE("R8C",'Riesgos de Gestión'!$V$49),"")</f>
        <v/>
      </c>
      <c r="AJ13" s="39" t="str">
        <f>IF(AND('Riesgos de Gestión'!$AF$50="Muy Alta",'Riesgos de Gestión'!$AH$50="Catastrófico"),CONCATENATE("R8C",'Riesgos de Gestión'!$V$50),"")</f>
        <v/>
      </c>
      <c r="AK13" s="39" t="str">
        <f>IF(AND('Riesgos de Gestión'!$AF$51="Muy Alta",'Riesgos de Gestión'!$AH$51="Catastrófico"),CONCATENATE("R8C",'Riesgos de Gestión'!$V$51),"")</f>
        <v/>
      </c>
      <c r="AL13" s="39" t="str">
        <f>IF(AND('Riesgos de Gestión'!$AF$52="Muy Alta",'Riesgos de Gestión'!$AH$52="Catastrófico"),CONCATENATE("R8C",'Riesgos de Gestión'!$V$52),"")</f>
        <v/>
      </c>
      <c r="AM13" s="40" t="str">
        <f>IF(AND('Riesgos de Gestión'!$AF$53="Muy Alta",'Riesgos de Gestión'!$AH$53="Catastrófico"),CONCATENATE("R8C",'Riesgos de Gestión'!$V$53),"")</f>
        <v/>
      </c>
      <c r="AN13" s="66"/>
      <c r="AO13" s="575"/>
      <c r="AP13" s="576"/>
      <c r="AQ13" s="576"/>
      <c r="AR13" s="576"/>
      <c r="AS13" s="576"/>
      <c r="AT13" s="577"/>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25">
      <c r="A14" s="66"/>
      <c r="B14" s="514"/>
      <c r="C14" s="514"/>
      <c r="D14" s="515"/>
      <c r="E14" s="555"/>
      <c r="F14" s="556"/>
      <c r="G14" s="556"/>
      <c r="H14" s="556"/>
      <c r="I14" s="557"/>
      <c r="J14" s="35" t="str">
        <f>IF(AND('Riesgos de Gestión'!$AF$54="Muy Alta",'Riesgos de Gestión'!$AH$54="Leve"),CONCATENATE("R9C",'Riesgos de Gestión'!$V$54),"")</f>
        <v/>
      </c>
      <c r="K14" s="36" t="str">
        <f>IF(AND('Riesgos de Gestión'!$AF$55="Muy Alta",'Riesgos de Gestión'!$AH$55="Leve"),CONCATENATE("R9C",'Riesgos de Gestión'!$V$55),"")</f>
        <v/>
      </c>
      <c r="L14" s="36" t="str">
        <f>IF(AND('Riesgos de Gestión'!$AF$56="Muy Alta",'Riesgos de Gestión'!$AH$56="Leve"),CONCATENATE("R9C",'Riesgos de Gestión'!$V$56),"")</f>
        <v/>
      </c>
      <c r="M14" s="36" t="str">
        <f>IF(AND('Riesgos de Gestión'!$AF$57="Muy Alta",'Riesgos de Gestión'!$AH$57="Leve"),CONCATENATE("R9C",'Riesgos de Gestión'!$V$57),"")</f>
        <v/>
      </c>
      <c r="N14" s="36" t="str">
        <f>IF(AND('Riesgos de Gestión'!$AF$58="Muy Alta",'Riesgos de Gestión'!$AH$58="Leve"),CONCATENATE("R9C",'Riesgos de Gestión'!$V$58),"")</f>
        <v/>
      </c>
      <c r="O14" s="37" t="str">
        <f>IF(AND('Riesgos de Gestión'!$AF$59="Muy Alta",'Riesgos de Gestión'!$AH$59="Leve"),CONCATENATE("R9C",'Riesgos de Gestión'!$V$59),"")</f>
        <v/>
      </c>
      <c r="P14" s="35" t="str">
        <f>IF(AND('Riesgos de Gestión'!$AF$54="Muy Alta",'Riesgos de Gestión'!$AH$54="Menor"),CONCATENATE("R9C",'Riesgos de Gestión'!$V$54),"")</f>
        <v/>
      </c>
      <c r="Q14" s="36" t="str">
        <f>IF(AND('Riesgos de Gestión'!$AF$55="Muy Alta",'Riesgos de Gestión'!$AH$55="Menor"),CONCATENATE("R9C",'Riesgos de Gestión'!$V$55),"")</f>
        <v/>
      </c>
      <c r="R14" s="36" t="str">
        <f>IF(AND('Riesgos de Gestión'!$AF$56="Muy Alta",'Riesgos de Gestión'!$AH$56="Menor"),CONCATENATE("R9C",'Riesgos de Gestión'!$V$56),"")</f>
        <v/>
      </c>
      <c r="S14" s="36" t="str">
        <f>IF(AND('Riesgos de Gestión'!$AF$57="Muy Alta",'Riesgos de Gestión'!$AH$57="Menor"),CONCATENATE("R9C",'Riesgos de Gestión'!$V$57),"")</f>
        <v/>
      </c>
      <c r="T14" s="36" t="str">
        <f>IF(AND('Riesgos de Gestión'!$AF$58="Muy Alta",'Riesgos de Gestión'!$AH$58="Menor"),CONCATENATE("R9C",'Riesgos de Gestión'!$V$58),"")</f>
        <v/>
      </c>
      <c r="U14" s="37" t="str">
        <f>IF(AND('Riesgos de Gestión'!$AF$59="Muy Alta",'Riesgos de Gestión'!$AH$59="Menor"),CONCATENATE("R9C",'Riesgos de Gestión'!$V$59),"")</f>
        <v/>
      </c>
      <c r="V14" s="35" t="str">
        <f>IF(AND('Riesgos de Gestión'!$AF$54="Muy Alta",'Riesgos de Gestión'!$AH$54="Moderado"),CONCATENATE("R9C",'Riesgos de Gestión'!$V$54),"")</f>
        <v/>
      </c>
      <c r="W14" s="36" t="str">
        <f>IF(AND('Riesgos de Gestión'!$AF$55="Muy Alta",'Riesgos de Gestión'!$AH$55="Moderado"),CONCATENATE("R9C",'Riesgos de Gestión'!$V$55),"")</f>
        <v/>
      </c>
      <c r="X14" s="36" t="str">
        <f>IF(AND('Riesgos de Gestión'!$AF$56="Muy Alta",'Riesgos de Gestión'!$AH$56="Moderado"),CONCATENATE("R9C",'Riesgos de Gestión'!$V$56),"")</f>
        <v/>
      </c>
      <c r="Y14" s="36" t="str">
        <f>IF(AND('Riesgos de Gestión'!$AF$57="Muy Alta",'Riesgos de Gestión'!$AH$57="Moderado"),CONCATENATE("R9C",'Riesgos de Gestión'!$V$57),"")</f>
        <v/>
      </c>
      <c r="Z14" s="36" t="str">
        <f>IF(AND('Riesgos de Gestión'!$AF$58="Muy Alta",'Riesgos de Gestión'!$AH$58="Moderado"),CONCATENATE("R9C",'Riesgos de Gestión'!$V$58),"")</f>
        <v/>
      </c>
      <c r="AA14" s="37" t="str">
        <f>IF(AND('Riesgos de Gestión'!$AF$59="Muy Alta",'Riesgos de Gestión'!$AH$59="Moderado"),CONCATENATE("R9C",'Riesgos de Gestión'!$V$59),"")</f>
        <v/>
      </c>
      <c r="AB14" s="35" t="str">
        <f>IF(AND('Riesgos de Gestión'!$AF$54="Muy Alta",'Riesgos de Gestión'!$AH$54="Mayor"),CONCATENATE("R9C",'Riesgos de Gestión'!$V$54),"")</f>
        <v/>
      </c>
      <c r="AC14" s="36" t="str">
        <f>IF(AND('Riesgos de Gestión'!$AF$55="Muy Alta",'Riesgos de Gestión'!$AH$55="Mayor"),CONCATENATE("R9C",'Riesgos de Gestión'!$V$55),"")</f>
        <v/>
      </c>
      <c r="AD14" s="36" t="str">
        <f>IF(AND('Riesgos de Gestión'!$AF$56="Muy Alta",'Riesgos de Gestión'!$AH$56="Mayor"),CONCATENATE("R9C",'Riesgos de Gestión'!$V$56),"")</f>
        <v/>
      </c>
      <c r="AE14" s="36" t="str">
        <f>IF(AND('Riesgos de Gestión'!$AF$57="Muy Alta",'Riesgos de Gestión'!$AH$57="Mayor"),CONCATENATE("R9C",'Riesgos de Gestión'!$V$57),"")</f>
        <v/>
      </c>
      <c r="AF14" s="36" t="str">
        <f>IF(AND('Riesgos de Gestión'!$AF$58="Muy Alta",'Riesgos de Gestión'!$AH$58="Mayor"),CONCATENATE("R9C",'Riesgos de Gestión'!$V$58),"")</f>
        <v/>
      </c>
      <c r="AG14" s="37" t="str">
        <f>IF(AND('Riesgos de Gestión'!$AF$59="Muy Alta",'Riesgos de Gestión'!$AH$59="Mayor"),CONCATENATE("R9C",'Riesgos de Gestión'!$V$59),"")</f>
        <v/>
      </c>
      <c r="AH14" s="38" t="str">
        <f>IF(AND('Riesgos de Gestión'!$AF$54="Muy Alta",'Riesgos de Gestión'!$AH$54="Catastrófico"),CONCATENATE("R9C",'Riesgos de Gestión'!$V$54),"")</f>
        <v/>
      </c>
      <c r="AI14" s="39" t="str">
        <f>IF(AND('Riesgos de Gestión'!$AF$55="Muy Alta",'Riesgos de Gestión'!$AH$55="Catastrófico"),CONCATENATE("R9C",'Riesgos de Gestión'!$V$55),"")</f>
        <v/>
      </c>
      <c r="AJ14" s="39" t="str">
        <f>IF(AND('Riesgos de Gestión'!$AF$56="Muy Alta",'Riesgos de Gestión'!$AH$56="Catastrófico"),CONCATENATE("R9C",'Riesgos de Gestión'!$V$56),"")</f>
        <v/>
      </c>
      <c r="AK14" s="39" t="str">
        <f>IF(AND('Riesgos de Gestión'!$AF$57="Muy Alta",'Riesgos de Gestión'!$AH$57="Catastrófico"),CONCATENATE("R9C",'Riesgos de Gestión'!$V$57),"")</f>
        <v/>
      </c>
      <c r="AL14" s="39" t="str">
        <f>IF(AND('Riesgos de Gestión'!$AF$58="Muy Alta",'Riesgos de Gestión'!$AH$58="Catastrófico"),CONCATENATE("R9C",'Riesgos de Gestión'!$V$58),"")</f>
        <v/>
      </c>
      <c r="AM14" s="40" t="str">
        <f>IF(AND('Riesgos de Gestión'!$AF$59="Muy Alta",'Riesgos de Gestión'!$AH$59="Catastrófico"),CONCATENATE("R9C",'Riesgos de Gestión'!$V$59),"")</f>
        <v/>
      </c>
      <c r="AN14" s="66"/>
      <c r="AO14" s="575"/>
      <c r="AP14" s="576"/>
      <c r="AQ14" s="576"/>
      <c r="AR14" s="576"/>
      <c r="AS14" s="576"/>
      <c r="AT14" s="577"/>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
      <c r="A15" s="66"/>
      <c r="B15" s="514"/>
      <c r="C15" s="514"/>
      <c r="D15" s="515"/>
      <c r="E15" s="558"/>
      <c r="F15" s="559"/>
      <c r="G15" s="559"/>
      <c r="H15" s="559"/>
      <c r="I15" s="560"/>
      <c r="J15" s="41" t="str">
        <f>IF(AND('Riesgos de Gestión'!$AF$60="Muy Alta",'Riesgos de Gestión'!$AH$60="Leve"),CONCATENATE("R10C",'Riesgos de Gestión'!$V$60),"")</f>
        <v/>
      </c>
      <c r="K15" s="42" t="str">
        <f>IF(AND('Riesgos de Gestión'!$AF$61="Muy Alta",'Riesgos de Gestión'!$AH$61="Leve"),CONCATENATE("R10C",'Riesgos de Gestión'!$V$61),"")</f>
        <v/>
      </c>
      <c r="L15" s="42" t="str">
        <f>IF(AND('Riesgos de Gestión'!$AF$62="Muy Alta",'Riesgos de Gestión'!$AH$62="Leve"),CONCATENATE("R10C",'Riesgos de Gestión'!$V$62),"")</f>
        <v/>
      </c>
      <c r="M15" s="42" t="str">
        <f>IF(AND('Riesgos de Gestión'!$AF$63="Muy Alta",'Riesgos de Gestión'!$AH$63="Leve"),CONCATENATE("R10C",'Riesgos de Gestión'!$V$63),"")</f>
        <v/>
      </c>
      <c r="N15" s="42" t="str">
        <f>IF(AND('Riesgos de Gestión'!$AF$64="Muy Alta",'Riesgos de Gestión'!$AH$64="Leve"),CONCATENATE("R10C",'Riesgos de Gestión'!$V$64),"")</f>
        <v/>
      </c>
      <c r="O15" s="43" t="str">
        <f>IF(AND('Riesgos de Gestión'!$AF$65="Muy Alta",'Riesgos de Gestión'!$AH$65="Leve"),CONCATENATE("R10C",'Riesgos de Gestión'!$V$65),"")</f>
        <v/>
      </c>
      <c r="P15" s="35" t="str">
        <f>IF(AND('Riesgos de Gestión'!$AF$60="Muy Alta",'Riesgos de Gestión'!$AH$60="Menor"),CONCATENATE("R10C",'Riesgos de Gestión'!$V$60),"")</f>
        <v/>
      </c>
      <c r="Q15" s="36" t="str">
        <f>IF(AND('Riesgos de Gestión'!$AF$61="Muy Alta",'Riesgos de Gestión'!$AH$61="Menor"),CONCATENATE("R10C",'Riesgos de Gestión'!$V$61),"")</f>
        <v/>
      </c>
      <c r="R15" s="36" t="str">
        <f>IF(AND('Riesgos de Gestión'!$AF$62="Muy Alta",'Riesgos de Gestión'!$AH$62="Menor"),CONCATENATE("R10C",'Riesgos de Gestión'!$V$62),"")</f>
        <v/>
      </c>
      <c r="S15" s="36" t="str">
        <f>IF(AND('Riesgos de Gestión'!$AF$63="Muy Alta",'Riesgos de Gestión'!$AH$63="Menor"),CONCATENATE("R10C",'Riesgos de Gestión'!$V$63),"")</f>
        <v/>
      </c>
      <c r="T15" s="36" t="str">
        <f>IF(AND('Riesgos de Gestión'!$AF$64="Muy Alta",'Riesgos de Gestión'!$AH$64="Menor"),CONCATENATE("R10C",'Riesgos de Gestión'!$V$64),"")</f>
        <v/>
      </c>
      <c r="U15" s="37" t="str">
        <f>IF(AND('Riesgos de Gestión'!$AF$65="Muy Alta",'Riesgos de Gestión'!$AH$65="Menor"),CONCATENATE("R10C",'Riesgos de Gestión'!$V$65),"")</f>
        <v/>
      </c>
      <c r="V15" s="41" t="str">
        <f>IF(AND('Riesgos de Gestión'!$AF$60="Muy Alta",'Riesgos de Gestión'!$AH$60="Moderado"),CONCATENATE("R10C",'Riesgos de Gestión'!$V$60),"")</f>
        <v/>
      </c>
      <c r="W15" s="42" t="str">
        <f>IF(AND('Riesgos de Gestión'!$AF$61="Muy Alta",'Riesgos de Gestión'!$AH$61="Moderado"),CONCATENATE("R10C",'Riesgos de Gestión'!$V$61),"")</f>
        <v/>
      </c>
      <c r="X15" s="42" t="str">
        <f>IF(AND('Riesgos de Gestión'!$AF$62="Muy Alta",'Riesgos de Gestión'!$AH$62="Moderado"),CONCATENATE("R10C",'Riesgos de Gestión'!$V$62),"")</f>
        <v/>
      </c>
      <c r="Y15" s="42" t="str">
        <f>IF(AND('Riesgos de Gestión'!$AF$63="Muy Alta",'Riesgos de Gestión'!$AH$63="Moderado"),CONCATENATE("R10C",'Riesgos de Gestión'!$V$63),"")</f>
        <v/>
      </c>
      <c r="Z15" s="42" t="str">
        <f>IF(AND('Riesgos de Gestión'!$AF$64="Muy Alta",'Riesgos de Gestión'!$AH$64="Moderado"),CONCATENATE("R10C",'Riesgos de Gestión'!$V$64),"")</f>
        <v/>
      </c>
      <c r="AA15" s="43" t="str">
        <f>IF(AND('Riesgos de Gestión'!$AF$65="Muy Alta",'Riesgos de Gestión'!$AH$65="Moderado"),CONCATENATE("R10C",'Riesgos de Gestión'!$V$65),"")</f>
        <v/>
      </c>
      <c r="AB15" s="35" t="str">
        <f>IF(AND('Riesgos de Gestión'!$AF$60="Muy Alta",'Riesgos de Gestión'!$AH$60="Mayor"),CONCATENATE("R10C",'Riesgos de Gestión'!$V$60),"")</f>
        <v/>
      </c>
      <c r="AC15" s="36" t="str">
        <f>IF(AND('Riesgos de Gestión'!$AF$61="Muy Alta",'Riesgos de Gestión'!$AH$61="Mayor"),CONCATENATE("R10C",'Riesgos de Gestión'!$V$61),"")</f>
        <v/>
      </c>
      <c r="AD15" s="36" t="str">
        <f>IF(AND('Riesgos de Gestión'!$AF$62="Muy Alta",'Riesgos de Gestión'!$AH$62="Mayor"),CONCATENATE("R10C",'Riesgos de Gestión'!$V$62),"")</f>
        <v/>
      </c>
      <c r="AE15" s="36" t="str">
        <f>IF(AND('Riesgos de Gestión'!$AF$63="Muy Alta",'Riesgos de Gestión'!$AH$63="Mayor"),CONCATENATE("R10C",'Riesgos de Gestión'!$V$63),"")</f>
        <v/>
      </c>
      <c r="AF15" s="36" t="str">
        <f>IF(AND('Riesgos de Gestión'!$AF$64="Muy Alta",'Riesgos de Gestión'!$AH$64="Mayor"),CONCATENATE("R10C",'Riesgos de Gestión'!$V$64),"")</f>
        <v/>
      </c>
      <c r="AG15" s="37" t="str">
        <f>IF(AND('Riesgos de Gestión'!$AF$65="Muy Alta",'Riesgos de Gestión'!$AH$65="Mayor"),CONCATENATE("R10C",'Riesgos de Gestión'!$V$65),"")</f>
        <v/>
      </c>
      <c r="AH15" s="44" t="str">
        <f>IF(AND('Riesgos de Gestión'!$AF$60="Muy Alta",'Riesgos de Gestión'!$AH$60="Catastrófico"),CONCATENATE("R10C",'Riesgos de Gestión'!$V$60),"")</f>
        <v/>
      </c>
      <c r="AI15" s="45" t="str">
        <f>IF(AND('Riesgos de Gestión'!$AF$61="Muy Alta",'Riesgos de Gestión'!$AH$61="Catastrófico"),CONCATENATE("R10C",'Riesgos de Gestión'!$V$61),"")</f>
        <v/>
      </c>
      <c r="AJ15" s="45" t="str">
        <f>IF(AND('Riesgos de Gestión'!$AF$62="Muy Alta",'Riesgos de Gestión'!$AH$62="Catastrófico"),CONCATENATE("R10C",'Riesgos de Gestión'!$V$62),"")</f>
        <v/>
      </c>
      <c r="AK15" s="45" t="str">
        <f>IF(AND('Riesgos de Gestión'!$AF$63="Muy Alta",'Riesgos de Gestión'!$AH$63="Catastrófico"),CONCATENATE("R10C",'Riesgos de Gestión'!$V$63),"")</f>
        <v/>
      </c>
      <c r="AL15" s="45" t="str">
        <f>IF(AND('Riesgos de Gestión'!$AF$64="Muy Alta",'Riesgos de Gestión'!$AH$64="Catastrófico"),CONCATENATE("R10C",'Riesgos de Gestión'!$V$64),"")</f>
        <v/>
      </c>
      <c r="AM15" s="46" t="str">
        <f>IF(AND('Riesgos de Gestión'!$AF$65="Muy Alta",'Riesgos de Gestión'!$AH$65="Catastrófico"),CONCATENATE("R10C",'Riesgos de Gestión'!$V$65),"")</f>
        <v/>
      </c>
      <c r="AN15" s="66"/>
      <c r="AO15" s="578"/>
      <c r="AP15" s="579"/>
      <c r="AQ15" s="579"/>
      <c r="AR15" s="579"/>
      <c r="AS15" s="579"/>
      <c r="AT15" s="580"/>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25">
      <c r="A16" s="66"/>
      <c r="B16" s="514"/>
      <c r="C16" s="514"/>
      <c r="D16" s="515"/>
      <c r="E16" s="552" t="s">
        <v>267</v>
      </c>
      <c r="F16" s="553"/>
      <c r="G16" s="553"/>
      <c r="H16" s="553"/>
      <c r="I16" s="553"/>
      <c r="J16" s="47" t="str">
        <f>IF(AND('Riesgos de Gestión'!$AF$13="Alta",'Riesgos de Gestión'!$AH$13="Leve"),CONCATENATE("R1C",'Riesgos de Gestión'!$V$13),"")</f>
        <v/>
      </c>
      <c r="K16" s="48" t="str">
        <f>IF(AND('Riesgos de Gestión'!$AF$14="Alta",'Riesgos de Gestión'!$AH$14="Leve"),CONCATENATE("R1C",'Riesgos de Gestión'!$V$14),"")</f>
        <v/>
      </c>
      <c r="L16" s="48" t="str">
        <f>IF(AND('Riesgos de Gestión'!$AF$15="Alta",'Riesgos de Gestión'!$AH$15="Leve"),CONCATENATE("R1C",'Riesgos de Gestión'!$V$15),"")</f>
        <v/>
      </c>
      <c r="M16" s="48" t="e">
        <f>IF(AND('Riesgos de Gestión'!#REF!="Alta",'Riesgos de Gestión'!#REF!="Leve"),CONCATENATE("R1C",'Riesgos de Gestión'!#REF!),"")</f>
        <v>#REF!</v>
      </c>
      <c r="N16" s="48" t="e">
        <f>IF(AND('Riesgos de Gestión'!#REF!="Alta",'Riesgos de Gestión'!#REF!="Leve"),CONCATENATE("R1C",'Riesgos de Gestión'!#REF!),"")</f>
        <v>#REF!</v>
      </c>
      <c r="O16" s="49" t="e">
        <f>IF(AND('Riesgos de Gestión'!#REF!="Alta",'Riesgos de Gestión'!#REF!="Leve"),CONCATENATE("R1C",'Riesgos de Gestión'!#REF!),"")</f>
        <v>#REF!</v>
      </c>
      <c r="P16" s="47" t="str">
        <f>IF(AND('Riesgos de Gestión'!$AF$13="Alta",'Riesgos de Gestión'!$AH$13="Menor"),CONCATENATE("R1C",'Riesgos de Gestión'!$V$13),"")</f>
        <v/>
      </c>
      <c r="Q16" s="48" t="str">
        <f>IF(AND('Riesgos de Gestión'!$AF$14="Alta",'Riesgos de Gestión'!$AH$14="Menor"),CONCATENATE("R1C",'Riesgos de Gestión'!$V$14),"")</f>
        <v/>
      </c>
      <c r="R16" s="48" t="str">
        <f>IF(AND('Riesgos de Gestión'!$AF$15="Alta",'Riesgos de Gestión'!$AH$15="Menor"),CONCATENATE("R1C",'Riesgos de Gestión'!$V$15),"")</f>
        <v/>
      </c>
      <c r="S16" s="48" t="e">
        <f>IF(AND('Riesgos de Gestión'!#REF!="Alta",'Riesgos de Gestión'!#REF!="Menor"),CONCATENATE("R1C",'Riesgos de Gestión'!#REF!),"")</f>
        <v>#REF!</v>
      </c>
      <c r="T16" s="48" t="e">
        <f>IF(AND('Riesgos de Gestión'!#REF!="Alta",'Riesgos de Gestión'!#REF!="Menor"),CONCATENATE("R1C",'Riesgos de Gestión'!#REF!),"")</f>
        <v>#REF!</v>
      </c>
      <c r="U16" s="49" t="e">
        <f>IF(AND('Riesgos de Gestión'!#REF!="Alta",'Riesgos de Gestión'!#REF!="Menor"),CONCATENATE("R1C",'Riesgos de Gestión'!#REF!),"")</f>
        <v>#REF!</v>
      </c>
      <c r="V16" s="29" t="str">
        <f>IF(AND('Riesgos de Gestión'!$AF$13="Alta",'Riesgos de Gestión'!$AH$13="Moderado"),CONCATENATE("R1C",'Riesgos de Gestión'!$V$13),"")</f>
        <v/>
      </c>
      <c r="W16" s="30" t="str">
        <f>IF(AND('Riesgos de Gestión'!$AF$14="Alta",'Riesgos de Gestión'!$AH$14="Moderado"),CONCATENATE("R1C",'Riesgos de Gestión'!$V$14),"")</f>
        <v/>
      </c>
      <c r="X16" s="30" t="str">
        <f>IF(AND('Riesgos de Gestión'!$AF$15="Alta",'Riesgos de Gestión'!$AH$15="Moderado"),CONCATENATE("R1C",'Riesgos de Gestión'!$V$15),"")</f>
        <v/>
      </c>
      <c r="Y16" s="30" t="e">
        <f>IF(AND('Riesgos de Gestión'!#REF!="Alta",'Riesgos de Gestión'!#REF!="Moderado"),CONCATENATE("R1C",'Riesgos de Gestión'!#REF!),"")</f>
        <v>#REF!</v>
      </c>
      <c r="Z16" s="30" t="e">
        <f>IF(AND('Riesgos de Gestión'!#REF!="Alta",'Riesgos de Gestión'!#REF!="Moderado"),CONCATENATE("R1C",'Riesgos de Gestión'!#REF!),"")</f>
        <v>#REF!</v>
      </c>
      <c r="AA16" s="31" t="e">
        <f>IF(AND('Riesgos de Gestión'!#REF!="Alta",'Riesgos de Gestión'!#REF!="Moderado"),CONCATENATE("R1C",'Riesgos de Gestión'!#REF!),"")</f>
        <v>#REF!</v>
      </c>
      <c r="AB16" s="29" t="str">
        <f>IF(AND('Riesgos de Gestión'!$AF$13="Alta",'Riesgos de Gestión'!$AH$13="Mayor"),CONCATENATE("R1C",'Riesgos de Gestión'!$V$13),"")</f>
        <v/>
      </c>
      <c r="AC16" s="30" t="str">
        <f>IF(AND('Riesgos de Gestión'!$AF$14="Alta",'Riesgos de Gestión'!$AH$14="Mayor"),CONCATENATE("R1C",'Riesgos de Gestión'!$V$14),"")</f>
        <v/>
      </c>
      <c r="AD16" s="30" t="str">
        <f>IF(AND('Riesgos de Gestión'!$AF$15="Alta",'Riesgos de Gestión'!$AH$15="Mayor"),CONCATENATE("R1C",'Riesgos de Gestión'!$V$15),"")</f>
        <v/>
      </c>
      <c r="AE16" s="30" t="e">
        <f>IF(AND('Riesgos de Gestión'!#REF!="Alta",'Riesgos de Gestión'!#REF!="Mayor"),CONCATENATE("R1C",'Riesgos de Gestión'!#REF!),"")</f>
        <v>#REF!</v>
      </c>
      <c r="AF16" s="30" t="e">
        <f>IF(AND('Riesgos de Gestión'!#REF!="Alta",'Riesgos de Gestión'!#REF!="Mayor"),CONCATENATE("R1C",'Riesgos de Gestión'!#REF!),"")</f>
        <v>#REF!</v>
      </c>
      <c r="AG16" s="31" t="e">
        <f>IF(AND('Riesgos de Gestión'!#REF!="Alta",'Riesgos de Gestión'!#REF!="Mayor"),CONCATENATE("R1C",'Riesgos de Gestión'!#REF!),"")</f>
        <v>#REF!</v>
      </c>
      <c r="AH16" s="32" t="str">
        <f>IF(AND('Riesgos de Gestión'!$AF$13="Alta",'Riesgos de Gestión'!$AH$13="Catastrófico"),CONCATENATE("R1C",'Riesgos de Gestión'!$V$13),"")</f>
        <v/>
      </c>
      <c r="AI16" s="33" t="str">
        <f>IF(AND('Riesgos de Gestión'!$AF$14="Alta",'Riesgos de Gestión'!$AH$14="Catastrófico"),CONCATENATE("R1C",'Riesgos de Gestión'!$V$14),"")</f>
        <v/>
      </c>
      <c r="AJ16" s="33" t="str">
        <f>IF(AND('Riesgos de Gestión'!$AF$15="Alta",'Riesgos de Gestión'!$AH$15="Catastrófico"),CONCATENATE("R1C",'Riesgos de Gestión'!$V$15),"")</f>
        <v/>
      </c>
      <c r="AK16" s="33" t="e">
        <f>IF(AND('Riesgos de Gestión'!#REF!="Alta",'Riesgos de Gestión'!#REF!="Catastrófico"),CONCATENATE("R1C",'Riesgos de Gestión'!#REF!),"")</f>
        <v>#REF!</v>
      </c>
      <c r="AL16" s="33" t="e">
        <f>IF(AND('Riesgos de Gestión'!#REF!="Alta",'Riesgos de Gestión'!#REF!="Catastrófico"),CONCATENATE("R1C",'Riesgos de Gestión'!#REF!),"")</f>
        <v>#REF!</v>
      </c>
      <c r="AM16" s="34" t="e">
        <f>IF(AND('Riesgos de Gestión'!#REF!="Alta",'Riesgos de Gestión'!#REF!="Catastrófico"),CONCATENATE("R1C",'Riesgos de Gestión'!#REF!),"")</f>
        <v>#REF!</v>
      </c>
      <c r="AN16" s="66"/>
      <c r="AO16" s="562" t="s">
        <v>268</v>
      </c>
      <c r="AP16" s="563"/>
      <c r="AQ16" s="563"/>
      <c r="AR16" s="563"/>
      <c r="AS16" s="563"/>
      <c r="AT16" s="564"/>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25">
      <c r="A17" s="66"/>
      <c r="B17" s="514"/>
      <c r="C17" s="514"/>
      <c r="D17" s="515"/>
      <c r="E17" s="571"/>
      <c r="F17" s="556"/>
      <c r="G17" s="556"/>
      <c r="H17" s="556"/>
      <c r="I17" s="556"/>
      <c r="J17" s="50" t="str">
        <f>IF(AND('Riesgos de Gestión'!$AF$16="Alta",'Riesgos de Gestión'!$AH$16="Leve"),CONCATENATE("R2C",'Riesgos de Gestión'!$V$16),"")</f>
        <v/>
      </c>
      <c r="K17" s="51" t="str">
        <f>IF(AND('Riesgos de Gestión'!$AF$17="Alta",'Riesgos de Gestión'!$AH$17="Leve"),CONCATENATE("R2C",'Riesgos de Gestión'!$V$17),"")</f>
        <v/>
      </c>
      <c r="L17" s="51" t="e">
        <f>IF(AND('Riesgos de Gestión'!#REF!="Alta",'Riesgos de Gestión'!#REF!="Leve"),CONCATENATE("R2C",'Riesgos de Gestión'!#REF!),"")</f>
        <v>#REF!</v>
      </c>
      <c r="M17" s="51" t="e">
        <f>IF(AND('Riesgos de Gestión'!#REF!="Alta",'Riesgos de Gestión'!#REF!="Leve"),CONCATENATE("R2C",'Riesgos de Gestión'!#REF!),"")</f>
        <v>#REF!</v>
      </c>
      <c r="N17" s="51" t="e">
        <f>IF(AND('Riesgos de Gestión'!#REF!="Alta",'Riesgos de Gestión'!#REF!="Leve"),CONCATENATE("R2C",'Riesgos de Gestión'!#REF!),"")</f>
        <v>#REF!</v>
      </c>
      <c r="O17" s="52" t="e">
        <f>IF(AND('Riesgos de Gestión'!#REF!="Alta",'Riesgos de Gestión'!#REF!="Leve"),CONCATENATE("R2C",'Riesgos de Gestión'!#REF!),"")</f>
        <v>#REF!</v>
      </c>
      <c r="P17" s="50" t="str">
        <f>IF(AND('Riesgos de Gestión'!$AF$16="Alta",'Riesgos de Gestión'!$AH$16="Menor"),CONCATENATE("R2C",'Riesgos de Gestión'!$V$16),"")</f>
        <v/>
      </c>
      <c r="Q17" s="51" t="str">
        <f>IF(AND('Riesgos de Gestión'!$AF$17="Alta",'Riesgos de Gestión'!$AH$17="Menor"),CONCATENATE("R2C",'Riesgos de Gestión'!$V$17),"")</f>
        <v/>
      </c>
      <c r="R17" s="51" t="e">
        <f>IF(AND('Riesgos de Gestión'!#REF!="Alta",'Riesgos de Gestión'!#REF!="Menor"),CONCATENATE("R2C",'Riesgos de Gestión'!#REF!),"")</f>
        <v>#REF!</v>
      </c>
      <c r="S17" s="51" t="e">
        <f>IF(AND('Riesgos de Gestión'!#REF!="Alta",'Riesgos de Gestión'!#REF!="Menor"),CONCATENATE("R2C",'Riesgos de Gestión'!#REF!),"")</f>
        <v>#REF!</v>
      </c>
      <c r="T17" s="51" t="e">
        <f>IF(AND('Riesgos de Gestión'!#REF!="Alta",'Riesgos de Gestión'!#REF!="Menor"),CONCATENATE("R2C",'Riesgos de Gestión'!#REF!),"")</f>
        <v>#REF!</v>
      </c>
      <c r="U17" s="52" t="e">
        <f>IF(AND('Riesgos de Gestión'!#REF!="Alta",'Riesgos de Gestión'!#REF!="Menor"),CONCATENATE("R2C",'Riesgos de Gestión'!#REF!),"")</f>
        <v>#REF!</v>
      </c>
      <c r="V17" s="35" t="str">
        <f>IF(AND('Riesgos de Gestión'!$AF$16="Alta",'Riesgos de Gestión'!$AH$16="Moderado"),CONCATENATE("R2C",'Riesgos de Gestión'!$V$16),"")</f>
        <v/>
      </c>
      <c r="W17" s="36" t="str">
        <f>IF(AND('Riesgos de Gestión'!$AF$17="Alta",'Riesgos de Gestión'!$AH$17="Moderado"),CONCATENATE("R2C",'Riesgos de Gestión'!$V$17),"")</f>
        <v/>
      </c>
      <c r="X17" s="36" t="e">
        <f>IF(AND('Riesgos de Gestión'!#REF!="Alta",'Riesgos de Gestión'!#REF!="Moderado"),CONCATENATE("R2C",'Riesgos de Gestión'!#REF!),"")</f>
        <v>#REF!</v>
      </c>
      <c r="Y17" s="36" t="e">
        <f>IF(AND('Riesgos de Gestión'!#REF!="Alta",'Riesgos de Gestión'!#REF!="Moderado"),CONCATENATE("R2C",'Riesgos de Gestión'!#REF!),"")</f>
        <v>#REF!</v>
      </c>
      <c r="Z17" s="36" t="e">
        <f>IF(AND('Riesgos de Gestión'!#REF!="Alta",'Riesgos de Gestión'!#REF!="Moderado"),CONCATENATE("R2C",'Riesgos de Gestión'!#REF!),"")</f>
        <v>#REF!</v>
      </c>
      <c r="AA17" s="37" t="e">
        <f>IF(AND('Riesgos de Gestión'!#REF!="Alta",'Riesgos de Gestión'!#REF!="Moderado"),CONCATENATE("R2C",'Riesgos de Gestión'!#REF!),"")</f>
        <v>#REF!</v>
      </c>
      <c r="AB17" s="35" t="str">
        <f>IF(AND('Riesgos de Gestión'!$AF$16="Alta",'Riesgos de Gestión'!$AH$16="Mayor"),CONCATENATE("R2C",'Riesgos de Gestión'!$V$16),"")</f>
        <v/>
      </c>
      <c r="AC17" s="36" t="str">
        <f>IF(AND('Riesgos de Gestión'!$AF$17="Alta",'Riesgos de Gestión'!$AH$17="Mayor"),CONCATENATE("R2C",'Riesgos de Gestión'!$V$17),"")</f>
        <v/>
      </c>
      <c r="AD17" s="36" t="e">
        <f>IF(AND('Riesgos de Gestión'!#REF!="Alta",'Riesgos de Gestión'!#REF!="Mayor"),CONCATENATE("R2C",'Riesgos de Gestión'!#REF!),"")</f>
        <v>#REF!</v>
      </c>
      <c r="AE17" s="36" t="e">
        <f>IF(AND('Riesgos de Gestión'!#REF!="Alta",'Riesgos de Gestión'!#REF!="Mayor"),CONCATENATE("R2C",'Riesgos de Gestión'!#REF!),"")</f>
        <v>#REF!</v>
      </c>
      <c r="AF17" s="36" t="e">
        <f>IF(AND('Riesgos de Gestión'!#REF!="Alta",'Riesgos de Gestión'!#REF!="Mayor"),CONCATENATE("R2C",'Riesgos de Gestión'!#REF!),"")</f>
        <v>#REF!</v>
      </c>
      <c r="AG17" s="37" t="e">
        <f>IF(AND('Riesgos de Gestión'!#REF!="Alta",'Riesgos de Gestión'!#REF!="Mayor"),CONCATENATE("R2C",'Riesgos de Gestión'!#REF!),"")</f>
        <v>#REF!</v>
      </c>
      <c r="AH17" s="38" t="str">
        <f>IF(AND('Riesgos de Gestión'!$AF$16="Alta",'Riesgos de Gestión'!$AH$16="Catastrófico"),CONCATENATE("R2C",'Riesgos de Gestión'!$V$16),"")</f>
        <v/>
      </c>
      <c r="AI17" s="39" t="str">
        <f>IF(AND('Riesgos de Gestión'!$AF$17="Alta",'Riesgos de Gestión'!$AH$17="Catastrófico"),CONCATENATE("R2C",'Riesgos de Gestión'!$V$17),"")</f>
        <v/>
      </c>
      <c r="AJ17" s="39" t="e">
        <f>IF(AND('Riesgos de Gestión'!#REF!="Alta",'Riesgos de Gestión'!#REF!="Catastrófico"),CONCATENATE("R2C",'Riesgos de Gestión'!#REF!),"")</f>
        <v>#REF!</v>
      </c>
      <c r="AK17" s="39" t="e">
        <f>IF(AND('Riesgos de Gestión'!#REF!="Alta",'Riesgos de Gestión'!#REF!="Catastrófico"),CONCATENATE("R2C",'Riesgos de Gestión'!#REF!),"")</f>
        <v>#REF!</v>
      </c>
      <c r="AL17" s="39" t="e">
        <f>IF(AND('Riesgos de Gestión'!#REF!="Alta",'Riesgos de Gestión'!#REF!="Catastrófico"),CONCATENATE("R2C",'Riesgos de Gestión'!#REF!),"")</f>
        <v>#REF!</v>
      </c>
      <c r="AM17" s="40" t="e">
        <f>IF(AND('Riesgos de Gestión'!#REF!="Alta",'Riesgos de Gestión'!#REF!="Catastrófico"),CONCATENATE("R2C",'Riesgos de Gestión'!#REF!),"")</f>
        <v>#REF!</v>
      </c>
      <c r="AN17" s="66"/>
      <c r="AO17" s="565"/>
      <c r="AP17" s="566"/>
      <c r="AQ17" s="566"/>
      <c r="AR17" s="566"/>
      <c r="AS17" s="566"/>
      <c r="AT17" s="567"/>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25">
      <c r="A18" s="66"/>
      <c r="B18" s="514"/>
      <c r="C18" s="514"/>
      <c r="D18" s="515"/>
      <c r="E18" s="555"/>
      <c r="F18" s="556"/>
      <c r="G18" s="556"/>
      <c r="H18" s="556"/>
      <c r="I18" s="556"/>
      <c r="J18" s="50" t="str">
        <f>IF(AND('Riesgos de Gestión'!$AF$18="Alta",'Riesgos de Gestión'!$AH$18="Leve"),CONCATENATE("R3C",'Riesgos de Gestión'!$V$18),"")</f>
        <v/>
      </c>
      <c r="K18" s="51" t="str">
        <f>IF(AND('Riesgos de Gestión'!$AF$19="Alta",'Riesgos de Gestión'!$AH$19="Leve"),CONCATENATE("R3C",'Riesgos de Gestión'!$V$19),"")</f>
        <v/>
      </c>
      <c r="L18" s="51" t="str">
        <f>IF(AND('Riesgos de Gestión'!$AF$20="Alta",'Riesgos de Gestión'!$AH$20="Leve"),CONCATENATE("R3C",'Riesgos de Gestión'!$V$20),"")</f>
        <v/>
      </c>
      <c r="M18" s="51" t="str">
        <f>IF(AND('Riesgos de Gestión'!$AF$21="Alta",'Riesgos de Gestión'!$AH$21="Leve"),CONCATENATE("R3C",'Riesgos de Gestión'!$V$21),"")</f>
        <v/>
      </c>
      <c r="N18" s="51" t="str">
        <f>IF(AND('Riesgos de Gestión'!$AF$22="Alta",'Riesgos de Gestión'!$AH$22="Leve"),CONCATENATE("R3C",'Riesgos de Gestión'!$V$22),"")</f>
        <v/>
      </c>
      <c r="O18" s="52" t="str">
        <f>IF(AND('Riesgos de Gestión'!$AF$23="Alta",'Riesgos de Gestión'!$AH$23="Leve"),CONCATENATE("R3C",'Riesgos de Gestión'!$V$23),"")</f>
        <v/>
      </c>
      <c r="P18" s="50" t="str">
        <f>IF(AND('Riesgos de Gestión'!$AF$18="Alta",'Riesgos de Gestión'!$AH$18="Menor"),CONCATENATE("R3C",'Riesgos de Gestión'!$V$18),"")</f>
        <v/>
      </c>
      <c r="Q18" s="51" t="str">
        <f>IF(AND('Riesgos de Gestión'!$AF$19="Alta",'Riesgos de Gestión'!$AH$19="Menor"),CONCATENATE("R3C",'Riesgos de Gestión'!$V$19),"")</f>
        <v/>
      </c>
      <c r="R18" s="51" t="str">
        <f>IF(AND('Riesgos de Gestión'!$AF$20="Alta",'Riesgos de Gestión'!$AH$20="Menor"),CONCATENATE("R3C",'Riesgos de Gestión'!$V$20),"")</f>
        <v/>
      </c>
      <c r="S18" s="51" t="str">
        <f>IF(AND('Riesgos de Gestión'!$AF$21="Alta",'Riesgos de Gestión'!$AH$21="Menor"),CONCATENATE("R3C",'Riesgos de Gestión'!$V$21),"")</f>
        <v/>
      </c>
      <c r="T18" s="51" t="str">
        <f>IF(AND('Riesgos de Gestión'!$AF$22="Alta",'Riesgos de Gestión'!$AH$22="Menor"),CONCATENATE("R3C",'Riesgos de Gestión'!$V$22),"")</f>
        <v/>
      </c>
      <c r="U18" s="52" t="str">
        <f>IF(AND('Riesgos de Gestión'!$AF$23="Alta",'Riesgos de Gestión'!$AH$23="Menor"),CONCATENATE("R3C",'Riesgos de Gestión'!$V$23),"")</f>
        <v/>
      </c>
      <c r="V18" s="35" t="str">
        <f>IF(AND('Riesgos de Gestión'!$AF$18="Alta",'Riesgos de Gestión'!$AH$18="Moderado"),CONCATENATE("R3C",'Riesgos de Gestión'!$V$18),"")</f>
        <v/>
      </c>
      <c r="W18" s="36" t="str">
        <f>IF(AND('Riesgos de Gestión'!$AF$19="Alta",'Riesgos de Gestión'!$AH$19="Moderado"),CONCATENATE("R3C",'Riesgos de Gestión'!$V$19),"")</f>
        <v/>
      </c>
      <c r="X18" s="36" t="str">
        <f>IF(AND('Riesgos de Gestión'!$AF$20="Alta",'Riesgos de Gestión'!$AH$20="Moderado"),CONCATENATE("R3C",'Riesgos de Gestión'!$V$20),"")</f>
        <v/>
      </c>
      <c r="Y18" s="36" t="str">
        <f>IF(AND('Riesgos de Gestión'!$AF$21="Alta",'Riesgos de Gestión'!$AH$21="Moderado"),CONCATENATE("R3C",'Riesgos de Gestión'!$V$21),"")</f>
        <v/>
      </c>
      <c r="Z18" s="36" t="str">
        <f>IF(AND('Riesgos de Gestión'!$AF$22="Alta",'Riesgos de Gestión'!$AH$22="Moderado"),CONCATENATE("R3C",'Riesgos de Gestión'!$V$22),"")</f>
        <v/>
      </c>
      <c r="AA18" s="37" t="str">
        <f>IF(AND('Riesgos de Gestión'!$AF$23="Alta",'Riesgos de Gestión'!$AH$23="Moderado"),CONCATENATE("R3C",'Riesgos de Gestión'!$V$23),"")</f>
        <v/>
      </c>
      <c r="AB18" s="35" t="str">
        <f>IF(AND('Riesgos de Gestión'!$AF$18="Alta",'Riesgos de Gestión'!$AH$18="Mayor"),CONCATENATE("R3C",'Riesgos de Gestión'!$V$18),"")</f>
        <v/>
      </c>
      <c r="AC18" s="36" t="str">
        <f>IF(AND('Riesgos de Gestión'!$AF$19="Alta",'Riesgos de Gestión'!$AH$19="Mayor"),CONCATENATE("R3C",'Riesgos de Gestión'!$V$19),"")</f>
        <v/>
      </c>
      <c r="AD18" s="36" t="str">
        <f>IF(AND('Riesgos de Gestión'!$AF$20="Alta",'Riesgos de Gestión'!$AH$20="Mayor"),CONCATENATE("R3C",'Riesgos de Gestión'!$V$20),"")</f>
        <v/>
      </c>
      <c r="AE18" s="36" t="str">
        <f>IF(AND('Riesgos de Gestión'!$AF$21="Alta",'Riesgos de Gestión'!$AH$21="Mayor"),CONCATENATE("R3C",'Riesgos de Gestión'!$V$21),"")</f>
        <v/>
      </c>
      <c r="AF18" s="36" t="str">
        <f>IF(AND('Riesgos de Gestión'!$AF$22="Alta",'Riesgos de Gestión'!$AH$22="Mayor"),CONCATENATE("R3C",'Riesgos de Gestión'!$V$22),"")</f>
        <v/>
      </c>
      <c r="AG18" s="37" t="str">
        <f>IF(AND('Riesgos de Gestión'!$AF$23="Alta",'Riesgos de Gestión'!$AH$23="Mayor"),CONCATENATE("R3C",'Riesgos de Gestión'!$V$23),"")</f>
        <v/>
      </c>
      <c r="AH18" s="38" t="str">
        <f>IF(AND('Riesgos de Gestión'!$AF$18="Alta",'Riesgos de Gestión'!$AH$18="Catastrófico"),CONCATENATE("R3C",'Riesgos de Gestión'!$V$18),"")</f>
        <v/>
      </c>
      <c r="AI18" s="39" t="str">
        <f>IF(AND('Riesgos de Gestión'!$AF$19="Alta",'Riesgos de Gestión'!$AH$19="Catastrófico"),CONCATENATE("R3C",'Riesgos de Gestión'!$V$19),"")</f>
        <v/>
      </c>
      <c r="AJ18" s="39" t="str">
        <f>IF(AND('Riesgos de Gestión'!$AF$20="Alta",'Riesgos de Gestión'!$AH$20="Catastrófico"),CONCATENATE("R3C",'Riesgos de Gestión'!$V$20),"")</f>
        <v/>
      </c>
      <c r="AK18" s="39" t="str">
        <f>IF(AND('Riesgos de Gestión'!$AF$21="Alta",'Riesgos de Gestión'!$AH$21="Catastrófico"),CONCATENATE("R3C",'Riesgos de Gestión'!$V$21),"")</f>
        <v/>
      </c>
      <c r="AL18" s="39" t="str">
        <f>IF(AND('Riesgos de Gestión'!$AF$22="Alta",'Riesgos de Gestión'!$AH$22="Catastrófico"),CONCATENATE("R3C",'Riesgos de Gestión'!$V$22),"")</f>
        <v/>
      </c>
      <c r="AM18" s="40" t="str">
        <f>IF(AND('Riesgos de Gestión'!$AF$23="Alta",'Riesgos de Gestión'!$AH$23="Catastrófico"),CONCATENATE("R3C",'Riesgos de Gestión'!$V$23),"")</f>
        <v/>
      </c>
      <c r="AN18" s="66"/>
      <c r="AO18" s="565"/>
      <c r="AP18" s="566"/>
      <c r="AQ18" s="566"/>
      <c r="AR18" s="566"/>
      <c r="AS18" s="566"/>
      <c r="AT18" s="567"/>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25">
      <c r="A19" s="66"/>
      <c r="B19" s="514"/>
      <c r="C19" s="514"/>
      <c r="D19" s="515"/>
      <c r="E19" s="555"/>
      <c r="F19" s="556"/>
      <c r="G19" s="556"/>
      <c r="H19" s="556"/>
      <c r="I19" s="556"/>
      <c r="J19" s="50" t="str">
        <f>IF(AND('Riesgos de Gestión'!$AF$24="Alta",'Riesgos de Gestión'!$AH$24="Leve"),CONCATENATE("R4C",'Riesgos de Gestión'!$V$24),"")</f>
        <v/>
      </c>
      <c r="K19" s="51" t="str">
        <f>IF(AND('Riesgos de Gestión'!$AF$25="Alta",'Riesgos de Gestión'!$AH$25="Leve"),CONCATENATE("R4C",'Riesgos de Gestión'!$V$25),"")</f>
        <v/>
      </c>
      <c r="L19" s="51" t="str">
        <f>IF(AND('Riesgos de Gestión'!$AF$26="Alta",'Riesgos de Gestión'!$AH$26="Leve"),CONCATENATE("R4C",'Riesgos de Gestión'!$V$26),"")</f>
        <v/>
      </c>
      <c r="M19" s="51" t="str">
        <f>IF(AND('Riesgos de Gestión'!$AF$27="Alta",'Riesgos de Gestión'!$AH$27="Leve"),CONCATENATE("R4C",'Riesgos de Gestión'!$V$27),"")</f>
        <v/>
      </c>
      <c r="N19" s="51" t="str">
        <f>IF(AND('Riesgos de Gestión'!$AF$28="Alta",'Riesgos de Gestión'!$AH$28="Leve"),CONCATENATE("R4C",'Riesgos de Gestión'!$V$28),"")</f>
        <v/>
      </c>
      <c r="O19" s="52" t="str">
        <f>IF(AND('Riesgos de Gestión'!$AF$29="Alta",'Riesgos de Gestión'!$AH$29="Leve"),CONCATENATE("R4C",'Riesgos de Gestión'!$V$29),"")</f>
        <v/>
      </c>
      <c r="P19" s="50" t="str">
        <f>IF(AND('Riesgos de Gestión'!$AF$24="Alta",'Riesgos de Gestión'!$AH$24="Menor"),CONCATENATE("R4C",'Riesgos de Gestión'!$V$24),"")</f>
        <v/>
      </c>
      <c r="Q19" s="51" t="str">
        <f>IF(AND('Riesgos de Gestión'!$AF$25="Alta",'Riesgos de Gestión'!$AH$25="Menor"),CONCATENATE("R4C",'Riesgos de Gestión'!$V$25),"")</f>
        <v/>
      </c>
      <c r="R19" s="51" t="str">
        <f>IF(AND('Riesgos de Gestión'!$AF$26="Alta",'Riesgos de Gestión'!$AH$26="Menor"),CONCATENATE("R4C",'Riesgos de Gestión'!$V$26),"")</f>
        <v/>
      </c>
      <c r="S19" s="51" t="str">
        <f>IF(AND('Riesgos de Gestión'!$AF$27="Alta",'Riesgos de Gestión'!$AH$27="Menor"),CONCATENATE("R4C",'Riesgos de Gestión'!$V$27),"")</f>
        <v/>
      </c>
      <c r="T19" s="51" t="str">
        <f>IF(AND('Riesgos de Gestión'!$AF$28="Alta",'Riesgos de Gestión'!$AH$28="Menor"),CONCATENATE("R4C",'Riesgos de Gestión'!$V$28),"")</f>
        <v/>
      </c>
      <c r="U19" s="52" t="str">
        <f>IF(AND('Riesgos de Gestión'!$AF$29="Alta",'Riesgos de Gestión'!$AH$29="Menor"),CONCATENATE("R4C",'Riesgos de Gestión'!$V$29),"")</f>
        <v/>
      </c>
      <c r="V19" s="35" t="str">
        <f>IF(AND('Riesgos de Gestión'!$AF$24="Alta",'Riesgos de Gestión'!$AH$24="Moderado"),CONCATENATE("R4C",'Riesgos de Gestión'!$V$24),"")</f>
        <v/>
      </c>
      <c r="W19" s="36" t="str">
        <f>IF(AND('Riesgos de Gestión'!$AF$25="Alta",'Riesgos de Gestión'!$AH$25="Moderado"),CONCATENATE("R4C",'Riesgos de Gestión'!$V$25),"")</f>
        <v/>
      </c>
      <c r="X19" s="36" t="str">
        <f>IF(AND('Riesgos de Gestión'!$AF$26="Alta",'Riesgos de Gestión'!$AH$26="Moderado"),CONCATENATE("R4C",'Riesgos de Gestión'!$V$26),"")</f>
        <v/>
      </c>
      <c r="Y19" s="36" t="str">
        <f>IF(AND('Riesgos de Gestión'!$AF$27="Alta",'Riesgos de Gestión'!$AH$27="Moderado"),CONCATENATE("R4C",'Riesgos de Gestión'!$V$27),"")</f>
        <v/>
      </c>
      <c r="Z19" s="36" t="str">
        <f>IF(AND('Riesgos de Gestión'!$AF$28="Alta",'Riesgos de Gestión'!$AH$28="Moderado"),CONCATENATE("R4C",'Riesgos de Gestión'!$V$28),"")</f>
        <v/>
      </c>
      <c r="AA19" s="37" t="str">
        <f>IF(AND('Riesgos de Gestión'!$AF$29="Alta",'Riesgos de Gestión'!$AH$29="Moderado"),CONCATENATE("R4C",'Riesgos de Gestión'!$V$29),"")</f>
        <v/>
      </c>
      <c r="AB19" s="35" t="str">
        <f>IF(AND('Riesgos de Gestión'!$AF$24="Alta",'Riesgos de Gestión'!$AH$24="Mayor"),CONCATENATE("R4C",'Riesgos de Gestión'!$V$24),"")</f>
        <v/>
      </c>
      <c r="AC19" s="36" t="str">
        <f>IF(AND('Riesgos de Gestión'!$AF$25="Alta",'Riesgos de Gestión'!$AH$25="Mayor"),CONCATENATE("R4C",'Riesgos de Gestión'!$V$25),"")</f>
        <v/>
      </c>
      <c r="AD19" s="36" t="str">
        <f>IF(AND('Riesgos de Gestión'!$AF$26="Alta",'Riesgos de Gestión'!$AH$26="Mayor"),CONCATENATE("R4C",'Riesgos de Gestión'!$V$26),"")</f>
        <v/>
      </c>
      <c r="AE19" s="36" t="str">
        <f>IF(AND('Riesgos de Gestión'!$AF$27="Alta",'Riesgos de Gestión'!$AH$27="Mayor"),CONCATENATE("R4C",'Riesgos de Gestión'!$V$27),"")</f>
        <v/>
      </c>
      <c r="AF19" s="36" t="str">
        <f>IF(AND('Riesgos de Gestión'!$AF$28="Alta",'Riesgos de Gestión'!$AH$28="Mayor"),CONCATENATE("R4C",'Riesgos de Gestión'!$V$28),"")</f>
        <v/>
      </c>
      <c r="AG19" s="37" t="str">
        <f>IF(AND('Riesgos de Gestión'!$AF$29="Alta",'Riesgos de Gestión'!$AH$29="Mayor"),CONCATENATE("R4C",'Riesgos de Gestión'!$V$29),"")</f>
        <v/>
      </c>
      <c r="AH19" s="38" t="str">
        <f>IF(AND('Riesgos de Gestión'!$AF$24="Alta",'Riesgos de Gestión'!$AH$24="Catastrófico"),CONCATENATE("R4C",'Riesgos de Gestión'!$V$24),"")</f>
        <v/>
      </c>
      <c r="AI19" s="39" t="str">
        <f>IF(AND('Riesgos de Gestión'!$AF$25="Alta",'Riesgos de Gestión'!$AH$25="Catastrófico"),CONCATENATE("R4C",'Riesgos de Gestión'!$V$25),"")</f>
        <v/>
      </c>
      <c r="AJ19" s="39" t="str">
        <f>IF(AND('Riesgos de Gestión'!$AF$26="Alta",'Riesgos de Gestión'!$AH$26="Catastrófico"),CONCATENATE("R4C",'Riesgos de Gestión'!$V$26),"")</f>
        <v/>
      </c>
      <c r="AK19" s="39" t="str">
        <f>IF(AND('Riesgos de Gestión'!$AF$27="Alta",'Riesgos de Gestión'!$AH$27="Catastrófico"),CONCATENATE("R4C",'Riesgos de Gestión'!$V$27),"")</f>
        <v/>
      </c>
      <c r="AL19" s="39" t="str">
        <f>IF(AND('Riesgos de Gestión'!$AF$28="Alta",'Riesgos de Gestión'!$AH$28="Catastrófico"),CONCATENATE("R4C",'Riesgos de Gestión'!$V$28),"")</f>
        <v/>
      </c>
      <c r="AM19" s="40" t="str">
        <f>IF(AND('Riesgos de Gestión'!$AF$29="Alta",'Riesgos de Gestión'!$AH$29="Catastrófico"),CONCATENATE("R4C",'Riesgos de Gestión'!$V$29),"")</f>
        <v/>
      </c>
      <c r="AN19" s="66"/>
      <c r="AO19" s="565"/>
      <c r="AP19" s="566"/>
      <c r="AQ19" s="566"/>
      <c r="AR19" s="566"/>
      <c r="AS19" s="566"/>
      <c r="AT19" s="567"/>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25">
      <c r="A20" s="66"/>
      <c r="B20" s="514"/>
      <c r="C20" s="514"/>
      <c r="D20" s="515"/>
      <c r="E20" s="555"/>
      <c r="F20" s="556"/>
      <c r="G20" s="556"/>
      <c r="H20" s="556"/>
      <c r="I20" s="556"/>
      <c r="J20" s="50" t="str">
        <f>IF(AND('Riesgos de Gestión'!$AF$30="Alta",'Riesgos de Gestión'!$AH$30="Leve"),CONCATENATE("R5C",'Riesgos de Gestión'!$V$30),"")</f>
        <v/>
      </c>
      <c r="K20" s="51" t="str">
        <f>IF(AND('Riesgos de Gestión'!$AF$31="Alta",'Riesgos de Gestión'!$AH$31="Leve"),CONCATENATE("R5C",'Riesgos de Gestión'!$V$31),"")</f>
        <v/>
      </c>
      <c r="L20" s="51" t="str">
        <f>IF(AND('Riesgos de Gestión'!$AF$32="Alta",'Riesgos de Gestión'!$AH$32="Leve"),CONCATENATE("R5C",'Riesgos de Gestión'!$V$32),"")</f>
        <v/>
      </c>
      <c r="M20" s="51" t="str">
        <f>IF(AND('Riesgos de Gestión'!$AF$33="Alta",'Riesgos de Gestión'!$AH$33="Leve"),CONCATENATE("R5C",'Riesgos de Gestión'!$V$33),"")</f>
        <v/>
      </c>
      <c r="N20" s="51" t="str">
        <f>IF(AND('Riesgos de Gestión'!$AF$34="Alta",'Riesgos de Gestión'!$AH$34="Leve"),CONCATENATE("R5C",'Riesgos de Gestión'!$V$34),"")</f>
        <v/>
      </c>
      <c r="O20" s="52" t="str">
        <f>IF(AND('Riesgos de Gestión'!$AF$35="Alta",'Riesgos de Gestión'!$AH$35="Leve"),CONCATENATE("R5C",'Riesgos de Gestión'!$V$35),"")</f>
        <v/>
      </c>
      <c r="P20" s="50" t="str">
        <f>IF(AND('Riesgos de Gestión'!$AF$30="Alta",'Riesgos de Gestión'!$AH$30="Menor"),CONCATENATE("R5C",'Riesgos de Gestión'!$V$30),"")</f>
        <v/>
      </c>
      <c r="Q20" s="51" t="str">
        <f>IF(AND('Riesgos de Gestión'!$AF$31="Alta",'Riesgos de Gestión'!$AH$31="Menor"),CONCATENATE("R5C",'Riesgos de Gestión'!$V$31),"")</f>
        <v/>
      </c>
      <c r="R20" s="51" t="str">
        <f>IF(AND('Riesgos de Gestión'!$AF$32="Alta",'Riesgos de Gestión'!$AH$32="Menor"),CONCATENATE("R5C",'Riesgos de Gestión'!$V$32),"")</f>
        <v/>
      </c>
      <c r="S20" s="51" t="str">
        <f>IF(AND('Riesgos de Gestión'!$AF$33="Alta",'Riesgos de Gestión'!$AH$33="Menor"),CONCATENATE("R5C",'Riesgos de Gestión'!$V$33),"")</f>
        <v/>
      </c>
      <c r="T20" s="51" t="str">
        <f>IF(AND('Riesgos de Gestión'!$AF$34="Alta",'Riesgos de Gestión'!$AH$34="Menor"),CONCATENATE("R5C",'Riesgos de Gestión'!$V$34),"")</f>
        <v/>
      </c>
      <c r="U20" s="52" t="str">
        <f>IF(AND('Riesgos de Gestión'!$AF$35="Alta",'Riesgos de Gestión'!$AH$35="Menor"),CONCATENATE("R5C",'Riesgos de Gestión'!$V$35),"")</f>
        <v/>
      </c>
      <c r="V20" s="35" t="str">
        <f>IF(AND('Riesgos de Gestión'!$AF$30="Alta",'Riesgos de Gestión'!$AH$30="Moderado"),CONCATENATE("R5C",'Riesgos de Gestión'!$V$30),"")</f>
        <v/>
      </c>
      <c r="W20" s="36" t="str">
        <f>IF(AND('Riesgos de Gestión'!$AF$31="Alta",'Riesgos de Gestión'!$AH$31="Moderado"),CONCATENATE("R5C",'Riesgos de Gestión'!$V$31),"")</f>
        <v/>
      </c>
      <c r="X20" s="36" t="str">
        <f>IF(AND('Riesgos de Gestión'!$AF$32="Alta",'Riesgos de Gestión'!$AH$32="Moderado"),CONCATENATE("R5C",'Riesgos de Gestión'!$V$32),"")</f>
        <v/>
      </c>
      <c r="Y20" s="36" t="str">
        <f>IF(AND('Riesgos de Gestión'!$AF$33="Alta",'Riesgos de Gestión'!$AH$33="Moderado"),CONCATENATE("R5C",'Riesgos de Gestión'!$V$33),"")</f>
        <v/>
      </c>
      <c r="Z20" s="36" t="str">
        <f>IF(AND('Riesgos de Gestión'!$AF$34="Alta",'Riesgos de Gestión'!$AH$34="Moderado"),CONCATENATE("R5C",'Riesgos de Gestión'!$V$34),"")</f>
        <v/>
      </c>
      <c r="AA20" s="37" t="str">
        <f>IF(AND('Riesgos de Gestión'!$AF$35="Alta",'Riesgos de Gestión'!$AH$35="Moderado"),CONCATENATE("R5C",'Riesgos de Gestión'!$V$35),"")</f>
        <v/>
      </c>
      <c r="AB20" s="35" t="str">
        <f>IF(AND('Riesgos de Gestión'!$AF$30="Alta",'Riesgos de Gestión'!$AH$30="Mayor"),CONCATENATE("R5C",'Riesgos de Gestión'!$V$30),"")</f>
        <v/>
      </c>
      <c r="AC20" s="36" t="str">
        <f>IF(AND('Riesgos de Gestión'!$AF$31="Alta",'Riesgos de Gestión'!$AH$31="Mayor"),CONCATENATE("R5C",'Riesgos de Gestión'!$V$31),"")</f>
        <v/>
      </c>
      <c r="AD20" s="36" t="str">
        <f>IF(AND('Riesgos de Gestión'!$AF$32="Alta",'Riesgos de Gestión'!$AH$32="Mayor"),CONCATENATE("R5C",'Riesgos de Gestión'!$V$32),"")</f>
        <v/>
      </c>
      <c r="AE20" s="36" t="str">
        <f>IF(AND('Riesgos de Gestión'!$AF$33="Alta",'Riesgos de Gestión'!$AH$33="Mayor"),CONCATENATE("R5C",'Riesgos de Gestión'!$V$33),"")</f>
        <v/>
      </c>
      <c r="AF20" s="36" t="str">
        <f>IF(AND('Riesgos de Gestión'!$AF$34="Alta",'Riesgos de Gestión'!$AH$34="Mayor"),CONCATENATE("R5C",'Riesgos de Gestión'!$V$34),"")</f>
        <v/>
      </c>
      <c r="AG20" s="37" t="str">
        <f>IF(AND('Riesgos de Gestión'!$AF$35="Alta",'Riesgos de Gestión'!$AH$35="Mayor"),CONCATENATE("R5C",'Riesgos de Gestión'!$V$35),"")</f>
        <v/>
      </c>
      <c r="AH20" s="38" t="str">
        <f>IF(AND('Riesgos de Gestión'!$AF$30="Alta",'Riesgos de Gestión'!$AH$30="Catastrófico"),CONCATENATE("R5C",'Riesgos de Gestión'!$V$30),"")</f>
        <v/>
      </c>
      <c r="AI20" s="39" t="str">
        <f>IF(AND('Riesgos de Gestión'!$AF$31="Alta",'Riesgos de Gestión'!$AH$31="Catastrófico"),CONCATENATE("R5C",'Riesgos de Gestión'!$V$31),"")</f>
        <v/>
      </c>
      <c r="AJ20" s="39" t="str">
        <f>IF(AND('Riesgos de Gestión'!$AF$32="Alta",'Riesgos de Gestión'!$AH$32="Catastrófico"),CONCATENATE("R5C",'Riesgos de Gestión'!$V$32),"")</f>
        <v/>
      </c>
      <c r="AK20" s="39" t="str">
        <f>IF(AND('Riesgos de Gestión'!$AF$33="Alta",'Riesgos de Gestión'!$AH$33="Catastrófico"),CONCATENATE("R5C",'Riesgos de Gestión'!$V$33),"")</f>
        <v/>
      </c>
      <c r="AL20" s="39" t="str">
        <f>IF(AND('Riesgos de Gestión'!$AF$34="Alta",'Riesgos de Gestión'!$AH$34="Catastrófico"),CONCATENATE("R5C",'Riesgos de Gestión'!$V$34),"")</f>
        <v/>
      </c>
      <c r="AM20" s="40" t="str">
        <f>IF(AND('Riesgos de Gestión'!$AF$35="Alta",'Riesgos de Gestión'!$AH$35="Catastrófico"),CONCATENATE("R5C",'Riesgos de Gestión'!$V$35),"")</f>
        <v/>
      </c>
      <c r="AN20" s="66"/>
      <c r="AO20" s="565"/>
      <c r="AP20" s="566"/>
      <c r="AQ20" s="566"/>
      <c r="AR20" s="566"/>
      <c r="AS20" s="566"/>
      <c r="AT20" s="567"/>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25">
      <c r="A21" s="66"/>
      <c r="B21" s="514"/>
      <c r="C21" s="514"/>
      <c r="D21" s="515"/>
      <c r="E21" s="555"/>
      <c r="F21" s="556"/>
      <c r="G21" s="556"/>
      <c r="H21" s="556"/>
      <c r="I21" s="556"/>
      <c r="J21" s="50" t="str">
        <f>IF(AND('Riesgos de Gestión'!$AF$36="Alta",'Riesgos de Gestión'!$AH$36="Leve"),CONCATENATE("R6C",'Riesgos de Gestión'!$V$36),"")</f>
        <v/>
      </c>
      <c r="K21" s="51" t="str">
        <f>IF(AND('Riesgos de Gestión'!$AF$37="Alta",'Riesgos de Gestión'!$AH$37="Leve"),CONCATENATE("R6C",'Riesgos de Gestión'!$V$37),"")</f>
        <v/>
      </c>
      <c r="L21" s="51" t="str">
        <f>IF(AND('Riesgos de Gestión'!$AF$38="Alta",'Riesgos de Gestión'!$AH$38="Leve"),CONCATENATE("R6C",'Riesgos de Gestión'!$V$38),"")</f>
        <v/>
      </c>
      <c r="M21" s="51" t="str">
        <f>IF(AND('Riesgos de Gestión'!$AF$39="Alta",'Riesgos de Gestión'!$AH$39="Leve"),CONCATENATE("R6C",'Riesgos de Gestión'!$V$39),"")</f>
        <v/>
      </c>
      <c r="N21" s="51" t="str">
        <f>IF(AND('Riesgos de Gestión'!$AF$40="Alta",'Riesgos de Gestión'!$AH$40="Leve"),CONCATENATE("R6C",'Riesgos de Gestión'!$V$40),"")</f>
        <v/>
      </c>
      <c r="O21" s="52" t="str">
        <f>IF(AND('Riesgos de Gestión'!$AF$41="Alta",'Riesgos de Gestión'!$AH$41="Leve"),CONCATENATE("R6C",'Riesgos de Gestión'!$V$41),"")</f>
        <v/>
      </c>
      <c r="P21" s="50" t="str">
        <f>IF(AND('Riesgos de Gestión'!$AF$36="Alta",'Riesgos de Gestión'!$AH$36="Menor"),CONCATENATE("R6C",'Riesgos de Gestión'!$V$36),"")</f>
        <v/>
      </c>
      <c r="Q21" s="51" t="str">
        <f>IF(AND('Riesgos de Gestión'!$AF$37="Alta",'Riesgos de Gestión'!$AH$37="Menor"),CONCATENATE("R6C",'Riesgos de Gestión'!$V$37),"")</f>
        <v/>
      </c>
      <c r="R21" s="51" t="str">
        <f>IF(AND('Riesgos de Gestión'!$AF$38="Alta",'Riesgos de Gestión'!$AH$38="Menor"),CONCATENATE("R6C",'Riesgos de Gestión'!$V$38),"")</f>
        <v/>
      </c>
      <c r="S21" s="51" t="str">
        <f>IF(AND('Riesgos de Gestión'!$AF$39="Alta",'Riesgos de Gestión'!$AH$39="Menor"),CONCATENATE("R6C",'Riesgos de Gestión'!$V$39),"")</f>
        <v/>
      </c>
      <c r="T21" s="51" t="str">
        <f>IF(AND('Riesgos de Gestión'!$AF$40="Alta",'Riesgos de Gestión'!$AH$40="Menor"),CONCATENATE("R6C",'Riesgos de Gestión'!$V$40),"")</f>
        <v/>
      </c>
      <c r="U21" s="52" t="str">
        <f>IF(AND('Riesgos de Gestión'!$AF$41="Alta",'Riesgos de Gestión'!$AH$41="Menor"),CONCATENATE("R6C",'Riesgos de Gestión'!$V$41),"")</f>
        <v/>
      </c>
      <c r="V21" s="35" t="str">
        <f>IF(AND('Riesgos de Gestión'!$AF$36="Alta",'Riesgos de Gestión'!$AH$36="Moderado"),CONCATENATE("R6C",'Riesgos de Gestión'!$V$36),"")</f>
        <v/>
      </c>
      <c r="W21" s="36" t="str">
        <f>IF(AND('Riesgos de Gestión'!$AF$37="Alta",'Riesgos de Gestión'!$AH$37="Moderado"),CONCATENATE("R6C",'Riesgos de Gestión'!$V$37),"")</f>
        <v/>
      </c>
      <c r="X21" s="36" t="str">
        <f>IF(AND('Riesgos de Gestión'!$AF$38="Alta",'Riesgos de Gestión'!$AH$38="Moderado"),CONCATENATE("R6C",'Riesgos de Gestión'!$V$38),"")</f>
        <v/>
      </c>
      <c r="Y21" s="36" t="str">
        <f>IF(AND('Riesgos de Gestión'!$AF$39="Alta",'Riesgos de Gestión'!$AH$39="Moderado"),CONCATENATE("R6C",'Riesgos de Gestión'!$V$39),"")</f>
        <v/>
      </c>
      <c r="Z21" s="36" t="str">
        <f>IF(AND('Riesgos de Gestión'!$AF$40="Alta",'Riesgos de Gestión'!$AH$40="Moderado"),CONCATENATE("R6C",'Riesgos de Gestión'!$V$40),"")</f>
        <v/>
      </c>
      <c r="AA21" s="37" t="str">
        <f>IF(AND('Riesgos de Gestión'!$AF$41="Alta",'Riesgos de Gestión'!$AH$41="Moderado"),CONCATENATE("R6C",'Riesgos de Gestión'!$V$41),"")</f>
        <v/>
      </c>
      <c r="AB21" s="35" t="str">
        <f>IF(AND('Riesgos de Gestión'!$AF$36="Alta",'Riesgos de Gestión'!$AH$36="Mayor"),CONCATENATE("R6C",'Riesgos de Gestión'!$V$36),"")</f>
        <v/>
      </c>
      <c r="AC21" s="36" t="str">
        <f>IF(AND('Riesgos de Gestión'!$AF$37="Alta",'Riesgos de Gestión'!$AH$37="Mayor"),CONCATENATE("R6C",'Riesgos de Gestión'!$V$37),"")</f>
        <v/>
      </c>
      <c r="AD21" s="36" t="str">
        <f>IF(AND('Riesgos de Gestión'!$AF$38="Alta",'Riesgos de Gestión'!$AH$38="Mayor"),CONCATENATE("R6C",'Riesgos de Gestión'!$V$38),"")</f>
        <v/>
      </c>
      <c r="AE21" s="36" t="str">
        <f>IF(AND('Riesgos de Gestión'!$AF$39="Alta",'Riesgos de Gestión'!$AH$39="Mayor"),CONCATENATE("R6C",'Riesgos de Gestión'!$V$39),"")</f>
        <v/>
      </c>
      <c r="AF21" s="36" t="str">
        <f>IF(AND('Riesgos de Gestión'!$AF$40="Alta",'Riesgos de Gestión'!$AH$40="Mayor"),CONCATENATE("R6C",'Riesgos de Gestión'!$V$40),"")</f>
        <v/>
      </c>
      <c r="AG21" s="37" t="str">
        <f>IF(AND('Riesgos de Gestión'!$AF$41="Alta",'Riesgos de Gestión'!$AH$41="Mayor"),CONCATENATE("R6C",'Riesgos de Gestión'!$V$41),"")</f>
        <v/>
      </c>
      <c r="AH21" s="38" t="str">
        <f>IF(AND('Riesgos de Gestión'!$AF$36="Alta",'Riesgos de Gestión'!$AH$36="Catastrófico"),CONCATENATE("R6C",'Riesgos de Gestión'!$V$36),"")</f>
        <v/>
      </c>
      <c r="AI21" s="39" t="str">
        <f>IF(AND('Riesgos de Gestión'!$AF$37="Alta",'Riesgos de Gestión'!$AH$37="Catastrófico"),CONCATENATE("R6C",'Riesgos de Gestión'!$V$37),"")</f>
        <v/>
      </c>
      <c r="AJ21" s="39" t="str">
        <f>IF(AND('Riesgos de Gestión'!$AF$38="Alta",'Riesgos de Gestión'!$AH$38="Catastrófico"),CONCATENATE("R6C",'Riesgos de Gestión'!$V$38),"")</f>
        <v/>
      </c>
      <c r="AK21" s="39" t="str">
        <f>IF(AND('Riesgos de Gestión'!$AF$39="Alta",'Riesgos de Gestión'!$AH$39="Catastrófico"),CONCATENATE("R6C",'Riesgos de Gestión'!$V$39),"")</f>
        <v/>
      </c>
      <c r="AL21" s="39" t="str">
        <f>IF(AND('Riesgos de Gestión'!$AF$40="Alta",'Riesgos de Gestión'!$AH$40="Catastrófico"),CONCATENATE("R6C",'Riesgos de Gestión'!$V$40),"")</f>
        <v/>
      </c>
      <c r="AM21" s="40" t="str">
        <f>IF(AND('Riesgos de Gestión'!$AF$41="Alta",'Riesgos de Gestión'!$AH$41="Catastrófico"),CONCATENATE("R6C",'Riesgos de Gestión'!$V$41),"")</f>
        <v/>
      </c>
      <c r="AN21" s="66"/>
      <c r="AO21" s="565"/>
      <c r="AP21" s="566"/>
      <c r="AQ21" s="566"/>
      <c r="AR21" s="566"/>
      <c r="AS21" s="566"/>
      <c r="AT21" s="567"/>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25">
      <c r="A22" s="66"/>
      <c r="B22" s="514"/>
      <c r="C22" s="514"/>
      <c r="D22" s="515"/>
      <c r="E22" s="555"/>
      <c r="F22" s="556"/>
      <c r="G22" s="556"/>
      <c r="H22" s="556"/>
      <c r="I22" s="556"/>
      <c r="J22" s="50" t="str">
        <f>IF(AND('Riesgos de Gestión'!$AF$42="Alta",'Riesgos de Gestión'!$AH$42="Leve"),CONCATENATE("R7C",'Riesgos de Gestión'!$V$42),"")</f>
        <v/>
      </c>
      <c r="K22" s="51" t="str">
        <f>IF(AND('Riesgos de Gestión'!$AF$43="Alta",'Riesgos de Gestión'!$AH$43="Leve"),CONCATENATE("R7C",'Riesgos de Gestión'!$V$43),"")</f>
        <v/>
      </c>
      <c r="L22" s="51" t="str">
        <f>IF(AND('Riesgos de Gestión'!$AF$44="Alta",'Riesgos de Gestión'!$AH$44="Leve"),CONCATENATE("R7C",'Riesgos de Gestión'!$V$44),"")</f>
        <v/>
      </c>
      <c r="M22" s="51" t="str">
        <f>IF(AND('Riesgos de Gestión'!$AF$45="Alta",'Riesgos de Gestión'!$AH$45="Leve"),CONCATENATE("R7C",'Riesgos de Gestión'!$V$45),"")</f>
        <v/>
      </c>
      <c r="N22" s="51" t="str">
        <f>IF(AND('Riesgos de Gestión'!$AF$46="Alta",'Riesgos de Gestión'!$AH$46="Leve"),CONCATENATE("R7C",'Riesgos de Gestión'!$V$46),"")</f>
        <v/>
      </c>
      <c r="O22" s="52" t="str">
        <f>IF(AND('Riesgos de Gestión'!$AF$47="Alta",'Riesgos de Gestión'!$AH$47="Leve"),CONCATENATE("R7C",'Riesgos de Gestión'!$V$47),"")</f>
        <v/>
      </c>
      <c r="P22" s="50" t="str">
        <f>IF(AND('Riesgos de Gestión'!$AF$42="Alta",'Riesgos de Gestión'!$AH$42="Menor"),CONCATENATE("R7C",'Riesgos de Gestión'!$V$42),"")</f>
        <v/>
      </c>
      <c r="Q22" s="51" t="str">
        <f>IF(AND('Riesgos de Gestión'!$AF$43="Alta",'Riesgos de Gestión'!$AH$43="Menor"),CONCATENATE("R7C",'Riesgos de Gestión'!$V$43),"")</f>
        <v/>
      </c>
      <c r="R22" s="51" t="str">
        <f>IF(AND('Riesgos de Gestión'!$AF$44="Alta",'Riesgos de Gestión'!$AH$44="Menor"),CONCATENATE("R7C",'Riesgos de Gestión'!$V$44),"")</f>
        <v/>
      </c>
      <c r="S22" s="51" t="str">
        <f>IF(AND('Riesgos de Gestión'!$AF$45="Alta",'Riesgos de Gestión'!$AH$45="Menor"),CONCATENATE("R7C",'Riesgos de Gestión'!$V$45),"")</f>
        <v/>
      </c>
      <c r="T22" s="51" t="str">
        <f>IF(AND('Riesgos de Gestión'!$AF$46="Alta",'Riesgos de Gestión'!$AH$46="Menor"),CONCATENATE("R7C",'Riesgos de Gestión'!$V$46),"")</f>
        <v/>
      </c>
      <c r="U22" s="52" t="str">
        <f>IF(AND('Riesgos de Gestión'!$AF$47="Alta",'Riesgos de Gestión'!$AH$47="Menor"),CONCATENATE("R7C",'Riesgos de Gestión'!$V$47),"")</f>
        <v/>
      </c>
      <c r="V22" s="35" t="str">
        <f>IF(AND('Riesgos de Gestión'!$AF$42="Alta",'Riesgos de Gestión'!$AH$42="Moderado"),CONCATENATE("R7C",'Riesgos de Gestión'!$V$42),"")</f>
        <v/>
      </c>
      <c r="W22" s="36" t="str">
        <f>IF(AND('Riesgos de Gestión'!$AF$43="Alta",'Riesgos de Gestión'!$AH$43="Moderado"),CONCATENATE("R7C",'Riesgos de Gestión'!$V$43),"")</f>
        <v/>
      </c>
      <c r="X22" s="36" t="str">
        <f>IF(AND('Riesgos de Gestión'!$AF$44="Alta",'Riesgos de Gestión'!$AH$44="Moderado"),CONCATENATE("R7C",'Riesgos de Gestión'!$V$44),"")</f>
        <v/>
      </c>
      <c r="Y22" s="36" t="str">
        <f>IF(AND('Riesgos de Gestión'!$AF$45="Alta",'Riesgos de Gestión'!$AH$45="Moderado"),CONCATENATE("R7C",'Riesgos de Gestión'!$V$45),"")</f>
        <v/>
      </c>
      <c r="Z22" s="36" t="str">
        <f>IF(AND('Riesgos de Gestión'!$AF$46="Alta",'Riesgos de Gestión'!$AH$46="Moderado"),CONCATENATE("R7C",'Riesgos de Gestión'!$V$46),"")</f>
        <v/>
      </c>
      <c r="AA22" s="37" t="str">
        <f>IF(AND('Riesgos de Gestión'!$AF$47="Alta",'Riesgos de Gestión'!$AH$47="Moderado"),CONCATENATE("R7C",'Riesgos de Gestión'!$V$47),"")</f>
        <v/>
      </c>
      <c r="AB22" s="35" t="str">
        <f>IF(AND('Riesgos de Gestión'!$AF$42="Alta",'Riesgos de Gestión'!$AH$42="Mayor"),CONCATENATE("R7C",'Riesgos de Gestión'!$V$42),"")</f>
        <v/>
      </c>
      <c r="AC22" s="36" t="str">
        <f>IF(AND('Riesgos de Gestión'!$AF$43="Alta",'Riesgos de Gestión'!$AH$43="Mayor"),CONCATENATE("R7C",'Riesgos de Gestión'!$V$43),"")</f>
        <v/>
      </c>
      <c r="AD22" s="36" t="str">
        <f>IF(AND('Riesgos de Gestión'!$AF$44="Alta",'Riesgos de Gestión'!$AH$44="Mayor"),CONCATENATE("R7C",'Riesgos de Gestión'!$V$44),"")</f>
        <v/>
      </c>
      <c r="AE22" s="36" t="str">
        <f>IF(AND('Riesgos de Gestión'!$AF$45="Alta",'Riesgos de Gestión'!$AH$45="Mayor"),CONCATENATE("R7C",'Riesgos de Gestión'!$V$45),"")</f>
        <v/>
      </c>
      <c r="AF22" s="36" t="str">
        <f>IF(AND('Riesgos de Gestión'!$AF$46="Alta",'Riesgos de Gestión'!$AH$46="Mayor"),CONCATENATE("R7C",'Riesgos de Gestión'!$V$46),"")</f>
        <v/>
      </c>
      <c r="AG22" s="37" t="str">
        <f>IF(AND('Riesgos de Gestión'!$AF$47="Alta",'Riesgos de Gestión'!$AH$47="Mayor"),CONCATENATE("R7C",'Riesgos de Gestión'!$V$47),"")</f>
        <v/>
      </c>
      <c r="AH22" s="38" t="str">
        <f>IF(AND('Riesgos de Gestión'!$AF$42="Alta",'Riesgos de Gestión'!$AH$42="Catastrófico"),CONCATENATE("R7C",'Riesgos de Gestión'!$V$42),"")</f>
        <v/>
      </c>
      <c r="AI22" s="39" t="str">
        <f>IF(AND('Riesgos de Gestión'!$AF$43="Alta",'Riesgos de Gestión'!$AH$43="Catastrófico"),CONCATENATE("R7C",'Riesgos de Gestión'!$V$43),"")</f>
        <v/>
      </c>
      <c r="AJ22" s="39" t="str">
        <f>IF(AND('Riesgos de Gestión'!$AF$44="Alta",'Riesgos de Gestión'!$AH$44="Catastrófico"),CONCATENATE("R7C",'Riesgos de Gestión'!$V$44),"")</f>
        <v/>
      </c>
      <c r="AK22" s="39" t="str">
        <f>IF(AND('Riesgos de Gestión'!$AF$45="Alta",'Riesgos de Gestión'!$AH$45="Catastrófico"),CONCATENATE("R7C",'Riesgos de Gestión'!$V$45),"")</f>
        <v/>
      </c>
      <c r="AL22" s="39" t="str">
        <f>IF(AND('Riesgos de Gestión'!$AF$46="Alta",'Riesgos de Gestión'!$AH$46="Catastrófico"),CONCATENATE("R7C",'Riesgos de Gestión'!$V$46),"")</f>
        <v/>
      </c>
      <c r="AM22" s="40" t="str">
        <f>IF(AND('Riesgos de Gestión'!$AF$47="Alta",'Riesgos de Gestión'!$AH$47="Catastrófico"),CONCATENATE("R7C",'Riesgos de Gestión'!$V$47),"")</f>
        <v/>
      </c>
      <c r="AN22" s="66"/>
      <c r="AO22" s="565"/>
      <c r="AP22" s="566"/>
      <c r="AQ22" s="566"/>
      <c r="AR22" s="566"/>
      <c r="AS22" s="566"/>
      <c r="AT22" s="567"/>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25">
      <c r="A23" s="66"/>
      <c r="B23" s="514"/>
      <c r="C23" s="514"/>
      <c r="D23" s="515"/>
      <c r="E23" s="555"/>
      <c r="F23" s="556"/>
      <c r="G23" s="556"/>
      <c r="H23" s="556"/>
      <c r="I23" s="556"/>
      <c r="J23" s="50" t="str">
        <f>IF(AND('Riesgos de Gestión'!$AF$48="Alta",'Riesgos de Gestión'!$AH$48="Leve"),CONCATENATE("R8C",'Riesgos de Gestión'!$V$48),"")</f>
        <v/>
      </c>
      <c r="K23" s="51" t="str">
        <f>IF(AND('Riesgos de Gestión'!$AF$49="Alta",'Riesgos de Gestión'!$AH$49="Leve"),CONCATENATE("R8C",'Riesgos de Gestión'!$V$49),"")</f>
        <v/>
      </c>
      <c r="L23" s="51" t="str">
        <f>IF(AND('Riesgos de Gestión'!$AF$50="Alta",'Riesgos de Gestión'!$AH$50="Leve"),CONCATENATE("R8C",'Riesgos de Gestión'!$V$50),"")</f>
        <v/>
      </c>
      <c r="M23" s="51" t="str">
        <f>IF(AND('Riesgos de Gestión'!$AF$51="Alta",'Riesgos de Gestión'!$AH$51="Leve"),CONCATENATE("R8C",'Riesgos de Gestión'!$V$51),"")</f>
        <v/>
      </c>
      <c r="N23" s="51" t="str">
        <f>IF(AND('Riesgos de Gestión'!$AF$52="Alta",'Riesgos de Gestión'!$AH$52="Leve"),CONCATENATE("R8C",'Riesgos de Gestión'!$V$52),"")</f>
        <v/>
      </c>
      <c r="O23" s="52" t="str">
        <f>IF(AND('Riesgos de Gestión'!$AF$53="Alta",'Riesgos de Gestión'!$AH$53="Leve"),CONCATENATE("R8C",'Riesgos de Gestión'!$V$53),"")</f>
        <v/>
      </c>
      <c r="P23" s="50" t="str">
        <f>IF(AND('Riesgos de Gestión'!$AF$48="Alta",'Riesgos de Gestión'!$AH$48="Menor"),CONCATENATE("R8C",'Riesgos de Gestión'!$V$48),"")</f>
        <v/>
      </c>
      <c r="Q23" s="51" t="str">
        <f>IF(AND('Riesgos de Gestión'!$AF$49="Alta",'Riesgos de Gestión'!$AH$49="Menor"),CONCATENATE("R8C",'Riesgos de Gestión'!$V$49),"")</f>
        <v/>
      </c>
      <c r="R23" s="51" t="str">
        <f>IF(AND('Riesgos de Gestión'!$AF$50="Alta",'Riesgos de Gestión'!$AH$50="Menor"),CONCATENATE("R8C",'Riesgos de Gestión'!$V$50),"")</f>
        <v/>
      </c>
      <c r="S23" s="51" t="str">
        <f>IF(AND('Riesgos de Gestión'!$AF$51="Alta",'Riesgos de Gestión'!$AH$51="Menor"),CONCATENATE("R8C",'Riesgos de Gestión'!$V$51),"")</f>
        <v/>
      </c>
      <c r="T23" s="51" t="str">
        <f>IF(AND('Riesgos de Gestión'!$AF$52="Alta",'Riesgos de Gestión'!$AH$52="Menor"),CONCATENATE("R8C",'Riesgos de Gestión'!$V$52),"")</f>
        <v/>
      </c>
      <c r="U23" s="52" t="str">
        <f>IF(AND('Riesgos de Gestión'!$AF$53="Alta",'Riesgos de Gestión'!$AH$53="Menor"),CONCATENATE("R8C",'Riesgos de Gestión'!$V$53),"")</f>
        <v/>
      </c>
      <c r="V23" s="35" t="str">
        <f>IF(AND('Riesgos de Gestión'!$AF$48="Alta",'Riesgos de Gestión'!$AH$48="Moderado"),CONCATENATE("R8C",'Riesgos de Gestión'!$V$48),"")</f>
        <v/>
      </c>
      <c r="W23" s="36" t="str">
        <f>IF(AND('Riesgos de Gestión'!$AF$49="Alta",'Riesgos de Gestión'!$AH$49="Moderado"),CONCATENATE("R8C",'Riesgos de Gestión'!$V$49),"")</f>
        <v/>
      </c>
      <c r="X23" s="36" t="str">
        <f>IF(AND('Riesgos de Gestión'!$AF$50="Alta",'Riesgos de Gestión'!$AH$50="Moderado"),CONCATENATE("R8C",'Riesgos de Gestión'!$V$50),"")</f>
        <v/>
      </c>
      <c r="Y23" s="36" t="str">
        <f>IF(AND('Riesgos de Gestión'!$AF$51="Alta",'Riesgos de Gestión'!$AH$51="Moderado"),CONCATENATE("R8C",'Riesgos de Gestión'!$V$51),"")</f>
        <v/>
      </c>
      <c r="Z23" s="36" t="str">
        <f>IF(AND('Riesgos de Gestión'!$AF$52="Alta",'Riesgos de Gestión'!$AH$52="Moderado"),CONCATENATE("R8C",'Riesgos de Gestión'!$V$52),"")</f>
        <v/>
      </c>
      <c r="AA23" s="37" t="str">
        <f>IF(AND('Riesgos de Gestión'!$AF$53="Alta",'Riesgos de Gestión'!$AH$53="Moderado"),CONCATENATE("R8C",'Riesgos de Gestión'!$V$53),"")</f>
        <v/>
      </c>
      <c r="AB23" s="35" t="str">
        <f>IF(AND('Riesgos de Gestión'!$AF$48="Alta",'Riesgos de Gestión'!$AH$48="Mayor"),CONCATENATE("R8C",'Riesgos de Gestión'!$V$48),"")</f>
        <v/>
      </c>
      <c r="AC23" s="36" t="str">
        <f>IF(AND('Riesgos de Gestión'!$AF$49="Alta",'Riesgos de Gestión'!$AH$49="Mayor"),CONCATENATE("R8C",'Riesgos de Gestión'!$V$49),"")</f>
        <v/>
      </c>
      <c r="AD23" s="36" t="str">
        <f>IF(AND('Riesgos de Gestión'!$AF$50="Alta",'Riesgos de Gestión'!$AH$50="Mayor"),CONCATENATE("R8C",'Riesgos de Gestión'!$V$50),"")</f>
        <v/>
      </c>
      <c r="AE23" s="36" t="str">
        <f>IF(AND('Riesgos de Gestión'!$AF$51="Alta",'Riesgos de Gestión'!$AH$51="Mayor"),CONCATENATE("R8C",'Riesgos de Gestión'!$V$51),"")</f>
        <v/>
      </c>
      <c r="AF23" s="36" t="str">
        <f>IF(AND('Riesgos de Gestión'!$AF$52="Alta",'Riesgos de Gestión'!$AH$52="Mayor"),CONCATENATE("R8C",'Riesgos de Gestión'!$V$52),"")</f>
        <v/>
      </c>
      <c r="AG23" s="37" t="str">
        <f>IF(AND('Riesgos de Gestión'!$AF$53="Alta",'Riesgos de Gestión'!$AH$53="Mayor"),CONCATENATE("R8C",'Riesgos de Gestión'!$V$53),"")</f>
        <v/>
      </c>
      <c r="AH23" s="38" t="str">
        <f>IF(AND('Riesgos de Gestión'!$AF$48="Alta",'Riesgos de Gestión'!$AH$48="Catastrófico"),CONCATENATE("R8C",'Riesgos de Gestión'!$V$48),"")</f>
        <v/>
      </c>
      <c r="AI23" s="39" t="str">
        <f>IF(AND('Riesgos de Gestión'!$AF$49="Alta",'Riesgos de Gestión'!$AH$49="Catastrófico"),CONCATENATE("R8C",'Riesgos de Gestión'!$V$49),"")</f>
        <v/>
      </c>
      <c r="AJ23" s="39" t="str">
        <f>IF(AND('Riesgos de Gestión'!$AF$50="Alta",'Riesgos de Gestión'!$AH$50="Catastrófico"),CONCATENATE("R8C",'Riesgos de Gestión'!$V$50),"")</f>
        <v/>
      </c>
      <c r="AK23" s="39" t="str">
        <f>IF(AND('Riesgos de Gestión'!$AF$51="Alta",'Riesgos de Gestión'!$AH$51="Catastrófico"),CONCATENATE("R8C",'Riesgos de Gestión'!$V$51),"")</f>
        <v/>
      </c>
      <c r="AL23" s="39" t="str">
        <f>IF(AND('Riesgos de Gestión'!$AF$52="Alta",'Riesgos de Gestión'!$AH$52="Catastrófico"),CONCATENATE("R8C",'Riesgos de Gestión'!$V$52),"")</f>
        <v/>
      </c>
      <c r="AM23" s="40" t="str">
        <f>IF(AND('Riesgos de Gestión'!$AF$53="Alta",'Riesgos de Gestión'!$AH$53="Catastrófico"),CONCATENATE("R8C",'Riesgos de Gestión'!$V$53),"")</f>
        <v/>
      </c>
      <c r="AN23" s="66"/>
      <c r="AO23" s="565"/>
      <c r="AP23" s="566"/>
      <c r="AQ23" s="566"/>
      <c r="AR23" s="566"/>
      <c r="AS23" s="566"/>
      <c r="AT23" s="567"/>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25">
      <c r="A24" s="66"/>
      <c r="B24" s="514"/>
      <c r="C24" s="514"/>
      <c r="D24" s="515"/>
      <c r="E24" s="555"/>
      <c r="F24" s="556"/>
      <c r="G24" s="556"/>
      <c r="H24" s="556"/>
      <c r="I24" s="556"/>
      <c r="J24" s="50" t="str">
        <f>IF(AND('Riesgos de Gestión'!$AF$54="Alta",'Riesgos de Gestión'!$AH$54="Leve"),CONCATENATE("R9C",'Riesgos de Gestión'!$V$54),"")</f>
        <v/>
      </c>
      <c r="K24" s="51" t="str">
        <f>IF(AND('Riesgos de Gestión'!$AF$55="Alta",'Riesgos de Gestión'!$AH$55="Leve"),CONCATENATE("R9C",'Riesgos de Gestión'!$V$55),"")</f>
        <v/>
      </c>
      <c r="L24" s="51" t="str">
        <f>IF(AND('Riesgos de Gestión'!$AF$56="Alta",'Riesgos de Gestión'!$AH$56="Leve"),CONCATENATE("R9C",'Riesgos de Gestión'!$V$56),"")</f>
        <v/>
      </c>
      <c r="M24" s="51" t="str">
        <f>IF(AND('Riesgos de Gestión'!$AF$57="Alta",'Riesgos de Gestión'!$AH$57="Leve"),CONCATENATE("R9C",'Riesgos de Gestión'!$V$57),"")</f>
        <v/>
      </c>
      <c r="N24" s="51" t="str">
        <f>IF(AND('Riesgos de Gestión'!$AF$58="Alta",'Riesgos de Gestión'!$AH$58="Leve"),CONCATENATE("R9C",'Riesgos de Gestión'!$V$58),"")</f>
        <v/>
      </c>
      <c r="O24" s="52" t="str">
        <f>IF(AND('Riesgos de Gestión'!$AF$59="Alta",'Riesgos de Gestión'!$AH$59="Leve"),CONCATENATE("R9C",'Riesgos de Gestión'!$V$59),"")</f>
        <v/>
      </c>
      <c r="P24" s="50" t="str">
        <f>IF(AND('Riesgos de Gestión'!$AF$54="Alta",'Riesgos de Gestión'!$AH$54="Menor"),CONCATENATE("R9C",'Riesgos de Gestión'!$V$54),"")</f>
        <v/>
      </c>
      <c r="Q24" s="51" t="str">
        <f>IF(AND('Riesgos de Gestión'!$AF$55="Alta",'Riesgos de Gestión'!$AH$55="Menor"),CONCATENATE("R9C",'Riesgos de Gestión'!$V$55),"")</f>
        <v/>
      </c>
      <c r="R24" s="51" t="str">
        <f>IF(AND('Riesgos de Gestión'!$AF$56="Alta",'Riesgos de Gestión'!$AH$56="Menor"),CONCATENATE("R9C",'Riesgos de Gestión'!$V$56),"")</f>
        <v/>
      </c>
      <c r="S24" s="51" t="str">
        <f>IF(AND('Riesgos de Gestión'!$AF$57="Alta",'Riesgos de Gestión'!$AH$57="Menor"),CONCATENATE("R9C",'Riesgos de Gestión'!$V$57),"")</f>
        <v/>
      </c>
      <c r="T24" s="51" t="str">
        <f>IF(AND('Riesgos de Gestión'!$AF$58="Alta",'Riesgos de Gestión'!$AH$58="Menor"),CONCATENATE("R9C",'Riesgos de Gestión'!$V$58),"")</f>
        <v/>
      </c>
      <c r="U24" s="52" t="str">
        <f>IF(AND('Riesgos de Gestión'!$AF$59="Alta",'Riesgos de Gestión'!$AH$59="Menor"),CONCATENATE("R9C",'Riesgos de Gestión'!$V$59),"")</f>
        <v/>
      </c>
      <c r="V24" s="35" t="str">
        <f>IF(AND('Riesgos de Gestión'!$AF$54="Alta",'Riesgos de Gestión'!$AH$54="Moderado"),CONCATENATE("R9C",'Riesgos de Gestión'!$V$54),"")</f>
        <v/>
      </c>
      <c r="W24" s="36" t="str">
        <f>IF(AND('Riesgos de Gestión'!$AF$55="Alta",'Riesgos de Gestión'!$AH$55="Moderado"),CONCATENATE("R9C",'Riesgos de Gestión'!$V$55),"")</f>
        <v/>
      </c>
      <c r="X24" s="36" t="str">
        <f>IF(AND('Riesgos de Gestión'!$AF$56="Alta",'Riesgos de Gestión'!$AH$56="Moderado"),CONCATENATE("R9C",'Riesgos de Gestión'!$V$56),"")</f>
        <v/>
      </c>
      <c r="Y24" s="36" t="str">
        <f>IF(AND('Riesgos de Gestión'!$AF$57="Alta",'Riesgos de Gestión'!$AH$57="Moderado"),CONCATENATE("R9C",'Riesgos de Gestión'!$V$57),"")</f>
        <v/>
      </c>
      <c r="Z24" s="36" t="str">
        <f>IF(AND('Riesgos de Gestión'!$AF$58="Alta",'Riesgos de Gestión'!$AH$58="Moderado"),CONCATENATE("R9C",'Riesgos de Gestión'!$V$58),"")</f>
        <v/>
      </c>
      <c r="AA24" s="37" t="str">
        <f>IF(AND('Riesgos de Gestión'!$AF$59="Alta",'Riesgos de Gestión'!$AH$59="Moderado"),CONCATENATE("R9C",'Riesgos de Gestión'!$V$59),"")</f>
        <v/>
      </c>
      <c r="AB24" s="35" t="str">
        <f>IF(AND('Riesgos de Gestión'!$AF$54="Alta",'Riesgos de Gestión'!$AH$54="Mayor"),CONCATENATE("R9C",'Riesgos de Gestión'!$V$54),"")</f>
        <v/>
      </c>
      <c r="AC24" s="36" t="str">
        <f>IF(AND('Riesgos de Gestión'!$AF$55="Alta",'Riesgos de Gestión'!$AH$55="Mayor"),CONCATENATE("R9C",'Riesgos de Gestión'!$V$55),"")</f>
        <v/>
      </c>
      <c r="AD24" s="36" t="str">
        <f>IF(AND('Riesgos de Gestión'!$AF$56="Alta",'Riesgos de Gestión'!$AH$56="Mayor"),CONCATENATE("R9C",'Riesgos de Gestión'!$V$56),"")</f>
        <v/>
      </c>
      <c r="AE24" s="36" t="str">
        <f>IF(AND('Riesgos de Gestión'!$AF$57="Alta",'Riesgos de Gestión'!$AH$57="Mayor"),CONCATENATE("R9C",'Riesgos de Gestión'!$V$57),"")</f>
        <v/>
      </c>
      <c r="AF24" s="36" t="str">
        <f>IF(AND('Riesgos de Gestión'!$AF$58="Alta",'Riesgos de Gestión'!$AH$58="Mayor"),CONCATENATE("R9C",'Riesgos de Gestión'!$V$58),"")</f>
        <v/>
      </c>
      <c r="AG24" s="37" t="str">
        <f>IF(AND('Riesgos de Gestión'!$AF$59="Alta",'Riesgos de Gestión'!$AH$59="Mayor"),CONCATENATE("R9C",'Riesgos de Gestión'!$V$59),"")</f>
        <v/>
      </c>
      <c r="AH24" s="38" t="str">
        <f>IF(AND('Riesgos de Gestión'!$AF$54="Alta",'Riesgos de Gestión'!$AH$54="Catastrófico"),CONCATENATE("R9C",'Riesgos de Gestión'!$V$54),"")</f>
        <v/>
      </c>
      <c r="AI24" s="39" t="str">
        <f>IF(AND('Riesgos de Gestión'!$AF$55="Alta",'Riesgos de Gestión'!$AH$55="Catastrófico"),CONCATENATE("R9C",'Riesgos de Gestión'!$V$55),"")</f>
        <v/>
      </c>
      <c r="AJ24" s="39" t="str">
        <f>IF(AND('Riesgos de Gestión'!$AF$56="Alta",'Riesgos de Gestión'!$AH$56="Catastrófico"),CONCATENATE("R9C",'Riesgos de Gestión'!$V$56),"")</f>
        <v/>
      </c>
      <c r="AK24" s="39" t="str">
        <f>IF(AND('Riesgos de Gestión'!$AF$57="Alta",'Riesgos de Gestión'!$AH$57="Catastrófico"),CONCATENATE("R9C",'Riesgos de Gestión'!$V$57),"")</f>
        <v/>
      </c>
      <c r="AL24" s="39" t="str">
        <f>IF(AND('Riesgos de Gestión'!$AF$58="Alta",'Riesgos de Gestión'!$AH$58="Catastrófico"),CONCATENATE("R9C",'Riesgos de Gestión'!$V$58),"")</f>
        <v/>
      </c>
      <c r="AM24" s="40" t="str">
        <f>IF(AND('Riesgos de Gestión'!$AF$59="Alta",'Riesgos de Gestión'!$AH$59="Catastrófico"),CONCATENATE("R9C",'Riesgos de Gestión'!$V$59),"")</f>
        <v/>
      </c>
      <c r="AN24" s="66"/>
      <c r="AO24" s="565"/>
      <c r="AP24" s="566"/>
      <c r="AQ24" s="566"/>
      <c r="AR24" s="566"/>
      <c r="AS24" s="566"/>
      <c r="AT24" s="567"/>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
      <c r="A25" s="66"/>
      <c r="B25" s="514"/>
      <c r="C25" s="514"/>
      <c r="D25" s="515"/>
      <c r="E25" s="558"/>
      <c r="F25" s="559"/>
      <c r="G25" s="559"/>
      <c r="H25" s="559"/>
      <c r="I25" s="559"/>
      <c r="J25" s="53" t="str">
        <f>IF(AND('Riesgos de Gestión'!$AF$60="Alta",'Riesgos de Gestión'!$AH$60="Leve"),CONCATENATE("R10C",'Riesgos de Gestión'!$V$60),"")</f>
        <v/>
      </c>
      <c r="K25" s="54" t="str">
        <f>IF(AND('Riesgos de Gestión'!$AF$61="Alta",'Riesgos de Gestión'!$AH$61="Leve"),CONCATENATE("R10C",'Riesgos de Gestión'!$V$61),"")</f>
        <v/>
      </c>
      <c r="L25" s="54" t="str">
        <f>IF(AND('Riesgos de Gestión'!$AF$62="Alta",'Riesgos de Gestión'!$AH$62="Leve"),CONCATENATE("R10C",'Riesgos de Gestión'!$V$62),"")</f>
        <v/>
      </c>
      <c r="M25" s="54" t="str">
        <f>IF(AND('Riesgos de Gestión'!$AF$63="Alta",'Riesgos de Gestión'!$AH$63="Leve"),CONCATENATE("R10C",'Riesgos de Gestión'!$V$63),"")</f>
        <v/>
      </c>
      <c r="N25" s="54" t="str">
        <f>IF(AND('Riesgos de Gestión'!$AF$64="Alta",'Riesgos de Gestión'!$AH$64="Leve"),CONCATENATE("R10C",'Riesgos de Gestión'!$V$64),"")</f>
        <v/>
      </c>
      <c r="O25" s="55" t="str">
        <f>IF(AND('Riesgos de Gestión'!$AF$65="Alta",'Riesgos de Gestión'!$AH$65="Leve"),CONCATENATE("R10C",'Riesgos de Gestión'!$V$65),"")</f>
        <v/>
      </c>
      <c r="P25" s="53" t="str">
        <f>IF(AND('Riesgos de Gestión'!$AF$60="Alta",'Riesgos de Gestión'!$AH$60="Menor"),CONCATENATE("R10C",'Riesgos de Gestión'!$V$60),"")</f>
        <v/>
      </c>
      <c r="Q25" s="54" t="str">
        <f>IF(AND('Riesgos de Gestión'!$AF$61="Alta",'Riesgos de Gestión'!$AH$61="Menor"),CONCATENATE("R10C",'Riesgos de Gestión'!$V$61),"")</f>
        <v/>
      </c>
      <c r="R25" s="54" t="str">
        <f>IF(AND('Riesgos de Gestión'!$AF$62="Alta",'Riesgos de Gestión'!$AH$62="Menor"),CONCATENATE("R10C",'Riesgos de Gestión'!$V$62),"")</f>
        <v/>
      </c>
      <c r="S25" s="54" t="str">
        <f>IF(AND('Riesgos de Gestión'!$AF$63="Alta",'Riesgos de Gestión'!$AH$63="Menor"),CONCATENATE("R10C",'Riesgos de Gestión'!$V$63),"")</f>
        <v/>
      </c>
      <c r="T25" s="54" t="str">
        <f>IF(AND('Riesgos de Gestión'!$AF$64="Alta",'Riesgos de Gestión'!$AH$64="Menor"),CONCATENATE("R10C",'Riesgos de Gestión'!$V$64),"")</f>
        <v/>
      </c>
      <c r="U25" s="55" t="str">
        <f>IF(AND('Riesgos de Gestión'!$AF$65="Alta",'Riesgos de Gestión'!$AH$65="Menor"),CONCATENATE("R10C",'Riesgos de Gestión'!$V$65),"")</f>
        <v/>
      </c>
      <c r="V25" s="41" t="str">
        <f>IF(AND('Riesgos de Gestión'!$AF$60="Alta",'Riesgos de Gestión'!$AH$60="Moderado"),CONCATENATE("R10C",'Riesgos de Gestión'!$V$60),"")</f>
        <v/>
      </c>
      <c r="W25" s="42" t="str">
        <f>IF(AND('Riesgos de Gestión'!$AF$61="Alta",'Riesgos de Gestión'!$AH$61="Moderado"),CONCATENATE("R10C",'Riesgos de Gestión'!$V$61),"")</f>
        <v/>
      </c>
      <c r="X25" s="42" t="str">
        <f>IF(AND('Riesgos de Gestión'!$AF$62="Alta",'Riesgos de Gestión'!$AH$62="Moderado"),CONCATENATE("R10C",'Riesgos de Gestión'!$V$62),"")</f>
        <v/>
      </c>
      <c r="Y25" s="42" t="str">
        <f>IF(AND('Riesgos de Gestión'!$AF$63="Alta",'Riesgos de Gestión'!$AH$63="Moderado"),CONCATENATE("R10C",'Riesgos de Gestión'!$V$63),"")</f>
        <v/>
      </c>
      <c r="Z25" s="42" t="str">
        <f>IF(AND('Riesgos de Gestión'!$AF$64="Alta",'Riesgos de Gestión'!$AH$64="Moderado"),CONCATENATE("R10C",'Riesgos de Gestión'!$V$64),"")</f>
        <v/>
      </c>
      <c r="AA25" s="43" t="str">
        <f>IF(AND('Riesgos de Gestión'!$AF$65="Alta",'Riesgos de Gestión'!$AH$65="Moderado"),CONCATENATE("R10C",'Riesgos de Gestión'!$V$65),"")</f>
        <v/>
      </c>
      <c r="AB25" s="41" t="str">
        <f>IF(AND('Riesgos de Gestión'!$AF$60="Alta",'Riesgos de Gestión'!$AH$60="Mayor"),CONCATENATE("R10C",'Riesgos de Gestión'!$V$60),"")</f>
        <v/>
      </c>
      <c r="AC25" s="42" t="str">
        <f>IF(AND('Riesgos de Gestión'!$AF$61="Alta",'Riesgos de Gestión'!$AH$61="Mayor"),CONCATENATE("R10C",'Riesgos de Gestión'!$V$61),"")</f>
        <v/>
      </c>
      <c r="AD25" s="42" t="str">
        <f>IF(AND('Riesgos de Gestión'!$AF$62="Alta",'Riesgos de Gestión'!$AH$62="Mayor"),CONCATENATE("R10C",'Riesgos de Gestión'!$V$62),"")</f>
        <v/>
      </c>
      <c r="AE25" s="42" t="str">
        <f>IF(AND('Riesgos de Gestión'!$AF$63="Alta",'Riesgos de Gestión'!$AH$63="Mayor"),CONCATENATE("R10C",'Riesgos de Gestión'!$V$63),"")</f>
        <v/>
      </c>
      <c r="AF25" s="42" t="str">
        <f>IF(AND('Riesgos de Gestión'!$AF$64="Alta",'Riesgos de Gestión'!$AH$64="Mayor"),CONCATENATE("R10C",'Riesgos de Gestión'!$V$64),"")</f>
        <v/>
      </c>
      <c r="AG25" s="43" t="str">
        <f>IF(AND('Riesgos de Gestión'!$AF$65="Alta",'Riesgos de Gestión'!$AH$65="Mayor"),CONCATENATE("R10C",'Riesgos de Gestión'!$V$65),"")</f>
        <v/>
      </c>
      <c r="AH25" s="44" t="str">
        <f>IF(AND('Riesgos de Gestión'!$AF$60="Alta",'Riesgos de Gestión'!$AH$60="Catastrófico"),CONCATENATE("R10C",'Riesgos de Gestión'!$V$60),"")</f>
        <v/>
      </c>
      <c r="AI25" s="45" t="str">
        <f>IF(AND('Riesgos de Gestión'!$AF$61="Alta",'Riesgos de Gestión'!$AH$61="Catastrófico"),CONCATENATE("R10C",'Riesgos de Gestión'!$V$61),"")</f>
        <v/>
      </c>
      <c r="AJ25" s="45" t="str">
        <f>IF(AND('Riesgos de Gestión'!$AF$62="Alta",'Riesgos de Gestión'!$AH$62="Catastrófico"),CONCATENATE("R10C",'Riesgos de Gestión'!$V$62),"")</f>
        <v/>
      </c>
      <c r="AK25" s="45" t="str">
        <f>IF(AND('Riesgos de Gestión'!$AF$63="Alta",'Riesgos de Gestión'!$AH$63="Catastrófico"),CONCATENATE("R10C",'Riesgos de Gestión'!$V$63),"")</f>
        <v/>
      </c>
      <c r="AL25" s="45" t="str">
        <f>IF(AND('Riesgos de Gestión'!$AF$64="Alta",'Riesgos de Gestión'!$AH$64="Catastrófico"),CONCATENATE("R10C",'Riesgos de Gestión'!$V$64),"")</f>
        <v/>
      </c>
      <c r="AM25" s="46" t="str">
        <f>IF(AND('Riesgos de Gestión'!$AF$65="Alta",'Riesgos de Gestión'!$AH$65="Catastrófico"),CONCATENATE("R10C",'Riesgos de Gestión'!$V$65),"")</f>
        <v/>
      </c>
      <c r="AN25" s="66"/>
      <c r="AO25" s="568"/>
      <c r="AP25" s="569"/>
      <c r="AQ25" s="569"/>
      <c r="AR25" s="569"/>
      <c r="AS25" s="569"/>
      <c r="AT25" s="570"/>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5">
      <c r="A26" s="66"/>
      <c r="B26" s="514"/>
      <c r="C26" s="514"/>
      <c r="D26" s="515"/>
      <c r="E26" s="552" t="s">
        <v>269</v>
      </c>
      <c r="F26" s="553"/>
      <c r="G26" s="553"/>
      <c r="H26" s="553"/>
      <c r="I26" s="554"/>
      <c r="J26" s="47" t="str">
        <f>IF(AND('Riesgos de Gestión'!$AF$13="Media",'Riesgos de Gestión'!$AH$13="Leve"),CONCATENATE("R1C",'Riesgos de Gestión'!$V$13),"")</f>
        <v/>
      </c>
      <c r="K26" s="48" t="str">
        <f>IF(AND('Riesgos de Gestión'!$AF$14="Media",'Riesgos de Gestión'!$AH$14="Leve"),CONCATENATE("R1C",'Riesgos de Gestión'!$V$14),"")</f>
        <v/>
      </c>
      <c r="L26" s="48" t="str">
        <f>IF(AND('Riesgos de Gestión'!$AF$15="Media",'Riesgos de Gestión'!$AH$15="Leve"),CONCATENATE("R1C",'Riesgos de Gestión'!$V$15),"")</f>
        <v/>
      </c>
      <c r="M26" s="48" t="e">
        <f>IF(AND('Riesgos de Gestión'!#REF!="Media",'Riesgos de Gestión'!#REF!="Leve"),CONCATENATE("R1C",'Riesgos de Gestión'!#REF!),"")</f>
        <v>#REF!</v>
      </c>
      <c r="N26" s="48" t="e">
        <f>IF(AND('Riesgos de Gestión'!#REF!="Media",'Riesgos de Gestión'!#REF!="Leve"),CONCATENATE("R1C",'Riesgos de Gestión'!#REF!),"")</f>
        <v>#REF!</v>
      </c>
      <c r="O26" s="49" t="e">
        <f>IF(AND('Riesgos de Gestión'!#REF!="Media",'Riesgos de Gestión'!#REF!="Leve"),CONCATENATE("R1C",'Riesgos de Gestión'!#REF!),"")</f>
        <v>#REF!</v>
      </c>
      <c r="P26" s="47" t="str">
        <f>IF(AND('Riesgos de Gestión'!$AF$13="Media",'Riesgos de Gestión'!$AH$13="Menor"),CONCATENATE("R1C",'Riesgos de Gestión'!$V$13),"")</f>
        <v>R1C1</v>
      </c>
      <c r="Q26" s="48" t="str">
        <f>IF(AND('Riesgos de Gestión'!$AF$14="Media",'Riesgos de Gestión'!$AH$14="Menor"),CONCATENATE("R1C",'Riesgos de Gestión'!$V$14),"")</f>
        <v/>
      </c>
      <c r="R26" s="48" t="str">
        <f>IF(AND('Riesgos de Gestión'!$AF$15="Media",'Riesgos de Gestión'!$AH$15="Menor"),CONCATENATE("R1C",'Riesgos de Gestión'!$V$15),"")</f>
        <v/>
      </c>
      <c r="S26" s="48" t="e">
        <f>IF(AND('Riesgos de Gestión'!#REF!="Media",'Riesgos de Gestión'!#REF!="Menor"),CONCATENATE("R1C",'Riesgos de Gestión'!#REF!),"")</f>
        <v>#REF!</v>
      </c>
      <c r="T26" s="48" t="e">
        <f>IF(AND('Riesgos de Gestión'!#REF!="Media",'Riesgos de Gestión'!#REF!="Menor"),CONCATENATE("R1C",'Riesgos de Gestión'!#REF!),"")</f>
        <v>#REF!</v>
      </c>
      <c r="U26" s="49" t="e">
        <f>IF(AND('Riesgos de Gestión'!#REF!="Media",'Riesgos de Gestión'!#REF!="Menor"),CONCATENATE("R1C",'Riesgos de Gestión'!#REF!),"")</f>
        <v>#REF!</v>
      </c>
      <c r="V26" s="47" t="str">
        <f>IF(AND('Riesgos de Gestión'!$AF$13="Media",'Riesgos de Gestión'!$AH$13="Moderado"),CONCATENATE("R1C",'Riesgos de Gestión'!$V$13),"")</f>
        <v/>
      </c>
      <c r="W26" s="48" t="str">
        <f>IF(AND('Riesgos de Gestión'!$AF$14="Media",'Riesgos de Gestión'!$AH$14="Moderado"),CONCATENATE("R1C",'Riesgos de Gestión'!$V$14),"")</f>
        <v/>
      </c>
      <c r="X26" s="48" t="str">
        <f>IF(AND('Riesgos de Gestión'!$AF$15="Media",'Riesgos de Gestión'!$AH$15="Moderado"),CONCATENATE("R1C",'Riesgos de Gestión'!$V$15),"")</f>
        <v/>
      </c>
      <c r="Y26" s="48" t="e">
        <f>IF(AND('Riesgos de Gestión'!#REF!="Media",'Riesgos de Gestión'!#REF!="Moderado"),CONCATENATE("R1C",'Riesgos de Gestión'!#REF!),"")</f>
        <v>#REF!</v>
      </c>
      <c r="Z26" s="48" t="e">
        <f>IF(AND('Riesgos de Gestión'!#REF!="Media",'Riesgos de Gestión'!#REF!="Moderado"),CONCATENATE("R1C",'Riesgos de Gestión'!#REF!),"")</f>
        <v>#REF!</v>
      </c>
      <c r="AA26" s="49" t="e">
        <f>IF(AND('Riesgos de Gestión'!#REF!="Media",'Riesgos de Gestión'!#REF!="Moderado"),CONCATENATE("R1C",'Riesgos de Gestión'!#REF!),"")</f>
        <v>#REF!</v>
      </c>
      <c r="AB26" s="29" t="str">
        <f>IF(AND('Riesgos de Gestión'!$AF$13="Media",'Riesgos de Gestión'!$AH$13="Mayor"),CONCATENATE("R1C",'Riesgos de Gestión'!$V$13),"")</f>
        <v/>
      </c>
      <c r="AC26" s="30" t="str">
        <f>IF(AND('Riesgos de Gestión'!$AF$14="Media",'Riesgos de Gestión'!$AH$14="Mayor"),CONCATENATE("R1C",'Riesgos de Gestión'!$V$14),"")</f>
        <v/>
      </c>
      <c r="AD26" s="30" t="str">
        <f>IF(AND('Riesgos de Gestión'!$AF$15="Media",'Riesgos de Gestión'!$AH$15="Mayor"),CONCATENATE("R1C",'Riesgos de Gestión'!$V$15),"")</f>
        <v/>
      </c>
      <c r="AE26" s="30" t="e">
        <f>IF(AND('Riesgos de Gestión'!#REF!="Media",'Riesgos de Gestión'!#REF!="Mayor"),CONCATENATE("R1C",'Riesgos de Gestión'!#REF!),"")</f>
        <v>#REF!</v>
      </c>
      <c r="AF26" s="30" t="e">
        <f>IF(AND('Riesgos de Gestión'!#REF!="Media",'Riesgos de Gestión'!#REF!="Mayor"),CONCATENATE("R1C",'Riesgos de Gestión'!#REF!),"")</f>
        <v>#REF!</v>
      </c>
      <c r="AG26" s="31" t="e">
        <f>IF(AND('Riesgos de Gestión'!#REF!="Media",'Riesgos de Gestión'!#REF!="Mayor"),CONCATENATE("R1C",'Riesgos de Gestión'!#REF!),"")</f>
        <v>#REF!</v>
      </c>
      <c r="AH26" s="32" t="str">
        <f>IF(AND('Riesgos de Gestión'!$AF$13="Media",'Riesgos de Gestión'!$AH$13="Catastrófico"),CONCATENATE("R1C",'Riesgos de Gestión'!$V$13),"")</f>
        <v/>
      </c>
      <c r="AI26" s="33" t="str">
        <f>IF(AND('Riesgos de Gestión'!$AF$14="Media",'Riesgos de Gestión'!$AH$14="Catastrófico"),CONCATENATE("R1C",'Riesgos de Gestión'!$V$14),"")</f>
        <v/>
      </c>
      <c r="AJ26" s="33" t="str">
        <f>IF(AND('Riesgos de Gestión'!$AF$15="Media",'Riesgos de Gestión'!$AH$15="Catastrófico"),CONCATENATE("R1C",'Riesgos de Gestión'!$V$15),"")</f>
        <v/>
      </c>
      <c r="AK26" s="33" t="e">
        <f>IF(AND('Riesgos de Gestión'!#REF!="Media",'Riesgos de Gestión'!#REF!="Catastrófico"),CONCATENATE("R1C",'Riesgos de Gestión'!#REF!),"")</f>
        <v>#REF!</v>
      </c>
      <c r="AL26" s="33" t="e">
        <f>IF(AND('Riesgos de Gestión'!#REF!="Media",'Riesgos de Gestión'!#REF!="Catastrófico"),CONCATENATE("R1C",'Riesgos de Gestión'!#REF!),"")</f>
        <v>#REF!</v>
      </c>
      <c r="AM26" s="34" t="e">
        <f>IF(AND('Riesgos de Gestión'!#REF!="Media",'Riesgos de Gestión'!#REF!="Catastrófico"),CONCATENATE("R1C",'Riesgos de Gestión'!#REF!),"")</f>
        <v>#REF!</v>
      </c>
      <c r="AN26" s="66"/>
      <c r="AO26" s="592" t="s">
        <v>270</v>
      </c>
      <c r="AP26" s="593"/>
      <c r="AQ26" s="593"/>
      <c r="AR26" s="593"/>
      <c r="AS26" s="593"/>
      <c r="AT26" s="594"/>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25">
      <c r="A27" s="66"/>
      <c r="B27" s="514"/>
      <c r="C27" s="514"/>
      <c r="D27" s="515"/>
      <c r="E27" s="571"/>
      <c r="F27" s="556"/>
      <c r="G27" s="556"/>
      <c r="H27" s="556"/>
      <c r="I27" s="557"/>
      <c r="J27" s="50" t="str">
        <f>IF(AND('Riesgos de Gestión'!$AF$16="Media",'Riesgos de Gestión'!$AH$16="Leve"),CONCATENATE("R2C",'Riesgos de Gestión'!$V$16),"")</f>
        <v/>
      </c>
      <c r="K27" s="51" t="str">
        <f>IF(AND('Riesgos de Gestión'!$AF$17="Media",'Riesgos de Gestión'!$AH$17="Leve"),CONCATENATE("R2C",'Riesgos de Gestión'!$V$17),"")</f>
        <v/>
      </c>
      <c r="L27" s="51" t="e">
        <f>IF(AND('Riesgos de Gestión'!#REF!="Media",'Riesgos de Gestión'!#REF!="Leve"),CONCATENATE("R2C",'Riesgos de Gestión'!#REF!),"")</f>
        <v>#REF!</v>
      </c>
      <c r="M27" s="51" t="e">
        <f>IF(AND('Riesgos de Gestión'!#REF!="Media",'Riesgos de Gestión'!#REF!="Leve"),CONCATENATE("R2C",'Riesgos de Gestión'!#REF!),"")</f>
        <v>#REF!</v>
      </c>
      <c r="N27" s="51" t="e">
        <f>IF(AND('Riesgos de Gestión'!#REF!="Media",'Riesgos de Gestión'!#REF!="Leve"),CONCATENATE("R2C",'Riesgos de Gestión'!#REF!),"")</f>
        <v>#REF!</v>
      </c>
      <c r="O27" s="52" t="e">
        <f>IF(AND('Riesgos de Gestión'!#REF!="Media",'Riesgos de Gestión'!#REF!="Leve"),CONCATENATE("R2C",'Riesgos de Gestión'!#REF!),"")</f>
        <v>#REF!</v>
      </c>
      <c r="P27" s="50" t="str">
        <f>IF(AND('Riesgos de Gestión'!$AF$16="Media",'Riesgos de Gestión'!$AH$16="Menor"),CONCATENATE("R2C",'Riesgos de Gestión'!$V$16),"")</f>
        <v>R2C1</v>
      </c>
      <c r="Q27" s="51" t="str">
        <f>IF(AND('Riesgos de Gestión'!$AF$17="Media",'Riesgos de Gestión'!$AH$17="Menor"),CONCATENATE("R2C",'Riesgos de Gestión'!$V$17),"")</f>
        <v/>
      </c>
      <c r="R27" s="51" t="e">
        <f>IF(AND('Riesgos de Gestión'!#REF!="Media",'Riesgos de Gestión'!#REF!="Menor"),CONCATENATE("R2C",'Riesgos de Gestión'!#REF!),"")</f>
        <v>#REF!</v>
      </c>
      <c r="S27" s="51" t="e">
        <f>IF(AND('Riesgos de Gestión'!#REF!="Media",'Riesgos de Gestión'!#REF!="Menor"),CONCATENATE("R2C",'Riesgos de Gestión'!#REF!),"")</f>
        <v>#REF!</v>
      </c>
      <c r="T27" s="51" t="e">
        <f>IF(AND('Riesgos de Gestión'!#REF!="Media",'Riesgos de Gestión'!#REF!="Menor"),CONCATENATE("R2C",'Riesgos de Gestión'!#REF!),"")</f>
        <v>#REF!</v>
      </c>
      <c r="U27" s="52" t="e">
        <f>IF(AND('Riesgos de Gestión'!#REF!="Media",'Riesgos de Gestión'!#REF!="Menor"),CONCATENATE("R2C",'Riesgos de Gestión'!#REF!),"")</f>
        <v>#REF!</v>
      </c>
      <c r="V27" s="50" t="str">
        <f>IF(AND('Riesgos de Gestión'!$AF$16="Media",'Riesgos de Gestión'!$AH$16="Moderado"),CONCATENATE("R2C",'Riesgos de Gestión'!$V$16),"")</f>
        <v/>
      </c>
      <c r="W27" s="51" t="str">
        <f>IF(AND('Riesgos de Gestión'!$AF$17="Media",'Riesgos de Gestión'!$AH$17="Moderado"),CONCATENATE("R2C",'Riesgos de Gestión'!$V$17),"")</f>
        <v/>
      </c>
      <c r="X27" s="51" t="e">
        <f>IF(AND('Riesgos de Gestión'!#REF!="Media",'Riesgos de Gestión'!#REF!="Moderado"),CONCATENATE("R2C",'Riesgos de Gestión'!#REF!),"")</f>
        <v>#REF!</v>
      </c>
      <c r="Y27" s="51" t="e">
        <f>IF(AND('Riesgos de Gestión'!#REF!="Media",'Riesgos de Gestión'!#REF!="Moderado"),CONCATENATE("R2C",'Riesgos de Gestión'!#REF!),"")</f>
        <v>#REF!</v>
      </c>
      <c r="Z27" s="51" t="e">
        <f>IF(AND('Riesgos de Gestión'!#REF!="Media",'Riesgos de Gestión'!#REF!="Moderado"),CONCATENATE("R2C",'Riesgos de Gestión'!#REF!),"")</f>
        <v>#REF!</v>
      </c>
      <c r="AA27" s="52" t="e">
        <f>IF(AND('Riesgos de Gestión'!#REF!="Media",'Riesgos de Gestión'!#REF!="Moderado"),CONCATENATE("R2C",'Riesgos de Gestión'!#REF!),"")</f>
        <v>#REF!</v>
      </c>
      <c r="AB27" s="35" t="str">
        <f>IF(AND('Riesgos de Gestión'!$AF$16="Media",'Riesgos de Gestión'!$AH$16="Mayor"),CONCATENATE("R2C",'Riesgos de Gestión'!$V$16),"")</f>
        <v/>
      </c>
      <c r="AC27" s="36" t="str">
        <f>IF(AND('Riesgos de Gestión'!$AF$17="Media",'Riesgos de Gestión'!$AH$17="Mayor"),CONCATENATE("R2C",'Riesgos de Gestión'!$V$17),"")</f>
        <v/>
      </c>
      <c r="AD27" s="36" t="e">
        <f>IF(AND('Riesgos de Gestión'!#REF!="Media",'Riesgos de Gestión'!#REF!="Mayor"),CONCATENATE("R2C",'Riesgos de Gestión'!#REF!),"")</f>
        <v>#REF!</v>
      </c>
      <c r="AE27" s="36" t="e">
        <f>IF(AND('Riesgos de Gestión'!#REF!="Media",'Riesgos de Gestión'!#REF!="Mayor"),CONCATENATE("R2C",'Riesgos de Gestión'!#REF!),"")</f>
        <v>#REF!</v>
      </c>
      <c r="AF27" s="36" t="e">
        <f>IF(AND('Riesgos de Gestión'!#REF!="Media",'Riesgos de Gestión'!#REF!="Mayor"),CONCATENATE("R2C",'Riesgos de Gestión'!#REF!),"")</f>
        <v>#REF!</v>
      </c>
      <c r="AG27" s="37" t="e">
        <f>IF(AND('Riesgos de Gestión'!#REF!="Media",'Riesgos de Gestión'!#REF!="Mayor"),CONCATENATE("R2C",'Riesgos de Gestión'!#REF!),"")</f>
        <v>#REF!</v>
      </c>
      <c r="AH27" s="38" t="str">
        <f>IF(AND('Riesgos de Gestión'!$AF$16="Media",'Riesgos de Gestión'!$AH$16="Catastrófico"),CONCATENATE("R2C",'Riesgos de Gestión'!$V$16),"")</f>
        <v/>
      </c>
      <c r="AI27" s="39" t="str">
        <f>IF(AND('Riesgos de Gestión'!$AF$17="Media",'Riesgos de Gestión'!$AH$17="Catastrófico"),CONCATENATE("R2C",'Riesgos de Gestión'!$V$17),"")</f>
        <v/>
      </c>
      <c r="AJ27" s="39" t="e">
        <f>IF(AND('Riesgos de Gestión'!#REF!="Media",'Riesgos de Gestión'!#REF!="Catastrófico"),CONCATENATE("R2C",'Riesgos de Gestión'!#REF!),"")</f>
        <v>#REF!</v>
      </c>
      <c r="AK27" s="39" t="e">
        <f>IF(AND('Riesgos de Gestión'!#REF!="Media",'Riesgos de Gestión'!#REF!="Catastrófico"),CONCATENATE("R2C",'Riesgos de Gestión'!#REF!),"")</f>
        <v>#REF!</v>
      </c>
      <c r="AL27" s="39" t="e">
        <f>IF(AND('Riesgos de Gestión'!#REF!="Media",'Riesgos de Gestión'!#REF!="Catastrófico"),CONCATENATE("R2C",'Riesgos de Gestión'!#REF!),"")</f>
        <v>#REF!</v>
      </c>
      <c r="AM27" s="40" t="e">
        <f>IF(AND('Riesgos de Gestión'!#REF!="Media",'Riesgos de Gestión'!#REF!="Catastrófico"),CONCATENATE("R2C",'Riesgos de Gestión'!#REF!),"")</f>
        <v>#REF!</v>
      </c>
      <c r="AN27" s="66"/>
      <c r="AO27" s="595"/>
      <c r="AP27" s="596"/>
      <c r="AQ27" s="596"/>
      <c r="AR27" s="596"/>
      <c r="AS27" s="596"/>
      <c r="AT27" s="597"/>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25">
      <c r="A28" s="66"/>
      <c r="B28" s="514"/>
      <c r="C28" s="514"/>
      <c r="D28" s="515"/>
      <c r="E28" s="555"/>
      <c r="F28" s="556"/>
      <c r="G28" s="556"/>
      <c r="H28" s="556"/>
      <c r="I28" s="557"/>
      <c r="J28" s="50" t="str">
        <f>IF(AND('Riesgos de Gestión'!$AF$18="Media",'Riesgos de Gestión'!$AH$18="Leve"),CONCATENATE("R3C",'Riesgos de Gestión'!$V$18),"")</f>
        <v/>
      </c>
      <c r="K28" s="51" t="str">
        <f>IF(AND('Riesgos de Gestión'!$AF$19="Media",'Riesgos de Gestión'!$AH$19="Leve"),CONCATENATE("R3C",'Riesgos de Gestión'!$V$19),"")</f>
        <v/>
      </c>
      <c r="L28" s="51" t="str">
        <f>IF(AND('Riesgos de Gestión'!$AF$20="Media",'Riesgos de Gestión'!$AH$20="Leve"),CONCATENATE("R3C",'Riesgos de Gestión'!$V$20),"")</f>
        <v/>
      </c>
      <c r="M28" s="51" t="str">
        <f>IF(AND('Riesgos de Gestión'!$AF$21="Media",'Riesgos de Gestión'!$AH$21="Leve"),CONCATENATE("R3C",'Riesgos de Gestión'!$V$21),"")</f>
        <v/>
      </c>
      <c r="N28" s="51" t="str">
        <f>IF(AND('Riesgos de Gestión'!$AF$22="Media",'Riesgos de Gestión'!$AH$22="Leve"),CONCATENATE("R3C",'Riesgos de Gestión'!$V$22),"")</f>
        <v/>
      </c>
      <c r="O28" s="52" t="str">
        <f>IF(AND('Riesgos de Gestión'!$AF$23="Media",'Riesgos de Gestión'!$AH$23="Leve"),CONCATENATE("R3C",'Riesgos de Gestión'!$V$23),"")</f>
        <v/>
      </c>
      <c r="P28" s="50" t="str">
        <f>IF(AND('Riesgos de Gestión'!$AF$18="Media",'Riesgos de Gestión'!$AH$18="Menor"),CONCATENATE("R3C",'Riesgos de Gestión'!$V$18),"")</f>
        <v/>
      </c>
      <c r="Q28" s="51" t="str">
        <f>IF(AND('Riesgos de Gestión'!$AF$19="Media",'Riesgos de Gestión'!$AH$19="Menor"),CONCATENATE("R3C",'Riesgos de Gestión'!$V$19),"")</f>
        <v/>
      </c>
      <c r="R28" s="51" t="str">
        <f>IF(AND('Riesgos de Gestión'!$AF$20="Media",'Riesgos de Gestión'!$AH$20="Menor"),CONCATENATE("R3C",'Riesgos de Gestión'!$V$20),"")</f>
        <v/>
      </c>
      <c r="S28" s="51" t="str">
        <f>IF(AND('Riesgos de Gestión'!$AF$21="Media",'Riesgos de Gestión'!$AH$21="Menor"),CONCATENATE("R3C",'Riesgos de Gestión'!$V$21),"")</f>
        <v/>
      </c>
      <c r="T28" s="51" t="str">
        <f>IF(AND('Riesgos de Gestión'!$AF$22="Media",'Riesgos de Gestión'!$AH$22="Menor"),CONCATENATE("R3C",'Riesgos de Gestión'!$V$22),"")</f>
        <v/>
      </c>
      <c r="U28" s="52" t="str">
        <f>IF(AND('Riesgos de Gestión'!$AF$23="Media",'Riesgos de Gestión'!$AH$23="Menor"),CONCATENATE("R3C",'Riesgos de Gestión'!$V$23),"")</f>
        <v/>
      </c>
      <c r="V28" s="50" t="str">
        <f>IF(AND('Riesgos de Gestión'!$AF$18="Media",'Riesgos de Gestión'!$AH$18="Moderado"),CONCATENATE("R3C",'Riesgos de Gestión'!$V$18),"")</f>
        <v/>
      </c>
      <c r="W28" s="51" t="str">
        <f>IF(AND('Riesgos de Gestión'!$AF$19="Media",'Riesgos de Gestión'!$AH$19="Moderado"),CONCATENATE("R3C",'Riesgos de Gestión'!$V$19),"")</f>
        <v/>
      </c>
      <c r="X28" s="51" t="str">
        <f>IF(AND('Riesgos de Gestión'!$AF$20="Media",'Riesgos de Gestión'!$AH$20="Moderado"),CONCATENATE("R3C",'Riesgos de Gestión'!$V$20),"")</f>
        <v/>
      </c>
      <c r="Y28" s="51" t="str">
        <f>IF(AND('Riesgos de Gestión'!$AF$21="Media",'Riesgos de Gestión'!$AH$21="Moderado"),CONCATENATE("R3C",'Riesgos de Gestión'!$V$21),"")</f>
        <v/>
      </c>
      <c r="Z28" s="51" t="str">
        <f>IF(AND('Riesgos de Gestión'!$AF$22="Media",'Riesgos de Gestión'!$AH$22="Moderado"),CONCATENATE("R3C",'Riesgos de Gestión'!$V$22),"")</f>
        <v/>
      </c>
      <c r="AA28" s="52" t="str">
        <f>IF(AND('Riesgos de Gestión'!$AF$23="Media",'Riesgos de Gestión'!$AH$23="Moderado"),CONCATENATE("R3C",'Riesgos de Gestión'!$V$23),"")</f>
        <v/>
      </c>
      <c r="AB28" s="35" t="str">
        <f>IF(AND('Riesgos de Gestión'!$AF$18="Media",'Riesgos de Gestión'!$AH$18="Mayor"),CONCATENATE("R3C",'Riesgos de Gestión'!$V$18),"")</f>
        <v/>
      </c>
      <c r="AC28" s="36" t="str">
        <f>IF(AND('Riesgos de Gestión'!$AF$19="Media",'Riesgos de Gestión'!$AH$19="Mayor"),CONCATENATE("R3C",'Riesgos de Gestión'!$V$19),"")</f>
        <v/>
      </c>
      <c r="AD28" s="36" t="str">
        <f>IF(AND('Riesgos de Gestión'!$AF$20="Media",'Riesgos de Gestión'!$AH$20="Mayor"),CONCATENATE("R3C",'Riesgos de Gestión'!$V$20),"")</f>
        <v/>
      </c>
      <c r="AE28" s="36" t="str">
        <f>IF(AND('Riesgos de Gestión'!$AF$21="Media",'Riesgos de Gestión'!$AH$21="Mayor"),CONCATENATE("R3C",'Riesgos de Gestión'!$V$21),"")</f>
        <v/>
      </c>
      <c r="AF28" s="36" t="str">
        <f>IF(AND('Riesgos de Gestión'!$AF$22="Media",'Riesgos de Gestión'!$AH$22="Mayor"),CONCATENATE("R3C",'Riesgos de Gestión'!$V$22),"")</f>
        <v/>
      </c>
      <c r="AG28" s="37" t="str">
        <f>IF(AND('Riesgos de Gestión'!$AF$23="Media",'Riesgos de Gestión'!$AH$23="Mayor"),CONCATENATE("R3C",'Riesgos de Gestión'!$V$23),"")</f>
        <v/>
      </c>
      <c r="AH28" s="38" t="str">
        <f>IF(AND('Riesgos de Gestión'!$AF$18="Media",'Riesgos de Gestión'!$AH$18="Catastrófico"),CONCATENATE("R3C",'Riesgos de Gestión'!$V$18),"")</f>
        <v/>
      </c>
      <c r="AI28" s="39" t="str">
        <f>IF(AND('Riesgos de Gestión'!$AF$19="Media",'Riesgos de Gestión'!$AH$19="Catastrófico"),CONCATENATE("R3C",'Riesgos de Gestión'!$V$19),"")</f>
        <v/>
      </c>
      <c r="AJ28" s="39" t="str">
        <f>IF(AND('Riesgos de Gestión'!$AF$20="Media",'Riesgos de Gestión'!$AH$20="Catastrófico"),CONCATENATE("R3C",'Riesgos de Gestión'!$V$20),"")</f>
        <v/>
      </c>
      <c r="AK28" s="39" t="str">
        <f>IF(AND('Riesgos de Gestión'!$AF$21="Media",'Riesgos de Gestión'!$AH$21="Catastrófico"),CONCATENATE("R3C",'Riesgos de Gestión'!$V$21),"")</f>
        <v/>
      </c>
      <c r="AL28" s="39" t="str">
        <f>IF(AND('Riesgos de Gestión'!$AF$22="Media",'Riesgos de Gestión'!$AH$22="Catastrófico"),CONCATENATE("R3C",'Riesgos de Gestión'!$V$22),"")</f>
        <v/>
      </c>
      <c r="AM28" s="40" t="str">
        <f>IF(AND('Riesgos de Gestión'!$AF$23="Media",'Riesgos de Gestión'!$AH$23="Catastrófico"),CONCATENATE("R3C",'Riesgos de Gestión'!$V$23),"")</f>
        <v/>
      </c>
      <c r="AN28" s="66"/>
      <c r="AO28" s="595"/>
      <c r="AP28" s="596"/>
      <c r="AQ28" s="596"/>
      <c r="AR28" s="596"/>
      <c r="AS28" s="596"/>
      <c r="AT28" s="597"/>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25">
      <c r="A29" s="66"/>
      <c r="B29" s="514"/>
      <c r="C29" s="514"/>
      <c r="D29" s="515"/>
      <c r="E29" s="555"/>
      <c r="F29" s="556"/>
      <c r="G29" s="556"/>
      <c r="H29" s="556"/>
      <c r="I29" s="557"/>
      <c r="J29" s="50" t="str">
        <f>IF(AND('Riesgos de Gestión'!$AF$24="Media",'Riesgos de Gestión'!$AH$24="Leve"),CONCATENATE("R4C",'Riesgos de Gestión'!$V$24),"")</f>
        <v/>
      </c>
      <c r="K29" s="51" t="str">
        <f>IF(AND('Riesgos de Gestión'!$AF$25="Media",'Riesgos de Gestión'!$AH$25="Leve"),CONCATENATE("R4C",'Riesgos de Gestión'!$V$25),"")</f>
        <v/>
      </c>
      <c r="L29" s="51" t="str">
        <f>IF(AND('Riesgos de Gestión'!$AF$26="Media",'Riesgos de Gestión'!$AH$26="Leve"),CONCATENATE("R4C",'Riesgos de Gestión'!$V$26),"")</f>
        <v/>
      </c>
      <c r="M29" s="51" t="str">
        <f>IF(AND('Riesgos de Gestión'!$AF$27="Media",'Riesgos de Gestión'!$AH$27="Leve"),CONCATENATE("R4C",'Riesgos de Gestión'!$V$27),"")</f>
        <v/>
      </c>
      <c r="N29" s="51" t="str">
        <f>IF(AND('Riesgos de Gestión'!$AF$28="Media",'Riesgos de Gestión'!$AH$28="Leve"),CONCATENATE("R4C",'Riesgos de Gestión'!$V$28),"")</f>
        <v/>
      </c>
      <c r="O29" s="52" t="str">
        <f>IF(AND('Riesgos de Gestión'!$AF$29="Media",'Riesgos de Gestión'!$AH$29="Leve"),CONCATENATE("R4C",'Riesgos de Gestión'!$V$29),"")</f>
        <v/>
      </c>
      <c r="P29" s="50" t="str">
        <f>IF(AND('Riesgos de Gestión'!$AF$24="Media",'Riesgos de Gestión'!$AH$24="Menor"),CONCATENATE("R4C",'Riesgos de Gestión'!$V$24),"")</f>
        <v/>
      </c>
      <c r="Q29" s="51" t="str">
        <f>IF(AND('Riesgos de Gestión'!$AF$25="Media",'Riesgos de Gestión'!$AH$25="Menor"),CONCATENATE("R4C",'Riesgos de Gestión'!$V$25),"")</f>
        <v/>
      </c>
      <c r="R29" s="51" t="str">
        <f>IF(AND('Riesgos de Gestión'!$AF$26="Media",'Riesgos de Gestión'!$AH$26="Menor"),CONCATENATE("R4C",'Riesgos de Gestión'!$V$26),"")</f>
        <v/>
      </c>
      <c r="S29" s="51" t="str">
        <f>IF(AND('Riesgos de Gestión'!$AF$27="Media",'Riesgos de Gestión'!$AH$27="Menor"),CONCATENATE("R4C",'Riesgos de Gestión'!$V$27),"")</f>
        <v/>
      </c>
      <c r="T29" s="51" t="str">
        <f>IF(AND('Riesgos de Gestión'!$AF$28="Media",'Riesgos de Gestión'!$AH$28="Menor"),CONCATENATE("R4C",'Riesgos de Gestión'!$V$28),"")</f>
        <v/>
      </c>
      <c r="U29" s="52" t="str">
        <f>IF(AND('Riesgos de Gestión'!$AF$29="Media",'Riesgos de Gestión'!$AH$29="Menor"),CONCATENATE("R4C",'Riesgos de Gestión'!$V$29),"")</f>
        <v/>
      </c>
      <c r="V29" s="50" t="str">
        <f>IF(AND('Riesgos de Gestión'!$AF$24="Media",'Riesgos de Gestión'!$AH$24="Moderado"),CONCATENATE("R4C",'Riesgos de Gestión'!$V$24),"")</f>
        <v/>
      </c>
      <c r="W29" s="51" t="str">
        <f>IF(AND('Riesgos de Gestión'!$AF$25="Media",'Riesgos de Gestión'!$AH$25="Moderado"),CONCATENATE("R4C",'Riesgos de Gestión'!$V$25),"")</f>
        <v/>
      </c>
      <c r="X29" s="51" t="str">
        <f>IF(AND('Riesgos de Gestión'!$AF$26="Media",'Riesgos de Gestión'!$AH$26="Moderado"),CONCATENATE("R4C",'Riesgos de Gestión'!$V$26),"")</f>
        <v/>
      </c>
      <c r="Y29" s="51" t="str">
        <f>IF(AND('Riesgos de Gestión'!$AF$27="Media",'Riesgos de Gestión'!$AH$27="Moderado"),CONCATENATE("R4C",'Riesgos de Gestión'!$V$27),"")</f>
        <v/>
      </c>
      <c r="Z29" s="51" t="str">
        <f>IF(AND('Riesgos de Gestión'!$AF$28="Media",'Riesgos de Gestión'!$AH$28="Moderado"),CONCATENATE("R4C",'Riesgos de Gestión'!$V$28),"")</f>
        <v/>
      </c>
      <c r="AA29" s="52" t="str">
        <f>IF(AND('Riesgos de Gestión'!$AF$29="Media",'Riesgos de Gestión'!$AH$29="Moderado"),CONCATENATE("R4C",'Riesgos de Gestión'!$V$29),"")</f>
        <v/>
      </c>
      <c r="AB29" s="35" t="str">
        <f>IF(AND('Riesgos de Gestión'!$AF$24="Media",'Riesgos de Gestión'!$AH$24="Mayor"),CONCATENATE("R4C",'Riesgos de Gestión'!$V$24),"")</f>
        <v/>
      </c>
      <c r="AC29" s="36" t="str">
        <f>IF(AND('Riesgos de Gestión'!$AF$25="Media",'Riesgos de Gestión'!$AH$25="Mayor"),CONCATENATE("R4C",'Riesgos de Gestión'!$V$25),"")</f>
        <v/>
      </c>
      <c r="AD29" s="36" t="str">
        <f>IF(AND('Riesgos de Gestión'!$AF$26="Media",'Riesgos de Gestión'!$AH$26="Mayor"),CONCATENATE("R4C",'Riesgos de Gestión'!$V$26),"")</f>
        <v/>
      </c>
      <c r="AE29" s="36" t="str">
        <f>IF(AND('Riesgos de Gestión'!$AF$27="Media",'Riesgos de Gestión'!$AH$27="Mayor"),CONCATENATE("R4C",'Riesgos de Gestión'!$V$27),"")</f>
        <v/>
      </c>
      <c r="AF29" s="36" t="str">
        <f>IF(AND('Riesgos de Gestión'!$AF$28="Media",'Riesgos de Gestión'!$AH$28="Mayor"),CONCATENATE("R4C",'Riesgos de Gestión'!$V$28),"")</f>
        <v/>
      </c>
      <c r="AG29" s="37" t="str">
        <f>IF(AND('Riesgos de Gestión'!$AF$29="Media",'Riesgos de Gestión'!$AH$29="Mayor"),CONCATENATE("R4C",'Riesgos de Gestión'!$V$29),"")</f>
        <v/>
      </c>
      <c r="AH29" s="38" t="str">
        <f>IF(AND('Riesgos de Gestión'!$AF$24="Media",'Riesgos de Gestión'!$AH$24="Catastrófico"),CONCATENATE("R4C",'Riesgos de Gestión'!$V$24),"")</f>
        <v/>
      </c>
      <c r="AI29" s="39" t="str">
        <f>IF(AND('Riesgos de Gestión'!$AF$25="Media",'Riesgos de Gestión'!$AH$25="Catastrófico"),CONCATENATE("R4C",'Riesgos de Gestión'!$V$25),"")</f>
        <v/>
      </c>
      <c r="AJ29" s="39" t="str">
        <f>IF(AND('Riesgos de Gestión'!$AF$26="Media",'Riesgos de Gestión'!$AH$26="Catastrófico"),CONCATENATE("R4C",'Riesgos de Gestión'!$V$26),"")</f>
        <v/>
      </c>
      <c r="AK29" s="39" t="str">
        <f>IF(AND('Riesgos de Gestión'!$AF$27="Media",'Riesgos de Gestión'!$AH$27="Catastrófico"),CONCATENATE("R4C",'Riesgos de Gestión'!$V$27),"")</f>
        <v/>
      </c>
      <c r="AL29" s="39" t="str">
        <f>IF(AND('Riesgos de Gestión'!$AF$28="Media",'Riesgos de Gestión'!$AH$28="Catastrófico"),CONCATENATE("R4C",'Riesgos de Gestión'!$V$28),"")</f>
        <v/>
      </c>
      <c r="AM29" s="40" t="str">
        <f>IF(AND('Riesgos de Gestión'!$AF$29="Media",'Riesgos de Gestión'!$AH$29="Catastrófico"),CONCATENATE("R4C",'Riesgos de Gestión'!$V$29),"")</f>
        <v/>
      </c>
      <c r="AN29" s="66"/>
      <c r="AO29" s="595"/>
      <c r="AP29" s="596"/>
      <c r="AQ29" s="596"/>
      <c r="AR29" s="596"/>
      <c r="AS29" s="596"/>
      <c r="AT29" s="597"/>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25">
      <c r="A30" s="66"/>
      <c r="B30" s="514"/>
      <c r="C30" s="514"/>
      <c r="D30" s="515"/>
      <c r="E30" s="555"/>
      <c r="F30" s="556"/>
      <c r="G30" s="556"/>
      <c r="H30" s="556"/>
      <c r="I30" s="557"/>
      <c r="J30" s="50" t="str">
        <f>IF(AND('Riesgos de Gestión'!$AF$30="Media",'Riesgos de Gestión'!$AH$30="Leve"),CONCATENATE("R5C",'Riesgos de Gestión'!$V$30),"")</f>
        <v/>
      </c>
      <c r="K30" s="51" t="str">
        <f>IF(AND('Riesgos de Gestión'!$AF$31="Media",'Riesgos de Gestión'!$AH$31="Leve"),CONCATENATE("R5C",'Riesgos de Gestión'!$V$31),"")</f>
        <v/>
      </c>
      <c r="L30" s="51" t="str">
        <f>IF(AND('Riesgos de Gestión'!$AF$32="Media",'Riesgos de Gestión'!$AH$32="Leve"),CONCATENATE("R5C",'Riesgos de Gestión'!$V$32),"")</f>
        <v/>
      </c>
      <c r="M30" s="51" t="str">
        <f>IF(AND('Riesgos de Gestión'!$AF$33="Media",'Riesgos de Gestión'!$AH$33="Leve"),CONCATENATE("R5C",'Riesgos de Gestión'!$V$33),"")</f>
        <v/>
      </c>
      <c r="N30" s="51" t="str">
        <f>IF(AND('Riesgos de Gestión'!$AF$34="Media",'Riesgos de Gestión'!$AH$34="Leve"),CONCATENATE("R5C",'Riesgos de Gestión'!$V$34),"")</f>
        <v/>
      </c>
      <c r="O30" s="52" t="str">
        <f>IF(AND('Riesgos de Gestión'!$AF$35="Media",'Riesgos de Gestión'!$AH$35="Leve"),CONCATENATE("R5C",'Riesgos de Gestión'!$V$35),"")</f>
        <v/>
      </c>
      <c r="P30" s="50" t="str">
        <f>IF(AND('Riesgos de Gestión'!$AF$30="Media",'Riesgos de Gestión'!$AH$30="Menor"),CONCATENATE("R5C",'Riesgos de Gestión'!$V$30),"")</f>
        <v/>
      </c>
      <c r="Q30" s="51" t="str">
        <f>IF(AND('Riesgos de Gestión'!$AF$31="Media",'Riesgos de Gestión'!$AH$31="Menor"),CONCATENATE("R5C",'Riesgos de Gestión'!$V$31),"")</f>
        <v/>
      </c>
      <c r="R30" s="51" t="str">
        <f>IF(AND('Riesgos de Gestión'!$AF$32="Media",'Riesgos de Gestión'!$AH$32="Menor"),CONCATENATE("R5C",'Riesgos de Gestión'!$V$32),"")</f>
        <v/>
      </c>
      <c r="S30" s="51" t="str">
        <f>IF(AND('Riesgos de Gestión'!$AF$33="Media",'Riesgos de Gestión'!$AH$33="Menor"),CONCATENATE("R5C",'Riesgos de Gestión'!$V$33),"")</f>
        <v/>
      </c>
      <c r="T30" s="51" t="str">
        <f>IF(AND('Riesgos de Gestión'!$AF$34="Media",'Riesgos de Gestión'!$AH$34="Menor"),CONCATENATE("R5C",'Riesgos de Gestión'!$V$34),"")</f>
        <v/>
      </c>
      <c r="U30" s="52" t="str">
        <f>IF(AND('Riesgos de Gestión'!$AF$35="Media",'Riesgos de Gestión'!$AH$35="Menor"),CONCATENATE("R5C",'Riesgos de Gestión'!$V$35),"")</f>
        <v/>
      </c>
      <c r="V30" s="50" t="str">
        <f>IF(AND('Riesgos de Gestión'!$AF$30="Media",'Riesgos de Gestión'!$AH$30="Moderado"),CONCATENATE("R5C",'Riesgos de Gestión'!$V$30),"")</f>
        <v/>
      </c>
      <c r="W30" s="51" t="str">
        <f>IF(AND('Riesgos de Gestión'!$AF$31="Media",'Riesgos de Gestión'!$AH$31="Moderado"),CONCATENATE("R5C",'Riesgos de Gestión'!$V$31),"")</f>
        <v/>
      </c>
      <c r="X30" s="51" t="str">
        <f>IF(AND('Riesgos de Gestión'!$AF$32="Media",'Riesgos de Gestión'!$AH$32="Moderado"),CONCATENATE("R5C",'Riesgos de Gestión'!$V$32),"")</f>
        <v/>
      </c>
      <c r="Y30" s="51" t="str">
        <f>IF(AND('Riesgos de Gestión'!$AF$33="Media",'Riesgos de Gestión'!$AH$33="Moderado"),CONCATENATE("R5C",'Riesgos de Gestión'!$V$33),"")</f>
        <v/>
      </c>
      <c r="Z30" s="51" t="str">
        <f>IF(AND('Riesgos de Gestión'!$AF$34="Media",'Riesgos de Gestión'!$AH$34="Moderado"),CONCATENATE("R5C",'Riesgos de Gestión'!$V$34),"")</f>
        <v/>
      </c>
      <c r="AA30" s="52" t="str">
        <f>IF(AND('Riesgos de Gestión'!$AF$35="Media",'Riesgos de Gestión'!$AH$35="Moderado"),CONCATENATE("R5C",'Riesgos de Gestión'!$V$35),"")</f>
        <v/>
      </c>
      <c r="AB30" s="35" t="str">
        <f>IF(AND('Riesgos de Gestión'!$AF$30="Media",'Riesgos de Gestión'!$AH$30="Mayor"),CONCATENATE("R5C",'Riesgos de Gestión'!$V$30),"")</f>
        <v/>
      </c>
      <c r="AC30" s="36" t="str">
        <f>IF(AND('Riesgos de Gestión'!$AF$31="Media",'Riesgos de Gestión'!$AH$31="Mayor"),CONCATENATE("R5C",'Riesgos de Gestión'!$V$31),"")</f>
        <v/>
      </c>
      <c r="AD30" s="36" t="str">
        <f>IF(AND('Riesgos de Gestión'!$AF$32="Media",'Riesgos de Gestión'!$AH$32="Mayor"),CONCATENATE("R5C",'Riesgos de Gestión'!$V$32),"")</f>
        <v/>
      </c>
      <c r="AE30" s="36" t="str">
        <f>IF(AND('Riesgos de Gestión'!$AF$33="Media",'Riesgos de Gestión'!$AH$33="Mayor"),CONCATENATE("R5C",'Riesgos de Gestión'!$V$33),"")</f>
        <v/>
      </c>
      <c r="AF30" s="36" t="str">
        <f>IF(AND('Riesgos de Gestión'!$AF$34="Media",'Riesgos de Gestión'!$AH$34="Mayor"),CONCATENATE("R5C",'Riesgos de Gestión'!$V$34),"")</f>
        <v/>
      </c>
      <c r="AG30" s="37" t="str">
        <f>IF(AND('Riesgos de Gestión'!$AF$35="Media",'Riesgos de Gestión'!$AH$35="Mayor"),CONCATENATE("R5C",'Riesgos de Gestión'!$V$35),"")</f>
        <v/>
      </c>
      <c r="AH30" s="38" t="str">
        <f>IF(AND('Riesgos de Gestión'!$AF$30="Media",'Riesgos de Gestión'!$AH$30="Catastrófico"),CONCATENATE("R5C",'Riesgos de Gestión'!$V$30),"")</f>
        <v/>
      </c>
      <c r="AI30" s="39" t="str">
        <f>IF(AND('Riesgos de Gestión'!$AF$31="Media",'Riesgos de Gestión'!$AH$31="Catastrófico"),CONCATENATE("R5C",'Riesgos de Gestión'!$V$31),"")</f>
        <v/>
      </c>
      <c r="AJ30" s="39" t="str">
        <f>IF(AND('Riesgos de Gestión'!$AF$32="Media",'Riesgos de Gestión'!$AH$32="Catastrófico"),CONCATENATE("R5C",'Riesgos de Gestión'!$V$32),"")</f>
        <v/>
      </c>
      <c r="AK30" s="39" t="str">
        <f>IF(AND('Riesgos de Gestión'!$AF$33="Media",'Riesgos de Gestión'!$AH$33="Catastrófico"),CONCATENATE("R5C",'Riesgos de Gestión'!$V$33),"")</f>
        <v/>
      </c>
      <c r="AL30" s="39" t="str">
        <f>IF(AND('Riesgos de Gestión'!$AF$34="Media",'Riesgos de Gestión'!$AH$34="Catastrófico"),CONCATENATE("R5C",'Riesgos de Gestión'!$V$34),"")</f>
        <v/>
      </c>
      <c r="AM30" s="40" t="str">
        <f>IF(AND('Riesgos de Gestión'!$AF$35="Media",'Riesgos de Gestión'!$AH$35="Catastrófico"),CONCATENATE("R5C",'Riesgos de Gestión'!$V$35),"")</f>
        <v/>
      </c>
      <c r="AN30" s="66"/>
      <c r="AO30" s="595"/>
      <c r="AP30" s="596"/>
      <c r="AQ30" s="596"/>
      <c r="AR30" s="596"/>
      <c r="AS30" s="596"/>
      <c r="AT30" s="597"/>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25">
      <c r="A31" s="66"/>
      <c r="B31" s="514"/>
      <c r="C31" s="514"/>
      <c r="D31" s="515"/>
      <c r="E31" s="555"/>
      <c r="F31" s="556"/>
      <c r="G31" s="556"/>
      <c r="H31" s="556"/>
      <c r="I31" s="557"/>
      <c r="J31" s="50" t="str">
        <f>IF(AND('Riesgos de Gestión'!$AF$36="Media",'Riesgos de Gestión'!$AH$36="Leve"),CONCATENATE("R6C",'Riesgos de Gestión'!$V$36),"")</f>
        <v/>
      </c>
      <c r="K31" s="51" t="str">
        <f>IF(AND('Riesgos de Gestión'!$AF$37="Media",'Riesgos de Gestión'!$AH$37="Leve"),CONCATENATE("R6C",'Riesgos de Gestión'!$V$37),"")</f>
        <v/>
      </c>
      <c r="L31" s="51" t="str">
        <f>IF(AND('Riesgos de Gestión'!$AF$38="Media",'Riesgos de Gestión'!$AH$38="Leve"),CONCATENATE("R6C",'Riesgos de Gestión'!$V$38),"")</f>
        <v/>
      </c>
      <c r="M31" s="51" t="str">
        <f>IF(AND('Riesgos de Gestión'!$AF$39="Media",'Riesgos de Gestión'!$AH$39="Leve"),CONCATENATE("R6C",'Riesgos de Gestión'!$V$39),"")</f>
        <v/>
      </c>
      <c r="N31" s="51" t="str">
        <f>IF(AND('Riesgos de Gestión'!$AF$40="Media",'Riesgos de Gestión'!$AH$40="Leve"),CONCATENATE("R6C",'Riesgos de Gestión'!$V$40),"")</f>
        <v/>
      </c>
      <c r="O31" s="52" t="str">
        <f>IF(AND('Riesgos de Gestión'!$AF$41="Media",'Riesgos de Gestión'!$AH$41="Leve"),CONCATENATE("R6C",'Riesgos de Gestión'!$V$41),"")</f>
        <v/>
      </c>
      <c r="P31" s="50" t="str">
        <f>IF(AND('Riesgos de Gestión'!$AF$36="Media",'Riesgos de Gestión'!$AH$36="Menor"),CONCATENATE("R6C",'Riesgos de Gestión'!$V$36),"")</f>
        <v/>
      </c>
      <c r="Q31" s="51" t="str">
        <f>IF(AND('Riesgos de Gestión'!$AF$37="Media",'Riesgos de Gestión'!$AH$37="Menor"),CONCATENATE("R6C",'Riesgos de Gestión'!$V$37),"")</f>
        <v/>
      </c>
      <c r="R31" s="51" t="str">
        <f>IF(AND('Riesgos de Gestión'!$AF$38="Media",'Riesgos de Gestión'!$AH$38="Menor"),CONCATENATE("R6C",'Riesgos de Gestión'!$V$38),"")</f>
        <v/>
      </c>
      <c r="S31" s="51" t="str">
        <f>IF(AND('Riesgos de Gestión'!$AF$39="Media",'Riesgos de Gestión'!$AH$39="Menor"),CONCATENATE("R6C",'Riesgos de Gestión'!$V$39),"")</f>
        <v/>
      </c>
      <c r="T31" s="51" t="str">
        <f>IF(AND('Riesgos de Gestión'!$AF$40="Media",'Riesgos de Gestión'!$AH$40="Menor"),CONCATENATE("R6C",'Riesgos de Gestión'!$V$40),"")</f>
        <v/>
      </c>
      <c r="U31" s="52" t="str">
        <f>IF(AND('Riesgos de Gestión'!$AF$41="Media",'Riesgos de Gestión'!$AH$41="Menor"),CONCATENATE("R6C",'Riesgos de Gestión'!$V$41),"")</f>
        <v/>
      </c>
      <c r="V31" s="50" t="str">
        <f>IF(AND('Riesgos de Gestión'!$AF$36="Media",'Riesgos de Gestión'!$AH$36="Moderado"),CONCATENATE("R6C",'Riesgos de Gestión'!$V$36),"")</f>
        <v/>
      </c>
      <c r="W31" s="51" t="str">
        <f>IF(AND('Riesgos de Gestión'!$AF$37="Media",'Riesgos de Gestión'!$AH$37="Moderado"),CONCATENATE("R6C",'Riesgos de Gestión'!$V$37),"")</f>
        <v/>
      </c>
      <c r="X31" s="51" t="str">
        <f>IF(AND('Riesgos de Gestión'!$AF$38="Media",'Riesgos de Gestión'!$AH$38="Moderado"),CONCATENATE("R6C",'Riesgos de Gestión'!$V$38),"")</f>
        <v/>
      </c>
      <c r="Y31" s="51" t="str">
        <f>IF(AND('Riesgos de Gestión'!$AF$39="Media",'Riesgos de Gestión'!$AH$39="Moderado"),CONCATENATE("R6C",'Riesgos de Gestión'!$V$39),"")</f>
        <v/>
      </c>
      <c r="Z31" s="51" t="str">
        <f>IF(AND('Riesgos de Gestión'!$AF$40="Media",'Riesgos de Gestión'!$AH$40="Moderado"),CONCATENATE("R6C",'Riesgos de Gestión'!$V$40),"")</f>
        <v/>
      </c>
      <c r="AA31" s="52" t="str">
        <f>IF(AND('Riesgos de Gestión'!$AF$41="Media",'Riesgos de Gestión'!$AH$41="Moderado"),CONCATENATE("R6C",'Riesgos de Gestión'!$V$41),"")</f>
        <v/>
      </c>
      <c r="AB31" s="35" t="str">
        <f>IF(AND('Riesgos de Gestión'!$AF$36="Media",'Riesgos de Gestión'!$AH$36="Mayor"),CONCATENATE("R6C",'Riesgos de Gestión'!$V$36),"")</f>
        <v/>
      </c>
      <c r="AC31" s="36" t="str">
        <f>IF(AND('Riesgos de Gestión'!$AF$37="Media",'Riesgos de Gestión'!$AH$37="Mayor"),CONCATENATE("R6C",'Riesgos de Gestión'!$V$37),"")</f>
        <v/>
      </c>
      <c r="AD31" s="36" t="str">
        <f>IF(AND('Riesgos de Gestión'!$AF$38="Media",'Riesgos de Gestión'!$AH$38="Mayor"),CONCATENATE("R6C",'Riesgos de Gestión'!$V$38),"")</f>
        <v/>
      </c>
      <c r="AE31" s="36" t="str">
        <f>IF(AND('Riesgos de Gestión'!$AF$39="Media",'Riesgos de Gestión'!$AH$39="Mayor"),CONCATENATE("R6C",'Riesgos de Gestión'!$V$39),"")</f>
        <v/>
      </c>
      <c r="AF31" s="36" t="str">
        <f>IF(AND('Riesgos de Gestión'!$AF$40="Media",'Riesgos de Gestión'!$AH$40="Mayor"),CONCATENATE("R6C",'Riesgos de Gestión'!$V$40),"")</f>
        <v/>
      </c>
      <c r="AG31" s="37" t="str">
        <f>IF(AND('Riesgos de Gestión'!$AF$41="Media",'Riesgos de Gestión'!$AH$41="Mayor"),CONCATENATE("R6C",'Riesgos de Gestión'!$V$41),"")</f>
        <v/>
      </c>
      <c r="AH31" s="38" t="str">
        <f>IF(AND('Riesgos de Gestión'!$AF$36="Media",'Riesgos de Gestión'!$AH$36="Catastrófico"),CONCATENATE("R6C",'Riesgos de Gestión'!$V$36),"")</f>
        <v/>
      </c>
      <c r="AI31" s="39" t="str">
        <f>IF(AND('Riesgos de Gestión'!$AF$37="Media",'Riesgos de Gestión'!$AH$37="Catastrófico"),CONCATENATE("R6C",'Riesgos de Gestión'!$V$37),"")</f>
        <v/>
      </c>
      <c r="AJ31" s="39" t="str">
        <f>IF(AND('Riesgos de Gestión'!$AF$38="Media",'Riesgos de Gestión'!$AH$38="Catastrófico"),CONCATENATE("R6C",'Riesgos de Gestión'!$V$38),"")</f>
        <v/>
      </c>
      <c r="AK31" s="39" t="str">
        <f>IF(AND('Riesgos de Gestión'!$AF$39="Media",'Riesgos de Gestión'!$AH$39="Catastrófico"),CONCATENATE("R6C",'Riesgos de Gestión'!$V$39),"")</f>
        <v/>
      </c>
      <c r="AL31" s="39" t="str">
        <f>IF(AND('Riesgos de Gestión'!$AF$40="Media",'Riesgos de Gestión'!$AH$40="Catastrófico"),CONCATENATE("R6C",'Riesgos de Gestión'!$V$40),"")</f>
        <v/>
      </c>
      <c r="AM31" s="40" t="str">
        <f>IF(AND('Riesgos de Gestión'!$AF$41="Media",'Riesgos de Gestión'!$AH$41="Catastrófico"),CONCATENATE("R6C",'Riesgos de Gestión'!$V$41),"")</f>
        <v/>
      </c>
      <c r="AN31" s="66"/>
      <c r="AO31" s="595"/>
      <c r="AP31" s="596"/>
      <c r="AQ31" s="596"/>
      <c r="AR31" s="596"/>
      <c r="AS31" s="596"/>
      <c r="AT31" s="597"/>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25">
      <c r="A32" s="66"/>
      <c r="B32" s="514"/>
      <c r="C32" s="514"/>
      <c r="D32" s="515"/>
      <c r="E32" s="555"/>
      <c r="F32" s="556"/>
      <c r="G32" s="556"/>
      <c r="H32" s="556"/>
      <c r="I32" s="557"/>
      <c r="J32" s="50" t="str">
        <f>IF(AND('Riesgos de Gestión'!$AF$42="Media",'Riesgos de Gestión'!$AH$42="Leve"),CONCATENATE("R7C",'Riesgos de Gestión'!$V$42),"")</f>
        <v/>
      </c>
      <c r="K32" s="51" t="str">
        <f>IF(AND('Riesgos de Gestión'!$AF$43="Media",'Riesgos de Gestión'!$AH$43="Leve"),CONCATENATE("R7C",'Riesgos de Gestión'!$V$43),"")</f>
        <v/>
      </c>
      <c r="L32" s="51" t="str">
        <f>IF(AND('Riesgos de Gestión'!$AF$44="Media",'Riesgos de Gestión'!$AH$44="Leve"),CONCATENATE("R7C",'Riesgos de Gestión'!$V$44),"")</f>
        <v/>
      </c>
      <c r="M32" s="51" t="str">
        <f>IF(AND('Riesgos de Gestión'!$AF$45="Media",'Riesgos de Gestión'!$AH$45="Leve"),CONCATENATE("R7C",'Riesgos de Gestión'!$V$45),"")</f>
        <v/>
      </c>
      <c r="N32" s="51" t="str">
        <f>IF(AND('Riesgos de Gestión'!$AF$46="Media",'Riesgos de Gestión'!$AH$46="Leve"),CONCATENATE("R7C",'Riesgos de Gestión'!$V$46),"")</f>
        <v/>
      </c>
      <c r="O32" s="52" t="str">
        <f>IF(AND('Riesgos de Gestión'!$AF$47="Media",'Riesgos de Gestión'!$AH$47="Leve"),CONCATENATE("R7C",'Riesgos de Gestión'!$V$47),"")</f>
        <v/>
      </c>
      <c r="P32" s="50" t="str">
        <f>IF(AND('Riesgos de Gestión'!$AF$42="Media",'Riesgos de Gestión'!$AH$42="Menor"),CONCATENATE("R7C",'Riesgos de Gestión'!$V$42),"")</f>
        <v/>
      </c>
      <c r="Q32" s="51" t="str">
        <f>IF(AND('Riesgos de Gestión'!$AF$43="Media",'Riesgos de Gestión'!$AH$43="Menor"),CONCATENATE("R7C",'Riesgos de Gestión'!$V$43),"")</f>
        <v/>
      </c>
      <c r="R32" s="51" t="str">
        <f>IF(AND('Riesgos de Gestión'!$AF$44="Media",'Riesgos de Gestión'!$AH$44="Menor"),CONCATENATE("R7C",'Riesgos de Gestión'!$V$44),"")</f>
        <v/>
      </c>
      <c r="S32" s="51" t="str">
        <f>IF(AND('Riesgos de Gestión'!$AF$45="Media",'Riesgos de Gestión'!$AH$45="Menor"),CONCATENATE("R7C",'Riesgos de Gestión'!$V$45),"")</f>
        <v/>
      </c>
      <c r="T32" s="51" t="str">
        <f>IF(AND('Riesgos de Gestión'!$AF$46="Media",'Riesgos de Gestión'!$AH$46="Menor"),CONCATENATE("R7C",'Riesgos de Gestión'!$V$46),"")</f>
        <v/>
      </c>
      <c r="U32" s="52" t="str">
        <f>IF(AND('Riesgos de Gestión'!$AF$47="Media",'Riesgos de Gestión'!$AH$47="Menor"),CONCATENATE("R7C",'Riesgos de Gestión'!$V$47),"")</f>
        <v/>
      </c>
      <c r="V32" s="50" t="str">
        <f>IF(AND('Riesgos de Gestión'!$AF$42="Media",'Riesgos de Gestión'!$AH$42="Moderado"),CONCATENATE("R7C",'Riesgos de Gestión'!$V$42),"")</f>
        <v/>
      </c>
      <c r="W32" s="51" t="str">
        <f>IF(AND('Riesgos de Gestión'!$AF$43="Media",'Riesgos de Gestión'!$AH$43="Moderado"),CONCATENATE("R7C",'Riesgos de Gestión'!$V$43),"")</f>
        <v/>
      </c>
      <c r="X32" s="51" t="str">
        <f>IF(AND('Riesgos de Gestión'!$AF$44="Media",'Riesgos de Gestión'!$AH$44="Moderado"),CONCATENATE("R7C",'Riesgos de Gestión'!$V$44),"")</f>
        <v/>
      </c>
      <c r="Y32" s="51" t="str">
        <f>IF(AND('Riesgos de Gestión'!$AF$45="Media",'Riesgos de Gestión'!$AH$45="Moderado"),CONCATENATE("R7C",'Riesgos de Gestión'!$V$45),"")</f>
        <v/>
      </c>
      <c r="Z32" s="51" t="str">
        <f>IF(AND('Riesgos de Gestión'!$AF$46="Media",'Riesgos de Gestión'!$AH$46="Moderado"),CONCATENATE("R7C",'Riesgos de Gestión'!$V$46),"")</f>
        <v/>
      </c>
      <c r="AA32" s="52" t="str">
        <f>IF(AND('Riesgos de Gestión'!$AF$47="Media",'Riesgos de Gestión'!$AH$47="Moderado"),CONCATENATE("R7C",'Riesgos de Gestión'!$V$47),"")</f>
        <v/>
      </c>
      <c r="AB32" s="35" t="str">
        <f>IF(AND('Riesgos de Gestión'!$AF$42="Media",'Riesgos de Gestión'!$AH$42="Mayor"),CONCATENATE("R7C",'Riesgos de Gestión'!$V$42),"")</f>
        <v/>
      </c>
      <c r="AC32" s="36" t="str">
        <f>IF(AND('Riesgos de Gestión'!$AF$43="Media",'Riesgos de Gestión'!$AH$43="Mayor"),CONCATENATE("R7C",'Riesgos de Gestión'!$V$43),"")</f>
        <v/>
      </c>
      <c r="AD32" s="36" t="str">
        <f>IF(AND('Riesgos de Gestión'!$AF$44="Media",'Riesgos de Gestión'!$AH$44="Mayor"),CONCATENATE("R7C",'Riesgos de Gestión'!$V$44),"")</f>
        <v/>
      </c>
      <c r="AE32" s="36" t="str">
        <f>IF(AND('Riesgos de Gestión'!$AF$45="Media",'Riesgos de Gestión'!$AH$45="Mayor"),CONCATENATE("R7C",'Riesgos de Gestión'!$V$45),"")</f>
        <v/>
      </c>
      <c r="AF32" s="36" t="str">
        <f>IF(AND('Riesgos de Gestión'!$AF$46="Media",'Riesgos de Gestión'!$AH$46="Mayor"),CONCATENATE("R7C",'Riesgos de Gestión'!$V$46),"")</f>
        <v/>
      </c>
      <c r="AG32" s="37" t="str">
        <f>IF(AND('Riesgos de Gestión'!$AF$47="Media",'Riesgos de Gestión'!$AH$47="Mayor"),CONCATENATE("R7C",'Riesgos de Gestión'!$V$47),"")</f>
        <v/>
      </c>
      <c r="AH32" s="38" t="str">
        <f>IF(AND('Riesgos de Gestión'!$AF$42="Media",'Riesgos de Gestión'!$AH$42="Catastrófico"),CONCATENATE("R7C",'Riesgos de Gestión'!$V$42),"")</f>
        <v/>
      </c>
      <c r="AI32" s="39" t="str">
        <f>IF(AND('Riesgos de Gestión'!$AF$43="Media",'Riesgos de Gestión'!$AH$43="Catastrófico"),CONCATENATE("R7C",'Riesgos de Gestión'!$V$43),"")</f>
        <v/>
      </c>
      <c r="AJ32" s="39" t="str">
        <f>IF(AND('Riesgos de Gestión'!$AF$44="Media",'Riesgos de Gestión'!$AH$44="Catastrófico"),CONCATENATE("R7C",'Riesgos de Gestión'!$V$44),"")</f>
        <v/>
      </c>
      <c r="AK32" s="39" t="str">
        <f>IF(AND('Riesgos de Gestión'!$AF$45="Media",'Riesgos de Gestión'!$AH$45="Catastrófico"),CONCATENATE("R7C",'Riesgos de Gestión'!$V$45),"")</f>
        <v/>
      </c>
      <c r="AL32" s="39" t="str">
        <f>IF(AND('Riesgos de Gestión'!$AF$46="Media",'Riesgos de Gestión'!$AH$46="Catastrófico"),CONCATENATE("R7C",'Riesgos de Gestión'!$V$46),"")</f>
        <v/>
      </c>
      <c r="AM32" s="40" t="str">
        <f>IF(AND('Riesgos de Gestión'!$AF$47="Media",'Riesgos de Gestión'!$AH$47="Catastrófico"),CONCATENATE("R7C",'Riesgos de Gestión'!$V$47),"")</f>
        <v/>
      </c>
      <c r="AN32" s="66"/>
      <c r="AO32" s="595"/>
      <c r="AP32" s="596"/>
      <c r="AQ32" s="596"/>
      <c r="AR32" s="596"/>
      <c r="AS32" s="596"/>
      <c r="AT32" s="597"/>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25">
      <c r="A33" s="66"/>
      <c r="B33" s="514"/>
      <c r="C33" s="514"/>
      <c r="D33" s="515"/>
      <c r="E33" s="555"/>
      <c r="F33" s="556"/>
      <c r="G33" s="556"/>
      <c r="H33" s="556"/>
      <c r="I33" s="557"/>
      <c r="J33" s="50" t="str">
        <f>IF(AND('Riesgos de Gestión'!$AF$48="Media",'Riesgos de Gestión'!$AH$48="Leve"),CONCATENATE("R8C",'Riesgos de Gestión'!$V$48),"")</f>
        <v/>
      </c>
      <c r="K33" s="51" t="str">
        <f>IF(AND('Riesgos de Gestión'!$AF$49="Media",'Riesgos de Gestión'!$AH$49="Leve"),CONCATENATE("R8C",'Riesgos de Gestión'!$V$49),"")</f>
        <v/>
      </c>
      <c r="L33" s="51" t="str">
        <f>IF(AND('Riesgos de Gestión'!$AF$50="Media",'Riesgos de Gestión'!$AH$50="Leve"),CONCATENATE("R8C",'Riesgos de Gestión'!$V$50),"")</f>
        <v/>
      </c>
      <c r="M33" s="51" t="str">
        <f>IF(AND('Riesgos de Gestión'!$AF$51="Media",'Riesgos de Gestión'!$AH$51="Leve"),CONCATENATE("R8C",'Riesgos de Gestión'!$V$51),"")</f>
        <v/>
      </c>
      <c r="N33" s="51" t="str">
        <f>IF(AND('Riesgos de Gestión'!$AF$52="Media",'Riesgos de Gestión'!$AH$52="Leve"),CONCATENATE("R8C",'Riesgos de Gestión'!$V$52),"")</f>
        <v/>
      </c>
      <c r="O33" s="52" t="str">
        <f>IF(AND('Riesgos de Gestión'!$AF$53="Media",'Riesgos de Gestión'!$AH$53="Leve"),CONCATENATE("R8C",'Riesgos de Gestión'!$V$53),"")</f>
        <v/>
      </c>
      <c r="P33" s="50" t="str">
        <f>IF(AND('Riesgos de Gestión'!$AF$48="Media",'Riesgos de Gestión'!$AH$48="Menor"),CONCATENATE("R8C",'Riesgos de Gestión'!$V$48),"")</f>
        <v/>
      </c>
      <c r="Q33" s="51" t="str">
        <f>IF(AND('Riesgos de Gestión'!$AF$49="Media",'Riesgos de Gestión'!$AH$49="Menor"),CONCATENATE("R8C",'Riesgos de Gestión'!$V$49),"")</f>
        <v/>
      </c>
      <c r="R33" s="51" t="str">
        <f>IF(AND('Riesgos de Gestión'!$AF$50="Media",'Riesgos de Gestión'!$AH$50="Menor"),CONCATENATE("R8C",'Riesgos de Gestión'!$V$50),"")</f>
        <v/>
      </c>
      <c r="S33" s="51" t="str">
        <f>IF(AND('Riesgos de Gestión'!$AF$51="Media",'Riesgos de Gestión'!$AH$51="Menor"),CONCATENATE("R8C",'Riesgos de Gestión'!$V$51),"")</f>
        <v/>
      </c>
      <c r="T33" s="51" t="str">
        <f>IF(AND('Riesgos de Gestión'!$AF$52="Media",'Riesgos de Gestión'!$AH$52="Menor"),CONCATENATE("R8C",'Riesgos de Gestión'!$V$52),"")</f>
        <v/>
      </c>
      <c r="U33" s="52" t="str">
        <f>IF(AND('Riesgos de Gestión'!$AF$53="Media",'Riesgos de Gestión'!$AH$53="Menor"),CONCATENATE("R8C",'Riesgos de Gestión'!$V$53),"")</f>
        <v/>
      </c>
      <c r="V33" s="50" t="str">
        <f>IF(AND('Riesgos de Gestión'!$AF$48="Media",'Riesgos de Gestión'!$AH$48="Moderado"),CONCATENATE("R8C",'Riesgos de Gestión'!$V$48),"")</f>
        <v/>
      </c>
      <c r="W33" s="51" t="str">
        <f>IF(AND('Riesgos de Gestión'!$AF$49="Media",'Riesgos de Gestión'!$AH$49="Moderado"),CONCATENATE("R8C",'Riesgos de Gestión'!$V$49),"")</f>
        <v/>
      </c>
      <c r="X33" s="51" t="str">
        <f>IF(AND('Riesgos de Gestión'!$AF$50="Media",'Riesgos de Gestión'!$AH$50="Moderado"),CONCATENATE("R8C",'Riesgos de Gestión'!$V$50),"")</f>
        <v/>
      </c>
      <c r="Y33" s="51" t="str">
        <f>IF(AND('Riesgos de Gestión'!$AF$51="Media",'Riesgos de Gestión'!$AH$51="Moderado"),CONCATENATE("R8C",'Riesgos de Gestión'!$V$51),"")</f>
        <v/>
      </c>
      <c r="Z33" s="51" t="str">
        <f>IF(AND('Riesgos de Gestión'!$AF$52="Media",'Riesgos de Gestión'!$AH$52="Moderado"),CONCATENATE("R8C",'Riesgos de Gestión'!$V$52),"")</f>
        <v/>
      </c>
      <c r="AA33" s="52" t="str">
        <f>IF(AND('Riesgos de Gestión'!$AF$53="Media",'Riesgos de Gestión'!$AH$53="Moderado"),CONCATENATE("R8C",'Riesgos de Gestión'!$V$53),"")</f>
        <v/>
      </c>
      <c r="AB33" s="35" t="str">
        <f>IF(AND('Riesgos de Gestión'!$AF$48="Media",'Riesgos de Gestión'!$AH$48="Mayor"),CONCATENATE("R8C",'Riesgos de Gestión'!$V$48),"")</f>
        <v/>
      </c>
      <c r="AC33" s="36" t="str">
        <f>IF(AND('Riesgos de Gestión'!$AF$49="Media",'Riesgos de Gestión'!$AH$49="Mayor"),CONCATENATE("R8C",'Riesgos de Gestión'!$V$49),"")</f>
        <v/>
      </c>
      <c r="AD33" s="36" t="str">
        <f>IF(AND('Riesgos de Gestión'!$AF$50="Media",'Riesgos de Gestión'!$AH$50="Mayor"),CONCATENATE("R8C",'Riesgos de Gestión'!$V$50),"")</f>
        <v/>
      </c>
      <c r="AE33" s="36" t="str">
        <f>IF(AND('Riesgos de Gestión'!$AF$51="Media",'Riesgos de Gestión'!$AH$51="Mayor"),CONCATENATE("R8C",'Riesgos de Gestión'!$V$51),"")</f>
        <v/>
      </c>
      <c r="AF33" s="36" t="str">
        <f>IF(AND('Riesgos de Gestión'!$AF$52="Media",'Riesgos de Gestión'!$AH$52="Mayor"),CONCATENATE("R8C",'Riesgos de Gestión'!$V$52),"")</f>
        <v/>
      </c>
      <c r="AG33" s="37" t="str">
        <f>IF(AND('Riesgos de Gestión'!$AF$53="Media",'Riesgos de Gestión'!$AH$53="Mayor"),CONCATENATE("R8C",'Riesgos de Gestión'!$V$53),"")</f>
        <v/>
      </c>
      <c r="AH33" s="38" t="str">
        <f>IF(AND('Riesgos de Gestión'!$AF$48="Media",'Riesgos de Gestión'!$AH$48="Catastrófico"),CONCATENATE("R8C",'Riesgos de Gestión'!$V$48),"")</f>
        <v/>
      </c>
      <c r="AI33" s="39" t="str">
        <f>IF(AND('Riesgos de Gestión'!$AF$49="Media",'Riesgos de Gestión'!$AH$49="Catastrófico"),CONCATENATE("R8C",'Riesgos de Gestión'!$V$49),"")</f>
        <v/>
      </c>
      <c r="AJ33" s="39" t="str">
        <f>IF(AND('Riesgos de Gestión'!$AF$50="Media",'Riesgos de Gestión'!$AH$50="Catastrófico"),CONCATENATE("R8C",'Riesgos de Gestión'!$V$50),"")</f>
        <v/>
      </c>
      <c r="AK33" s="39" t="str">
        <f>IF(AND('Riesgos de Gestión'!$AF$51="Media",'Riesgos de Gestión'!$AH$51="Catastrófico"),CONCATENATE("R8C",'Riesgos de Gestión'!$V$51),"")</f>
        <v/>
      </c>
      <c r="AL33" s="39" t="str">
        <f>IF(AND('Riesgos de Gestión'!$AF$52="Media",'Riesgos de Gestión'!$AH$52="Catastrófico"),CONCATENATE("R8C",'Riesgos de Gestión'!$V$52),"")</f>
        <v/>
      </c>
      <c r="AM33" s="40" t="str">
        <f>IF(AND('Riesgos de Gestión'!$AF$53="Media",'Riesgos de Gestión'!$AH$53="Catastrófico"),CONCATENATE("R8C",'Riesgos de Gestión'!$V$53),"")</f>
        <v/>
      </c>
      <c r="AN33" s="66"/>
      <c r="AO33" s="595"/>
      <c r="AP33" s="596"/>
      <c r="AQ33" s="596"/>
      <c r="AR33" s="596"/>
      <c r="AS33" s="596"/>
      <c r="AT33" s="597"/>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25">
      <c r="A34" s="66"/>
      <c r="B34" s="514"/>
      <c r="C34" s="514"/>
      <c r="D34" s="515"/>
      <c r="E34" s="555"/>
      <c r="F34" s="556"/>
      <c r="G34" s="556"/>
      <c r="H34" s="556"/>
      <c r="I34" s="557"/>
      <c r="J34" s="50" t="str">
        <f>IF(AND('Riesgos de Gestión'!$AF$54="Media",'Riesgos de Gestión'!$AH$54="Leve"),CONCATENATE("R9C",'Riesgos de Gestión'!$V$54),"")</f>
        <v/>
      </c>
      <c r="K34" s="51" t="str">
        <f>IF(AND('Riesgos de Gestión'!$AF$55="Media",'Riesgos de Gestión'!$AH$55="Leve"),CONCATENATE("R9C",'Riesgos de Gestión'!$V$55),"")</f>
        <v/>
      </c>
      <c r="L34" s="51" t="str">
        <f>IF(AND('Riesgos de Gestión'!$AF$56="Media",'Riesgos de Gestión'!$AH$56="Leve"),CONCATENATE("R9C",'Riesgos de Gestión'!$V$56),"")</f>
        <v/>
      </c>
      <c r="M34" s="51" t="str">
        <f>IF(AND('Riesgos de Gestión'!$AF$57="Media",'Riesgos de Gestión'!$AH$57="Leve"),CONCATENATE("R9C",'Riesgos de Gestión'!$V$57),"")</f>
        <v/>
      </c>
      <c r="N34" s="51" t="str">
        <f>IF(AND('Riesgos de Gestión'!$AF$58="Media",'Riesgos de Gestión'!$AH$58="Leve"),CONCATENATE("R9C",'Riesgos de Gestión'!$V$58),"")</f>
        <v/>
      </c>
      <c r="O34" s="52" t="str">
        <f>IF(AND('Riesgos de Gestión'!$AF$59="Media",'Riesgos de Gestión'!$AH$59="Leve"),CONCATENATE("R9C",'Riesgos de Gestión'!$V$59),"")</f>
        <v/>
      </c>
      <c r="P34" s="50" t="str">
        <f>IF(AND('Riesgos de Gestión'!$AF$54="Media",'Riesgos de Gestión'!$AH$54="Menor"),CONCATENATE("R9C",'Riesgos de Gestión'!$V$54),"")</f>
        <v/>
      </c>
      <c r="Q34" s="51" t="str">
        <f>IF(AND('Riesgos de Gestión'!$AF$55="Media",'Riesgos de Gestión'!$AH$55="Menor"),CONCATENATE("R9C",'Riesgos de Gestión'!$V$55),"")</f>
        <v/>
      </c>
      <c r="R34" s="51" t="str">
        <f>IF(AND('Riesgos de Gestión'!$AF$56="Media",'Riesgos de Gestión'!$AH$56="Menor"),CONCATENATE("R9C",'Riesgos de Gestión'!$V$56),"")</f>
        <v/>
      </c>
      <c r="S34" s="51" t="str">
        <f>IF(AND('Riesgos de Gestión'!$AF$57="Media",'Riesgos de Gestión'!$AH$57="Menor"),CONCATENATE("R9C",'Riesgos de Gestión'!$V$57),"")</f>
        <v/>
      </c>
      <c r="T34" s="51" t="str">
        <f>IF(AND('Riesgos de Gestión'!$AF$58="Media",'Riesgos de Gestión'!$AH$58="Menor"),CONCATENATE("R9C",'Riesgos de Gestión'!$V$58),"")</f>
        <v/>
      </c>
      <c r="U34" s="52" t="str">
        <f>IF(AND('Riesgos de Gestión'!$AF$59="Media",'Riesgos de Gestión'!$AH$59="Menor"),CONCATENATE("R9C",'Riesgos de Gestión'!$V$59),"")</f>
        <v/>
      </c>
      <c r="V34" s="50" t="str">
        <f>IF(AND('Riesgos de Gestión'!$AF$54="Media",'Riesgos de Gestión'!$AH$54="Moderado"),CONCATENATE("R9C",'Riesgos de Gestión'!$V$54),"")</f>
        <v/>
      </c>
      <c r="W34" s="51" t="str">
        <f>IF(AND('Riesgos de Gestión'!$AF$55="Media",'Riesgos de Gestión'!$AH$55="Moderado"),CONCATENATE("R9C",'Riesgos de Gestión'!$V$55),"")</f>
        <v/>
      </c>
      <c r="X34" s="51" t="str">
        <f>IF(AND('Riesgos de Gestión'!$AF$56="Media",'Riesgos de Gestión'!$AH$56="Moderado"),CONCATENATE("R9C",'Riesgos de Gestión'!$V$56),"")</f>
        <v/>
      </c>
      <c r="Y34" s="51" t="str">
        <f>IF(AND('Riesgos de Gestión'!$AF$57="Media",'Riesgos de Gestión'!$AH$57="Moderado"),CONCATENATE("R9C",'Riesgos de Gestión'!$V$57),"")</f>
        <v/>
      </c>
      <c r="Z34" s="51" t="str">
        <f>IF(AND('Riesgos de Gestión'!$AF$58="Media",'Riesgos de Gestión'!$AH$58="Moderado"),CONCATENATE("R9C",'Riesgos de Gestión'!$V$58),"")</f>
        <v/>
      </c>
      <c r="AA34" s="52" t="str">
        <f>IF(AND('Riesgos de Gestión'!$AF$59="Media",'Riesgos de Gestión'!$AH$59="Moderado"),CONCATENATE("R9C",'Riesgos de Gestión'!$V$59),"")</f>
        <v/>
      </c>
      <c r="AB34" s="35" t="str">
        <f>IF(AND('Riesgos de Gestión'!$AF$54="Media",'Riesgos de Gestión'!$AH$54="Mayor"),CONCATENATE("R9C",'Riesgos de Gestión'!$V$54),"")</f>
        <v/>
      </c>
      <c r="AC34" s="36" t="str">
        <f>IF(AND('Riesgos de Gestión'!$AF$55="Media",'Riesgos de Gestión'!$AH$55="Mayor"),CONCATENATE("R9C",'Riesgos de Gestión'!$V$55),"")</f>
        <v/>
      </c>
      <c r="AD34" s="36" t="str">
        <f>IF(AND('Riesgos de Gestión'!$AF$56="Media",'Riesgos de Gestión'!$AH$56="Mayor"),CONCATENATE("R9C",'Riesgos de Gestión'!$V$56),"")</f>
        <v/>
      </c>
      <c r="AE34" s="36" t="str">
        <f>IF(AND('Riesgos de Gestión'!$AF$57="Media",'Riesgos de Gestión'!$AH$57="Mayor"),CONCATENATE("R9C",'Riesgos de Gestión'!$V$57),"")</f>
        <v/>
      </c>
      <c r="AF34" s="36" t="str">
        <f>IF(AND('Riesgos de Gestión'!$AF$58="Media",'Riesgos de Gestión'!$AH$58="Mayor"),CONCATENATE("R9C",'Riesgos de Gestión'!$V$58),"")</f>
        <v/>
      </c>
      <c r="AG34" s="37" t="str">
        <f>IF(AND('Riesgos de Gestión'!$AF$59="Media",'Riesgos de Gestión'!$AH$59="Mayor"),CONCATENATE("R9C",'Riesgos de Gestión'!$V$59),"")</f>
        <v/>
      </c>
      <c r="AH34" s="38" t="str">
        <f>IF(AND('Riesgos de Gestión'!$AF$54="Media",'Riesgos de Gestión'!$AH$54="Catastrófico"),CONCATENATE("R9C",'Riesgos de Gestión'!$V$54),"")</f>
        <v/>
      </c>
      <c r="AI34" s="39" t="str">
        <f>IF(AND('Riesgos de Gestión'!$AF$55="Media",'Riesgos de Gestión'!$AH$55="Catastrófico"),CONCATENATE("R9C",'Riesgos de Gestión'!$V$55),"")</f>
        <v/>
      </c>
      <c r="AJ34" s="39" t="str">
        <f>IF(AND('Riesgos de Gestión'!$AF$56="Media",'Riesgos de Gestión'!$AH$56="Catastrófico"),CONCATENATE("R9C",'Riesgos de Gestión'!$V$56),"")</f>
        <v/>
      </c>
      <c r="AK34" s="39" t="str">
        <f>IF(AND('Riesgos de Gestión'!$AF$57="Media",'Riesgos de Gestión'!$AH$57="Catastrófico"),CONCATENATE("R9C",'Riesgos de Gestión'!$V$57),"")</f>
        <v/>
      </c>
      <c r="AL34" s="39" t="str">
        <f>IF(AND('Riesgos de Gestión'!$AF$58="Media",'Riesgos de Gestión'!$AH$58="Catastrófico"),CONCATENATE("R9C",'Riesgos de Gestión'!$V$58),"")</f>
        <v/>
      </c>
      <c r="AM34" s="40" t="str">
        <f>IF(AND('Riesgos de Gestión'!$AF$59="Media",'Riesgos de Gestión'!$AH$59="Catastrófico"),CONCATENATE("R9C",'Riesgos de Gestión'!$V$59),"")</f>
        <v/>
      </c>
      <c r="AN34" s="66"/>
      <c r="AO34" s="595"/>
      <c r="AP34" s="596"/>
      <c r="AQ34" s="596"/>
      <c r="AR34" s="596"/>
      <c r="AS34" s="596"/>
      <c r="AT34" s="597"/>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
      <c r="A35" s="66"/>
      <c r="B35" s="514"/>
      <c r="C35" s="514"/>
      <c r="D35" s="515"/>
      <c r="E35" s="558"/>
      <c r="F35" s="559"/>
      <c r="G35" s="559"/>
      <c r="H35" s="559"/>
      <c r="I35" s="560"/>
      <c r="J35" s="50" t="str">
        <f>IF(AND('Riesgos de Gestión'!$AF$60="Media",'Riesgos de Gestión'!$AH$60="Leve"),CONCATENATE("R10C",'Riesgos de Gestión'!$V$60),"")</f>
        <v/>
      </c>
      <c r="K35" s="51" t="str">
        <f>IF(AND('Riesgos de Gestión'!$AF$61="Media",'Riesgos de Gestión'!$AH$61="Leve"),CONCATENATE("R10C",'Riesgos de Gestión'!$V$61),"")</f>
        <v/>
      </c>
      <c r="L35" s="51" t="str">
        <f>IF(AND('Riesgos de Gestión'!$AF$62="Media",'Riesgos de Gestión'!$AH$62="Leve"),CONCATENATE("R10C",'Riesgos de Gestión'!$V$62),"")</f>
        <v/>
      </c>
      <c r="M35" s="51" t="str">
        <f>IF(AND('Riesgos de Gestión'!$AF$63="Media",'Riesgos de Gestión'!$AH$63="Leve"),CONCATENATE("R10C",'Riesgos de Gestión'!$V$63),"")</f>
        <v/>
      </c>
      <c r="N35" s="51" t="str">
        <f>IF(AND('Riesgos de Gestión'!$AF$64="Media",'Riesgos de Gestión'!$AH$64="Leve"),CONCATENATE("R10C",'Riesgos de Gestión'!$V$64),"")</f>
        <v/>
      </c>
      <c r="O35" s="52" t="str">
        <f>IF(AND('Riesgos de Gestión'!$AF$65="Media",'Riesgos de Gestión'!$AH$65="Leve"),CONCATENATE("R10C",'Riesgos de Gestión'!$V$65),"")</f>
        <v/>
      </c>
      <c r="P35" s="50" t="str">
        <f>IF(AND('Riesgos de Gestión'!$AF$60="Media",'Riesgos de Gestión'!$AH$60="Menor"),CONCATENATE("R10C",'Riesgos de Gestión'!$V$60),"")</f>
        <v/>
      </c>
      <c r="Q35" s="51" t="str">
        <f>IF(AND('Riesgos de Gestión'!$AF$61="Media",'Riesgos de Gestión'!$AH$61="Menor"),CONCATENATE("R10C",'Riesgos de Gestión'!$V$61),"")</f>
        <v/>
      </c>
      <c r="R35" s="51" t="str">
        <f>IF(AND('Riesgos de Gestión'!$AF$62="Media",'Riesgos de Gestión'!$AH$62="Menor"),CONCATENATE("R10C",'Riesgos de Gestión'!$V$62),"")</f>
        <v/>
      </c>
      <c r="S35" s="51" t="str">
        <f>IF(AND('Riesgos de Gestión'!$AF$63="Media",'Riesgos de Gestión'!$AH$63="Menor"),CONCATENATE("R10C",'Riesgos de Gestión'!$V$63),"")</f>
        <v/>
      </c>
      <c r="T35" s="51" t="str">
        <f>IF(AND('Riesgos de Gestión'!$AF$64="Media",'Riesgos de Gestión'!$AH$64="Menor"),CONCATENATE("R10C",'Riesgos de Gestión'!$V$64),"")</f>
        <v/>
      </c>
      <c r="U35" s="52" t="str">
        <f>IF(AND('Riesgos de Gestión'!$AF$65="Media",'Riesgos de Gestión'!$AH$65="Menor"),CONCATENATE("R10C",'Riesgos de Gestión'!$V$65),"")</f>
        <v/>
      </c>
      <c r="V35" s="50" t="str">
        <f>IF(AND('Riesgos de Gestión'!$AF$60="Media",'Riesgos de Gestión'!$AH$60="Moderado"),CONCATENATE("R10C",'Riesgos de Gestión'!$V$60),"")</f>
        <v/>
      </c>
      <c r="W35" s="51" t="str">
        <f>IF(AND('Riesgos de Gestión'!$AF$61="Media",'Riesgos de Gestión'!$AH$61="Moderado"),CONCATENATE("R10C",'Riesgos de Gestión'!$V$61),"")</f>
        <v/>
      </c>
      <c r="X35" s="51" t="str">
        <f>IF(AND('Riesgos de Gestión'!$AF$62="Media",'Riesgos de Gestión'!$AH$62="Moderado"),CONCATENATE("R10C",'Riesgos de Gestión'!$V$62),"")</f>
        <v/>
      </c>
      <c r="Y35" s="51" t="str">
        <f>IF(AND('Riesgos de Gestión'!$AF$63="Media",'Riesgos de Gestión'!$AH$63="Moderado"),CONCATENATE("R10C",'Riesgos de Gestión'!$V$63),"")</f>
        <v/>
      </c>
      <c r="Z35" s="51" t="str">
        <f>IF(AND('Riesgos de Gestión'!$AF$64="Media",'Riesgos de Gestión'!$AH$64="Moderado"),CONCATENATE("R10C",'Riesgos de Gestión'!$V$64),"")</f>
        <v/>
      </c>
      <c r="AA35" s="52" t="str">
        <f>IF(AND('Riesgos de Gestión'!$AF$65="Media",'Riesgos de Gestión'!$AH$65="Moderado"),CONCATENATE("R10C",'Riesgos de Gestión'!$V$65),"")</f>
        <v/>
      </c>
      <c r="AB35" s="41" t="str">
        <f>IF(AND('Riesgos de Gestión'!$AF$60="Media",'Riesgos de Gestión'!$AH$60="Mayor"),CONCATENATE("R10C",'Riesgos de Gestión'!$V$60),"")</f>
        <v/>
      </c>
      <c r="AC35" s="42" t="str">
        <f>IF(AND('Riesgos de Gestión'!$AF$61="Media",'Riesgos de Gestión'!$AH$61="Mayor"),CONCATENATE("R10C",'Riesgos de Gestión'!$V$61),"")</f>
        <v/>
      </c>
      <c r="AD35" s="42" t="str">
        <f>IF(AND('Riesgos de Gestión'!$AF$62="Media",'Riesgos de Gestión'!$AH$62="Mayor"),CONCATENATE("R10C",'Riesgos de Gestión'!$V$62),"")</f>
        <v/>
      </c>
      <c r="AE35" s="42" t="str">
        <f>IF(AND('Riesgos de Gestión'!$AF$63="Media",'Riesgos de Gestión'!$AH$63="Mayor"),CONCATENATE("R10C",'Riesgos de Gestión'!$V$63),"")</f>
        <v/>
      </c>
      <c r="AF35" s="42" t="str">
        <f>IF(AND('Riesgos de Gestión'!$AF$64="Media",'Riesgos de Gestión'!$AH$64="Mayor"),CONCATENATE("R10C",'Riesgos de Gestión'!$V$64),"")</f>
        <v/>
      </c>
      <c r="AG35" s="43" t="str">
        <f>IF(AND('Riesgos de Gestión'!$AF$65="Media",'Riesgos de Gestión'!$AH$65="Mayor"),CONCATENATE("R10C",'Riesgos de Gestión'!$V$65),"")</f>
        <v/>
      </c>
      <c r="AH35" s="44" t="str">
        <f>IF(AND('Riesgos de Gestión'!$AF$60="Media",'Riesgos de Gestión'!$AH$60="Catastrófico"),CONCATENATE("R10C",'Riesgos de Gestión'!$V$60),"")</f>
        <v/>
      </c>
      <c r="AI35" s="45" t="str">
        <f>IF(AND('Riesgos de Gestión'!$AF$61="Media",'Riesgos de Gestión'!$AH$61="Catastrófico"),CONCATENATE("R10C",'Riesgos de Gestión'!$V$61),"")</f>
        <v/>
      </c>
      <c r="AJ35" s="45" t="str">
        <f>IF(AND('Riesgos de Gestión'!$AF$62="Media",'Riesgos de Gestión'!$AH$62="Catastrófico"),CONCATENATE("R10C",'Riesgos de Gestión'!$V$62),"")</f>
        <v/>
      </c>
      <c r="AK35" s="45" t="str">
        <f>IF(AND('Riesgos de Gestión'!$AF$63="Media",'Riesgos de Gestión'!$AH$63="Catastrófico"),CONCATENATE("R10C",'Riesgos de Gestión'!$V$63),"")</f>
        <v/>
      </c>
      <c r="AL35" s="45" t="str">
        <f>IF(AND('Riesgos de Gestión'!$AF$64="Media",'Riesgos de Gestión'!$AH$64="Catastrófico"),CONCATENATE("R10C",'Riesgos de Gestión'!$V$64),"")</f>
        <v/>
      </c>
      <c r="AM35" s="46" t="str">
        <f>IF(AND('Riesgos de Gestión'!$AF$65="Media",'Riesgos de Gestión'!$AH$65="Catastrófico"),CONCATENATE("R10C",'Riesgos de Gestión'!$V$65),"")</f>
        <v/>
      </c>
      <c r="AN35" s="66"/>
      <c r="AO35" s="598"/>
      <c r="AP35" s="599"/>
      <c r="AQ35" s="599"/>
      <c r="AR35" s="599"/>
      <c r="AS35" s="599"/>
      <c r="AT35" s="600"/>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25">
      <c r="A36" s="66"/>
      <c r="B36" s="514"/>
      <c r="C36" s="514"/>
      <c r="D36" s="515"/>
      <c r="E36" s="552" t="s">
        <v>271</v>
      </c>
      <c r="F36" s="553"/>
      <c r="G36" s="553"/>
      <c r="H36" s="553"/>
      <c r="I36" s="553"/>
      <c r="J36" s="56" t="str">
        <f>IF(AND('Riesgos de Gestión'!$AF$13="Baja",'Riesgos de Gestión'!$AH$13="Leve"),CONCATENATE("R1C",'Riesgos de Gestión'!$V$13),"")</f>
        <v/>
      </c>
      <c r="K36" s="57" t="str">
        <f>IF(AND('Riesgos de Gestión'!$AF$14="Baja",'Riesgos de Gestión'!$AH$14="Leve"),CONCATENATE("R1C",'Riesgos de Gestión'!$V$14),"")</f>
        <v/>
      </c>
      <c r="L36" s="57" t="str">
        <f>IF(AND('Riesgos de Gestión'!$AF$15="Baja",'Riesgos de Gestión'!$AH$15="Leve"),CONCATENATE("R1C",'Riesgos de Gestión'!$V$15),"")</f>
        <v/>
      </c>
      <c r="M36" s="57" t="e">
        <f>IF(AND('Riesgos de Gestión'!#REF!="Baja",'Riesgos de Gestión'!#REF!="Leve"),CONCATENATE("R1C",'Riesgos de Gestión'!#REF!),"")</f>
        <v>#REF!</v>
      </c>
      <c r="N36" s="57" t="e">
        <f>IF(AND('Riesgos de Gestión'!#REF!="Baja",'Riesgos de Gestión'!#REF!="Leve"),CONCATENATE("R1C",'Riesgos de Gestión'!#REF!),"")</f>
        <v>#REF!</v>
      </c>
      <c r="O36" s="58" t="e">
        <f>IF(AND('Riesgos de Gestión'!#REF!="Baja",'Riesgos de Gestión'!#REF!="Leve"),CONCATENATE("R1C",'Riesgos de Gestión'!#REF!),"")</f>
        <v>#REF!</v>
      </c>
      <c r="P36" s="47" t="str">
        <f>IF(AND('Riesgos de Gestión'!$AF$13="Baja",'Riesgos de Gestión'!$AH$13="Menor"),CONCATENATE("R1C",'Riesgos de Gestión'!$V$13),"")</f>
        <v/>
      </c>
      <c r="Q36" s="48" t="str">
        <f>IF(AND('Riesgos de Gestión'!$AF$14="Baja",'Riesgos de Gestión'!$AH$14="Menor"),CONCATENATE("R1C",'Riesgos de Gestión'!$V$14),"")</f>
        <v>R1C2</v>
      </c>
      <c r="R36" s="48" t="str">
        <f>IF(AND('Riesgos de Gestión'!$AF$15="Baja",'Riesgos de Gestión'!$AH$15="Menor"),CONCATENATE("R1C",'Riesgos de Gestión'!$V$15),"")</f>
        <v>R1C3</v>
      </c>
      <c r="S36" s="48" t="e">
        <f>IF(AND('Riesgos de Gestión'!#REF!="Baja",'Riesgos de Gestión'!#REF!="Menor"),CONCATENATE("R1C",'Riesgos de Gestión'!#REF!),"")</f>
        <v>#REF!</v>
      </c>
      <c r="T36" s="48" t="e">
        <f>IF(AND('Riesgos de Gestión'!#REF!="Baja",'Riesgos de Gestión'!#REF!="Menor"),CONCATENATE("R1C",'Riesgos de Gestión'!#REF!),"")</f>
        <v>#REF!</v>
      </c>
      <c r="U36" s="49" t="e">
        <f>IF(AND('Riesgos de Gestión'!#REF!="Baja",'Riesgos de Gestión'!#REF!="Menor"),CONCATENATE("R1C",'Riesgos de Gestión'!#REF!),"")</f>
        <v>#REF!</v>
      </c>
      <c r="V36" s="47" t="str">
        <f>IF(AND('Riesgos de Gestión'!$AF$13="Baja",'Riesgos de Gestión'!$AH$13="Moderado"),CONCATENATE("R1C",'Riesgos de Gestión'!$V$13),"")</f>
        <v/>
      </c>
      <c r="W36" s="48" t="str">
        <f>IF(AND('Riesgos de Gestión'!$AF$14="Baja",'Riesgos de Gestión'!$AH$14="Moderado"),CONCATENATE("R1C",'Riesgos de Gestión'!$V$14),"")</f>
        <v/>
      </c>
      <c r="X36" s="48" t="str">
        <f>IF(AND('Riesgos de Gestión'!$AF$15="Baja",'Riesgos de Gestión'!$AH$15="Moderado"),CONCATENATE("R1C",'Riesgos de Gestión'!$V$15),"")</f>
        <v/>
      </c>
      <c r="Y36" s="48" t="e">
        <f>IF(AND('Riesgos de Gestión'!#REF!="Baja",'Riesgos de Gestión'!#REF!="Moderado"),CONCATENATE("R1C",'Riesgos de Gestión'!#REF!),"")</f>
        <v>#REF!</v>
      </c>
      <c r="Z36" s="48" t="e">
        <f>IF(AND('Riesgos de Gestión'!#REF!="Baja",'Riesgos de Gestión'!#REF!="Moderado"),CONCATENATE("R1C",'Riesgos de Gestión'!#REF!),"")</f>
        <v>#REF!</v>
      </c>
      <c r="AA36" s="49" t="e">
        <f>IF(AND('Riesgos de Gestión'!#REF!="Baja",'Riesgos de Gestión'!#REF!="Moderado"),CONCATENATE("R1C",'Riesgos de Gestión'!#REF!),"")</f>
        <v>#REF!</v>
      </c>
      <c r="AB36" s="29" t="str">
        <f>IF(AND('Riesgos de Gestión'!$AF$13="Baja",'Riesgos de Gestión'!$AH$13="Mayor"),CONCATENATE("R1C",'Riesgos de Gestión'!$V$13),"")</f>
        <v/>
      </c>
      <c r="AC36" s="30" t="str">
        <f>IF(AND('Riesgos de Gestión'!$AF$14="Baja",'Riesgos de Gestión'!$AH$14="Mayor"),CONCATENATE("R1C",'Riesgos de Gestión'!$V$14),"")</f>
        <v/>
      </c>
      <c r="AD36" s="30" t="str">
        <f>IF(AND('Riesgos de Gestión'!$AF$15="Baja",'Riesgos de Gestión'!$AH$15="Mayor"),CONCATENATE("R1C",'Riesgos de Gestión'!$V$15),"")</f>
        <v/>
      </c>
      <c r="AE36" s="30" t="e">
        <f>IF(AND('Riesgos de Gestión'!#REF!="Baja",'Riesgos de Gestión'!#REF!="Mayor"),CONCATENATE("R1C",'Riesgos de Gestión'!#REF!),"")</f>
        <v>#REF!</v>
      </c>
      <c r="AF36" s="30" t="e">
        <f>IF(AND('Riesgos de Gestión'!#REF!="Baja",'Riesgos de Gestión'!#REF!="Mayor"),CONCATENATE("R1C",'Riesgos de Gestión'!#REF!),"")</f>
        <v>#REF!</v>
      </c>
      <c r="AG36" s="31" t="e">
        <f>IF(AND('Riesgos de Gestión'!#REF!="Baja",'Riesgos de Gestión'!#REF!="Mayor"),CONCATENATE("R1C",'Riesgos de Gestión'!#REF!),"")</f>
        <v>#REF!</v>
      </c>
      <c r="AH36" s="32" t="str">
        <f>IF(AND('Riesgos de Gestión'!$AF$13="Baja",'Riesgos de Gestión'!$AH$13="Catastrófico"),CONCATENATE("R1C",'Riesgos de Gestión'!$V$13),"")</f>
        <v/>
      </c>
      <c r="AI36" s="33" t="str">
        <f>IF(AND('Riesgos de Gestión'!$AF$14="Baja",'Riesgos de Gestión'!$AH$14="Catastrófico"),CONCATENATE("R1C",'Riesgos de Gestión'!$V$14),"")</f>
        <v/>
      </c>
      <c r="AJ36" s="33" t="str">
        <f>IF(AND('Riesgos de Gestión'!$AF$15="Baja",'Riesgos de Gestión'!$AH$15="Catastrófico"),CONCATENATE("R1C",'Riesgos de Gestión'!$V$15),"")</f>
        <v/>
      </c>
      <c r="AK36" s="33" t="e">
        <f>IF(AND('Riesgos de Gestión'!#REF!="Baja",'Riesgos de Gestión'!#REF!="Catastrófico"),CONCATENATE("R1C",'Riesgos de Gestión'!#REF!),"")</f>
        <v>#REF!</v>
      </c>
      <c r="AL36" s="33" t="e">
        <f>IF(AND('Riesgos de Gestión'!#REF!="Baja",'Riesgos de Gestión'!#REF!="Catastrófico"),CONCATENATE("R1C",'Riesgos de Gestión'!#REF!),"")</f>
        <v>#REF!</v>
      </c>
      <c r="AM36" s="34" t="e">
        <f>IF(AND('Riesgos de Gestión'!#REF!="Baja",'Riesgos de Gestión'!#REF!="Catastrófico"),CONCATENATE("R1C",'Riesgos de Gestión'!#REF!),"")</f>
        <v>#REF!</v>
      </c>
      <c r="AN36" s="66"/>
      <c r="AO36" s="583" t="s">
        <v>272</v>
      </c>
      <c r="AP36" s="584"/>
      <c r="AQ36" s="584"/>
      <c r="AR36" s="584"/>
      <c r="AS36" s="584"/>
      <c r="AT36" s="585"/>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25">
      <c r="A37" s="66"/>
      <c r="B37" s="514"/>
      <c r="C37" s="514"/>
      <c r="D37" s="515"/>
      <c r="E37" s="571"/>
      <c r="F37" s="556"/>
      <c r="G37" s="556"/>
      <c r="H37" s="556"/>
      <c r="I37" s="556"/>
      <c r="J37" s="59" t="str">
        <f>IF(AND('Riesgos de Gestión'!$AF$16="Baja",'Riesgos de Gestión'!$AH$16="Leve"),CONCATENATE("R2C",'Riesgos de Gestión'!$V$16),"")</f>
        <v/>
      </c>
      <c r="K37" s="60" t="str">
        <f>IF(AND('Riesgos de Gestión'!$AF$17="Baja",'Riesgos de Gestión'!$AH$17="Leve"),CONCATENATE("R2C",'Riesgos de Gestión'!$V$17),"")</f>
        <v/>
      </c>
      <c r="L37" s="60" t="e">
        <f>IF(AND('Riesgos de Gestión'!#REF!="Baja",'Riesgos de Gestión'!#REF!="Leve"),CONCATENATE("R2C",'Riesgos de Gestión'!#REF!),"")</f>
        <v>#REF!</v>
      </c>
      <c r="M37" s="60" t="e">
        <f>IF(AND('Riesgos de Gestión'!#REF!="Baja",'Riesgos de Gestión'!#REF!="Leve"),CONCATENATE("R2C",'Riesgos de Gestión'!#REF!),"")</f>
        <v>#REF!</v>
      </c>
      <c r="N37" s="60" t="e">
        <f>IF(AND('Riesgos de Gestión'!#REF!="Baja",'Riesgos de Gestión'!#REF!="Leve"),CONCATENATE("R2C",'Riesgos de Gestión'!#REF!),"")</f>
        <v>#REF!</v>
      </c>
      <c r="O37" s="61" t="e">
        <f>IF(AND('Riesgos de Gestión'!#REF!="Baja",'Riesgos de Gestión'!#REF!="Leve"),CONCATENATE("R2C",'Riesgos de Gestión'!#REF!),"")</f>
        <v>#REF!</v>
      </c>
      <c r="P37" s="50" t="str">
        <f>IF(AND('Riesgos de Gestión'!$AF$16="Baja",'Riesgos de Gestión'!$AH$16="Menor"),CONCATENATE("R2C",'Riesgos de Gestión'!$V$16),"")</f>
        <v/>
      </c>
      <c r="Q37" s="51" t="str">
        <f>IF(AND('Riesgos de Gestión'!$AF$17="Baja",'Riesgos de Gestión'!$AH$17="Menor"),CONCATENATE("R2C",'Riesgos de Gestión'!$V$17),"")</f>
        <v>R2C2</v>
      </c>
      <c r="R37" s="51" t="e">
        <f>IF(AND('Riesgos de Gestión'!#REF!="Baja",'Riesgos de Gestión'!#REF!="Menor"),CONCATENATE("R2C",'Riesgos de Gestión'!#REF!),"")</f>
        <v>#REF!</v>
      </c>
      <c r="S37" s="51" t="e">
        <f>IF(AND('Riesgos de Gestión'!#REF!="Baja",'Riesgos de Gestión'!#REF!="Menor"),CONCATENATE("R2C",'Riesgos de Gestión'!#REF!),"")</f>
        <v>#REF!</v>
      </c>
      <c r="T37" s="51" t="e">
        <f>IF(AND('Riesgos de Gestión'!#REF!="Baja",'Riesgos de Gestión'!#REF!="Menor"),CONCATENATE("R2C",'Riesgos de Gestión'!#REF!),"")</f>
        <v>#REF!</v>
      </c>
      <c r="U37" s="52" t="e">
        <f>IF(AND('Riesgos de Gestión'!#REF!="Baja",'Riesgos de Gestión'!#REF!="Menor"),CONCATENATE("R2C",'Riesgos de Gestión'!#REF!),"")</f>
        <v>#REF!</v>
      </c>
      <c r="V37" s="50" t="str">
        <f>IF(AND('Riesgos de Gestión'!$AF$16="Baja",'Riesgos de Gestión'!$AH$16="Moderado"),CONCATENATE("R2C",'Riesgos de Gestión'!$V$16),"")</f>
        <v/>
      </c>
      <c r="W37" s="51" t="str">
        <f>IF(AND('Riesgos de Gestión'!$AF$17="Baja",'Riesgos de Gestión'!$AH$17="Moderado"),CONCATENATE("R2C",'Riesgos de Gestión'!$V$17),"")</f>
        <v/>
      </c>
      <c r="X37" s="51" t="e">
        <f>IF(AND('Riesgos de Gestión'!#REF!="Baja",'Riesgos de Gestión'!#REF!="Moderado"),CONCATENATE("R2C",'Riesgos de Gestión'!#REF!),"")</f>
        <v>#REF!</v>
      </c>
      <c r="Y37" s="51" t="e">
        <f>IF(AND('Riesgos de Gestión'!#REF!="Baja",'Riesgos de Gestión'!#REF!="Moderado"),CONCATENATE("R2C",'Riesgos de Gestión'!#REF!),"")</f>
        <v>#REF!</v>
      </c>
      <c r="Z37" s="51" t="e">
        <f>IF(AND('Riesgos de Gestión'!#REF!="Baja",'Riesgos de Gestión'!#REF!="Moderado"),CONCATENATE("R2C",'Riesgos de Gestión'!#REF!),"")</f>
        <v>#REF!</v>
      </c>
      <c r="AA37" s="52" t="e">
        <f>IF(AND('Riesgos de Gestión'!#REF!="Baja",'Riesgos de Gestión'!#REF!="Moderado"),CONCATENATE("R2C",'Riesgos de Gestión'!#REF!),"")</f>
        <v>#REF!</v>
      </c>
      <c r="AB37" s="35" t="str">
        <f>IF(AND('Riesgos de Gestión'!$AF$16="Baja",'Riesgos de Gestión'!$AH$16="Mayor"),CONCATENATE("R2C",'Riesgos de Gestión'!$V$16),"")</f>
        <v/>
      </c>
      <c r="AC37" s="36" t="str">
        <f>IF(AND('Riesgos de Gestión'!$AF$17="Baja",'Riesgos de Gestión'!$AH$17="Mayor"),CONCATENATE("R2C",'Riesgos de Gestión'!$V$17),"")</f>
        <v/>
      </c>
      <c r="AD37" s="36" t="e">
        <f>IF(AND('Riesgos de Gestión'!#REF!="Baja",'Riesgos de Gestión'!#REF!="Mayor"),CONCATENATE("R2C",'Riesgos de Gestión'!#REF!),"")</f>
        <v>#REF!</v>
      </c>
      <c r="AE37" s="36" t="e">
        <f>IF(AND('Riesgos de Gestión'!#REF!="Baja",'Riesgos de Gestión'!#REF!="Mayor"),CONCATENATE("R2C",'Riesgos de Gestión'!#REF!),"")</f>
        <v>#REF!</v>
      </c>
      <c r="AF37" s="36" t="e">
        <f>IF(AND('Riesgos de Gestión'!#REF!="Baja",'Riesgos de Gestión'!#REF!="Mayor"),CONCATENATE("R2C",'Riesgos de Gestión'!#REF!),"")</f>
        <v>#REF!</v>
      </c>
      <c r="AG37" s="37" t="e">
        <f>IF(AND('Riesgos de Gestión'!#REF!="Baja",'Riesgos de Gestión'!#REF!="Mayor"),CONCATENATE("R2C",'Riesgos de Gestión'!#REF!),"")</f>
        <v>#REF!</v>
      </c>
      <c r="AH37" s="38" t="str">
        <f>IF(AND('Riesgos de Gestión'!$AF$16="Baja",'Riesgos de Gestión'!$AH$16="Catastrófico"),CONCATENATE("R2C",'Riesgos de Gestión'!$V$16),"")</f>
        <v/>
      </c>
      <c r="AI37" s="39" t="str">
        <f>IF(AND('Riesgos de Gestión'!$AF$17="Baja",'Riesgos de Gestión'!$AH$17="Catastrófico"),CONCATENATE("R2C",'Riesgos de Gestión'!$V$17),"")</f>
        <v/>
      </c>
      <c r="AJ37" s="39" t="e">
        <f>IF(AND('Riesgos de Gestión'!#REF!="Baja",'Riesgos de Gestión'!#REF!="Catastrófico"),CONCATENATE("R2C",'Riesgos de Gestión'!#REF!),"")</f>
        <v>#REF!</v>
      </c>
      <c r="AK37" s="39" t="e">
        <f>IF(AND('Riesgos de Gestión'!#REF!="Baja",'Riesgos de Gestión'!#REF!="Catastrófico"),CONCATENATE("R2C",'Riesgos de Gestión'!#REF!),"")</f>
        <v>#REF!</v>
      </c>
      <c r="AL37" s="39" t="e">
        <f>IF(AND('Riesgos de Gestión'!#REF!="Baja",'Riesgos de Gestión'!#REF!="Catastrófico"),CONCATENATE("R2C",'Riesgos de Gestión'!#REF!),"")</f>
        <v>#REF!</v>
      </c>
      <c r="AM37" s="40" t="e">
        <f>IF(AND('Riesgos de Gestión'!#REF!="Baja",'Riesgos de Gestión'!#REF!="Catastrófico"),CONCATENATE("R2C",'Riesgos de Gestión'!#REF!),"")</f>
        <v>#REF!</v>
      </c>
      <c r="AN37" s="66"/>
      <c r="AO37" s="586"/>
      <c r="AP37" s="587"/>
      <c r="AQ37" s="587"/>
      <c r="AR37" s="587"/>
      <c r="AS37" s="587"/>
      <c r="AT37" s="588"/>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25">
      <c r="A38" s="66"/>
      <c r="B38" s="514"/>
      <c r="C38" s="514"/>
      <c r="D38" s="515"/>
      <c r="E38" s="555"/>
      <c r="F38" s="556"/>
      <c r="G38" s="556"/>
      <c r="H38" s="556"/>
      <c r="I38" s="556"/>
      <c r="J38" s="59" t="str">
        <f>IF(AND('Riesgos de Gestión'!$AF$18="Baja",'Riesgos de Gestión'!$AH$18="Leve"),CONCATENATE("R3C",'Riesgos de Gestión'!$V$18),"")</f>
        <v/>
      </c>
      <c r="K38" s="60" t="str">
        <f>IF(AND('Riesgos de Gestión'!$AF$19="Baja",'Riesgos de Gestión'!$AH$19="Leve"),CONCATENATE("R3C",'Riesgos de Gestión'!$V$19),"")</f>
        <v/>
      </c>
      <c r="L38" s="60" t="str">
        <f>IF(AND('Riesgos de Gestión'!$AF$20="Baja",'Riesgos de Gestión'!$AH$20="Leve"),CONCATENATE("R3C",'Riesgos de Gestión'!$V$20),"")</f>
        <v/>
      </c>
      <c r="M38" s="60" t="str">
        <f>IF(AND('Riesgos de Gestión'!$AF$21="Baja",'Riesgos de Gestión'!$AH$21="Leve"),CONCATENATE("R3C",'Riesgos de Gestión'!$V$21),"")</f>
        <v/>
      </c>
      <c r="N38" s="60" t="str">
        <f>IF(AND('Riesgos de Gestión'!$AF$22="Baja",'Riesgos de Gestión'!$AH$22="Leve"),CONCATENATE("R3C",'Riesgos de Gestión'!$V$22),"")</f>
        <v/>
      </c>
      <c r="O38" s="61" t="str">
        <f>IF(AND('Riesgos de Gestión'!$AF$23="Baja",'Riesgos de Gestión'!$AH$23="Leve"),CONCATENATE("R3C",'Riesgos de Gestión'!$V$23),"")</f>
        <v/>
      </c>
      <c r="P38" s="50" t="str">
        <f>IF(AND('Riesgos de Gestión'!$AF$18="Baja",'Riesgos de Gestión'!$AH$18="Menor"),CONCATENATE("R3C",'Riesgos de Gestión'!$V$18),"")</f>
        <v/>
      </c>
      <c r="Q38" s="51" t="str">
        <f>IF(AND('Riesgos de Gestión'!$AF$19="Baja",'Riesgos de Gestión'!$AH$19="Menor"),CONCATENATE("R3C",'Riesgos de Gestión'!$V$19),"")</f>
        <v/>
      </c>
      <c r="R38" s="51" t="str">
        <f>IF(AND('Riesgos de Gestión'!$AF$20="Baja",'Riesgos de Gestión'!$AH$20="Menor"),CONCATENATE("R3C",'Riesgos de Gestión'!$V$20),"")</f>
        <v/>
      </c>
      <c r="S38" s="51" t="str">
        <f>IF(AND('Riesgos de Gestión'!$AF$21="Baja",'Riesgos de Gestión'!$AH$21="Menor"),CONCATENATE("R3C",'Riesgos de Gestión'!$V$21),"")</f>
        <v/>
      </c>
      <c r="T38" s="51" t="str">
        <f>IF(AND('Riesgos de Gestión'!$AF$22="Baja",'Riesgos de Gestión'!$AH$22="Menor"),CONCATENATE("R3C",'Riesgos de Gestión'!$V$22),"")</f>
        <v/>
      </c>
      <c r="U38" s="52" t="str">
        <f>IF(AND('Riesgos de Gestión'!$AF$23="Baja",'Riesgos de Gestión'!$AH$23="Menor"),CONCATENATE("R3C",'Riesgos de Gestión'!$V$23),"")</f>
        <v/>
      </c>
      <c r="V38" s="50" t="str">
        <f>IF(AND('Riesgos de Gestión'!$AF$18="Baja",'Riesgos de Gestión'!$AH$18="Moderado"),CONCATENATE("R3C",'Riesgos de Gestión'!$V$18),"")</f>
        <v/>
      </c>
      <c r="W38" s="51" t="str">
        <f>IF(AND('Riesgos de Gestión'!$AF$19="Baja",'Riesgos de Gestión'!$AH$19="Moderado"),CONCATENATE("R3C",'Riesgos de Gestión'!$V$19),"")</f>
        <v/>
      </c>
      <c r="X38" s="51" t="str">
        <f>IF(AND('Riesgos de Gestión'!$AF$20="Baja",'Riesgos de Gestión'!$AH$20="Moderado"),CONCATENATE("R3C",'Riesgos de Gestión'!$V$20),"")</f>
        <v/>
      </c>
      <c r="Y38" s="51" t="str">
        <f>IF(AND('Riesgos de Gestión'!$AF$21="Baja",'Riesgos de Gestión'!$AH$21="Moderado"),CONCATENATE("R3C",'Riesgos de Gestión'!$V$21),"")</f>
        <v/>
      </c>
      <c r="Z38" s="51" t="str">
        <f>IF(AND('Riesgos de Gestión'!$AF$22="Baja",'Riesgos de Gestión'!$AH$22="Moderado"),CONCATENATE("R3C",'Riesgos de Gestión'!$V$22),"")</f>
        <v/>
      </c>
      <c r="AA38" s="52" t="str">
        <f>IF(AND('Riesgos de Gestión'!$AF$23="Baja",'Riesgos de Gestión'!$AH$23="Moderado"),CONCATENATE("R3C",'Riesgos de Gestión'!$V$23),"")</f>
        <v/>
      </c>
      <c r="AB38" s="35" t="str">
        <f>IF(AND('Riesgos de Gestión'!$AF$18="Baja",'Riesgos de Gestión'!$AH$18="Mayor"),CONCATENATE("R3C",'Riesgos de Gestión'!$V$18),"")</f>
        <v/>
      </c>
      <c r="AC38" s="36" t="str">
        <f>IF(AND('Riesgos de Gestión'!$AF$19="Baja",'Riesgos de Gestión'!$AH$19="Mayor"),CONCATENATE("R3C",'Riesgos de Gestión'!$V$19),"")</f>
        <v/>
      </c>
      <c r="AD38" s="36" t="str">
        <f>IF(AND('Riesgos de Gestión'!$AF$20="Baja",'Riesgos de Gestión'!$AH$20="Mayor"),CONCATENATE("R3C",'Riesgos de Gestión'!$V$20),"")</f>
        <v/>
      </c>
      <c r="AE38" s="36" t="str">
        <f>IF(AND('Riesgos de Gestión'!$AF$21="Baja",'Riesgos de Gestión'!$AH$21="Mayor"),CONCATENATE("R3C",'Riesgos de Gestión'!$V$21),"")</f>
        <v/>
      </c>
      <c r="AF38" s="36" t="str">
        <f>IF(AND('Riesgos de Gestión'!$AF$22="Baja",'Riesgos de Gestión'!$AH$22="Mayor"),CONCATENATE("R3C",'Riesgos de Gestión'!$V$22),"")</f>
        <v/>
      </c>
      <c r="AG38" s="37" t="str">
        <f>IF(AND('Riesgos de Gestión'!$AF$23="Baja",'Riesgos de Gestión'!$AH$23="Mayor"),CONCATENATE("R3C",'Riesgos de Gestión'!$V$23),"")</f>
        <v/>
      </c>
      <c r="AH38" s="38" t="str">
        <f>IF(AND('Riesgos de Gestión'!$AF$18="Baja",'Riesgos de Gestión'!$AH$18="Catastrófico"),CONCATENATE("R3C",'Riesgos de Gestión'!$V$18),"")</f>
        <v/>
      </c>
      <c r="AI38" s="39" t="str">
        <f>IF(AND('Riesgos de Gestión'!$AF$19="Baja",'Riesgos de Gestión'!$AH$19="Catastrófico"),CONCATENATE("R3C",'Riesgos de Gestión'!$V$19),"")</f>
        <v/>
      </c>
      <c r="AJ38" s="39" t="str">
        <f>IF(AND('Riesgos de Gestión'!$AF$20="Baja",'Riesgos de Gestión'!$AH$20="Catastrófico"),CONCATENATE("R3C",'Riesgos de Gestión'!$V$20),"")</f>
        <v/>
      </c>
      <c r="AK38" s="39" t="str">
        <f>IF(AND('Riesgos de Gestión'!$AF$21="Baja",'Riesgos de Gestión'!$AH$21="Catastrófico"),CONCATENATE("R3C",'Riesgos de Gestión'!$V$21),"")</f>
        <v/>
      </c>
      <c r="AL38" s="39" t="str">
        <f>IF(AND('Riesgos de Gestión'!$AF$22="Baja",'Riesgos de Gestión'!$AH$22="Catastrófico"),CONCATENATE("R3C",'Riesgos de Gestión'!$V$22),"")</f>
        <v/>
      </c>
      <c r="AM38" s="40" t="str">
        <f>IF(AND('Riesgos de Gestión'!$AF$23="Baja",'Riesgos de Gestión'!$AH$23="Catastrófico"),CONCATENATE("R3C",'Riesgos de Gestión'!$V$23),"")</f>
        <v/>
      </c>
      <c r="AN38" s="66"/>
      <c r="AO38" s="586"/>
      <c r="AP38" s="587"/>
      <c r="AQ38" s="587"/>
      <c r="AR38" s="587"/>
      <c r="AS38" s="587"/>
      <c r="AT38" s="588"/>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25">
      <c r="A39" s="66"/>
      <c r="B39" s="514"/>
      <c r="C39" s="514"/>
      <c r="D39" s="515"/>
      <c r="E39" s="555"/>
      <c r="F39" s="556"/>
      <c r="G39" s="556"/>
      <c r="H39" s="556"/>
      <c r="I39" s="556"/>
      <c r="J39" s="59" t="str">
        <f>IF(AND('Riesgos de Gestión'!$AF$24="Baja",'Riesgos de Gestión'!$AH$24="Leve"),CONCATENATE("R4C",'Riesgos de Gestión'!$V$24),"")</f>
        <v/>
      </c>
      <c r="K39" s="60" t="str">
        <f>IF(AND('Riesgos de Gestión'!$AF$25="Baja",'Riesgos de Gestión'!$AH$25="Leve"),CONCATENATE("R4C",'Riesgos de Gestión'!$V$25),"")</f>
        <v/>
      </c>
      <c r="L39" s="60" t="str">
        <f>IF(AND('Riesgos de Gestión'!$AF$26="Baja",'Riesgos de Gestión'!$AH$26="Leve"),CONCATENATE("R4C",'Riesgos de Gestión'!$V$26),"")</f>
        <v/>
      </c>
      <c r="M39" s="60" t="str">
        <f>IF(AND('Riesgos de Gestión'!$AF$27="Baja",'Riesgos de Gestión'!$AH$27="Leve"),CONCATENATE("R4C",'Riesgos de Gestión'!$V$27),"")</f>
        <v/>
      </c>
      <c r="N39" s="60" t="str">
        <f>IF(AND('Riesgos de Gestión'!$AF$28="Baja",'Riesgos de Gestión'!$AH$28="Leve"),CONCATENATE("R4C",'Riesgos de Gestión'!$V$28),"")</f>
        <v/>
      </c>
      <c r="O39" s="61" t="str">
        <f>IF(AND('Riesgos de Gestión'!$AF$29="Baja",'Riesgos de Gestión'!$AH$29="Leve"),CONCATENATE("R4C",'Riesgos de Gestión'!$V$29),"")</f>
        <v/>
      </c>
      <c r="P39" s="50" t="str">
        <f>IF(AND('Riesgos de Gestión'!$AF$24="Baja",'Riesgos de Gestión'!$AH$24="Menor"),CONCATENATE("R4C",'Riesgos de Gestión'!$V$24),"")</f>
        <v/>
      </c>
      <c r="Q39" s="51" t="str">
        <f>IF(AND('Riesgos de Gestión'!$AF$25="Baja",'Riesgos de Gestión'!$AH$25="Menor"),CONCATENATE("R4C",'Riesgos de Gestión'!$V$25),"")</f>
        <v/>
      </c>
      <c r="R39" s="51" t="str">
        <f>IF(AND('Riesgos de Gestión'!$AF$26="Baja",'Riesgos de Gestión'!$AH$26="Menor"),CONCATENATE("R4C",'Riesgos de Gestión'!$V$26),"")</f>
        <v/>
      </c>
      <c r="S39" s="51" t="str">
        <f>IF(AND('Riesgos de Gestión'!$AF$27="Baja",'Riesgos de Gestión'!$AH$27="Menor"),CONCATENATE("R4C",'Riesgos de Gestión'!$V$27),"")</f>
        <v/>
      </c>
      <c r="T39" s="51" t="str">
        <f>IF(AND('Riesgos de Gestión'!$AF$28="Baja",'Riesgos de Gestión'!$AH$28="Menor"),CONCATENATE("R4C",'Riesgos de Gestión'!$V$28),"")</f>
        <v/>
      </c>
      <c r="U39" s="52" t="str">
        <f>IF(AND('Riesgos de Gestión'!$AF$29="Baja",'Riesgos de Gestión'!$AH$29="Menor"),CONCATENATE("R4C",'Riesgos de Gestión'!$V$29),"")</f>
        <v/>
      </c>
      <c r="V39" s="50" t="str">
        <f>IF(AND('Riesgos de Gestión'!$AF$24="Baja",'Riesgos de Gestión'!$AH$24="Moderado"),CONCATENATE("R4C",'Riesgos de Gestión'!$V$24),"")</f>
        <v/>
      </c>
      <c r="W39" s="51" t="str">
        <f>IF(AND('Riesgos de Gestión'!$AF$25="Baja",'Riesgos de Gestión'!$AH$25="Moderado"),CONCATENATE("R4C",'Riesgos de Gestión'!$V$25),"")</f>
        <v/>
      </c>
      <c r="X39" s="51" t="str">
        <f>IF(AND('Riesgos de Gestión'!$AF$26="Baja",'Riesgos de Gestión'!$AH$26="Moderado"),CONCATENATE("R4C",'Riesgos de Gestión'!$V$26),"")</f>
        <v/>
      </c>
      <c r="Y39" s="51" t="str">
        <f>IF(AND('Riesgos de Gestión'!$AF$27="Baja",'Riesgos de Gestión'!$AH$27="Moderado"),CONCATENATE("R4C",'Riesgos de Gestión'!$V$27),"")</f>
        <v/>
      </c>
      <c r="Z39" s="51" t="str">
        <f>IF(AND('Riesgos de Gestión'!$AF$28="Baja",'Riesgos de Gestión'!$AH$28="Moderado"),CONCATENATE("R4C",'Riesgos de Gestión'!$V$28),"")</f>
        <v/>
      </c>
      <c r="AA39" s="52" t="str">
        <f>IF(AND('Riesgos de Gestión'!$AF$29="Baja",'Riesgos de Gestión'!$AH$29="Moderado"),CONCATENATE("R4C",'Riesgos de Gestión'!$V$29),"")</f>
        <v/>
      </c>
      <c r="AB39" s="35" t="str">
        <f>IF(AND('Riesgos de Gestión'!$AF$24="Baja",'Riesgos de Gestión'!$AH$24="Mayor"),CONCATENATE("R4C",'Riesgos de Gestión'!$V$24),"")</f>
        <v/>
      </c>
      <c r="AC39" s="36" t="str">
        <f>IF(AND('Riesgos de Gestión'!$AF$25="Baja",'Riesgos de Gestión'!$AH$25="Mayor"),CONCATENATE("R4C",'Riesgos de Gestión'!$V$25),"")</f>
        <v/>
      </c>
      <c r="AD39" s="36" t="str">
        <f>IF(AND('Riesgos de Gestión'!$AF$26="Baja",'Riesgos de Gestión'!$AH$26="Mayor"),CONCATENATE("R4C",'Riesgos de Gestión'!$V$26),"")</f>
        <v/>
      </c>
      <c r="AE39" s="36" t="str">
        <f>IF(AND('Riesgos de Gestión'!$AF$27="Baja",'Riesgos de Gestión'!$AH$27="Mayor"),CONCATENATE("R4C",'Riesgos de Gestión'!$V$27),"")</f>
        <v/>
      </c>
      <c r="AF39" s="36" t="str">
        <f>IF(AND('Riesgos de Gestión'!$AF$28="Baja",'Riesgos de Gestión'!$AH$28="Mayor"),CONCATENATE("R4C",'Riesgos de Gestión'!$V$28),"")</f>
        <v/>
      </c>
      <c r="AG39" s="37" t="str">
        <f>IF(AND('Riesgos de Gestión'!$AF$29="Baja",'Riesgos de Gestión'!$AH$29="Mayor"),CONCATENATE("R4C",'Riesgos de Gestión'!$V$29),"")</f>
        <v/>
      </c>
      <c r="AH39" s="38" t="str">
        <f>IF(AND('Riesgos de Gestión'!$AF$24="Baja",'Riesgos de Gestión'!$AH$24="Catastrófico"),CONCATENATE("R4C",'Riesgos de Gestión'!$V$24),"")</f>
        <v/>
      </c>
      <c r="AI39" s="39" t="str">
        <f>IF(AND('Riesgos de Gestión'!$AF$25="Baja",'Riesgos de Gestión'!$AH$25="Catastrófico"),CONCATENATE("R4C",'Riesgos de Gestión'!$V$25),"")</f>
        <v/>
      </c>
      <c r="AJ39" s="39" t="str">
        <f>IF(AND('Riesgos de Gestión'!$AF$26="Baja",'Riesgos de Gestión'!$AH$26="Catastrófico"),CONCATENATE("R4C",'Riesgos de Gestión'!$V$26),"")</f>
        <v/>
      </c>
      <c r="AK39" s="39" t="str">
        <f>IF(AND('Riesgos de Gestión'!$AF$27="Baja",'Riesgos de Gestión'!$AH$27="Catastrófico"),CONCATENATE("R4C",'Riesgos de Gestión'!$V$27),"")</f>
        <v/>
      </c>
      <c r="AL39" s="39" t="str">
        <f>IF(AND('Riesgos de Gestión'!$AF$28="Baja",'Riesgos de Gestión'!$AH$28="Catastrófico"),CONCATENATE("R4C",'Riesgos de Gestión'!$V$28),"")</f>
        <v/>
      </c>
      <c r="AM39" s="40" t="str">
        <f>IF(AND('Riesgos de Gestión'!$AF$29="Baja",'Riesgos de Gestión'!$AH$29="Catastrófico"),CONCATENATE("R4C",'Riesgos de Gestión'!$V$29),"")</f>
        <v/>
      </c>
      <c r="AN39" s="66"/>
      <c r="AO39" s="586"/>
      <c r="AP39" s="587"/>
      <c r="AQ39" s="587"/>
      <c r="AR39" s="587"/>
      <c r="AS39" s="587"/>
      <c r="AT39" s="588"/>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25">
      <c r="A40" s="66"/>
      <c r="B40" s="514"/>
      <c r="C40" s="514"/>
      <c r="D40" s="515"/>
      <c r="E40" s="555"/>
      <c r="F40" s="556"/>
      <c r="G40" s="556"/>
      <c r="H40" s="556"/>
      <c r="I40" s="556"/>
      <c r="J40" s="59" t="str">
        <f>IF(AND('Riesgos de Gestión'!$AF$30="Baja",'Riesgos de Gestión'!$AH$30="Leve"),CONCATENATE("R5C",'Riesgos de Gestión'!$V$30),"")</f>
        <v/>
      </c>
      <c r="K40" s="60" t="str">
        <f>IF(AND('Riesgos de Gestión'!$AF$31="Baja",'Riesgos de Gestión'!$AH$31="Leve"),CONCATENATE("R5C",'Riesgos de Gestión'!$V$31),"")</f>
        <v/>
      </c>
      <c r="L40" s="60" t="str">
        <f>IF(AND('Riesgos de Gestión'!$AF$32="Baja",'Riesgos de Gestión'!$AH$32="Leve"),CONCATENATE("R5C",'Riesgos de Gestión'!$V$32),"")</f>
        <v/>
      </c>
      <c r="M40" s="60" t="str">
        <f>IF(AND('Riesgos de Gestión'!$AF$33="Baja",'Riesgos de Gestión'!$AH$33="Leve"),CONCATENATE("R5C",'Riesgos de Gestión'!$V$33),"")</f>
        <v/>
      </c>
      <c r="N40" s="60" t="str">
        <f>IF(AND('Riesgos de Gestión'!$AF$34="Baja",'Riesgos de Gestión'!$AH$34="Leve"),CONCATENATE("R5C",'Riesgos de Gestión'!$V$34),"")</f>
        <v/>
      </c>
      <c r="O40" s="61" t="str">
        <f>IF(AND('Riesgos de Gestión'!$AF$35="Baja",'Riesgos de Gestión'!$AH$35="Leve"),CONCATENATE("R5C",'Riesgos de Gestión'!$V$35),"")</f>
        <v/>
      </c>
      <c r="P40" s="50" t="str">
        <f>IF(AND('Riesgos de Gestión'!$AF$30="Baja",'Riesgos de Gestión'!$AH$30="Menor"),CONCATENATE("R5C",'Riesgos de Gestión'!$V$30),"")</f>
        <v/>
      </c>
      <c r="Q40" s="51" t="str">
        <f>IF(AND('Riesgos de Gestión'!$AF$31="Baja",'Riesgos de Gestión'!$AH$31="Menor"),CONCATENATE("R5C",'Riesgos de Gestión'!$V$31),"")</f>
        <v/>
      </c>
      <c r="R40" s="51" t="str">
        <f>IF(AND('Riesgos de Gestión'!$AF$32="Baja",'Riesgos de Gestión'!$AH$32="Menor"),CONCATENATE("R5C",'Riesgos de Gestión'!$V$32),"")</f>
        <v/>
      </c>
      <c r="S40" s="51" t="str">
        <f>IF(AND('Riesgos de Gestión'!$AF$33="Baja",'Riesgos de Gestión'!$AH$33="Menor"),CONCATENATE("R5C",'Riesgos de Gestión'!$V$33),"")</f>
        <v/>
      </c>
      <c r="T40" s="51" t="str">
        <f>IF(AND('Riesgos de Gestión'!$AF$34="Baja",'Riesgos de Gestión'!$AH$34="Menor"),CONCATENATE("R5C",'Riesgos de Gestión'!$V$34),"")</f>
        <v/>
      </c>
      <c r="U40" s="52" t="str">
        <f>IF(AND('Riesgos de Gestión'!$AF$35="Baja",'Riesgos de Gestión'!$AH$35="Menor"),CONCATENATE("R5C",'Riesgos de Gestión'!$V$35),"")</f>
        <v/>
      </c>
      <c r="V40" s="50" t="str">
        <f>IF(AND('Riesgos de Gestión'!$AF$30="Baja",'Riesgos de Gestión'!$AH$30="Moderado"),CONCATENATE("R5C",'Riesgos de Gestión'!$V$30),"")</f>
        <v/>
      </c>
      <c r="W40" s="51" t="str">
        <f>IF(AND('Riesgos de Gestión'!$AF$31="Baja",'Riesgos de Gestión'!$AH$31="Moderado"),CONCATENATE("R5C",'Riesgos de Gestión'!$V$31),"")</f>
        <v/>
      </c>
      <c r="X40" s="51" t="str">
        <f>IF(AND('Riesgos de Gestión'!$AF$32="Baja",'Riesgos de Gestión'!$AH$32="Moderado"),CONCATENATE("R5C",'Riesgos de Gestión'!$V$32),"")</f>
        <v/>
      </c>
      <c r="Y40" s="51" t="str">
        <f>IF(AND('Riesgos de Gestión'!$AF$33="Baja",'Riesgos de Gestión'!$AH$33="Moderado"),CONCATENATE("R5C",'Riesgos de Gestión'!$V$33),"")</f>
        <v/>
      </c>
      <c r="Z40" s="51" t="str">
        <f>IF(AND('Riesgos de Gestión'!$AF$34="Baja",'Riesgos de Gestión'!$AH$34="Moderado"),CONCATENATE("R5C",'Riesgos de Gestión'!$V$34),"")</f>
        <v/>
      </c>
      <c r="AA40" s="52" t="str">
        <f>IF(AND('Riesgos de Gestión'!$AF$35="Baja",'Riesgos de Gestión'!$AH$35="Moderado"),CONCATENATE("R5C",'Riesgos de Gestión'!$V$35),"")</f>
        <v/>
      </c>
      <c r="AB40" s="35" t="str">
        <f>IF(AND('Riesgos de Gestión'!$AF$30="Baja",'Riesgos de Gestión'!$AH$30="Mayor"),CONCATENATE("R5C",'Riesgos de Gestión'!$V$30),"")</f>
        <v/>
      </c>
      <c r="AC40" s="36" t="str">
        <f>IF(AND('Riesgos de Gestión'!$AF$31="Baja",'Riesgos de Gestión'!$AH$31="Mayor"),CONCATENATE("R5C",'Riesgos de Gestión'!$V$31),"")</f>
        <v/>
      </c>
      <c r="AD40" s="36" t="str">
        <f>IF(AND('Riesgos de Gestión'!$AF$32="Baja",'Riesgos de Gestión'!$AH$32="Mayor"),CONCATENATE("R5C",'Riesgos de Gestión'!$V$32),"")</f>
        <v/>
      </c>
      <c r="AE40" s="36" t="str">
        <f>IF(AND('Riesgos de Gestión'!$AF$33="Baja",'Riesgos de Gestión'!$AH$33="Mayor"),CONCATENATE("R5C",'Riesgos de Gestión'!$V$33),"")</f>
        <v/>
      </c>
      <c r="AF40" s="36" t="str">
        <f>IF(AND('Riesgos de Gestión'!$AF$34="Baja",'Riesgos de Gestión'!$AH$34="Mayor"),CONCATENATE("R5C",'Riesgos de Gestión'!$V$34),"")</f>
        <v/>
      </c>
      <c r="AG40" s="37" t="str">
        <f>IF(AND('Riesgos de Gestión'!$AF$35="Baja",'Riesgos de Gestión'!$AH$35="Mayor"),CONCATENATE("R5C",'Riesgos de Gestión'!$V$35),"")</f>
        <v/>
      </c>
      <c r="AH40" s="38" t="str">
        <f>IF(AND('Riesgos de Gestión'!$AF$30="Baja",'Riesgos de Gestión'!$AH$30="Catastrófico"),CONCATENATE("R5C",'Riesgos de Gestión'!$V$30),"")</f>
        <v/>
      </c>
      <c r="AI40" s="39" t="str">
        <f>IF(AND('Riesgos de Gestión'!$AF$31="Baja",'Riesgos de Gestión'!$AH$31="Catastrófico"),CONCATENATE("R5C",'Riesgos de Gestión'!$V$31),"")</f>
        <v/>
      </c>
      <c r="AJ40" s="39" t="str">
        <f>IF(AND('Riesgos de Gestión'!$AF$32="Baja",'Riesgos de Gestión'!$AH$32="Catastrófico"),CONCATENATE("R5C",'Riesgos de Gestión'!$V$32),"")</f>
        <v/>
      </c>
      <c r="AK40" s="39" t="str">
        <f>IF(AND('Riesgos de Gestión'!$AF$33="Baja",'Riesgos de Gestión'!$AH$33="Catastrófico"),CONCATENATE("R5C",'Riesgos de Gestión'!$V$33),"")</f>
        <v/>
      </c>
      <c r="AL40" s="39" t="str">
        <f>IF(AND('Riesgos de Gestión'!$AF$34="Baja",'Riesgos de Gestión'!$AH$34="Catastrófico"),CONCATENATE("R5C",'Riesgos de Gestión'!$V$34),"")</f>
        <v/>
      </c>
      <c r="AM40" s="40" t="str">
        <f>IF(AND('Riesgos de Gestión'!$AF$35="Baja",'Riesgos de Gestión'!$AH$35="Catastrófico"),CONCATENATE("R5C",'Riesgos de Gestión'!$V$35),"")</f>
        <v/>
      </c>
      <c r="AN40" s="66"/>
      <c r="AO40" s="586"/>
      <c r="AP40" s="587"/>
      <c r="AQ40" s="587"/>
      <c r="AR40" s="587"/>
      <c r="AS40" s="587"/>
      <c r="AT40" s="588"/>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25">
      <c r="A41" s="66"/>
      <c r="B41" s="514"/>
      <c r="C41" s="514"/>
      <c r="D41" s="515"/>
      <c r="E41" s="555"/>
      <c r="F41" s="556"/>
      <c r="G41" s="556"/>
      <c r="H41" s="556"/>
      <c r="I41" s="556"/>
      <c r="J41" s="59" t="str">
        <f>IF(AND('Riesgos de Gestión'!$AF$36="Baja",'Riesgos de Gestión'!$AH$36="Leve"),CONCATENATE("R6C",'Riesgos de Gestión'!$V$36),"")</f>
        <v/>
      </c>
      <c r="K41" s="60" t="str">
        <f>IF(AND('Riesgos de Gestión'!$AF$37="Baja",'Riesgos de Gestión'!$AH$37="Leve"),CONCATENATE("R6C",'Riesgos de Gestión'!$V$37),"")</f>
        <v/>
      </c>
      <c r="L41" s="60" t="str">
        <f>IF(AND('Riesgos de Gestión'!$AF$38="Baja",'Riesgos de Gestión'!$AH$38="Leve"),CONCATENATE("R6C",'Riesgos de Gestión'!$V$38),"")</f>
        <v/>
      </c>
      <c r="M41" s="60" t="str">
        <f>IF(AND('Riesgos de Gestión'!$AF$39="Baja",'Riesgos de Gestión'!$AH$39="Leve"),CONCATENATE("R6C",'Riesgos de Gestión'!$V$39),"")</f>
        <v/>
      </c>
      <c r="N41" s="60" t="str">
        <f>IF(AND('Riesgos de Gestión'!$AF$40="Baja",'Riesgos de Gestión'!$AH$40="Leve"),CONCATENATE("R6C",'Riesgos de Gestión'!$V$40),"")</f>
        <v/>
      </c>
      <c r="O41" s="61" t="str">
        <f>IF(AND('Riesgos de Gestión'!$AF$41="Baja",'Riesgos de Gestión'!$AH$41="Leve"),CONCATENATE("R6C",'Riesgos de Gestión'!$V$41),"")</f>
        <v/>
      </c>
      <c r="P41" s="50" t="str">
        <f>IF(AND('Riesgos de Gestión'!$AF$36="Baja",'Riesgos de Gestión'!$AH$36="Menor"),CONCATENATE("R6C",'Riesgos de Gestión'!$V$36),"")</f>
        <v/>
      </c>
      <c r="Q41" s="51" t="str">
        <f>IF(AND('Riesgos de Gestión'!$AF$37="Baja",'Riesgos de Gestión'!$AH$37="Menor"),CONCATENATE("R6C",'Riesgos de Gestión'!$V$37),"")</f>
        <v/>
      </c>
      <c r="R41" s="51" t="str">
        <f>IF(AND('Riesgos de Gestión'!$AF$38="Baja",'Riesgos de Gestión'!$AH$38="Menor"),CONCATENATE("R6C",'Riesgos de Gestión'!$V$38),"")</f>
        <v/>
      </c>
      <c r="S41" s="51" t="str">
        <f>IF(AND('Riesgos de Gestión'!$AF$39="Baja",'Riesgos de Gestión'!$AH$39="Menor"),CONCATENATE("R6C",'Riesgos de Gestión'!$V$39),"")</f>
        <v/>
      </c>
      <c r="T41" s="51" t="str">
        <f>IF(AND('Riesgos de Gestión'!$AF$40="Baja",'Riesgos de Gestión'!$AH$40="Menor"),CONCATENATE("R6C",'Riesgos de Gestión'!$V$40),"")</f>
        <v/>
      </c>
      <c r="U41" s="52" t="str">
        <f>IF(AND('Riesgos de Gestión'!$AF$41="Baja",'Riesgos de Gestión'!$AH$41="Menor"),CONCATENATE("R6C",'Riesgos de Gestión'!$V$41),"")</f>
        <v/>
      </c>
      <c r="V41" s="50" t="str">
        <f>IF(AND('Riesgos de Gestión'!$AF$36="Baja",'Riesgos de Gestión'!$AH$36="Moderado"),CONCATENATE("R6C",'Riesgos de Gestión'!$V$36),"")</f>
        <v/>
      </c>
      <c r="W41" s="51" t="str">
        <f>IF(AND('Riesgos de Gestión'!$AF$37="Baja",'Riesgos de Gestión'!$AH$37="Moderado"),CONCATENATE("R6C",'Riesgos de Gestión'!$V$37),"")</f>
        <v/>
      </c>
      <c r="X41" s="51" t="str">
        <f>IF(AND('Riesgos de Gestión'!$AF$38="Baja",'Riesgos de Gestión'!$AH$38="Moderado"),CONCATENATE("R6C",'Riesgos de Gestión'!$V$38),"")</f>
        <v/>
      </c>
      <c r="Y41" s="51" t="str">
        <f>IF(AND('Riesgos de Gestión'!$AF$39="Baja",'Riesgos de Gestión'!$AH$39="Moderado"),CONCATENATE("R6C",'Riesgos de Gestión'!$V$39),"")</f>
        <v/>
      </c>
      <c r="Z41" s="51" t="str">
        <f>IF(AND('Riesgos de Gestión'!$AF$40="Baja",'Riesgos de Gestión'!$AH$40="Moderado"),CONCATENATE("R6C",'Riesgos de Gestión'!$V$40),"")</f>
        <v/>
      </c>
      <c r="AA41" s="52" t="str">
        <f>IF(AND('Riesgos de Gestión'!$AF$41="Baja",'Riesgos de Gestión'!$AH$41="Moderado"),CONCATENATE("R6C",'Riesgos de Gestión'!$V$41),"")</f>
        <v/>
      </c>
      <c r="AB41" s="35" t="str">
        <f>IF(AND('Riesgos de Gestión'!$AF$36="Baja",'Riesgos de Gestión'!$AH$36="Mayor"),CONCATENATE("R6C",'Riesgos de Gestión'!$V$36),"")</f>
        <v/>
      </c>
      <c r="AC41" s="36" t="str">
        <f>IF(AND('Riesgos de Gestión'!$AF$37="Baja",'Riesgos de Gestión'!$AH$37="Mayor"),CONCATENATE("R6C",'Riesgos de Gestión'!$V$37),"")</f>
        <v/>
      </c>
      <c r="AD41" s="36" t="str">
        <f>IF(AND('Riesgos de Gestión'!$AF$38="Baja",'Riesgos de Gestión'!$AH$38="Mayor"),CONCATENATE("R6C",'Riesgos de Gestión'!$V$38),"")</f>
        <v/>
      </c>
      <c r="AE41" s="36" t="str">
        <f>IF(AND('Riesgos de Gestión'!$AF$39="Baja",'Riesgos de Gestión'!$AH$39="Mayor"),CONCATENATE("R6C",'Riesgos de Gestión'!$V$39),"")</f>
        <v/>
      </c>
      <c r="AF41" s="36" t="str">
        <f>IF(AND('Riesgos de Gestión'!$AF$40="Baja",'Riesgos de Gestión'!$AH$40="Mayor"),CONCATENATE("R6C",'Riesgos de Gestión'!$V$40),"")</f>
        <v/>
      </c>
      <c r="AG41" s="37" t="str">
        <f>IF(AND('Riesgos de Gestión'!$AF$41="Baja",'Riesgos de Gestión'!$AH$41="Mayor"),CONCATENATE("R6C",'Riesgos de Gestión'!$V$41),"")</f>
        <v/>
      </c>
      <c r="AH41" s="38" t="str">
        <f>IF(AND('Riesgos de Gestión'!$AF$36="Baja",'Riesgos de Gestión'!$AH$36="Catastrófico"),CONCATENATE("R6C",'Riesgos de Gestión'!$V$36),"")</f>
        <v/>
      </c>
      <c r="AI41" s="39" t="str">
        <f>IF(AND('Riesgos de Gestión'!$AF$37="Baja",'Riesgos de Gestión'!$AH$37="Catastrófico"),CONCATENATE("R6C",'Riesgos de Gestión'!$V$37),"")</f>
        <v/>
      </c>
      <c r="AJ41" s="39" t="str">
        <f>IF(AND('Riesgos de Gestión'!$AF$38="Baja",'Riesgos de Gestión'!$AH$38="Catastrófico"),CONCATENATE("R6C",'Riesgos de Gestión'!$V$38),"")</f>
        <v/>
      </c>
      <c r="AK41" s="39" t="str">
        <f>IF(AND('Riesgos de Gestión'!$AF$39="Baja",'Riesgos de Gestión'!$AH$39="Catastrófico"),CONCATENATE("R6C",'Riesgos de Gestión'!$V$39),"")</f>
        <v/>
      </c>
      <c r="AL41" s="39" t="str">
        <f>IF(AND('Riesgos de Gestión'!$AF$40="Baja",'Riesgos de Gestión'!$AH$40="Catastrófico"),CONCATENATE("R6C",'Riesgos de Gestión'!$V$40),"")</f>
        <v/>
      </c>
      <c r="AM41" s="40" t="str">
        <f>IF(AND('Riesgos de Gestión'!$AF$41="Baja",'Riesgos de Gestión'!$AH$41="Catastrófico"),CONCATENATE("R6C",'Riesgos de Gestión'!$V$41),"")</f>
        <v/>
      </c>
      <c r="AN41" s="66"/>
      <c r="AO41" s="586"/>
      <c r="AP41" s="587"/>
      <c r="AQ41" s="587"/>
      <c r="AR41" s="587"/>
      <c r="AS41" s="587"/>
      <c r="AT41" s="588"/>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25">
      <c r="A42" s="66"/>
      <c r="B42" s="514"/>
      <c r="C42" s="514"/>
      <c r="D42" s="515"/>
      <c r="E42" s="555"/>
      <c r="F42" s="556"/>
      <c r="G42" s="556"/>
      <c r="H42" s="556"/>
      <c r="I42" s="556"/>
      <c r="J42" s="59" t="str">
        <f>IF(AND('Riesgos de Gestión'!$AF$42="Baja",'Riesgos de Gestión'!$AH$42="Leve"),CONCATENATE("R7C",'Riesgos de Gestión'!$V$42),"")</f>
        <v/>
      </c>
      <c r="K42" s="60" t="str">
        <f>IF(AND('Riesgos de Gestión'!$AF$43="Baja",'Riesgos de Gestión'!$AH$43="Leve"),CONCATENATE("R7C",'Riesgos de Gestión'!$V$43),"")</f>
        <v/>
      </c>
      <c r="L42" s="60" t="str">
        <f>IF(AND('Riesgos de Gestión'!$AF$44="Baja",'Riesgos de Gestión'!$AH$44="Leve"),CONCATENATE("R7C",'Riesgos de Gestión'!$V$44),"")</f>
        <v/>
      </c>
      <c r="M42" s="60" t="str">
        <f>IF(AND('Riesgos de Gestión'!$AF$45="Baja",'Riesgos de Gestión'!$AH$45="Leve"),CONCATENATE("R7C",'Riesgos de Gestión'!$V$45),"")</f>
        <v/>
      </c>
      <c r="N42" s="60" t="str">
        <f>IF(AND('Riesgos de Gestión'!$AF$46="Baja",'Riesgos de Gestión'!$AH$46="Leve"),CONCATENATE("R7C",'Riesgos de Gestión'!$V$46),"")</f>
        <v/>
      </c>
      <c r="O42" s="61" t="str">
        <f>IF(AND('Riesgos de Gestión'!$AF$47="Baja",'Riesgos de Gestión'!$AH$47="Leve"),CONCATENATE("R7C",'Riesgos de Gestión'!$V$47),"")</f>
        <v/>
      </c>
      <c r="P42" s="50" t="str">
        <f>IF(AND('Riesgos de Gestión'!$AF$42="Baja",'Riesgos de Gestión'!$AH$42="Menor"),CONCATENATE("R7C",'Riesgos de Gestión'!$V$42),"")</f>
        <v/>
      </c>
      <c r="Q42" s="51" t="str">
        <f>IF(AND('Riesgos de Gestión'!$AF$43="Baja",'Riesgos de Gestión'!$AH$43="Menor"),CONCATENATE("R7C",'Riesgos de Gestión'!$V$43),"")</f>
        <v/>
      </c>
      <c r="R42" s="51" t="str">
        <f>IF(AND('Riesgos de Gestión'!$AF$44="Baja",'Riesgos de Gestión'!$AH$44="Menor"),CONCATENATE("R7C",'Riesgos de Gestión'!$V$44),"")</f>
        <v/>
      </c>
      <c r="S42" s="51" t="str">
        <f>IF(AND('Riesgos de Gestión'!$AF$45="Baja",'Riesgos de Gestión'!$AH$45="Menor"),CONCATENATE("R7C",'Riesgos de Gestión'!$V$45),"")</f>
        <v/>
      </c>
      <c r="T42" s="51" t="str">
        <f>IF(AND('Riesgos de Gestión'!$AF$46="Baja",'Riesgos de Gestión'!$AH$46="Menor"),CONCATENATE("R7C",'Riesgos de Gestión'!$V$46),"")</f>
        <v/>
      </c>
      <c r="U42" s="52" t="str">
        <f>IF(AND('Riesgos de Gestión'!$AF$47="Baja",'Riesgos de Gestión'!$AH$47="Menor"),CONCATENATE("R7C",'Riesgos de Gestión'!$V$47),"")</f>
        <v/>
      </c>
      <c r="V42" s="50" t="str">
        <f>IF(AND('Riesgos de Gestión'!$AF$42="Baja",'Riesgos de Gestión'!$AH$42="Moderado"),CONCATENATE("R7C",'Riesgos de Gestión'!$V$42),"")</f>
        <v/>
      </c>
      <c r="W42" s="51" t="str">
        <f>IF(AND('Riesgos de Gestión'!$AF$43="Baja",'Riesgos de Gestión'!$AH$43="Moderado"),CONCATENATE("R7C",'Riesgos de Gestión'!$V$43),"")</f>
        <v/>
      </c>
      <c r="X42" s="51" t="str">
        <f>IF(AND('Riesgos de Gestión'!$AF$44="Baja",'Riesgos de Gestión'!$AH$44="Moderado"),CONCATENATE("R7C",'Riesgos de Gestión'!$V$44),"")</f>
        <v/>
      </c>
      <c r="Y42" s="51" t="str">
        <f>IF(AND('Riesgos de Gestión'!$AF$45="Baja",'Riesgos de Gestión'!$AH$45="Moderado"),CONCATENATE("R7C",'Riesgos de Gestión'!$V$45),"")</f>
        <v/>
      </c>
      <c r="Z42" s="51" t="str">
        <f>IF(AND('Riesgos de Gestión'!$AF$46="Baja",'Riesgos de Gestión'!$AH$46="Moderado"),CONCATENATE("R7C",'Riesgos de Gestión'!$V$46),"")</f>
        <v/>
      </c>
      <c r="AA42" s="52" t="str">
        <f>IF(AND('Riesgos de Gestión'!$AF$47="Baja",'Riesgos de Gestión'!$AH$47="Moderado"),CONCATENATE("R7C",'Riesgos de Gestión'!$V$47),"")</f>
        <v/>
      </c>
      <c r="AB42" s="35" t="str">
        <f>IF(AND('Riesgos de Gestión'!$AF$42="Baja",'Riesgos de Gestión'!$AH$42="Mayor"),CONCATENATE("R7C",'Riesgos de Gestión'!$V$42),"")</f>
        <v/>
      </c>
      <c r="AC42" s="36" t="str">
        <f>IF(AND('Riesgos de Gestión'!$AF$43="Baja",'Riesgos de Gestión'!$AH$43="Mayor"),CONCATENATE("R7C",'Riesgos de Gestión'!$V$43),"")</f>
        <v/>
      </c>
      <c r="AD42" s="36" t="str">
        <f>IF(AND('Riesgos de Gestión'!$AF$44="Baja",'Riesgos de Gestión'!$AH$44="Mayor"),CONCATENATE("R7C",'Riesgos de Gestión'!$V$44),"")</f>
        <v/>
      </c>
      <c r="AE42" s="36" t="str">
        <f>IF(AND('Riesgos de Gestión'!$AF$45="Baja",'Riesgos de Gestión'!$AH$45="Mayor"),CONCATENATE("R7C",'Riesgos de Gestión'!$V$45),"")</f>
        <v/>
      </c>
      <c r="AF42" s="36" t="str">
        <f>IF(AND('Riesgos de Gestión'!$AF$46="Baja",'Riesgos de Gestión'!$AH$46="Mayor"),CONCATENATE("R7C",'Riesgos de Gestión'!$V$46),"")</f>
        <v/>
      </c>
      <c r="AG42" s="37" t="str">
        <f>IF(AND('Riesgos de Gestión'!$AF$47="Baja",'Riesgos de Gestión'!$AH$47="Mayor"),CONCATENATE("R7C",'Riesgos de Gestión'!$V$47),"")</f>
        <v/>
      </c>
      <c r="AH42" s="38" t="str">
        <f>IF(AND('Riesgos de Gestión'!$AF$42="Baja",'Riesgos de Gestión'!$AH$42="Catastrófico"),CONCATENATE("R7C",'Riesgos de Gestión'!$V$42),"")</f>
        <v/>
      </c>
      <c r="AI42" s="39" t="str">
        <f>IF(AND('Riesgos de Gestión'!$AF$43="Baja",'Riesgos de Gestión'!$AH$43="Catastrófico"),CONCATENATE("R7C",'Riesgos de Gestión'!$V$43),"")</f>
        <v/>
      </c>
      <c r="AJ42" s="39" t="str">
        <f>IF(AND('Riesgos de Gestión'!$AF$44="Baja",'Riesgos de Gestión'!$AH$44="Catastrófico"),CONCATENATE("R7C",'Riesgos de Gestión'!$V$44),"")</f>
        <v/>
      </c>
      <c r="AK42" s="39" t="str">
        <f>IF(AND('Riesgos de Gestión'!$AF$45="Baja",'Riesgos de Gestión'!$AH$45="Catastrófico"),CONCATENATE("R7C",'Riesgos de Gestión'!$V$45),"")</f>
        <v/>
      </c>
      <c r="AL42" s="39" t="str">
        <f>IF(AND('Riesgos de Gestión'!$AF$46="Baja",'Riesgos de Gestión'!$AH$46="Catastrófico"),CONCATENATE("R7C",'Riesgos de Gestión'!$V$46),"")</f>
        <v/>
      </c>
      <c r="AM42" s="40" t="str">
        <f>IF(AND('Riesgos de Gestión'!$AF$47="Baja",'Riesgos de Gestión'!$AH$47="Catastrófico"),CONCATENATE("R7C",'Riesgos de Gestión'!$V$47),"")</f>
        <v/>
      </c>
      <c r="AN42" s="66"/>
      <c r="AO42" s="586"/>
      <c r="AP42" s="587"/>
      <c r="AQ42" s="587"/>
      <c r="AR42" s="587"/>
      <c r="AS42" s="587"/>
      <c r="AT42" s="588"/>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25">
      <c r="A43" s="66"/>
      <c r="B43" s="514"/>
      <c r="C43" s="514"/>
      <c r="D43" s="515"/>
      <c r="E43" s="555"/>
      <c r="F43" s="556"/>
      <c r="G43" s="556"/>
      <c r="H43" s="556"/>
      <c r="I43" s="556"/>
      <c r="J43" s="59" t="str">
        <f>IF(AND('Riesgos de Gestión'!$AF$48="Baja",'Riesgos de Gestión'!$AH$48="Leve"),CONCATENATE("R8C",'Riesgos de Gestión'!$V$48),"")</f>
        <v/>
      </c>
      <c r="K43" s="60" t="str">
        <f>IF(AND('Riesgos de Gestión'!$AF$49="Baja",'Riesgos de Gestión'!$AH$49="Leve"),CONCATENATE("R8C",'Riesgos de Gestión'!$V$49),"")</f>
        <v/>
      </c>
      <c r="L43" s="60" t="str">
        <f>IF(AND('Riesgos de Gestión'!$AF$50="Baja",'Riesgos de Gestión'!$AH$50="Leve"),CONCATENATE("R8C",'Riesgos de Gestión'!$V$50),"")</f>
        <v/>
      </c>
      <c r="M43" s="60" t="str">
        <f>IF(AND('Riesgos de Gestión'!$AF$51="Baja",'Riesgos de Gestión'!$AH$51="Leve"),CONCATENATE("R8C",'Riesgos de Gestión'!$V$51),"")</f>
        <v/>
      </c>
      <c r="N43" s="60" t="str">
        <f>IF(AND('Riesgos de Gestión'!$AF$52="Baja",'Riesgos de Gestión'!$AH$52="Leve"),CONCATENATE("R8C",'Riesgos de Gestión'!$V$52),"")</f>
        <v/>
      </c>
      <c r="O43" s="61" t="str">
        <f>IF(AND('Riesgos de Gestión'!$AF$53="Baja",'Riesgos de Gestión'!$AH$53="Leve"),CONCATENATE("R8C",'Riesgos de Gestión'!$V$53),"")</f>
        <v/>
      </c>
      <c r="P43" s="50" t="str">
        <f>IF(AND('Riesgos de Gestión'!$AF$48="Baja",'Riesgos de Gestión'!$AH$48="Menor"),CONCATENATE("R8C",'Riesgos de Gestión'!$V$48),"")</f>
        <v/>
      </c>
      <c r="Q43" s="51" t="str">
        <f>IF(AND('Riesgos de Gestión'!$AF$49="Baja",'Riesgos de Gestión'!$AH$49="Menor"),CONCATENATE("R8C",'Riesgos de Gestión'!$V$49),"")</f>
        <v/>
      </c>
      <c r="R43" s="51" t="str">
        <f>IF(AND('Riesgos de Gestión'!$AF$50="Baja",'Riesgos de Gestión'!$AH$50="Menor"),CONCATENATE("R8C",'Riesgos de Gestión'!$V$50),"")</f>
        <v/>
      </c>
      <c r="S43" s="51" t="str">
        <f>IF(AND('Riesgos de Gestión'!$AF$51="Baja",'Riesgos de Gestión'!$AH$51="Menor"),CONCATENATE("R8C",'Riesgos de Gestión'!$V$51),"")</f>
        <v/>
      </c>
      <c r="T43" s="51" t="str">
        <f>IF(AND('Riesgos de Gestión'!$AF$52="Baja",'Riesgos de Gestión'!$AH$52="Menor"),CONCATENATE("R8C",'Riesgos de Gestión'!$V$52),"")</f>
        <v/>
      </c>
      <c r="U43" s="52" t="str">
        <f>IF(AND('Riesgos de Gestión'!$AF$53="Baja",'Riesgos de Gestión'!$AH$53="Menor"),CONCATENATE("R8C",'Riesgos de Gestión'!$V$53),"")</f>
        <v/>
      </c>
      <c r="V43" s="50" t="str">
        <f>IF(AND('Riesgos de Gestión'!$AF$48="Baja",'Riesgos de Gestión'!$AH$48="Moderado"),CONCATENATE("R8C",'Riesgos de Gestión'!$V$48),"")</f>
        <v/>
      </c>
      <c r="W43" s="51" t="str">
        <f>IF(AND('Riesgos de Gestión'!$AF$49="Baja",'Riesgos de Gestión'!$AH$49="Moderado"),CONCATENATE("R8C",'Riesgos de Gestión'!$V$49),"")</f>
        <v/>
      </c>
      <c r="X43" s="51" t="str">
        <f>IF(AND('Riesgos de Gestión'!$AF$50="Baja",'Riesgos de Gestión'!$AH$50="Moderado"),CONCATENATE("R8C",'Riesgos de Gestión'!$V$50),"")</f>
        <v/>
      </c>
      <c r="Y43" s="51" t="str">
        <f>IF(AND('Riesgos de Gestión'!$AF$51="Baja",'Riesgos de Gestión'!$AH$51="Moderado"),CONCATENATE("R8C",'Riesgos de Gestión'!$V$51),"")</f>
        <v/>
      </c>
      <c r="Z43" s="51" t="str">
        <f>IF(AND('Riesgos de Gestión'!$AF$52="Baja",'Riesgos de Gestión'!$AH$52="Moderado"),CONCATENATE("R8C",'Riesgos de Gestión'!$V$52),"")</f>
        <v/>
      </c>
      <c r="AA43" s="52" t="str">
        <f>IF(AND('Riesgos de Gestión'!$AF$53="Baja",'Riesgos de Gestión'!$AH$53="Moderado"),CONCATENATE("R8C",'Riesgos de Gestión'!$V$53),"")</f>
        <v/>
      </c>
      <c r="AB43" s="35" t="str">
        <f>IF(AND('Riesgos de Gestión'!$AF$48="Baja",'Riesgos de Gestión'!$AH$48="Mayor"),CONCATENATE("R8C",'Riesgos de Gestión'!$V$48),"")</f>
        <v/>
      </c>
      <c r="AC43" s="36" t="str">
        <f>IF(AND('Riesgos de Gestión'!$AF$49="Baja",'Riesgos de Gestión'!$AH$49="Mayor"),CONCATENATE("R8C",'Riesgos de Gestión'!$V$49),"")</f>
        <v/>
      </c>
      <c r="AD43" s="36" t="str">
        <f>IF(AND('Riesgos de Gestión'!$AF$50="Baja",'Riesgos de Gestión'!$AH$50="Mayor"),CONCATENATE("R8C",'Riesgos de Gestión'!$V$50),"")</f>
        <v/>
      </c>
      <c r="AE43" s="36" t="str">
        <f>IF(AND('Riesgos de Gestión'!$AF$51="Baja",'Riesgos de Gestión'!$AH$51="Mayor"),CONCATENATE("R8C",'Riesgos de Gestión'!$V$51),"")</f>
        <v/>
      </c>
      <c r="AF43" s="36" t="str">
        <f>IF(AND('Riesgos de Gestión'!$AF$52="Baja",'Riesgos de Gestión'!$AH$52="Mayor"),CONCATENATE("R8C",'Riesgos de Gestión'!$V$52),"")</f>
        <v/>
      </c>
      <c r="AG43" s="37" t="str">
        <f>IF(AND('Riesgos de Gestión'!$AF$53="Baja",'Riesgos de Gestión'!$AH$53="Mayor"),CONCATENATE("R8C",'Riesgos de Gestión'!$V$53),"")</f>
        <v/>
      </c>
      <c r="AH43" s="38" t="str">
        <f>IF(AND('Riesgos de Gestión'!$AF$48="Baja",'Riesgos de Gestión'!$AH$48="Catastrófico"),CONCATENATE("R8C",'Riesgos de Gestión'!$V$48),"")</f>
        <v/>
      </c>
      <c r="AI43" s="39" t="str">
        <f>IF(AND('Riesgos de Gestión'!$AF$49="Baja",'Riesgos de Gestión'!$AH$49="Catastrófico"),CONCATENATE("R8C",'Riesgos de Gestión'!$V$49),"")</f>
        <v/>
      </c>
      <c r="AJ43" s="39" t="str">
        <f>IF(AND('Riesgos de Gestión'!$AF$50="Baja",'Riesgos de Gestión'!$AH$50="Catastrófico"),CONCATENATE("R8C",'Riesgos de Gestión'!$V$50),"")</f>
        <v/>
      </c>
      <c r="AK43" s="39" t="str">
        <f>IF(AND('Riesgos de Gestión'!$AF$51="Baja",'Riesgos de Gestión'!$AH$51="Catastrófico"),CONCATENATE("R8C",'Riesgos de Gestión'!$V$51),"")</f>
        <v/>
      </c>
      <c r="AL43" s="39" t="str">
        <f>IF(AND('Riesgos de Gestión'!$AF$52="Baja",'Riesgos de Gestión'!$AH$52="Catastrófico"),CONCATENATE("R8C",'Riesgos de Gestión'!$V$52),"")</f>
        <v/>
      </c>
      <c r="AM43" s="40" t="str">
        <f>IF(AND('Riesgos de Gestión'!$AF$53="Baja",'Riesgos de Gestión'!$AH$53="Catastrófico"),CONCATENATE("R8C",'Riesgos de Gestión'!$V$53),"")</f>
        <v/>
      </c>
      <c r="AN43" s="66"/>
      <c r="AO43" s="586"/>
      <c r="AP43" s="587"/>
      <c r="AQ43" s="587"/>
      <c r="AR43" s="587"/>
      <c r="AS43" s="587"/>
      <c r="AT43" s="588"/>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25">
      <c r="A44" s="66"/>
      <c r="B44" s="514"/>
      <c r="C44" s="514"/>
      <c r="D44" s="515"/>
      <c r="E44" s="555"/>
      <c r="F44" s="556"/>
      <c r="G44" s="556"/>
      <c r="H44" s="556"/>
      <c r="I44" s="556"/>
      <c r="J44" s="59" t="str">
        <f>IF(AND('Riesgos de Gestión'!$AF$54="Baja",'Riesgos de Gestión'!$AH$54="Leve"),CONCATENATE("R9C",'Riesgos de Gestión'!$V$54),"")</f>
        <v/>
      </c>
      <c r="K44" s="60" t="str">
        <f>IF(AND('Riesgos de Gestión'!$AF$55="Baja",'Riesgos de Gestión'!$AH$55="Leve"),CONCATENATE("R9C",'Riesgos de Gestión'!$V$55),"")</f>
        <v/>
      </c>
      <c r="L44" s="60" t="str">
        <f>IF(AND('Riesgos de Gestión'!$AF$56="Baja",'Riesgos de Gestión'!$AH$56="Leve"),CONCATENATE("R9C",'Riesgos de Gestión'!$V$56),"")</f>
        <v/>
      </c>
      <c r="M44" s="60" t="str">
        <f>IF(AND('Riesgos de Gestión'!$AF$57="Baja",'Riesgos de Gestión'!$AH$57="Leve"),CONCATENATE("R9C",'Riesgos de Gestión'!$V$57),"")</f>
        <v/>
      </c>
      <c r="N44" s="60" t="str">
        <f>IF(AND('Riesgos de Gestión'!$AF$58="Baja",'Riesgos de Gestión'!$AH$58="Leve"),CONCATENATE("R9C",'Riesgos de Gestión'!$V$58),"")</f>
        <v/>
      </c>
      <c r="O44" s="61" t="str">
        <f>IF(AND('Riesgos de Gestión'!$AF$59="Baja",'Riesgos de Gestión'!$AH$59="Leve"),CONCATENATE("R9C",'Riesgos de Gestión'!$V$59),"")</f>
        <v/>
      </c>
      <c r="P44" s="50" t="str">
        <f>IF(AND('Riesgos de Gestión'!$AF$54="Baja",'Riesgos de Gestión'!$AH$54="Menor"),CONCATENATE("R9C",'Riesgos de Gestión'!$V$54),"")</f>
        <v/>
      </c>
      <c r="Q44" s="51" t="str">
        <f>IF(AND('Riesgos de Gestión'!$AF$55="Baja",'Riesgos de Gestión'!$AH$55="Menor"),CONCATENATE("R9C",'Riesgos de Gestión'!$V$55),"")</f>
        <v/>
      </c>
      <c r="R44" s="51" t="str">
        <f>IF(AND('Riesgos de Gestión'!$AF$56="Baja",'Riesgos de Gestión'!$AH$56="Menor"),CONCATENATE("R9C",'Riesgos de Gestión'!$V$56),"")</f>
        <v/>
      </c>
      <c r="S44" s="51" t="str">
        <f>IF(AND('Riesgos de Gestión'!$AF$57="Baja",'Riesgos de Gestión'!$AH$57="Menor"),CONCATENATE("R9C",'Riesgos de Gestión'!$V$57),"")</f>
        <v/>
      </c>
      <c r="T44" s="51" t="str">
        <f>IF(AND('Riesgos de Gestión'!$AF$58="Baja",'Riesgos de Gestión'!$AH$58="Menor"),CONCATENATE("R9C",'Riesgos de Gestión'!$V$58),"")</f>
        <v/>
      </c>
      <c r="U44" s="52" t="str">
        <f>IF(AND('Riesgos de Gestión'!$AF$59="Baja",'Riesgos de Gestión'!$AH$59="Menor"),CONCATENATE("R9C",'Riesgos de Gestión'!$V$59),"")</f>
        <v/>
      </c>
      <c r="V44" s="50" t="str">
        <f>IF(AND('Riesgos de Gestión'!$AF$54="Baja",'Riesgos de Gestión'!$AH$54="Moderado"),CONCATENATE("R9C",'Riesgos de Gestión'!$V$54),"")</f>
        <v/>
      </c>
      <c r="W44" s="51" t="str">
        <f>IF(AND('Riesgos de Gestión'!$AF$55="Baja",'Riesgos de Gestión'!$AH$55="Moderado"),CONCATENATE("R9C",'Riesgos de Gestión'!$V$55),"")</f>
        <v/>
      </c>
      <c r="X44" s="51" t="str">
        <f>IF(AND('Riesgos de Gestión'!$AF$56="Baja",'Riesgos de Gestión'!$AH$56="Moderado"),CONCATENATE("R9C",'Riesgos de Gestión'!$V$56),"")</f>
        <v/>
      </c>
      <c r="Y44" s="51" t="str">
        <f>IF(AND('Riesgos de Gestión'!$AF$57="Baja",'Riesgos de Gestión'!$AH$57="Moderado"),CONCATENATE("R9C",'Riesgos de Gestión'!$V$57),"")</f>
        <v/>
      </c>
      <c r="Z44" s="51" t="str">
        <f>IF(AND('Riesgos de Gestión'!$AF$58="Baja",'Riesgos de Gestión'!$AH$58="Moderado"),CONCATENATE("R9C",'Riesgos de Gestión'!$V$58),"")</f>
        <v/>
      </c>
      <c r="AA44" s="52" t="str">
        <f>IF(AND('Riesgos de Gestión'!$AF$59="Baja",'Riesgos de Gestión'!$AH$59="Moderado"),CONCATENATE("R9C",'Riesgos de Gestión'!$V$59),"")</f>
        <v/>
      </c>
      <c r="AB44" s="35" t="str">
        <f>IF(AND('Riesgos de Gestión'!$AF$54="Baja",'Riesgos de Gestión'!$AH$54="Mayor"),CONCATENATE("R9C",'Riesgos de Gestión'!$V$54),"")</f>
        <v/>
      </c>
      <c r="AC44" s="36" t="str">
        <f>IF(AND('Riesgos de Gestión'!$AF$55="Baja",'Riesgos de Gestión'!$AH$55="Mayor"),CONCATENATE("R9C",'Riesgos de Gestión'!$V$55),"")</f>
        <v/>
      </c>
      <c r="AD44" s="36" t="str">
        <f>IF(AND('Riesgos de Gestión'!$AF$56="Baja",'Riesgos de Gestión'!$AH$56="Mayor"),CONCATENATE("R9C",'Riesgos de Gestión'!$V$56),"")</f>
        <v/>
      </c>
      <c r="AE44" s="36" t="str">
        <f>IF(AND('Riesgos de Gestión'!$AF$57="Baja",'Riesgos de Gestión'!$AH$57="Mayor"),CONCATENATE("R9C",'Riesgos de Gestión'!$V$57),"")</f>
        <v/>
      </c>
      <c r="AF44" s="36" t="str">
        <f>IF(AND('Riesgos de Gestión'!$AF$58="Baja",'Riesgos de Gestión'!$AH$58="Mayor"),CONCATENATE("R9C",'Riesgos de Gestión'!$V$58),"")</f>
        <v/>
      </c>
      <c r="AG44" s="37" t="str">
        <f>IF(AND('Riesgos de Gestión'!$AF$59="Baja",'Riesgos de Gestión'!$AH$59="Mayor"),CONCATENATE("R9C",'Riesgos de Gestión'!$V$59),"")</f>
        <v/>
      </c>
      <c r="AH44" s="38" t="str">
        <f>IF(AND('Riesgos de Gestión'!$AF$54="Baja",'Riesgos de Gestión'!$AH$54="Catastrófico"),CONCATENATE("R9C",'Riesgos de Gestión'!$V$54),"")</f>
        <v/>
      </c>
      <c r="AI44" s="39" t="str">
        <f>IF(AND('Riesgos de Gestión'!$AF$55="Baja",'Riesgos de Gestión'!$AH$55="Catastrófico"),CONCATENATE("R9C",'Riesgos de Gestión'!$V$55),"")</f>
        <v/>
      </c>
      <c r="AJ44" s="39" t="str">
        <f>IF(AND('Riesgos de Gestión'!$AF$56="Baja",'Riesgos de Gestión'!$AH$56="Catastrófico"),CONCATENATE("R9C",'Riesgos de Gestión'!$V$56),"")</f>
        <v/>
      </c>
      <c r="AK44" s="39" t="str">
        <f>IF(AND('Riesgos de Gestión'!$AF$57="Baja",'Riesgos de Gestión'!$AH$57="Catastrófico"),CONCATENATE("R9C",'Riesgos de Gestión'!$V$57),"")</f>
        <v/>
      </c>
      <c r="AL44" s="39" t="str">
        <f>IF(AND('Riesgos de Gestión'!$AF$58="Baja",'Riesgos de Gestión'!$AH$58="Catastrófico"),CONCATENATE("R9C",'Riesgos de Gestión'!$V$58),"")</f>
        <v/>
      </c>
      <c r="AM44" s="40" t="str">
        <f>IF(AND('Riesgos de Gestión'!$AF$59="Baja",'Riesgos de Gestión'!$AH$59="Catastrófico"),CONCATENATE("R9C",'Riesgos de Gestión'!$V$59),"")</f>
        <v/>
      </c>
      <c r="AN44" s="66"/>
      <c r="AO44" s="586"/>
      <c r="AP44" s="587"/>
      <c r="AQ44" s="587"/>
      <c r="AR44" s="587"/>
      <c r="AS44" s="587"/>
      <c r="AT44" s="588"/>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
      <c r="A45" s="66"/>
      <c r="B45" s="514"/>
      <c r="C45" s="514"/>
      <c r="D45" s="515"/>
      <c r="E45" s="558"/>
      <c r="F45" s="559"/>
      <c r="G45" s="559"/>
      <c r="H45" s="559"/>
      <c r="I45" s="559"/>
      <c r="J45" s="62" t="str">
        <f>IF(AND('Riesgos de Gestión'!$AF$60="Baja",'Riesgos de Gestión'!$AH$60="Leve"),CONCATENATE("R10C",'Riesgos de Gestión'!$V$60),"")</f>
        <v/>
      </c>
      <c r="K45" s="63" t="str">
        <f>IF(AND('Riesgos de Gestión'!$AF$61="Baja",'Riesgos de Gestión'!$AH$61="Leve"),CONCATENATE("R10C",'Riesgos de Gestión'!$V$61),"")</f>
        <v/>
      </c>
      <c r="L45" s="63" t="str">
        <f>IF(AND('Riesgos de Gestión'!$AF$62="Baja",'Riesgos de Gestión'!$AH$62="Leve"),CONCATENATE("R10C",'Riesgos de Gestión'!$V$62),"")</f>
        <v/>
      </c>
      <c r="M45" s="63" t="str">
        <f>IF(AND('Riesgos de Gestión'!$AF$63="Baja",'Riesgos de Gestión'!$AH$63="Leve"),CONCATENATE("R10C",'Riesgos de Gestión'!$V$63),"")</f>
        <v/>
      </c>
      <c r="N45" s="63" t="str">
        <f>IF(AND('Riesgos de Gestión'!$AF$64="Baja",'Riesgos de Gestión'!$AH$64="Leve"),CONCATENATE("R10C",'Riesgos de Gestión'!$V$64),"")</f>
        <v/>
      </c>
      <c r="O45" s="64" t="str">
        <f>IF(AND('Riesgos de Gestión'!$AF$65="Baja",'Riesgos de Gestión'!$AH$65="Leve"),CONCATENATE("R10C",'Riesgos de Gestión'!$V$65),"")</f>
        <v/>
      </c>
      <c r="P45" s="50" t="str">
        <f>IF(AND('Riesgos de Gestión'!$AF$60="Baja",'Riesgos de Gestión'!$AH$60="Menor"),CONCATENATE("R10C",'Riesgos de Gestión'!$V$60),"")</f>
        <v/>
      </c>
      <c r="Q45" s="51" t="str">
        <f>IF(AND('Riesgos de Gestión'!$AF$61="Baja",'Riesgos de Gestión'!$AH$61="Menor"),CONCATENATE("R10C",'Riesgos de Gestión'!$V$61),"")</f>
        <v/>
      </c>
      <c r="R45" s="51" t="str">
        <f>IF(AND('Riesgos de Gestión'!$AF$62="Baja",'Riesgos de Gestión'!$AH$62="Menor"),CONCATENATE("R10C",'Riesgos de Gestión'!$V$62),"")</f>
        <v/>
      </c>
      <c r="S45" s="51" t="str">
        <f>IF(AND('Riesgos de Gestión'!$AF$63="Baja",'Riesgos de Gestión'!$AH$63="Menor"),CONCATENATE("R10C",'Riesgos de Gestión'!$V$63),"")</f>
        <v/>
      </c>
      <c r="T45" s="51" t="str">
        <f>IF(AND('Riesgos de Gestión'!$AF$64="Baja",'Riesgos de Gestión'!$AH$64="Menor"),CONCATENATE("R10C",'Riesgos de Gestión'!$V$64),"")</f>
        <v/>
      </c>
      <c r="U45" s="52" t="str">
        <f>IF(AND('Riesgos de Gestión'!$AF$65="Baja",'Riesgos de Gestión'!$AH$65="Menor"),CONCATENATE("R10C",'Riesgos de Gestión'!$V$65),"")</f>
        <v/>
      </c>
      <c r="V45" s="53" t="str">
        <f>IF(AND('Riesgos de Gestión'!$AF$60="Baja",'Riesgos de Gestión'!$AH$60="Moderado"),CONCATENATE("R10C",'Riesgos de Gestión'!$V$60),"")</f>
        <v/>
      </c>
      <c r="W45" s="54" t="str">
        <f>IF(AND('Riesgos de Gestión'!$AF$61="Baja",'Riesgos de Gestión'!$AH$61="Moderado"),CONCATENATE("R10C",'Riesgos de Gestión'!$V$61),"")</f>
        <v/>
      </c>
      <c r="X45" s="54" t="str">
        <f>IF(AND('Riesgos de Gestión'!$AF$62="Baja",'Riesgos de Gestión'!$AH$62="Moderado"),CONCATENATE("R10C",'Riesgos de Gestión'!$V$62),"")</f>
        <v/>
      </c>
      <c r="Y45" s="54" t="str">
        <f>IF(AND('Riesgos de Gestión'!$AF$63="Baja",'Riesgos de Gestión'!$AH$63="Moderado"),CONCATENATE("R10C",'Riesgos de Gestión'!$V$63),"")</f>
        <v/>
      </c>
      <c r="Z45" s="54" t="str">
        <f>IF(AND('Riesgos de Gestión'!$AF$64="Baja",'Riesgos de Gestión'!$AH$64="Moderado"),CONCATENATE("R10C",'Riesgos de Gestión'!$V$64),"")</f>
        <v/>
      </c>
      <c r="AA45" s="55" t="str">
        <f>IF(AND('Riesgos de Gestión'!$AF$65="Baja",'Riesgos de Gestión'!$AH$65="Moderado"),CONCATENATE("R10C",'Riesgos de Gestión'!$V$65),"")</f>
        <v/>
      </c>
      <c r="AB45" s="41" t="str">
        <f>IF(AND('Riesgos de Gestión'!$AF$60="Baja",'Riesgos de Gestión'!$AH$60="Mayor"),CONCATENATE("R10C",'Riesgos de Gestión'!$V$60),"")</f>
        <v/>
      </c>
      <c r="AC45" s="42" t="str">
        <f>IF(AND('Riesgos de Gestión'!$AF$61="Baja",'Riesgos de Gestión'!$AH$61="Mayor"),CONCATENATE("R10C",'Riesgos de Gestión'!$V$61),"")</f>
        <v/>
      </c>
      <c r="AD45" s="42" t="str">
        <f>IF(AND('Riesgos de Gestión'!$AF$62="Baja",'Riesgos de Gestión'!$AH$62="Mayor"),CONCATENATE("R10C",'Riesgos de Gestión'!$V$62),"")</f>
        <v/>
      </c>
      <c r="AE45" s="42" t="str">
        <f>IF(AND('Riesgos de Gestión'!$AF$63="Baja",'Riesgos de Gestión'!$AH$63="Mayor"),CONCATENATE("R10C",'Riesgos de Gestión'!$V$63),"")</f>
        <v/>
      </c>
      <c r="AF45" s="42" t="str">
        <f>IF(AND('Riesgos de Gestión'!$AF$64="Baja",'Riesgos de Gestión'!$AH$64="Mayor"),CONCATENATE("R10C",'Riesgos de Gestión'!$V$64),"")</f>
        <v/>
      </c>
      <c r="AG45" s="43" t="str">
        <f>IF(AND('Riesgos de Gestión'!$AF$65="Baja",'Riesgos de Gestión'!$AH$65="Mayor"),CONCATENATE("R10C",'Riesgos de Gestión'!$V$65),"")</f>
        <v/>
      </c>
      <c r="AH45" s="44" t="str">
        <f>IF(AND('Riesgos de Gestión'!$AF$60="Baja",'Riesgos de Gestión'!$AH$60="Catastrófico"),CONCATENATE("R10C",'Riesgos de Gestión'!$V$60),"")</f>
        <v/>
      </c>
      <c r="AI45" s="45" t="str">
        <f>IF(AND('Riesgos de Gestión'!$AF$61="Baja",'Riesgos de Gestión'!$AH$61="Catastrófico"),CONCATENATE("R10C",'Riesgos de Gestión'!$V$61),"")</f>
        <v/>
      </c>
      <c r="AJ45" s="45" t="str">
        <f>IF(AND('Riesgos de Gestión'!$AF$62="Baja",'Riesgos de Gestión'!$AH$62="Catastrófico"),CONCATENATE("R10C",'Riesgos de Gestión'!$V$62),"")</f>
        <v/>
      </c>
      <c r="AK45" s="45" t="str">
        <f>IF(AND('Riesgos de Gestión'!$AF$63="Baja",'Riesgos de Gestión'!$AH$63="Catastrófico"),CONCATENATE("R10C",'Riesgos de Gestión'!$V$63),"")</f>
        <v/>
      </c>
      <c r="AL45" s="45" t="str">
        <f>IF(AND('Riesgos de Gestión'!$AF$64="Baja",'Riesgos de Gestión'!$AH$64="Catastrófico"),CONCATENATE("R10C",'Riesgos de Gestión'!$V$64),"")</f>
        <v/>
      </c>
      <c r="AM45" s="46" t="str">
        <f>IF(AND('Riesgos de Gestión'!$AF$65="Baja",'Riesgos de Gestión'!$AH$65="Catastrófico"),CONCATENATE("R10C",'Riesgos de Gestión'!$V$65),"")</f>
        <v/>
      </c>
      <c r="AN45" s="66"/>
      <c r="AO45" s="589"/>
      <c r="AP45" s="590"/>
      <c r="AQ45" s="590"/>
      <c r="AR45" s="590"/>
      <c r="AS45" s="590"/>
      <c r="AT45" s="591"/>
    </row>
    <row r="46" spans="1:80" ht="46.5" customHeight="1" x14ac:dyDescent="0.35">
      <c r="A46" s="66"/>
      <c r="B46" s="514"/>
      <c r="C46" s="514"/>
      <c r="D46" s="515"/>
      <c r="E46" s="552" t="s">
        <v>273</v>
      </c>
      <c r="F46" s="553"/>
      <c r="G46" s="553"/>
      <c r="H46" s="553"/>
      <c r="I46" s="554"/>
      <c r="J46" s="56" t="str">
        <f>IF(AND('Riesgos de Gestión'!$AF$13="Muy Baja",'Riesgos de Gestión'!$AH$13="Leve"),CONCATENATE("R1C",'Riesgos de Gestión'!$V$13),"")</f>
        <v/>
      </c>
      <c r="K46" s="57" t="str">
        <f>IF(AND('Riesgos de Gestión'!$AF$14="Muy Baja",'Riesgos de Gestión'!$AH$14="Leve"),CONCATENATE("R1C",'Riesgos de Gestión'!$V$14),"")</f>
        <v/>
      </c>
      <c r="L46" s="57" t="str">
        <f>IF(AND('Riesgos de Gestión'!$AF$15="Muy Baja",'Riesgos de Gestión'!$AH$15="Leve"),CONCATENATE("R1C",'Riesgos de Gestión'!$V$15),"")</f>
        <v/>
      </c>
      <c r="M46" s="57" t="e">
        <f>IF(AND('Riesgos de Gestión'!#REF!="Muy Baja",'Riesgos de Gestión'!#REF!="Leve"),CONCATENATE("R1C",'Riesgos de Gestión'!#REF!),"")</f>
        <v>#REF!</v>
      </c>
      <c r="N46" s="57" t="e">
        <f>IF(AND('Riesgos de Gestión'!#REF!="Muy Baja",'Riesgos de Gestión'!#REF!="Leve"),CONCATENATE("R1C",'Riesgos de Gestión'!#REF!),"")</f>
        <v>#REF!</v>
      </c>
      <c r="O46" s="58" t="e">
        <f>IF(AND('Riesgos de Gestión'!#REF!="Muy Baja",'Riesgos de Gestión'!#REF!="Leve"),CONCATENATE("R1C",'Riesgos de Gestión'!#REF!),"")</f>
        <v>#REF!</v>
      </c>
      <c r="P46" s="56" t="str">
        <f>IF(AND('Riesgos de Gestión'!$AF$13="Muy Baja",'Riesgos de Gestión'!$AH$13="Menor"),CONCATENATE("R1C",'Riesgos de Gestión'!$V$13),"")</f>
        <v/>
      </c>
      <c r="Q46" s="57" t="str">
        <f>IF(AND('Riesgos de Gestión'!$AF$14="Muy Baja",'Riesgos de Gestión'!$AH$14="Menor"),CONCATENATE("R1C",'Riesgos de Gestión'!$V$14),"")</f>
        <v/>
      </c>
      <c r="R46" s="57" t="str">
        <f>IF(AND('Riesgos de Gestión'!$AF$15="Muy Baja",'Riesgos de Gestión'!$AH$15="Menor"),CONCATENATE("R1C",'Riesgos de Gestión'!$V$15),"")</f>
        <v/>
      </c>
      <c r="S46" s="57" t="e">
        <f>IF(AND('Riesgos de Gestión'!#REF!="Muy Baja",'Riesgos de Gestión'!#REF!="Menor"),CONCATENATE("R1C",'Riesgos de Gestión'!#REF!),"")</f>
        <v>#REF!</v>
      </c>
      <c r="T46" s="57" t="e">
        <f>IF(AND('Riesgos de Gestión'!#REF!="Muy Baja",'Riesgos de Gestión'!#REF!="Menor"),CONCATENATE("R1C",'Riesgos de Gestión'!#REF!),"")</f>
        <v>#REF!</v>
      </c>
      <c r="U46" s="58" t="e">
        <f>IF(AND('Riesgos de Gestión'!#REF!="Muy Baja",'Riesgos de Gestión'!#REF!="Menor"),CONCATENATE("R1C",'Riesgos de Gestión'!#REF!),"")</f>
        <v>#REF!</v>
      </c>
      <c r="V46" s="47" t="str">
        <f>IF(AND('Riesgos de Gestión'!$AF$13="Muy Baja",'Riesgos de Gestión'!$AH$13="Moderado"),CONCATENATE("R1C",'Riesgos de Gestión'!$V$13),"")</f>
        <v/>
      </c>
      <c r="W46" s="65" t="str">
        <f>IF(AND('Riesgos de Gestión'!$AF$14="Muy Baja",'Riesgos de Gestión'!$AH$14="Moderado"),CONCATENATE("R1C",'Riesgos de Gestión'!$V$14),"")</f>
        <v/>
      </c>
      <c r="X46" s="48" t="str">
        <f>IF(AND('Riesgos de Gestión'!$AF$15="Muy Baja",'Riesgos de Gestión'!$AH$15="Moderado"),CONCATENATE("R1C",'Riesgos de Gestión'!$V$15),"")</f>
        <v/>
      </c>
      <c r="Y46" s="48" t="e">
        <f>IF(AND('Riesgos de Gestión'!#REF!="Muy Baja",'Riesgos de Gestión'!#REF!="Moderado"),CONCATENATE("R1C",'Riesgos de Gestión'!#REF!),"")</f>
        <v>#REF!</v>
      </c>
      <c r="Z46" s="48" t="e">
        <f>IF(AND('Riesgos de Gestión'!#REF!="Muy Baja",'Riesgos de Gestión'!#REF!="Moderado"),CONCATENATE("R1C",'Riesgos de Gestión'!#REF!),"")</f>
        <v>#REF!</v>
      </c>
      <c r="AA46" s="49" t="e">
        <f>IF(AND('Riesgos de Gestión'!#REF!="Muy Baja",'Riesgos de Gestión'!#REF!="Moderado"),CONCATENATE("R1C",'Riesgos de Gestión'!#REF!),"")</f>
        <v>#REF!</v>
      </c>
      <c r="AB46" s="29" t="str">
        <f>IF(AND('Riesgos de Gestión'!$AF$13="Muy Baja",'Riesgos de Gestión'!$AH$13="Mayor"),CONCATENATE("R1C",'Riesgos de Gestión'!$V$13),"")</f>
        <v/>
      </c>
      <c r="AC46" s="30" t="str">
        <f>IF(AND('Riesgos de Gestión'!$AF$14="Muy Baja",'Riesgos de Gestión'!$AH$14="Mayor"),CONCATENATE("R1C",'Riesgos de Gestión'!$V$14),"")</f>
        <v/>
      </c>
      <c r="AD46" s="30" t="str">
        <f>IF(AND('Riesgos de Gestión'!$AF$15="Muy Baja",'Riesgos de Gestión'!$AH$15="Mayor"),CONCATENATE("R1C",'Riesgos de Gestión'!$V$15),"")</f>
        <v/>
      </c>
      <c r="AE46" s="30" t="e">
        <f>IF(AND('Riesgos de Gestión'!#REF!="Muy Baja",'Riesgos de Gestión'!#REF!="Mayor"),CONCATENATE("R1C",'Riesgos de Gestión'!#REF!),"")</f>
        <v>#REF!</v>
      </c>
      <c r="AF46" s="30" t="e">
        <f>IF(AND('Riesgos de Gestión'!#REF!="Muy Baja",'Riesgos de Gestión'!#REF!="Mayor"),CONCATENATE("R1C",'Riesgos de Gestión'!#REF!),"")</f>
        <v>#REF!</v>
      </c>
      <c r="AG46" s="31" t="e">
        <f>IF(AND('Riesgos de Gestión'!#REF!="Muy Baja",'Riesgos de Gestión'!#REF!="Mayor"),CONCATENATE("R1C",'Riesgos de Gestión'!#REF!),"")</f>
        <v>#REF!</v>
      </c>
      <c r="AH46" s="32" t="str">
        <f>IF(AND('Riesgos de Gestión'!$AF$13="Muy Baja",'Riesgos de Gestión'!$AH$13="Catastrófico"),CONCATENATE("R1C",'Riesgos de Gestión'!$V$13),"")</f>
        <v/>
      </c>
      <c r="AI46" s="33" t="str">
        <f>IF(AND('Riesgos de Gestión'!$AF$14="Muy Baja",'Riesgos de Gestión'!$AH$14="Catastrófico"),CONCATENATE("R1C",'Riesgos de Gestión'!$V$14),"")</f>
        <v/>
      </c>
      <c r="AJ46" s="33" t="str">
        <f>IF(AND('Riesgos de Gestión'!$AF$15="Muy Baja",'Riesgos de Gestión'!$AH$15="Catastrófico"),CONCATENATE("R1C",'Riesgos de Gestión'!$V$15),"")</f>
        <v/>
      </c>
      <c r="AK46" s="33" t="e">
        <f>IF(AND('Riesgos de Gestión'!#REF!="Muy Baja",'Riesgos de Gestión'!#REF!="Catastrófico"),CONCATENATE("R1C",'Riesgos de Gestión'!#REF!),"")</f>
        <v>#REF!</v>
      </c>
      <c r="AL46" s="33" t="e">
        <f>IF(AND('Riesgos de Gestión'!#REF!="Muy Baja",'Riesgos de Gestión'!#REF!="Catastrófico"),CONCATENATE("R1C",'Riesgos de Gestión'!#REF!),"")</f>
        <v>#REF!</v>
      </c>
      <c r="AM46" s="34" t="e">
        <f>IF(AND('Riesgos de Gestión'!#REF!="Muy Baja",'Riesgos de Gestión'!#REF!="Catastrófico"),CONCATENATE("R1C",'Riesgos de Gestión'!#REF!),"")</f>
        <v>#REF!</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25">
      <c r="A47" s="66"/>
      <c r="B47" s="514"/>
      <c r="C47" s="514"/>
      <c r="D47" s="515"/>
      <c r="E47" s="571"/>
      <c r="F47" s="556"/>
      <c r="G47" s="556"/>
      <c r="H47" s="556"/>
      <c r="I47" s="557"/>
      <c r="J47" s="59" t="str">
        <f>IF(AND('Riesgos de Gestión'!$AF$16="Muy Baja",'Riesgos de Gestión'!$AH$16="Leve"),CONCATENATE("R2C",'Riesgos de Gestión'!$V$16),"")</f>
        <v/>
      </c>
      <c r="K47" s="60" t="str">
        <f>IF(AND('Riesgos de Gestión'!$AF$17="Muy Baja",'Riesgos de Gestión'!$AH$17="Leve"),CONCATENATE("R2C",'Riesgos de Gestión'!$V$17),"")</f>
        <v/>
      </c>
      <c r="L47" s="60" t="e">
        <f>IF(AND('Riesgos de Gestión'!#REF!="Muy Baja",'Riesgos de Gestión'!#REF!="Leve"),CONCATENATE("R2C",'Riesgos de Gestión'!#REF!),"")</f>
        <v>#REF!</v>
      </c>
      <c r="M47" s="60" t="e">
        <f>IF(AND('Riesgos de Gestión'!#REF!="Muy Baja",'Riesgos de Gestión'!#REF!="Leve"),CONCATENATE("R2C",'Riesgos de Gestión'!#REF!),"")</f>
        <v>#REF!</v>
      </c>
      <c r="N47" s="60" t="e">
        <f>IF(AND('Riesgos de Gestión'!#REF!="Muy Baja",'Riesgos de Gestión'!#REF!="Leve"),CONCATENATE("R2C",'Riesgos de Gestión'!#REF!),"")</f>
        <v>#REF!</v>
      </c>
      <c r="O47" s="61" t="e">
        <f>IF(AND('Riesgos de Gestión'!#REF!="Muy Baja",'Riesgos de Gestión'!#REF!="Leve"),CONCATENATE("R2C",'Riesgos de Gestión'!#REF!),"")</f>
        <v>#REF!</v>
      </c>
      <c r="P47" s="59" t="str">
        <f>IF(AND('Riesgos de Gestión'!$AF$16="Muy Baja",'Riesgos de Gestión'!$AH$16="Menor"),CONCATENATE("R2C",'Riesgos de Gestión'!$V$16),"")</f>
        <v/>
      </c>
      <c r="Q47" s="60" t="str">
        <f>IF(AND('Riesgos de Gestión'!$AF$17="Muy Baja",'Riesgos de Gestión'!$AH$17="Menor"),CONCATENATE("R2C",'Riesgos de Gestión'!$V$17),"")</f>
        <v/>
      </c>
      <c r="R47" s="60" t="e">
        <f>IF(AND('Riesgos de Gestión'!#REF!="Muy Baja",'Riesgos de Gestión'!#REF!="Menor"),CONCATENATE("R2C",'Riesgos de Gestión'!#REF!),"")</f>
        <v>#REF!</v>
      </c>
      <c r="S47" s="60" t="e">
        <f>IF(AND('Riesgos de Gestión'!#REF!="Muy Baja",'Riesgos de Gestión'!#REF!="Menor"),CONCATENATE("R2C",'Riesgos de Gestión'!#REF!),"")</f>
        <v>#REF!</v>
      </c>
      <c r="T47" s="60" t="e">
        <f>IF(AND('Riesgos de Gestión'!#REF!="Muy Baja",'Riesgos de Gestión'!#REF!="Menor"),CONCATENATE("R2C",'Riesgos de Gestión'!#REF!),"")</f>
        <v>#REF!</v>
      </c>
      <c r="U47" s="61" t="e">
        <f>IF(AND('Riesgos de Gestión'!#REF!="Muy Baja",'Riesgos de Gestión'!#REF!="Menor"),CONCATENATE("R2C",'Riesgos de Gestión'!#REF!),"")</f>
        <v>#REF!</v>
      </c>
      <c r="V47" s="50" t="str">
        <f>IF(AND('Riesgos de Gestión'!$AF$16="Muy Baja",'Riesgos de Gestión'!$AH$16="Moderado"),CONCATENATE("R2C",'Riesgos de Gestión'!$V$16),"")</f>
        <v/>
      </c>
      <c r="W47" s="51" t="str">
        <f>IF(AND('Riesgos de Gestión'!$AF$17="Muy Baja",'Riesgos de Gestión'!$AH$17="Moderado"),CONCATENATE("R2C",'Riesgos de Gestión'!$V$17),"")</f>
        <v/>
      </c>
      <c r="X47" s="51" t="e">
        <f>IF(AND('Riesgos de Gestión'!#REF!="Muy Baja",'Riesgos de Gestión'!#REF!="Moderado"),CONCATENATE("R2C",'Riesgos de Gestión'!#REF!),"")</f>
        <v>#REF!</v>
      </c>
      <c r="Y47" s="51" t="e">
        <f>IF(AND('Riesgos de Gestión'!#REF!="Muy Baja",'Riesgos de Gestión'!#REF!="Moderado"),CONCATENATE("R2C",'Riesgos de Gestión'!#REF!),"")</f>
        <v>#REF!</v>
      </c>
      <c r="Z47" s="51" t="e">
        <f>IF(AND('Riesgos de Gestión'!#REF!="Muy Baja",'Riesgos de Gestión'!#REF!="Moderado"),CONCATENATE("R2C",'Riesgos de Gestión'!#REF!),"")</f>
        <v>#REF!</v>
      </c>
      <c r="AA47" s="52" t="e">
        <f>IF(AND('Riesgos de Gestión'!#REF!="Muy Baja",'Riesgos de Gestión'!#REF!="Moderado"),CONCATENATE("R2C",'Riesgos de Gestión'!#REF!),"")</f>
        <v>#REF!</v>
      </c>
      <c r="AB47" s="35" t="str">
        <f>IF(AND('Riesgos de Gestión'!$AF$16="Muy Baja",'Riesgos de Gestión'!$AH$16="Mayor"),CONCATENATE("R2C",'Riesgos de Gestión'!$V$16),"")</f>
        <v/>
      </c>
      <c r="AC47" s="36" t="str">
        <f>IF(AND('Riesgos de Gestión'!$AF$17="Muy Baja",'Riesgos de Gestión'!$AH$17="Mayor"),CONCATENATE("R2C",'Riesgos de Gestión'!$V$17),"")</f>
        <v/>
      </c>
      <c r="AD47" s="36" t="e">
        <f>IF(AND('Riesgos de Gestión'!#REF!="Muy Baja",'Riesgos de Gestión'!#REF!="Mayor"),CONCATENATE("R2C",'Riesgos de Gestión'!#REF!),"")</f>
        <v>#REF!</v>
      </c>
      <c r="AE47" s="36" t="e">
        <f>IF(AND('Riesgos de Gestión'!#REF!="Muy Baja",'Riesgos de Gestión'!#REF!="Mayor"),CONCATENATE("R2C",'Riesgos de Gestión'!#REF!),"")</f>
        <v>#REF!</v>
      </c>
      <c r="AF47" s="36" t="e">
        <f>IF(AND('Riesgos de Gestión'!#REF!="Muy Baja",'Riesgos de Gestión'!#REF!="Mayor"),CONCATENATE("R2C",'Riesgos de Gestión'!#REF!),"")</f>
        <v>#REF!</v>
      </c>
      <c r="AG47" s="37" t="e">
        <f>IF(AND('Riesgos de Gestión'!#REF!="Muy Baja",'Riesgos de Gestión'!#REF!="Mayor"),CONCATENATE("R2C",'Riesgos de Gestión'!#REF!),"")</f>
        <v>#REF!</v>
      </c>
      <c r="AH47" s="38" t="str">
        <f>IF(AND('Riesgos de Gestión'!$AF$16="Muy Baja",'Riesgos de Gestión'!$AH$16="Catastrófico"),CONCATENATE("R2C",'Riesgos de Gestión'!$V$16),"")</f>
        <v/>
      </c>
      <c r="AI47" s="39" t="str">
        <f>IF(AND('Riesgos de Gestión'!$AF$17="Muy Baja",'Riesgos de Gestión'!$AH$17="Catastrófico"),CONCATENATE("R2C",'Riesgos de Gestión'!$V$17),"")</f>
        <v/>
      </c>
      <c r="AJ47" s="39" t="e">
        <f>IF(AND('Riesgos de Gestión'!#REF!="Muy Baja",'Riesgos de Gestión'!#REF!="Catastrófico"),CONCATENATE("R2C",'Riesgos de Gestión'!#REF!),"")</f>
        <v>#REF!</v>
      </c>
      <c r="AK47" s="39" t="e">
        <f>IF(AND('Riesgos de Gestión'!#REF!="Muy Baja",'Riesgos de Gestión'!#REF!="Catastrófico"),CONCATENATE("R2C",'Riesgos de Gestión'!#REF!),"")</f>
        <v>#REF!</v>
      </c>
      <c r="AL47" s="39" t="e">
        <f>IF(AND('Riesgos de Gestión'!#REF!="Muy Baja",'Riesgos de Gestión'!#REF!="Catastrófico"),CONCATENATE("R2C",'Riesgos de Gestión'!#REF!),"")</f>
        <v>#REF!</v>
      </c>
      <c r="AM47" s="40" t="e">
        <f>IF(AND('Riesgos de Gestión'!#REF!="Muy Baja",'Riesgos de Gestión'!#REF!="Catastrófico"),CONCATENATE("R2C",'Riesgos de Gestión'!#REF!),"")</f>
        <v>#REF!</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25">
      <c r="A48" s="66"/>
      <c r="B48" s="514"/>
      <c r="C48" s="514"/>
      <c r="D48" s="515"/>
      <c r="E48" s="571"/>
      <c r="F48" s="556"/>
      <c r="G48" s="556"/>
      <c r="H48" s="556"/>
      <c r="I48" s="557"/>
      <c r="J48" s="59" t="str">
        <f>IF(AND('Riesgos de Gestión'!$AF$18="Muy Baja",'Riesgos de Gestión'!$AH$18="Leve"),CONCATENATE("R3C",'Riesgos de Gestión'!$V$18),"")</f>
        <v/>
      </c>
      <c r="K48" s="60" t="str">
        <f>IF(AND('Riesgos de Gestión'!$AF$19="Muy Baja",'Riesgos de Gestión'!$AH$19="Leve"),CONCATENATE("R3C",'Riesgos de Gestión'!$V$19),"")</f>
        <v/>
      </c>
      <c r="L48" s="60" t="str">
        <f>IF(AND('Riesgos de Gestión'!$AF$20="Muy Baja",'Riesgos de Gestión'!$AH$20="Leve"),CONCATENATE("R3C",'Riesgos de Gestión'!$V$20),"")</f>
        <v/>
      </c>
      <c r="M48" s="60" t="str">
        <f>IF(AND('Riesgos de Gestión'!$AF$21="Muy Baja",'Riesgos de Gestión'!$AH$21="Leve"),CONCATENATE("R3C",'Riesgos de Gestión'!$V$21),"")</f>
        <v/>
      </c>
      <c r="N48" s="60" t="str">
        <f>IF(AND('Riesgos de Gestión'!$AF$22="Muy Baja",'Riesgos de Gestión'!$AH$22="Leve"),CONCATENATE("R3C",'Riesgos de Gestión'!$V$22),"")</f>
        <v/>
      </c>
      <c r="O48" s="61" t="str">
        <f>IF(AND('Riesgos de Gestión'!$AF$23="Muy Baja",'Riesgos de Gestión'!$AH$23="Leve"),CONCATENATE("R3C",'Riesgos de Gestión'!$V$23),"")</f>
        <v/>
      </c>
      <c r="P48" s="59" t="str">
        <f>IF(AND('Riesgos de Gestión'!$AF$18="Muy Baja",'Riesgos de Gestión'!$AH$18="Menor"),CONCATENATE("R3C",'Riesgos de Gestión'!$V$18),"")</f>
        <v/>
      </c>
      <c r="Q48" s="60" t="str">
        <f>IF(AND('Riesgos de Gestión'!$AF$19="Muy Baja",'Riesgos de Gestión'!$AH$19="Menor"),CONCATENATE("R3C",'Riesgos de Gestión'!$V$19),"")</f>
        <v/>
      </c>
      <c r="R48" s="60" t="str">
        <f>IF(AND('Riesgos de Gestión'!$AF$20="Muy Baja",'Riesgos de Gestión'!$AH$20="Menor"),CONCATENATE("R3C",'Riesgos de Gestión'!$V$20),"")</f>
        <v/>
      </c>
      <c r="S48" s="60" t="str">
        <f>IF(AND('Riesgos de Gestión'!$AF$21="Muy Baja",'Riesgos de Gestión'!$AH$21="Menor"),CONCATENATE("R3C",'Riesgos de Gestión'!$V$21),"")</f>
        <v/>
      </c>
      <c r="T48" s="60" t="str">
        <f>IF(AND('Riesgos de Gestión'!$AF$22="Muy Baja",'Riesgos de Gestión'!$AH$22="Menor"),CONCATENATE("R3C",'Riesgos de Gestión'!$V$22),"")</f>
        <v/>
      </c>
      <c r="U48" s="61" t="str">
        <f>IF(AND('Riesgos de Gestión'!$AF$23="Muy Baja",'Riesgos de Gestión'!$AH$23="Menor"),CONCATENATE("R3C",'Riesgos de Gestión'!$V$23),"")</f>
        <v/>
      </c>
      <c r="V48" s="50" t="str">
        <f>IF(AND('Riesgos de Gestión'!$AF$18="Muy Baja",'Riesgos de Gestión'!$AH$18="Moderado"),CONCATENATE("R3C",'Riesgos de Gestión'!$V$18),"")</f>
        <v/>
      </c>
      <c r="W48" s="51" t="str">
        <f>IF(AND('Riesgos de Gestión'!$AF$19="Muy Baja",'Riesgos de Gestión'!$AH$19="Moderado"),CONCATENATE("R3C",'Riesgos de Gestión'!$V$19),"")</f>
        <v/>
      </c>
      <c r="X48" s="51" t="str">
        <f>IF(AND('Riesgos de Gestión'!$AF$20="Muy Baja",'Riesgos de Gestión'!$AH$20="Moderado"),CONCATENATE("R3C",'Riesgos de Gestión'!$V$20),"")</f>
        <v/>
      </c>
      <c r="Y48" s="51" t="str">
        <f>IF(AND('Riesgos de Gestión'!$AF$21="Muy Baja",'Riesgos de Gestión'!$AH$21="Moderado"),CONCATENATE("R3C",'Riesgos de Gestión'!$V$21),"")</f>
        <v/>
      </c>
      <c r="Z48" s="51" t="str">
        <f>IF(AND('Riesgos de Gestión'!$AF$22="Muy Baja",'Riesgos de Gestión'!$AH$22="Moderado"),CONCATENATE("R3C",'Riesgos de Gestión'!$V$22),"")</f>
        <v/>
      </c>
      <c r="AA48" s="52" t="str">
        <f>IF(AND('Riesgos de Gestión'!$AF$23="Muy Baja",'Riesgos de Gestión'!$AH$23="Moderado"),CONCATENATE("R3C",'Riesgos de Gestión'!$V$23),"")</f>
        <v/>
      </c>
      <c r="AB48" s="35" t="str">
        <f>IF(AND('Riesgos de Gestión'!$AF$18="Muy Baja",'Riesgos de Gestión'!$AH$18="Mayor"),CONCATENATE("R3C",'Riesgos de Gestión'!$V$18),"")</f>
        <v/>
      </c>
      <c r="AC48" s="36" t="str">
        <f>IF(AND('Riesgos de Gestión'!$AF$19="Muy Baja",'Riesgos de Gestión'!$AH$19="Mayor"),CONCATENATE("R3C",'Riesgos de Gestión'!$V$19),"")</f>
        <v/>
      </c>
      <c r="AD48" s="36" t="str">
        <f>IF(AND('Riesgos de Gestión'!$AF$20="Muy Baja",'Riesgos de Gestión'!$AH$20="Mayor"),CONCATENATE("R3C",'Riesgos de Gestión'!$V$20),"")</f>
        <v/>
      </c>
      <c r="AE48" s="36" t="str">
        <f>IF(AND('Riesgos de Gestión'!$AF$21="Muy Baja",'Riesgos de Gestión'!$AH$21="Mayor"),CONCATENATE("R3C",'Riesgos de Gestión'!$V$21),"")</f>
        <v/>
      </c>
      <c r="AF48" s="36" t="str">
        <f>IF(AND('Riesgos de Gestión'!$AF$22="Muy Baja",'Riesgos de Gestión'!$AH$22="Mayor"),CONCATENATE("R3C",'Riesgos de Gestión'!$V$22),"")</f>
        <v/>
      </c>
      <c r="AG48" s="37" t="str">
        <f>IF(AND('Riesgos de Gestión'!$AF$23="Muy Baja",'Riesgos de Gestión'!$AH$23="Mayor"),CONCATENATE("R3C",'Riesgos de Gestión'!$V$23),"")</f>
        <v/>
      </c>
      <c r="AH48" s="38" t="str">
        <f>IF(AND('Riesgos de Gestión'!$AF$18="Muy Baja",'Riesgos de Gestión'!$AH$18="Catastrófico"),CONCATENATE("R3C",'Riesgos de Gestión'!$V$18),"")</f>
        <v/>
      </c>
      <c r="AI48" s="39" t="str">
        <f>IF(AND('Riesgos de Gestión'!$AF$19="Muy Baja",'Riesgos de Gestión'!$AH$19="Catastrófico"),CONCATENATE("R3C",'Riesgos de Gestión'!$V$19),"")</f>
        <v/>
      </c>
      <c r="AJ48" s="39" t="str">
        <f>IF(AND('Riesgos de Gestión'!$AF$20="Muy Baja",'Riesgos de Gestión'!$AH$20="Catastrófico"),CONCATENATE("R3C",'Riesgos de Gestión'!$V$20),"")</f>
        <v/>
      </c>
      <c r="AK48" s="39" t="str">
        <f>IF(AND('Riesgos de Gestión'!$AF$21="Muy Baja",'Riesgos de Gestión'!$AH$21="Catastrófico"),CONCATENATE("R3C",'Riesgos de Gestión'!$V$21),"")</f>
        <v/>
      </c>
      <c r="AL48" s="39" t="str">
        <f>IF(AND('Riesgos de Gestión'!$AF$22="Muy Baja",'Riesgos de Gestión'!$AH$22="Catastrófico"),CONCATENATE("R3C",'Riesgos de Gestión'!$V$22),"")</f>
        <v/>
      </c>
      <c r="AM48" s="40" t="str">
        <f>IF(AND('Riesgos de Gestión'!$AF$23="Muy Baja",'Riesgos de Gestión'!$AH$23="Catastrófico"),CONCATENATE("R3C",'Riesgos de Gestión'!$V$23),"")</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25">
      <c r="A49" s="66"/>
      <c r="B49" s="514"/>
      <c r="C49" s="514"/>
      <c r="D49" s="515"/>
      <c r="E49" s="555"/>
      <c r="F49" s="556"/>
      <c r="G49" s="556"/>
      <c r="H49" s="556"/>
      <c r="I49" s="557"/>
      <c r="J49" s="59" t="str">
        <f>IF(AND('Riesgos de Gestión'!$AF$24="Muy Baja",'Riesgos de Gestión'!$AH$24="Leve"),CONCATENATE("R4C",'Riesgos de Gestión'!$V$24),"")</f>
        <v/>
      </c>
      <c r="K49" s="60" t="str">
        <f>IF(AND('Riesgos de Gestión'!$AF$25="Muy Baja",'Riesgos de Gestión'!$AH$25="Leve"),CONCATENATE("R4C",'Riesgos de Gestión'!$V$25),"")</f>
        <v/>
      </c>
      <c r="L49" s="60" t="str">
        <f>IF(AND('Riesgos de Gestión'!$AF$26="Muy Baja",'Riesgos de Gestión'!$AH$26="Leve"),CONCATENATE("R4C",'Riesgos de Gestión'!$V$26),"")</f>
        <v/>
      </c>
      <c r="M49" s="60" t="str">
        <f>IF(AND('Riesgos de Gestión'!$AF$27="Muy Baja",'Riesgos de Gestión'!$AH$27="Leve"),CONCATENATE("R4C",'Riesgos de Gestión'!$V$27),"")</f>
        <v/>
      </c>
      <c r="N49" s="60" t="str">
        <f>IF(AND('Riesgos de Gestión'!$AF$28="Muy Baja",'Riesgos de Gestión'!$AH$28="Leve"),CONCATENATE("R4C",'Riesgos de Gestión'!$V$28),"")</f>
        <v/>
      </c>
      <c r="O49" s="61" t="str">
        <f>IF(AND('Riesgos de Gestión'!$AF$29="Muy Baja",'Riesgos de Gestión'!$AH$29="Leve"),CONCATENATE("R4C",'Riesgos de Gestión'!$V$29),"")</f>
        <v/>
      </c>
      <c r="P49" s="59" t="str">
        <f>IF(AND('Riesgos de Gestión'!$AF$24="Muy Baja",'Riesgos de Gestión'!$AH$24="Menor"),CONCATENATE("R4C",'Riesgos de Gestión'!$V$24),"")</f>
        <v/>
      </c>
      <c r="Q49" s="60" t="str">
        <f>IF(AND('Riesgos de Gestión'!$AF$25="Muy Baja",'Riesgos de Gestión'!$AH$25="Menor"),CONCATENATE("R4C",'Riesgos de Gestión'!$V$25),"")</f>
        <v/>
      </c>
      <c r="R49" s="60" t="str">
        <f>IF(AND('Riesgos de Gestión'!$AF$26="Muy Baja",'Riesgos de Gestión'!$AH$26="Menor"),CONCATENATE("R4C",'Riesgos de Gestión'!$V$26),"")</f>
        <v/>
      </c>
      <c r="S49" s="60" t="str">
        <f>IF(AND('Riesgos de Gestión'!$AF$27="Muy Baja",'Riesgos de Gestión'!$AH$27="Menor"),CONCATENATE("R4C",'Riesgos de Gestión'!$V$27),"")</f>
        <v/>
      </c>
      <c r="T49" s="60" t="str">
        <f>IF(AND('Riesgos de Gestión'!$AF$28="Muy Baja",'Riesgos de Gestión'!$AH$28="Menor"),CONCATENATE("R4C",'Riesgos de Gestión'!$V$28),"")</f>
        <v/>
      </c>
      <c r="U49" s="61" t="str">
        <f>IF(AND('Riesgos de Gestión'!$AF$29="Muy Baja",'Riesgos de Gestión'!$AH$29="Menor"),CONCATENATE("R4C",'Riesgos de Gestión'!$V$29),"")</f>
        <v/>
      </c>
      <c r="V49" s="50" t="str">
        <f>IF(AND('Riesgos de Gestión'!$AF$24="Muy Baja",'Riesgos de Gestión'!$AH$24="Moderado"),CONCATENATE("R4C",'Riesgos de Gestión'!$V$24),"")</f>
        <v/>
      </c>
      <c r="W49" s="51" t="str">
        <f>IF(AND('Riesgos de Gestión'!$AF$25="Muy Baja",'Riesgos de Gestión'!$AH$25="Moderado"),CONCATENATE("R4C",'Riesgos de Gestión'!$V$25),"")</f>
        <v/>
      </c>
      <c r="X49" s="51" t="str">
        <f>IF(AND('Riesgos de Gestión'!$AF$26="Muy Baja",'Riesgos de Gestión'!$AH$26="Moderado"),CONCATENATE("R4C",'Riesgos de Gestión'!$V$26),"")</f>
        <v/>
      </c>
      <c r="Y49" s="51" t="str">
        <f>IF(AND('Riesgos de Gestión'!$AF$27="Muy Baja",'Riesgos de Gestión'!$AH$27="Moderado"),CONCATENATE("R4C",'Riesgos de Gestión'!$V$27),"")</f>
        <v/>
      </c>
      <c r="Z49" s="51" t="str">
        <f>IF(AND('Riesgos de Gestión'!$AF$28="Muy Baja",'Riesgos de Gestión'!$AH$28="Moderado"),CONCATENATE("R4C",'Riesgos de Gestión'!$V$28),"")</f>
        <v/>
      </c>
      <c r="AA49" s="52" t="str">
        <f>IF(AND('Riesgos de Gestión'!$AF$29="Muy Baja",'Riesgos de Gestión'!$AH$29="Moderado"),CONCATENATE("R4C",'Riesgos de Gestión'!$V$29),"")</f>
        <v/>
      </c>
      <c r="AB49" s="35" t="str">
        <f>IF(AND('Riesgos de Gestión'!$AF$24="Muy Baja",'Riesgos de Gestión'!$AH$24="Mayor"),CONCATENATE("R4C",'Riesgos de Gestión'!$V$24),"")</f>
        <v/>
      </c>
      <c r="AC49" s="36" t="str">
        <f>IF(AND('Riesgos de Gestión'!$AF$25="Muy Baja",'Riesgos de Gestión'!$AH$25="Mayor"),CONCATENATE("R4C",'Riesgos de Gestión'!$V$25),"")</f>
        <v/>
      </c>
      <c r="AD49" s="36" t="str">
        <f>IF(AND('Riesgos de Gestión'!$AF$26="Muy Baja",'Riesgos de Gestión'!$AH$26="Mayor"),CONCATENATE("R4C",'Riesgos de Gestión'!$V$26),"")</f>
        <v/>
      </c>
      <c r="AE49" s="36" t="str">
        <f>IF(AND('Riesgos de Gestión'!$AF$27="Muy Baja",'Riesgos de Gestión'!$AH$27="Mayor"),CONCATENATE("R4C",'Riesgos de Gestión'!$V$27),"")</f>
        <v/>
      </c>
      <c r="AF49" s="36" t="str">
        <f>IF(AND('Riesgos de Gestión'!$AF$28="Muy Baja",'Riesgos de Gestión'!$AH$28="Mayor"),CONCATENATE("R4C",'Riesgos de Gestión'!$V$28),"")</f>
        <v/>
      </c>
      <c r="AG49" s="37" t="str">
        <f>IF(AND('Riesgos de Gestión'!$AF$29="Muy Baja",'Riesgos de Gestión'!$AH$29="Mayor"),CONCATENATE("R4C",'Riesgos de Gestión'!$V$29),"")</f>
        <v/>
      </c>
      <c r="AH49" s="38" t="str">
        <f>IF(AND('Riesgos de Gestión'!$AF$24="Muy Baja",'Riesgos de Gestión'!$AH$24="Catastrófico"),CONCATENATE("R4C",'Riesgos de Gestión'!$V$24),"")</f>
        <v/>
      </c>
      <c r="AI49" s="39" t="str">
        <f>IF(AND('Riesgos de Gestión'!$AF$25="Muy Baja",'Riesgos de Gestión'!$AH$25="Catastrófico"),CONCATENATE("R4C",'Riesgos de Gestión'!$V$25),"")</f>
        <v/>
      </c>
      <c r="AJ49" s="39" t="str">
        <f>IF(AND('Riesgos de Gestión'!$AF$26="Muy Baja",'Riesgos de Gestión'!$AH$26="Catastrófico"),CONCATENATE("R4C",'Riesgos de Gestión'!$V$26),"")</f>
        <v/>
      </c>
      <c r="AK49" s="39" t="str">
        <f>IF(AND('Riesgos de Gestión'!$AF$27="Muy Baja",'Riesgos de Gestión'!$AH$27="Catastrófico"),CONCATENATE("R4C",'Riesgos de Gestión'!$V$27),"")</f>
        <v/>
      </c>
      <c r="AL49" s="39" t="str">
        <f>IF(AND('Riesgos de Gestión'!$AF$28="Muy Baja",'Riesgos de Gestión'!$AH$28="Catastrófico"),CONCATENATE("R4C",'Riesgos de Gestión'!$V$28),"")</f>
        <v/>
      </c>
      <c r="AM49" s="40" t="str">
        <f>IF(AND('Riesgos de Gestión'!$AF$29="Muy Baja",'Riesgos de Gestión'!$AH$29="Catastrófico"),CONCATENATE("R4C",'Riesgos de Gestión'!$V$29),"")</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25">
      <c r="A50" s="66"/>
      <c r="B50" s="514"/>
      <c r="C50" s="514"/>
      <c r="D50" s="515"/>
      <c r="E50" s="555"/>
      <c r="F50" s="556"/>
      <c r="G50" s="556"/>
      <c r="H50" s="556"/>
      <c r="I50" s="557"/>
      <c r="J50" s="59" t="str">
        <f>IF(AND('Riesgos de Gestión'!$AF$30="Muy Baja",'Riesgos de Gestión'!$AH$30="Leve"),CONCATENATE("R5C",'Riesgos de Gestión'!$V$30),"")</f>
        <v/>
      </c>
      <c r="K50" s="60" t="str">
        <f>IF(AND('Riesgos de Gestión'!$AF$31="Muy Baja",'Riesgos de Gestión'!$AH$31="Leve"),CONCATENATE("R5C",'Riesgos de Gestión'!$V$31),"")</f>
        <v/>
      </c>
      <c r="L50" s="60" t="str">
        <f>IF(AND('Riesgos de Gestión'!$AF$32="Muy Baja",'Riesgos de Gestión'!$AH$32="Leve"),CONCATENATE("R5C",'Riesgos de Gestión'!$V$32),"")</f>
        <v/>
      </c>
      <c r="M50" s="60" t="str">
        <f>IF(AND('Riesgos de Gestión'!$AF$33="Muy Baja",'Riesgos de Gestión'!$AH$33="Leve"),CONCATENATE("R5C",'Riesgos de Gestión'!$V$33),"")</f>
        <v/>
      </c>
      <c r="N50" s="60" t="str">
        <f>IF(AND('Riesgos de Gestión'!$AF$34="Muy Baja",'Riesgos de Gestión'!$AH$34="Leve"),CONCATENATE("R5C",'Riesgos de Gestión'!$V$34),"")</f>
        <v/>
      </c>
      <c r="O50" s="61" t="str">
        <f>IF(AND('Riesgos de Gestión'!$AF$35="Muy Baja",'Riesgos de Gestión'!$AH$35="Leve"),CONCATENATE("R5C",'Riesgos de Gestión'!$V$35),"")</f>
        <v/>
      </c>
      <c r="P50" s="59" t="str">
        <f>IF(AND('Riesgos de Gestión'!$AF$30="Muy Baja",'Riesgos de Gestión'!$AH$30="Menor"),CONCATENATE("R5C",'Riesgos de Gestión'!$V$30),"")</f>
        <v/>
      </c>
      <c r="Q50" s="60" t="str">
        <f>IF(AND('Riesgos de Gestión'!$AF$31="Muy Baja",'Riesgos de Gestión'!$AH$31="Menor"),CONCATENATE("R5C",'Riesgos de Gestión'!$V$31),"")</f>
        <v/>
      </c>
      <c r="R50" s="60" t="str">
        <f>IF(AND('Riesgos de Gestión'!$AF$32="Muy Baja",'Riesgos de Gestión'!$AH$32="Menor"),CONCATENATE("R5C",'Riesgos de Gestión'!$V$32),"")</f>
        <v/>
      </c>
      <c r="S50" s="60" t="str">
        <f>IF(AND('Riesgos de Gestión'!$AF$33="Muy Baja",'Riesgos de Gestión'!$AH$33="Menor"),CONCATENATE("R5C",'Riesgos de Gestión'!$V$33),"")</f>
        <v/>
      </c>
      <c r="T50" s="60" t="str">
        <f>IF(AND('Riesgos de Gestión'!$AF$34="Muy Baja",'Riesgos de Gestión'!$AH$34="Menor"),CONCATENATE("R5C",'Riesgos de Gestión'!$V$34),"")</f>
        <v/>
      </c>
      <c r="U50" s="61" t="str">
        <f>IF(AND('Riesgos de Gestión'!$AF$35="Muy Baja",'Riesgos de Gestión'!$AH$35="Menor"),CONCATENATE("R5C",'Riesgos de Gestión'!$V$35),"")</f>
        <v/>
      </c>
      <c r="V50" s="50" t="str">
        <f>IF(AND('Riesgos de Gestión'!$AF$30="Muy Baja",'Riesgos de Gestión'!$AH$30="Moderado"),CONCATENATE("R5C",'Riesgos de Gestión'!$V$30),"")</f>
        <v/>
      </c>
      <c r="W50" s="51" t="str">
        <f>IF(AND('Riesgos de Gestión'!$AF$31="Muy Baja",'Riesgos de Gestión'!$AH$31="Moderado"),CONCATENATE("R5C",'Riesgos de Gestión'!$V$31),"")</f>
        <v/>
      </c>
      <c r="X50" s="51" t="str">
        <f>IF(AND('Riesgos de Gestión'!$AF$32="Muy Baja",'Riesgos de Gestión'!$AH$32="Moderado"),CONCATENATE("R5C",'Riesgos de Gestión'!$V$32),"")</f>
        <v/>
      </c>
      <c r="Y50" s="51" t="str">
        <f>IF(AND('Riesgos de Gestión'!$AF$33="Muy Baja",'Riesgos de Gestión'!$AH$33="Moderado"),CONCATENATE("R5C",'Riesgos de Gestión'!$V$33),"")</f>
        <v/>
      </c>
      <c r="Z50" s="51" t="str">
        <f>IF(AND('Riesgos de Gestión'!$AF$34="Muy Baja",'Riesgos de Gestión'!$AH$34="Moderado"),CONCATENATE("R5C",'Riesgos de Gestión'!$V$34),"")</f>
        <v/>
      </c>
      <c r="AA50" s="52" t="str">
        <f>IF(AND('Riesgos de Gestión'!$AF$35="Muy Baja",'Riesgos de Gestión'!$AH$35="Moderado"),CONCATENATE("R5C",'Riesgos de Gestión'!$V$35),"")</f>
        <v/>
      </c>
      <c r="AB50" s="35" t="str">
        <f>IF(AND('Riesgos de Gestión'!$AF$30="Muy Baja",'Riesgos de Gestión'!$AH$30="Mayor"),CONCATENATE("R5C",'Riesgos de Gestión'!$V$30),"")</f>
        <v/>
      </c>
      <c r="AC50" s="36" t="str">
        <f>IF(AND('Riesgos de Gestión'!$AF$31="Muy Baja",'Riesgos de Gestión'!$AH$31="Mayor"),CONCATENATE("R5C",'Riesgos de Gestión'!$V$31),"")</f>
        <v/>
      </c>
      <c r="AD50" s="36" t="str">
        <f>IF(AND('Riesgos de Gestión'!$AF$32="Muy Baja",'Riesgos de Gestión'!$AH$32="Mayor"),CONCATENATE("R5C",'Riesgos de Gestión'!$V$32),"")</f>
        <v/>
      </c>
      <c r="AE50" s="36" t="str">
        <f>IF(AND('Riesgos de Gestión'!$AF$33="Muy Baja",'Riesgos de Gestión'!$AH$33="Mayor"),CONCATENATE("R5C",'Riesgos de Gestión'!$V$33),"")</f>
        <v/>
      </c>
      <c r="AF50" s="36" t="str">
        <f>IF(AND('Riesgos de Gestión'!$AF$34="Muy Baja",'Riesgos de Gestión'!$AH$34="Mayor"),CONCATENATE("R5C",'Riesgos de Gestión'!$V$34),"")</f>
        <v/>
      </c>
      <c r="AG50" s="37" t="str">
        <f>IF(AND('Riesgos de Gestión'!$AF$35="Muy Baja",'Riesgos de Gestión'!$AH$35="Mayor"),CONCATENATE("R5C",'Riesgos de Gestión'!$V$35),"")</f>
        <v/>
      </c>
      <c r="AH50" s="38" t="str">
        <f>IF(AND('Riesgos de Gestión'!$AF$30="Muy Baja",'Riesgos de Gestión'!$AH$30="Catastrófico"),CONCATENATE("R5C",'Riesgos de Gestión'!$V$30),"")</f>
        <v/>
      </c>
      <c r="AI50" s="39" t="str">
        <f>IF(AND('Riesgos de Gestión'!$AF$31="Muy Baja",'Riesgos de Gestión'!$AH$31="Catastrófico"),CONCATENATE("R5C",'Riesgos de Gestión'!$V$31),"")</f>
        <v/>
      </c>
      <c r="AJ50" s="39" t="str">
        <f>IF(AND('Riesgos de Gestión'!$AF$32="Muy Baja",'Riesgos de Gestión'!$AH$32="Catastrófico"),CONCATENATE("R5C",'Riesgos de Gestión'!$V$32),"")</f>
        <v/>
      </c>
      <c r="AK50" s="39" t="str">
        <f>IF(AND('Riesgos de Gestión'!$AF$33="Muy Baja",'Riesgos de Gestión'!$AH$33="Catastrófico"),CONCATENATE("R5C",'Riesgos de Gestión'!$V$33),"")</f>
        <v/>
      </c>
      <c r="AL50" s="39" t="str">
        <f>IF(AND('Riesgos de Gestión'!$AF$34="Muy Baja",'Riesgos de Gestión'!$AH$34="Catastrófico"),CONCATENATE("R5C",'Riesgos de Gestión'!$V$34),"")</f>
        <v/>
      </c>
      <c r="AM50" s="40" t="str">
        <f>IF(AND('Riesgos de Gestión'!$AF$35="Muy Baja",'Riesgos de Gestión'!$AH$35="Catastrófico"),CONCATENATE("R5C",'Riesgos de Gestión'!$V$35),"")</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25">
      <c r="A51" s="66"/>
      <c r="B51" s="514"/>
      <c r="C51" s="514"/>
      <c r="D51" s="515"/>
      <c r="E51" s="555"/>
      <c r="F51" s="556"/>
      <c r="G51" s="556"/>
      <c r="H51" s="556"/>
      <c r="I51" s="557"/>
      <c r="J51" s="59" t="str">
        <f>IF(AND('Riesgos de Gestión'!$AF$36="Muy Baja",'Riesgos de Gestión'!$AH$36="Leve"),CONCATENATE("R6C",'Riesgos de Gestión'!$V$36),"")</f>
        <v/>
      </c>
      <c r="K51" s="60" t="str">
        <f>IF(AND('Riesgos de Gestión'!$AF$37="Muy Baja",'Riesgos de Gestión'!$AH$37="Leve"),CONCATENATE("R6C",'Riesgos de Gestión'!$V$37),"")</f>
        <v/>
      </c>
      <c r="L51" s="60" t="str">
        <f>IF(AND('Riesgos de Gestión'!$AF$38="Muy Baja",'Riesgos de Gestión'!$AH$38="Leve"),CONCATENATE("R6C",'Riesgos de Gestión'!$V$38),"")</f>
        <v/>
      </c>
      <c r="M51" s="60" t="str">
        <f>IF(AND('Riesgos de Gestión'!$AF$39="Muy Baja",'Riesgos de Gestión'!$AH$39="Leve"),CONCATENATE("R6C",'Riesgos de Gestión'!$V$39),"")</f>
        <v/>
      </c>
      <c r="N51" s="60" t="str">
        <f>IF(AND('Riesgos de Gestión'!$AF$40="Muy Baja",'Riesgos de Gestión'!$AH$40="Leve"),CONCATENATE("R6C",'Riesgos de Gestión'!$V$40),"")</f>
        <v/>
      </c>
      <c r="O51" s="61" t="str">
        <f>IF(AND('Riesgos de Gestión'!$AF$41="Muy Baja",'Riesgos de Gestión'!$AH$41="Leve"),CONCATENATE("R6C",'Riesgos de Gestión'!$V$41),"")</f>
        <v/>
      </c>
      <c r="P51" s="59" t="str">
        <f>IF(AND('Riesgos de Gestión'!$AF$36="Muy Baja",'Riesgos de Gestión'!$AH$36="Menor"),CONCATENATE("R6C",'Riesgos de Gestión'!$V$36),"")</f>
        <v/>
      </c>
      <c r="Q51" s="60" t="str">
        <f>IF(AND('Riesgos de Gestión'!$AF$37="Muy Baja",'Riesgos de Gestión'!$AH$37="Menor"),CONCATENATE("R6C",'Riesgos de Gestión'!$V$37),"")</f>
        <v/>
      </c>
      <c r="R51" s="60" t="str">
        <f>IF(AND('Riesgos de Gestión'!$AF$38="Muy Baja",'Riesgos de Gestión'!$AH$38="Menor"),CONCATENATE("R6C",'Riesgos de Gestión'!$V$38),"")</f>
        <v/>
      </c>
      <c r="S51" s="60" t="str">
        <f>IF(AND('Riesgos de Gestión'!$AF$39="Muy Baja",'Riesgos de Gestión'!$AH$39="Menor"),CONCATENATE("R6C",'Riesgos de Gestión'!$V$39),"")</f>
        <v/>
      </c>
      <c r="T51" s="60" t="str">
        <f>IF(AND('Riesgos de Gestión'!$AF$40="Muy Baja",'Riesgos de Gestión'!$AH$40="Menor"),CONCATENATE("R6C",'Riesgos de Gestión'!$V$40),"")</f>
        <v/>
      </c>
      <c r="U51" s="61" t="str">
        <f>IF(AND('Riesgos de Gestión'!$AF$41="Muy Baja",'Riesgos de Gestión'!$AH$41="Menor"),CONCATENATE("R6C",'Riesgos de Gestión'!$V$41),"")</f>
        <v/>
      </c>
      <c r="V51" s="50" t="str">
        <f>IF(AND('Riesgos de Gestión'!$AF$36="Muy Baja",'Riesgos de Gestión'!$AH$36="Moderado"),CONCATENATE("R6C",'Riesgos de Gestión'!$V$36),"")</f>
        <v/>
      </c>
      <c r="W51" s="51" t="str">
        <f>IF(AND('Riesgos de Gestión'!$AF$37="Muy Baja",'Riesgos de Gestión'!$AH$37="Moderado"),CONCATENATE("R6C",'Riesgos de Gestión'!$V$37),"")</f>
        <v/>
      </c>
      <c r="X51" s="51" t="str">
        <f>IF(AND('Riesgos de Gestión'!$AF$38="Muy Baja",'Riesgos de Gestión'!$AH$38="Moderado"),CONCATENATE("R6C",'Riesgos de Gestión'!$V$38),"")</f>
        <v/>
      </c>
      <c r="Y51" s="51" t="str">
        <f>IF(AND('Riesgos de Gestión'!$AF$39="Muy Baja",'Riesgos de Gestión'!$AH$39="Moderado"),CONCATENATE("R6C",'Riesgos de Gestión'!$V$39),"")</f>
        <v/>
      </c>
      <c r="Z51" s="51" t="str">
        <f>IF(AND('Riesgos de Gestión'!$AF$40="Muy Baja",'Riesgos de Gestión'!$AH$40="Moderado"),CONCATENATE("R6C",'Riesgos de Gestión'!$V$40),"")</f>
        <v/>
      </c>
      <c r="AA51" s="52" t="str">
        <f>IF(AND('Riesgos de Gestión'!$AF$41="Muy Baja",'Riesgos de Gestión'!$AH$41="Moderado"),CONCATENATE("R6C",'Riesgos de Gestión'!$V$41),"")</f>
        <v/>
      </c>
      <c r="AB51" s="35" t="str">
        <f>IF(AND('Riesgos de Gestión'!$AF$36="Muy Baja",'Riesgos de Gestión'!$AH$36="Mayor"),CONCATENATE("R6C",'Riesgos de Gestión'!$V$36),"")</f>
        <v/>
      </c>
      <c r="AC51" s="36" t="str">
        <f>IF(AND('Riesgos de Gestión'!$AF$37="Muy Baja",'Riesgos de Gestión'!$AH$37="Mayor"),CONCATENATE("R6C",'Riesgos de Gestión'!$V$37),"")</f>
        <v/>
      </c>
      <c r="AD51" s="36" t="str">
        <f>IF(AND('Riesgos de Gestión'!$AF$38="Muy Baja",'Riesgos de Gestión'!$AH$38="Mayor"),CONCATENATE("R6C",'Riesgos de Gestión'!$V$38),"")</f>
        <v/>
      </c>
      <c r="AE51" s="36" t="str">
        <f>IF(AND('Riesgos de Gestión'!$AF$39="Muy Baja",'Riesgos de Gestión'!$AH$39="Mayor"),CONCATENATE("R6C",'Riesgos de Gestión'!$V$39),"")</f>
        <v/>
      </c>
      <c r="AF51" s="36" t="str">
        <f>IF(AND('Riesgos de Gestión'!$AF$40="Muy Baja",'Riesgos de Gestión'!$AH$40="Mayor"),CONCATENATE("R6C",'Riesgos de Gestión'!$V$40),"")</f>
        <v/>
      </c>
      <c r="AG51" s="37" t="str">
        <f>IF(AND('Riesgos de Gestión'!$AF$41="Muy Baja",'Riesgos de Gestión'!$AH$41="Mayor"),CONCATENATE("R6C",'Riesgos de Gestión'!$V$41),"")</f>
        <v/>
      </c>
      <c r="AH51" s="38" t="str">
        <f>IF(AND('Riesgos de Gestión'!$AF$36="Muy Baja",'Riesgos de Gestión'!$AH$36="Catastrófico"),CONCATENATE("R6C",'Riesgos de Gestión'!$V$36),"")</f>
        <v/>
      </c>
      <c r="AI51" s="39" t="str">
        <f>IF(AND('Riesgos de Gestión'!$AF$37="Muy Baja",'Riesgos de Gestión'!$AH$37="Catastrófico"),CONCATENATE("R6C",'Riesgos de Gestión'!$V$37),"")</f>
        <v/>
      </c>
      <c r="AJ51" s="39" t="str">
        <f>IF(AND('Riesgos de Gestión'!$AF$38="Muy Baja",'Riesgos de Gestión'!$AH$38="Catastrófico"),CONCATENATE("R6C",'Riesgos de Gestión'!$V$38),"")</f>
        <v/>
      </c>
      <c r="AK51" s="39" t="str">
        <f>IF(AND('Riesgos de Gestión'!$AF$39="Muy Baja",'Riesgos de Gestión'!$AH$39="Catastrófico"),CONCATENATE("R6C",'Riesgos de Gestión'!$V$39),"")</f>
        <v/>
      </c>
      <c r="AL51" s="39" t="str">
        <f>IF(AND('Riesgos de Gestión'!$AF$40="Muy Baja",'Riesgos de Gestión'!$AH$40="Catastrófico"),CONCATENATE("R6C",'Riesgos de Gestión'!$V$40),"")</f>
        <v/>
      </c>
      <c r="AM51" s="40" t="str">
        <f>IF(AND('Riesgos de Gestión'!$AF$41="Muy Baja",'Riesgos de Gestión'!$AH$41="Catastrófico"),CONCATENATE("R6C",'Riesgos de Gestión'!$V$41),"")</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25">
      <c r="A52" s="66"/>
      <c r="B52" s="514"/>
      <c r="C52" s="514"/>
      <c r="D52" s="515"/>
      <c r="E52" s="555"/>
      <c r="F52" s="556"/>
      <c r="G52" s="556"/>
      <c r="H52" s="556"/>
      <c r="I52" s="557"/>
      <c r="J52" s="59" t="str">
        <f>IF(AND('Riesgos de Gestión'!$AF$42="Muy Baja",'Riesgos de Gestión'!$AH$42="Leve"),CONCATENATE("R7C",'Riesgos de Gestión'!$V$42),"")</f>
        <v/>
      </c>
      <c r="K52" s="60" t="str">
        <f>IF(AND('Riesgos de Gestión'!$AF$43="Muy Baja",'Riesgos de Gestión'!$AH$43="Leve"),CONCATENATE("R7C",'Riesgos de Gestión'!$V$43),"")</f>
        <v/>
      </c>
      <c r="L52" s="60" t="str">
        <f>IF(AND('Riesgos de Gestión'!$AF$44="Muy Baja",'Riesgos de Gestión'!$AH$44="Leve"),CONCATENATE("R7C",'Riesgos de Gestión'!$V$44),"")</f>
        <v/>
      </c>
      <c r="M52" s="60" t="str">
        <f>IF(AND('Riesgos de Gestión'!$AF$45="Muy Baja",'Riesgos de Gestión'!$AH$45="Leve"),CONCATENATE("R7C",'Riesgos de Gestión'!$V$45),"")</f>
        <v/>
      </c>
      <c r="N52" s="60" t="str">
        <f>IF(AND('Riesgos de Gestión'!$AF$46="Muy Baja",'Riesgos de Gestión'!$AH$46="Leve"),CONCATENATE("R7C",'Riesgos de Gestión'!$V$46),"")</f>
        <v/>
      </c>
      <c r="O52" s="61" t="str">
        <f>IF(AND('Riesgos de Gestión'!$AF$47="Muy Baja",'Riesgos de Gestión'!$AH$47="Leve"),CONCATENATE("R7C",'Riesgos de Gestión'!$V$47),"")</f>
        <v/>
      </c>
      <c r="P52" s="59" t="str">
        <f>IF(AND('Riesgos de Gestión'!$AF$42="Muy Baja",'Riesgos de Gestión'!$AH$42="Menor"),CONCATENATE("R7C",'Riesgos de Gestión'!$V$42),"")</f>
        <v/>
      </c>
      <c r="Q52" s="60" t="str">
        <f>IF(AND('Riesgos de Gestión'!$AF$43="Muy Baja",'Riesgos de Gestión'!$AH$43="Menor"),CONCATENATE("R7C",'Riesgos de Gestión'!$V$43),"")</f>
        <v/>
      </c>
      <c r="R52" s="60" t="str">
        <f>IF(AND('Riesgos de Gestión'!$AF$44="Muy Baja",'Riesgos de Gestión'!$AH$44="Menor"),CONCATENATE("R7C",'Riesgos de Gestión'!$V$44),"")</f>
        <v/>
      </c>
      <c r="S52" s="60" t="str">
        <f>IF(AND('Riesgos de Gestión'!$AF$45="Muy Baja",'Riesgos de Gestión'!$AH$45="Menor"),CONCATENATE("R7C",'Riesgos de Gestión'!$V$45),"")</f>
        <v/>
      </c>
      <c r="T52" s="60" t="str">
        <f>IF(AND('Riesgos de Gestión'!$AF$46="Muy Baja",'Riesgos de Gestión'!$AH$46="Menor"),CONCATENATE("R7C",'Riesgos de Gestión'!$V$46),"")</f>
        <v/>
      </c>
      <c r="U52" s="61" t="str">
        <f>IF(AND('Riesgos de Gestión'!$AF$47="Muy Baja",'Riesgos de Gestión'!$AH$47="Menor"),CONCATENATE("R7C",'Riesgos de Gestión'!$V$47),"")</f>
        <v/>
      </c>
      <c r="V52" s="50" t="str">
        <f>IF(AND('Riesgos de Gestión'!$AF$42="Muy Baja",'Riesgos de Gestión'!$AH$42="Moderado"),CONCATENATE("R7C",'Riesgos de Gestión'!$V$42),"")</f>
        <v/>
      </c>
      <c r="W52" s="51" t="str">
        <f>IF(AND('Riesgos de Gestión'!$AF$43="Muy Baja",'Riesgos de Gestión'!$AH$43="Moderado"),CONCATENATE("R7C",'Riesgos de Gestión'!$V$43),"")</f>
        <v/>
      </c>
      <c r="X52" s="51" t="str">
        <f>IF(AND('Riesgos de Gestión'!$AF$44="Muy Baja",'Riesgos de Gestión'!$AH$44="Moderado"),CONCATENATE("R7C",'Riesgos de Gestión'!$V$44),"")</f>
        <v/>
      </c>
      <c r="Y52" s="51" t="str">
        <f>IF(AND('Riesgos de Gestión'!$AF$45="Muy Baja",'Riesgos de Gestión'!$AH$45="Moderado"),CONCATENATE("R7C",'Riesgos de Gestión'!$V$45),"")</f>
        <v/>
      </c>
      <c r="Z52" s="51" t="str">
        <f>IF(AND('Riesgos de Gestión'!$AF$46="Muy Baja",'Riesgos de Gestión'!$AH$46="Moderado"),CONCATENATE("R7C",'Riesgos de Gestión'!$V$46),"")</f>
        <v/>
      </c>
      <c r="AA52" s="52" t="str">
        <f>IF(AND('Riesgos de Gestión'!$AF$47="Muy Baja",'Riesgos de Gestión'!$AH$47="Moderado"),CONCATENATE("R7C",'Riesgos de Gestión'!$V$47),"")</f>
        <v/>
      </c>
      <c r="AB52" s="35" t="str">
        <f>IF(AND('Riesgos de Gestión'!$AF$42="Muy Baja",'Riesgos de Gestión'!$AH$42="Mayor"),CONCATENATE("R7C",'Riesgos de Gestión'!$V$42),"")</f>
        <v/>
      </c>
      <c r="AC52" s="36" t="str">
        <f>IF(AND('Riesgos de Gestión'!$AF$43="Muy Baja",'Riesgos de Gestión'!$AH$43="Mayor"),CONCATENATE("R7C",'Riesgos de Gestión'!$V$43),"")</f>
        <v/>
      </c>
      <c r="AD52" s="36" t="str">
        <f>IF(AND('Riesgos de Gestión'!$AF$44="Muy Baja",'Riesgos de Gestión'!$AH$44="Mayor"),CONCATENATE("R7C",'Riesgos de Gestión'!$V$44),"")</f>
        <v/>
      </c>
      <c r="AE52" s="36" t="str">
        <f>IF(AND('Riesgos de Gestión'!$AF$45="Muy Baja",'Riesgos de Gestión'!$AH$45="Mayor"),CONCATENATE("R7C",'Riesgos de Gestión'!$V$45),"")</f>
        <v/>
      </c>
      <c r="AF52" s="36" t="str">
        <f>IF(AND('Riesgos de Gestión'!$AF$46="Muy Baja",'Riesgos de Gestión'!$AH$46="Mayor"),CONCATENATE("R7C",'Riesgos de Gestión'!$V$46),"")</f>
        <v/>
      </c>
      <c r="AG52" s="37" t="str">
        <f>IF(AND('Riesgos de Gestión'!$AF$47="Muy Baja",'Riesgos de Gestión'!$AH$47="Mayor"),CONCATENATE("R7C",'Riesgos de Gestión'!$V$47),"")</f>
        <v/>
      </c>
      <c r="AH52" s="38" t="str">
        <f>IF(AND('Riesgos de Gestión'!$AF$42="Muy Baja",'Riesgos de Gestión'!$AH$42="Catastrófico"),CONCATENATE("R7C",'Riesgos de Gestión'!$V$42),"")</f>
        <v/>
      </c>
      <c r="AI52" s="39" t="str">
        <f>IF(AND('Riesgos de Gestión'!$AF$43="Muy Baja",'Riesgos de Gestión'!$AH$43="Catastrófico"),CONCATENATE("R7C",'Riesgos de Gestión'!$V$43),"")</f>
        <v/>
      </c>
      <c r="AJ52" s="39" t="str">
        <f>IF(AND('Riesgos de Gestión'!$AF$44="Muy Baja",'Riesgos de Gestión'!$AH$44="Catastrófico"),CONCATENATE("R7C",'Riesgos de Gestión'!$V$44),"")</f>
        <v/>
      </c>
      <c r="AK52" s="39" t="str">
        <f>IF(AND('Riesgos de Gestión'!$AF$45="Muy Baja",'Riesgos de Gestión'!$AH$45="Catastrófico"),CONCATENATE("R7C",'Riesgos de Gestión'!$V$45),"")</f>
        <v/>
      </c>
      <c r="AL52" s="39" t="str">
        <f>IF(AND('Riesgos de Gestión'!$AF$46="Muy Baja",'Riesgos de Gestión'!$AH$46="Catastrófico"),CONCATENATE("R7C",'Riesgos de Gestión'!$V$46),"")</f>
        <v/>
      </c>
      <c r="AM52" s="40" t="str">
        <f>IF(AND('Riesgos de Gestión'!$AF$47="Muy Baja",'Riesgos de Gestión'!$AH$47="Catastrófico"),CONCATENATE("R7C",'Riesgos de Gestión'!$V$47),"")</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514"/>
      <c r="C53" s="514"/>
      <c r="D53" s="515"/>
      <c r="E53" s="555"/>
      <c r="F53" s="556"/>
      <c r="G53" s="556"/>
      <c r="H53" s="556"/>
      <c r="I53" s="557"/>
      <c r="J53" s="59" t="str">
        <f>IF(AND('Riesgos de Gestión'!$AF$48="Muy Baja",'Riesgos de Gestión'!$AH$48="Leve"),CONCATENATE("R8C",'Riesgos de Gestión'!$V$48),"")</f>
        <v/>
      </c>
      <c r="K53" s="60" t="str">
        <f>IF(AND('Riesgos de Gestión'!$AF$49="Muy Baja",'Riesgos de Gestión'!$AH$49="Leve"),CONCATENATE("R8C",'Riesgos de Gestión'!$V$49),"")</f>
        <v/>
      </c>
      <c r="L53" s="60" t="str">
        <f>IF(AND('Riesgos de Gestión'!$AF$50="Muy Baja",'Riesgos de Gestión'!$AH$50="Leve"),CONCATENATE("R8C",'Riesgos de Gestión'!$V$50),"")</f>
        <v/>
      </c>
      <c r="M53" s="60" t="str">
        <f>IF(AND('Riesgos de Gestión'!$AF$51="Muy Baja",'Riesgos de Gestión'!$AH$51="Leve"),CONCATENATE("R8C",'Riesgos de Gestión'!$V$51),"")</f>
        <v/>
      </c>
      <c r="N53" s="60" t="str">
        <f>IF(AND('Riesgos de Gestión'!$AF$52="Muy Baja",'Riesgos de Gestión'!$AH$52="Leve"),CONCATENATE("R8C",'Riesgos de Gestión'!$V$52),"")</f>
        <v/>
      </c>
      <c r="O53" s="61" t="str">
        <f>IF(AND('Riesgos de Gestión'!$AF$53="Muy Baja",'Riesgos de Gestión'!$AH$53="Leve"),CONCATENATE("R8C",'Riesgos de Gestión'!$V$53),"")</f>
        <v/>
      </c>
      <c r="P53" s="59" t="str">
        <f>IF(AND('Riesgos de Gestión'!$AF$48="Muy Baja",'Riesgos de Gestión'!$AH$48="Menor"),CONCATENATE("R8C",'Riesgos de Gestión'!$V$48),"")</f>
        <v/>
      </c>
      <c r="Q53" s="60" t="str">
        <f>IF(AND('Riesgos de Gestión'!$AF$49="Muy Baja",'Riesgos de Gestión'!$AH$49="Menor"),CONCATENATE("R8C",'Riesgos de Gestión'!$V$49),"")</f>
        <v/>
      </c>
      <c r="R53" s="60" t="str">
        <f>IF(AND('Riesgos de Gestión'!$AF$50="Muy Baja",'Riesgos de Gestión'!$AH$50="Menor"),CONCATENATE("R8C",'Riesgos de Gestión'!$V$50),"")</f>
        <v/>
      </c>
      <c r="S53" s="60" t="str">
        <f>IF(AND('Riesgos de Gestión'!$AF$51="Muy Baja",'Riesgos de Gestión'!$AH$51="Menor"),CONCATENATE("R8C",'Riesgos de Gestión'!$V$51),"")</f>
        <v/>
      </c>
      <c r="T53" s="60" t="str">
        <f>IF(AND('Riesgos de Gestión'!$AF$52="Muy Baja",'Riesgos de Gestión'!$AH$52="Menor"),CONCATENATE("R8C",'Riesgos de Gestión'!$V$52),"")</f>
        <v/>
      </c>
      <c r="U53" s="61" t="str">
        <f>IF(AND('Riesgos de Gestión'!$AF$53="Muy Baja",'Riesgos de Gestión'!$AH$53="Menor"),CONCATENATE("R8C",'Riesgos de Gestión'!$V$53),"")</f>
        <v/>
      </c>
      <c r="V53" s="50" t="str">
        <f>IF(AND('Riesgos de Gestión'!$AF$48="Muy Baja",'Riesgos de Gestión'!$AH$48="Moderado"),CONCATENATE("R8C",'Riesgos de Gestión'!$V$48),"")</f>
        <v/>
      </c>
      <c r="W53" s="51" t="str">
        <f>IF(AND('Riesgos de Gestión'!$AF$49="Muy Baja",'Riesgos de Gestión'!$AH$49="Moderado"),CONCATENATE("R8C",'Riesgos de Gestión'!$V$49),"")</f>
        <v/>
      </c>
      <c r="X53" s="51" t="str">
        <f>IF(AND('Riesgos de Gestión'!$AF$50="Muy Baja",'Riesgos de Gestión'!$AH$50="Moderado"),CONCATENATE("R8C",'Riesgos de Gestión'!$V$50),"")</f>
        <v/>
      </c>
      <c r="Y53" s="51" t="str">
        <f>IF(AND('Riesgos de Gestión'!$AF$51="Muy Baja",'Riesgos de Gestión'!$AH$51="Moderado"),CONCATENATE("R8C",'Riesgos de Gestión'!$V$51),"")</f>
        <v/>
      </c>
      <c r="Z53" s="51" t="str">
        <f>IF(AND('Riesgos de Gestión'!$AF$52="Muy Baja",'Riesgos de Gestión'!$AH$52="Moderado"),CONCATENATE("R8C",'Riesgos de Gestión'!$V$52),"")</f>
        <v/>
      </c>
      <c r="AA53" s="52" t="str">
        <f>IF(AND('Riesgos de Gestión'!$AF$53="Muy Baja",'Riesgos de Gestión'!$AH$53="Moderado"),CONCATENATE("R8C",'Riesgos de Gestión'!$V$53),"")</f>
        <v/>
      </c>
      <c r="AB53" s="35" t="str">
        <f>IF(AND('Riesgos de Gestión'!$AF$48="Muy Baja",'Riesgos de Gestión'!$AH$48="Mayor"),CONCATENATE("R8C",'Riesgos de Gestión'!$V$48),"")</f>
        <v/>
      </c>
      <c r="AC53" s="36" t="str">
        <f>IF(AND('Riesgos de Gestión'!$AF$49="Muy Baja",'Riesgos de Gestión'!$AH$49="Mayor"),CONCATENATE("R8C",'Riesgos de Gestión'!$V$49),"")</f>
        <v/>
      </c>
      <c r="AD53" s="36" t="str">
        <f>IF(AND('Riesgos de Gestión'!$AF$50="Muy Baja",'Riesgos de Gestión'!$AH$50="Mayor"),CONCATENATE("R8C",'Riesgos de Gestión'!$V$50),"")</f>
        <v/>
      </c>
      <c r="AE53" s="36" t="str">
        <f>IF(AND('Riesgos de Gestión'!$AF$51="Muy Baja",'Riesgos de Gestión'!$AH$51="Mayor"),CONCATENATE("R8C",'Riesgos de Gestión'!$V$51),"")</f>
        <v/>
      </c>
      <c r="AF53" s="36" t="str">
        <f>IF(AND('Riesgos de Gestión'!$AF$52="Muy Baja",'Riesgos de Gestión'!$AH$52="Mayor"),CONCATENATE("R8C",'Riesgos de Gestión'!$V$52),"")</f>
        <v/>
      </c>
      <c r="AG53" s="37" t="str">
        <f>IF(AND('Riesgos de Gestión'!$AF$53="Muy Baja",'Riesgos de Gestión'!$AH$53="Mayor"),CONCATENATE("R8C",'Riesgos de Gestión'!$V$53),"")</f>
        <v/>
      </c>
      <c r="AH53" s="38" t="str">
        <f>IF(AND('Riesgos de Gestión'!$AF$48="Muy Baja",'Riesgos de Gestión'!$AH$48="Catastrófico"),CONCATENATE("R8C",'Riesgos de Gestión'!$V$48),"")</f>
        <v/>
      </c>
      <c r="AI53" s="39" t="str">
        <f>IF(AND('Riesgos de Gestión'!$AF$49="Muy Baja",'Riesgos de Gestión'!$AH$49="Catastrófico"),CONCATENATE("R8C",'Riesgos de Gestión'!$V$49),"")</f>
        <v/>
      </c>
      <c r="AJ53" s="39" t="str">
        <f>IF(AND('Riesgos de Gestión'!$AF$50="Muy Baja",'Riesgos de Gestión'!$AH$50="Catastrófico"),CONCATENATE("R8C",'Riesgos de Gestión'!$V$50),"")</f>
        <v/>
      </c>
      <c r="AK53" s="39" t="str">
        <f>IF(AND('Riesgos de Gestión'!$AF$51="Muy Baja",'Riesgos de Gestión'!$AH$51="Catastrófico"),CONCATENATE("R8C",'Riesgos de Gestión'!$V$51),"")</f>
        <v/>
      </c>
      <c r="AL53" s="39" t="str">
        <f>IF(AND('Riesgos de Gestión'!$AF$52="Muy Baja",'Riesgos de Gestión'!$AH$52="Catastrófico"),CONCATENATE("R8C",'Riesgos de Gestión'!$V$52),"")</f>
        <v/>
      </c>
      <c r="AM53" s="40" t="str">
        <f>IF(AND('Riesgos de Gestión'!$AF$53="Muy Baja",'Riesgos de Gestión'!$AH$53="Catastrófico"),CONCATENATE("R8C",'Riesgos de Gestión'!$V$53),"")</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514"/>
      <c r="C54" s="514"/>
      <c r="D54" s="515"/>
      <c r="E54" s="555"/>
      <c r="F54" s="556"/>
      <c r="G54" s="556"/>
      <c r="H54" s="556"/>
      <c r="I54" s="557"/>
      <c r="J54" s="59" t="str">
        <f>IF(AND('Riesgos de Gestión'!$AF$54="Muy Baja",'Riesgos de Gestión'!$AH$54="Leve"),CONCATENATE("R9C",'Riesgos de Gestión'!$V$54),"")</f>
        <v/>
      </c>
      <c r="K54" s="60" t="str">
        <f>IF(AND('Riesgos de Gestión'!$AF$55="Muy Baja",'Riesgos de Gestión'!$AH$55="Leve"),CONCATENATE("R9C",'Riesgos de Gestión'!$V$55),"")</f>
        <v/>
      </c>
      <c r="L54" s="60" t="str">
        <f>IF(AND('Riesgos de Gestión'!$AF$56="Muy Baja",'Riesgos de Gestión'!$AH$56="Leve"),CONCATENATE("R9C",'Riesgos de Gestión'!$V$56),"")</f>
        <v/>
      </c>
      <c r="M54" s="60" t="str">
        <f>IF(AND('Riesgos de Gestión'!$AF$57="Muy Baja",'Riesgos de Gestión'!$AH$57="Leve"),CONCATENATE("R9C",'Riesgos de Gestión'!$V$57),"")</f>
        <v/>
      </c>
      <c r="N54" s="60" t="str">
        <f>IF(AND('Riesgos de Gestión'!$AF$58="Muy Baja",'Riesgos de Gestión'!$AH$58="Leve"),CONCATENATE("R9C",'Riesgos de Gestión'!$V$58),"")</f>
        <v/>
      </c>
      <c r="O54" s="61" t="str">
        <f>IF(AND('Riesgos de Gestión'!$AF$59="Muy Baja",'Riesgos de Gestión'!$AH$59="Leve"),CONCATENATE("R9C",'Riesgos de Gestión'!$V$59),"")</f>
        <v/>
      </c>
      <c r="P54" s="59" t="str">
        <f>IF(AND('Riesgos de Gestión'!$AF$54="Muy Baja",'Riesgos de Gestión'!$AH$54="Menor"),CONCATENATE("R9C",'Riesgos de Gestión'!$V$54),"")</f>
        <v/>
      </c>
      <c r="Q54" s="60" t="str">
        <f>IF(AND('Riesgos de Gestión'!$AF$55="Muy Baja",'Riesgos de Gestión'!$AH$55="Menor"),CONCATENATE("R9C",'Riesgos de Gestión'!$V$55),"")</f>
        <v/>
      </c>
      <c r="R54" s="60" t="str">
        <f>IF(AND('Riesgos de Gestión'!$AF$56="Muy Baja",'Riesgos de Gestión'!$AH$56="Menor"),CONCATENATE("R9C",'Riesgos de Gestión'!$V$56),"")</f>
        <v/>
      </c>
      <c r="S54" s="60" t="str">
        <f>IF(AND('Riesgos de Gestión'!$AF$57="Muy Baja",'Riesgos de Gestión'!$AH$57="Menor"),CONCATENATE("R9C",'Riesgos de Gestión'!$V$57),"")</f>
        <v/>
      </c>
      <c r="T54" s="60" t="str">
        <f>IF(AND('Riesgos de Gestión'!$AF$58="Muy Baja",'Riesgos de Gestión'!$AH$58="Menor"),CONCATENATE("R9C",'Riesgos de Gestión'!$V$58),"")</f>
        <v/>
      </c>
      <c r="U54" s="61" t="str">
        <f>IF(AND('Riesgos de Gestión'!$AF$59="Muy Baja",'Riesgos de Gestión'!$AH$59="Menor"),CONCATENATE("R9C",'Riesgos de Gestión'!$V$59),"")</f>
        <v/>
      </c>
      <c r="V54" s="50" t="str">
        <f>IF(AND('Riesgos de Gestión'!$AF$54="Muy Baja",'Riesgos de Gestión'!$AH$54="Moderado"),CONCATENATE("R9C",'Riesgos de Gestión'!$V$54),"")</f>
        <v/>
      </c>
      <c r="W54" s="51" t="str">
        <f>IF(AND('Riesgos de Gestión'!$AF$55="Muy Baja",'Riesgos de Gestión'!$AH$55="Moderado"),CONCATENATE("R9C",'Riesgos de Gestión'!$V$55),"")</f>
        <v/>
      </c>
      <c r="X54" s="51" t="str">
        <f>IF(AND('Riesgos de Gestión'!$AF$56="Muy Baja",'Riesgos de Gestión'!$AH$56="Moderado"),CONCATENATE("R9C",'Riesgos de Gestión'!$V$56),"")</f>
        <v/>
      </c>
      <c r="Y54" s="51" t="str">
        <f>IF(AND('Riesgos de Gestión'!$AF$57="Muy Baja",'Riesgos de Gestión'!$AH$57="Moderado"),CONCATENATE("R9C",'Riesgos de Gestión'!$V$57),"")</f>
        <v/>
      </c>
      <c r="Z54" s="51" t="str">
        <f>IF(AND('Riesgos de Gestión'!$AF$58="Muy Baja",'Riesgos de Gestión'!$AH$58="Moderado"),CONCATENATE("R9C",'Riesgos de Gestión'!$V$58),"")</f>
        <v/>
      </c>
      <c r="AA54" s="52" t="str">
        <f>IF(AND('Riesgos de Gestión'!$AF$59="Muy Baja",'Riesgos de Gestión'!$AH$59="Moderado"),CONCATENATE("R9C",'Riesgos de Gestión'!$V$59),"")</f>
        <v/>
      </c>
      <c r="AB54" s="35" t="str">
        <f>IF(AND('Riesgos de Gestión'!$AF$54="Muy Baja",'Riesgos de Gestión'!$AH$54="Mayor"),CONCATENATE("R9C",'Riesgos de Gestión'!$V$54),"")</f>
        <v/>
      </c>
      <c r="AC54" s="36" t="str">
        <f>IF(AND('Riesgos de Gestión'!$AF$55="Muy Baja",'Riesgos de Gestión'!$AH$55="Mayor"),CONCATENATE("R9C",'Riesgos de Gestión'!$V$55),"")</f>
        <v/>
      </c>
      <c r="AD54" s="36" t="str">
        <f>IF(AND('Riesgos de Gestión'!$AF$56="Muy Baja",'Riesgos de Gestión'!$AH$56="Mayor"),CONCATENATE("R9C",'Riesgos de Gestión'!$V$56),"")</f>
        <v/>
      </c>
      <c r="AE54" s="36" t="str">
        <f>IF(AND('Riesgos de Gestión'!$AF$57="Muy Baja",'Riesgos de Gestión'!$AH$57="Mayor"),CONCATENATE("R9C",'Riesgos de Gestión'!$V$57),"")</f>
        <v/>
      </c>
      <c r="AF54" s="36" t="str">
        <f>IF(AND('Riesgos de Gestión'!$AF$58="Muy Baja",'Riesgos de Gestión'!$AH$58="Mayor"),CONCATENATE("R9C",'Riesgos de Gestión'!$V$58),"")</f>
        <v/>
      </c>
      <c r="AG54" s="37" t="str">
        <f>IF(AND('Riesgos de Gestión'!$AF$59="Muy Baja",'Riesgos de Gestión'!$AH$59="Mayor"),CONCATENATE("R9C",'Riesgos de Gestión'!$V$59),"")</f>
        <v/>
      </c>
      <c r="AH54" s="38" t="str">
        <f>IF(AND('Riesgos de Gestión'!$AF$54="Muy Baja",'Riesgos de Gestión'!$AH$54="Catastrófico"),CONCATENATE("R9C",'Riesgos de Gestión'!$V$54),"")</f>
        <v/>
      </c>
      <c r="AI54" s="39" t="str">
        <f>IF(AND('Riesgos de Gestión'!$AF$55="Muy Baja",'Riesgos de Gestión'!$AH$55="Catastrófico"),CONCATENATE("R9C",'Riesgos de Gestión'!$V$55),"")</f>
        <v/>
      </c>
      <c r="AJ54" s="39" t="str">
        <f>IF(AND('Riesgos de Gestión'!$AF$56="Muy Baja",'Riesgos de Gestión'!$AH$56="Catastrófico"),CONCATENATE("R9C",'Riesgos de Gestión'!$V$56),"")</f>
        <v/>
      </c>
      <c r="AK54" s="39" t="str">
        <f>IF(AND('Riesgos de Gestión'!$AF$57="Muy Baja",'Riesgos de Gestión'!$AH$57="Catastrófico"),CONCATENATE("R9C",'Riesgos de Gestión'!$V$57),"")</f>
        <v/>
      </c>
      <c r="AL54" s="39" t="str">
        <f>IF(AND('Riesgos de Gestión'!$AF$58="Muy Baja",'Riesgos de Gestión'!$AH$58="Catastrófico"),CONCATENATE("R9C",'Riesgos de Gestión'!$V$58),"")</f>
        <v/>
      </c>
      <c r="AM54" s="40" t="str">
        <f>IF(AND('Riesgos de Gestión'!$AF$59="Muy Baja",'Riesgos de Gestión'!$AH$59="Catastrófico"),CONCATENATE("R9C",'Riesgos de Gestión'!$V$59),"")</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
      <c r="A55" s="66"/>
      <c r="B55" s="514"/>
      <c r="C55" s="514"/>
      <c r="D55" s="515"/>
      <c r="E55" s="558"/>
      <c r="F55" s="559"/>
      <c r="G55" s="559"/>
      <c r="H55" s="559"/>
      <c r="I55" s="560"/>
      <c r="J55" s="62" t="str">
        <f>IF(AND('Riesgos de Gestión'!$AF$60="Muy Baja",'Riesgos de Gestión'!$AH$60="Leve"),CONCATENATE("R10C",'Riesgos de Gestión'!$V$60),"")</f>
        <v/>
      </c>
      <c r="K55" s="63" t="str">
        <f>IF(AND('Riesgos de Gestión'!$AF$61="Muy Baja",'Riesgos de Gestión'!$AH$61="Leve"),CONCATENATE("R10C",'Riesgos de Gestión'!$V$61),"")</f>
        <v/>
      </c>
      <c r="L55" s="63" t="str">
        <f>IF(AND('Riesgos de Gestión'!$AF$62="Muy Baja",'Riesgos de Gestión'!$AH$62="Leve"),CONCATENATE("R10C",'Riesgos de Gestión'!$V$62),"")</f>
        <v/>
      </c>
      <c r="M55" s="63" t="str">
        <f>IF(AND('Riesgos de Gestión'!$AF$63="Muy Baja",'Riesgos de Gestión'!$AH$63="Leve"),CONCATENATE("R10C",'Riesgos de Gestión'!$V$63),"")</f>
        <v/>
      </c>
      <c r="N55" s="63" t="str">
        <f>IF(AND('Riesgos de Gestión'!$AF$64="Muy Baja",'Riesgos de Gestión'!$AH$64="Leve"),CONCATENATE("R10C",'Riesgos de Gestión'!$V$64),"")</f>
        <v/>
      </c>
      <c r="O55" s="64" t="str">
        <f>IF(AND('Riesgos de Gestión'!$AF$65="Muy Baja",'Riesgos de Gestión'!$AH$65="Leve"),CONCATENATE("R10C",'Riesgos de Gestión'!$V$65),"")</f>
        <v/>
      </c>
      <c r="P55" s="62" t="str">
        <f>IF(AND('Riesgos de Gestión'!$AF$60="Muy Baja",'Riesgos de Gestión'!$AH$60="Menor"),CONCATENATE("R10C",'Riesgos de Gestión'!$V$60),"")</f>
        <v/>
      </c>
      <c r="Q55" s="63" t="str">
        <f>IF(AND('Riesgos de Gestión'!$AF$61="Muy Baja",'Riesgos de Gestión'!$AH$61="Menor"),CONCATENATE("R10C",'Riesgos de Gestión'!$V$61),"")</f>
        <v/>
      </c>
      <c r="R55" s="63" t="str">
        <f>IF(AND('Riesgos de Gestión'!$AF$62="Muy Baja",'Riesgos de Gestión'!$AH$62="Menor"),CONCATENATE("R10C",'Riesgos de Gestión'!$V$62),"")</f>
        <v/>
      </c>
      <c r="S55" s="63" t="str">
        <f>IF(AND('Riesgos de Gestión'!$AF$63="Muy Baja",'Riesgos de Gestión'!$AH$63="Menor"),CONCATENATE("R10C",'Riesgos de Gestión'!$V$63),"")</f>
        <v/>
      </c>
      <c r="T55" s="63" t="str">
        <f>IF(AND('Riesgos de Gestión'!$AF$64="Muy Baja",'Riesgos de Gestión'!$AH$64="Menor"),CONCATENATE("R10C",'Riesgos de Gestión'!$V$64),"")</f>
        <v/>
      </c>
      <c r="U55" s="64" t="str">
        <f>IF(AND('Riesgos de Gestión'!$AF$65="Muy Baja",'Riesgos de Gestión'!$AH$65="Menor"),CONCATENATE("R10C",'Riesgos de Gestión'!$V$65),"")</f>
        <v/>
      </c>
      <c r="V55" s="53" t="str">
        <f>IF(AND('Riesgos de Gestión'!$AF$60="Muy Baja",'Riesgos de Gestión'!$AH$60="Moderado"),CONCATENATE("R10C",'Riesgos de Gestión'!$V$60),"")</f>
        <v/>
      </c>
      <c r="W55" s="54" t="str">
        <f>IF(AND('Riesgos de Gestión'!$AF$61="Muy Baja",'Riesgos de Gestión'!$AH$61="Moderado"),CONCATENATE("R10C",'Riesgos de Gestión'!$V$61),"")</f>
        <v/>
      </c>
      <c r="X55" s="54" t="str">
        <f>IF(AND('Riesgos de Gestión'!$AF$62="Muy Baja",'Riesgos de Gestión'!$AH$62="Moderado"),CONCATENATE("R10C",'Riesgos de Gestión'!$V$62),"")</f>
        <v/>
      </c>
      <c r="Y55" s="54" t="str">
        <f>IF(AND('Riesgos de Gestión'!$AF$63="Muy Baja",'Riesgos de Gestión'!$AH$63="Moderado"),CONCATENATE("R10C",'Riesgos de Gestión'!$V$63),"")</f>
        <v/>
      </c>
      <c r="Z55" s="54" t="str">
        <f>IF(AND('Riesgos de Gestión'!$AF$64="Muy Baja",'Riesgos de Gestión'!$AH$64="Moderado"),CONCATENATE("R10C",'Riesgos de Gestión'!$V$64),"")</f>
        <v/>
      </c>
      <c r="AA55" s="55" t="str">
        <f>IF(AND('Riesgos de Gestión'!$AF$65="Muy Baja",'Riesgos de Gestión'!$AH$65="Moderado"),CONCATENATE("R10C",'Riesgos de Gestión'!$V$65),"")</f>
        <v/>
      </c>
      <c r="AB55" s="41" t="str">
        <f>IF(AND('Riesgos de Gestión'!$AF$60="Muy Baja",'Riesgos de Gestión'!$AH$60="Mayor"),CONCATENATE("R10C",'Riesgos de Gestión'!$V$60),"")</f>
        <v/>
      </c>
      <c r="AC55" s="42" t="str">
        <f>IF(AND('Riesgos de Gestión'!$AF$61="Muy Baja",'Riesgos de Gestión'!$AH$61="Mayor"),CONCATENATE("R10C",'Riesgos de Gestión'!$V$61),"")</f>
        <v/>
      </c>
      <c r="AD55" s="42" t="str">
        <f>IF(AND('Riesgos de Gestión'!$AF$62="Muy Baja",'Riesgos de Gestión'!$AH$62="Mayor"),CONCATENATE("R10C",'Riesgos de Gestión'!$V$62),"")</f>
        <v/>
      </c>
      <c r="AE55" s="42" t="str">
        <f>IF(AND('Riesgos de Gestión'!$AF$63="Muy Baja",'Riesgos de Gestión'!$AH$63="Mayor"),CONCATENATE("R10C",'Riesgos de Gestión'!$V$63),"")</f>
        <v/>
      </c>
      <c r="AF55" s="42" t="str">
        <f>IF(AND('Riesgos de Gestión'!$AF$64="Muy Baja",'Riesgos de Gestión'!$AH$64="Mayor"),CONCATENATE("R10C",'Riesgos de Gestión'!$V$64),"")</f>
        <v/>
      </c>
      <c r="AG55" s="43" t="str">
        <f>IF(AND('Riesgos de Gestión'!$AF$65="Muy Baja",'Riesgos de Gestión'!$AH$65="Mayor"),CONCATENATE("R10C",'Riesgos de Gestión'!$V$65),"")</f>
        <v/>
      </c>
      <c r="AH55" s="44" t="str">
        <f>IF(AND('Riesgos de Gestión'!$AF$60="Muy Baja",'Riesgos de Gestión'!$AH$60="Catastrófico"),CONCATENATE("R10C",'Riesgos de Gestión'!$V$60),"")</f>
        <v/>
      </c>
      <c r="AI55" s="45" t="str">
        <f>IF(AND('Riesgos de Gestión'!$AF$61="Muy Baja",'Riesgos de Gestión'!$AH$61="Catastrófico"),CONCATENATE("R10C",'Riesgos de Gestión'!$V$61),"")</f>
        <v/>
      </c>
      <c r="AJ55" s="45" t="str">
        <f>IF(AND('Riesgos de Gestión'!$AF$62="Muy Baja",'Riesgos de Gestión'!$AH$62="Catastrófico"),CONCATENATE("R10C",'Riesgos de Gestión'!$V$62),"")</f>
        <v/>
      </c>
      <c r="AK55" s="45" t="str">
        <f>IF(AND('Riesgos de Gestión'!$AF$63="Muy Baja",'Riesgos de Gestión'!$AH$63="Catastrófico"),CONCATENATE("R10C",'Riesgos de Gestión'!$V$63),"")</f>
        <v/>
      </c>
      <c r="AL55" s="45" t="str">
        <f>IF(AND('Riesgos de Gestión'!$AF$64="Muy Baja",'Riesgos de Gestión'!$AH$64="Catastrófico"),CONCATENATE("R10C",'Riesgos de Gestión'!$V$64),"")</f>
        <v/>
      </c>
      <c r="AM55" s="46" t="str">
        <f>IF(AND('Riesgos de Gestión'!$AF$65="Muy Baja",'Riesgos de Gestión'!$AH$65="Catastrófico"),CONCATENATE("R10C",'Riesgos de Gestión'!$V$65),"")</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552" t="s">
        <v>274</v>
      </c>
      <c r="K56" s="553"/>
      <c r="L56" s="553"/>
      <c r="M56" s="553"/>
      <c r="N56" s="553"/>
      <c r="O56" s="554"/>
      <c r="P56" s="552" t="s">
        <v>275</v>
      </c>
      <c r="Q56" s="553"/>
      <c r="R56" s="553"/>
      <c r="S56" s="553"/>
      <c r="T56" s="553"/>
      <c r="U56" s="554"/>
      <c r="V56" s="552" t="s">
        <v>276</v>
      </c>
      <c r="W56" s="553"/>
      <c r="X56" s="553"/>
      <c r="Y56" s="553"/>
      <c r="Z56" s="553"/>
      <c r="AA56" s="554"/>
      <c r="AB56" s="552" t="s">
        <v>277</v>
      </c>
      <c r="AC56" s="561"/>
      <c r="AD56" s="553"/>
      <c r="AE56" s="553"/>
      <c r="AF56" s="553"/>
      <c r="AG56" s="554"/>
      <c r="AH56" s="552" t="s">
        <v>278</v>
      </c>
      <c r="AI56" s="553"/>
      <c r="AJ56" s="553"/>
      <c r="AK56" s="553"/>
      <c r="AL56" s="553"/>
      <c r="AM56" s="554"/>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555"/>
      <c r="K57" s="556"/>
      <c r="L57" s="556"/>
      <c r="M57" s="556"/>
      <c r="N57" s="556"/>
      <c r="O57" s="557"/>
      <c r="P57" s="555"/>
      <c r="Q57" s="556"/>
      <c r="R57" s="556"/>
      <c r="S57" s="556"/>
      <c r="T57" s="556"/>
      <c r="U57" s="557"/>
      <c r="V57" s="555"/>
      <c r="W57" s="556"/>
      <c r="X57" s="556"/>
      <c r="Y57" s="556"/>
      <c r="Z57" s="556"/>
      <c r="AA57" s="557"/>
      <c r="AB57" s="555"/>
      <c r="AC57" s="556"/>
      <c r="AD57" s="556"/>
      <c r="AE57" s="556"/>
      <c r="AF57" s="556"/>
      <c r="AG57" s="557"/>
      <c r="AH57" s="555"/>
      <c r="AI57" s="556"/>
      <c r="AJ57" s="556"/>
      <c r="AK57" s="556"/>
      <c r="AL57" s="556"/>
      <c r="AM57" s="557"/>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555"/>
      <c r="K58" s="556"/>
      <c r="L58" s="556"/>
      <c r="M58" s="556"/>
      <c r="N58" s="556"/>
      <c r="O58" s="557"/>
      <c r="P58" s="555"/>
      <c r="Q58" s="556"/>
      <c r="R58" s="556"/>
      <c r="S58" s="556"/>
      <c r="T58" s="556"/>
      <c r="U58" s="557"/>
      <c r="V58" s="555"/>
      <c r="W58" s="556"/>
      <c r="X58" s="556"/>
      <c r="Y58" s="556"/>
      <c r="Z58" s="556"/>
      <c r="AA58" s="557"/>
      <c r="AB58" s="555"/>
      <c r="AC58" s="556"/>
      <c r="AD58" s="556"/>
      <c r="AE58" s="556"/>
      <c r="AF58" s="556"/>
      <c r="AG58" s="557"/>
      <c r="AH58" s="555"/>
      <c r="AI58" s="556"/>
      <c r="AJ58" s="556"/>
      <c r="AK58" s="556"/>
      <c r="AL58" s="556"/>
      <c r="AM58" s="557"/>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555"/>
      <c r="K59" s="556"/>
      <c r="L59" s="556"/>
      <c r="M59" s="556"/>
      <c r="N59" s="556"/>
      <c r="O59" s="557"/>
      <c r="P59" s="555"/>
      <c r="Q59" s="556"/>
      <c r="R59" s="556"/>
      <c r="S59" s="556"/>
      <c r="T59" s="556"/>
      <c r="U59" s="557"/>
      <c r="V59" s="555"/>
      <c r="W59" s="556"/>
      <c r="X59" s="556"/>
      <c r="Y59" s="556"/>
      <c r="Z59" s="556"/>
      <c r="AA59" s="557"/>
      <c r="AB59" s="555"/>
      <c r="AC59" s="556"/>
      <c r="AD59" s="556"/>
      <c r="AE59" s="556"/>
      <c r="AF59" s="556"/>
      <c r="AG59" s="557"/>
      <c r="AH59" s="555"/>
      <c r="AI59" s="556"/>
      <c r="AJ59" s="556"/>
      <c r="AK59" s="556"/>
      <c r="AL59" s="556"/>
      <c r="AM59" s="557"/>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555"/>
      <c r="K60" s="556"/>
      <c r="L60" s="556"/>
      <c r="M60" s="556"/>
      <c r="N60" s="556"/>
      <c r="O60" s="557"/>
      <c r="P60" s="555"/>
      <c r="Q60" s="556"/>
      <c r="R60" s="556"/>
      <c r="S60" s="556"/>
      <c r="T60" s="556"/>
      <c r="U60" s="557"/>
      <c r="V60" s="555"/>
      <c r="W60" s="556"/>
      <c r="X60" s="556"/>
      <c r="Y60" s="556"/>
      <c r="Z60" s="556"/>
      <c r="AA60" s="557"/>
      <c r="AB60" s="555"/>
      <c r="AC60" s="556"/>
      <c r="AD60" s="556"/>
      <c r="AE60" s="556"/>
      <c r="AF60" s="556"/>
      <c r="AG60" s="557"/>
      <c r="AH60" s="555"/>
      <c r="AI60" s="556"/>
      <c r="AJ60" s="556"/>
      <c r="AK60" s="556"/>
      <c r="AL60" s="556"/>
      <c r="AM60" s="557"/>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75" thickBot="1" x14ac:dyDescent="0.3">
      <c r="A61" s="66"/>
      <c r="B61" s="66"/>
      <c r="C61" s="66"/>
      <c r="D61" s="66"/>
      <c r="E61" s="66"/>
      <c r="F61" s="66"/>
      <c r="G61" s="66"/>
      <c r="H61" s="66"/>
      <c r="I61" s="66"/>
      <c r="J61" s="558"/>
      <c r="K61" s="559"/>
      <c r="L61" s="559"/>
      <c r="M61" s="559"/>
      <c r="N61" s="559"/>
      <c r="O61" s="560"/>
      <c r="P61" s="558"/>
      <c r="Q61" s="559"/>
      <c r="R61" s="559"/>
      <c r="S61" s="559"/>
      <c r="T61" s="559"/>
      <c r="U61" s="560"/>
      <c r="V61" s="558"/>
      <c r="W61" s="559"/>
      <c r="X61" s="559"/>
      <c r="Y61" s="559"/>
      <c r="Z61" s="559"/>
      <c r="AA61" s="560"/>
      <c r="AB61" s="558"/>
      <c r="AC61" s="559"/>
      <c r="AD61" s="559"/>
      <c r="AE61" s="559"/>
      <c r="AF61" s="559"/>
      <c r="AG61" s="560"/>
      <c r="AH61" s="558"/>
      <c r="AI61" s="559"/>
      <c r="AJ61" s="559"/>
      <c r="AK61" s="559"/>
      <c r="AL61" s="559"/>
      <c r="AM61" s="560"/>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25">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25">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25">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25">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25">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25">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25">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25">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25">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25">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25">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25">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25">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25">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25">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25">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25">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25">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25">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25">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25">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25">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25">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25">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25">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25">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25">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25">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25">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25">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25">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25">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25">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25">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25">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25">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25">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25">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25">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25">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25">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25">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25">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25">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25">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25">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25">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25">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25">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25">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25">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25">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25">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25">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25">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25">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25">
      <c r="A245" s="66"/>
    </row>
    <row r="246" spans="1:60" x14ac:dyDescent="0.25">
      <c r="A246" s="66"/>
    </row>
    <row r="247" spans="1:60" x14ac:dyDescent="0.25">
      <c r="A247" s="66"/>
    </row>
    <row r="248" spans="1:60" x14ac:dyDescent="0.25">
      <c r="A248" s="66"/>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L75"/>
  <sheetViews>
    <sheetView zoomScale="70" zoomScaleNormal="70" zoomScaleSheetLayoutView="40" zoomScalePageLayoutView="60" workbookViewId="0">
      <selection activeCell="V13" sqref="A13:XFD72"/>
    </sheetView>
  </sheetViews>
  <sheetFormatPr baseColWidth="10" defaultColWidth="11.42578125" defaultRowHeight="15" x14ac:dyDescent="0.2"/>
  <cols>
    <col min="1" max="1" width="6.5703125" style="218" customWidth="1"/>
    <col min="2" max="2" width="16" style="218" customWidth="1"/>
    <col min="3" max="3" width="19.140625" style="218" customWidth="1"/>
    <col min="4" max="4" width="25.28515625" style="218" customWidth="1"/>
    <col min="5" max="5" width="40.140625" style="218" customWidth="1"/>
    <col min="6" max="6" width="17.7109375" style="198" customWidth="1"/>
    <col min="7" max="7" width="16" style="198" customWidth="1"/>
    <col min="8" max="8" width="24.28515625" style="198" customWidth="1"/>
    <col min="9" max="10" width="28.42578125" style="198" customWidth="1"/>
    <col min="11" max="11" width="24.28515625" style="198" customWidth="1"/>
    <col min="12" max="12" width="19.42578125" style="198" customWidth="1"/>
    <col min="13" max="13" width="20.5703125" style="198" customWidth="1"/>
    <col min="14" max="14" width="14.7109375" style="219" customWidth="1"/>
    <col min="15" max="15" width="16.7109375" style="198" customWidth="1"/>
    <col min="16" max="16" width="10.42578125" style="198" hidden="1" customWidth="1"/>
    <col min="17" max="17" width="12.85546875" style="198" customWidth="1"/>
    <col min="18" max="18" width="35.85546875" style="198" hidden="1" customWidth="1"/>
    <col min="19" max="19" width="17.140625" style="198" customWidth="1"/>
    <col min="20" max="20" width="17.5703125" style="198" hidden="1" customWidth="1"/>
    <col min="21" max="21" width="15" style="198" customWidth="1"/>
    <col min="22" max="22" width="16" style="198" customWidth="1"/>
    <col min="23" max="23" width="32.7109375" style="198" customWidth="1"/>
    <col min="24" max="24" width="26.85546875" style="198" hidden="1" customWidth="1"/>
    <col min="25" max="25" width="5.85546875" style="198" customWidth="1"/>
    <col min="26" max="26" width="6.85546875" style="198" customWidth="1"/>
    <col min="27" max="27" width="5" style="198" hidden="1" customWidth="1"/>
    <col min="28" max="28" width="5.5703125" style="198" customWidth="1"/>
    <col min="29" max="29" width="7.140625" style="198" customWidth="1"/>
    <col min="30" max="30" width="6.7109375" style="198" customWidth="1"/>
    <col min="31" max="31" width="7.5703125" style="198" hidden="1" customWidth="1"/>
    <col min="32" max="32" width="8.5703125" style="198" customWidth="1"/>
    <col min="33" max="37" width="10.85546875" style="198" customWidth="1"/>
    <col min="38" max="38" width="10.85546875" style="217" customWidth="1"/>
    <col min="39" max="39" width="23" style="198" customWidth="1"/>
    <col min="40" max="40" width="18.85546875" style="198" customWidth="1"/>
    <col min="41" max="41" width="21.5703125" style="198" customWidth="1"/>
    <col min="42" max="42" width="22.42578125" style="198" customWidth="1"/>
    <col min="43" max="43" width="16.42578125" style="198" customWidth="1"/>
    <col min="44" max="44" width="20.5703125" style="198" customWidth="1"/>
    <col min="45" max="16384" width="11.42578125" style="198"/>
  </cols>
  <sheetData>
    <row r="1" spans="1:272" s="201" customFormat="1" ht="20.25" x14ac:dyDescent="0.3">
      <c r="A1" s="456"/>
      <c r="B1" s="457"/>
      <c r="C1" s="458"/>
      <c r="D1" s="446" t="s">
        <v>208</v>
      </c>
      <c r="E1" s="447"/>
      <c r="F1" s="447"/>
      <c r="G1" s="447"/>
      <c r="H1" s="447"/>
      <c r="I1" s="447"/>
      <c r="J1" s="447"/>
      <c r="K1" s="447"/>
      <c r="L1" s="447"/>
      <c r="M1" s="447"/>
      <c r="N1" s="447"/>
      <c r="O1" s="447"/>
      <c r="P1" s="447"/>
      <c r="Q1" s="447"/>
      <c r="R1" s="447"/>
      <c r="S1" s="447"/>
      <c r="T1" s="448"/>
      <c r="U1" s="252"/>
      <c r="V1" s="252"/>
      <c r="W1" s="252"/>
      <c r="X1" s="426"/>
      <c r="Y1" s="426"/>
      <c r="Z1" s="426"/>
      <c r="AA1" s="426"/>
      <c r="AB1" s="426"/>
      <c r="AC1" s="426"/>
      <c r="AD1" s="426"/>
      <c r="AE1" s="426"/>
      <c r="AF1" s="426"/>
      <c r="AG1" s="426"/>
      <c r="AH1" s="426"/>
      <c r="AI1" s="426"/>
      <c r="AJ1" s="426"/>
      <c r="AK1" s="426"/>
      <c r="AL1" s="426"/>
      <c r="AM1" s="426"/>
      <c r="AN1" s="426"/>
      <c r="AO1" s="426"/>
      <c r="AP1" s="426"/>
      <c r="AQ1" s="426"/>
      <c r="AR1" s="426"/>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row>
    <row r="2" spans="1:272" s="201" customFormat="1" ht="21" thickBot="1" x14ac:dyDescent="0.35">
      <c r="A2" s="459"/>
      <c r="B2" s="460"/>
      <c r="C2" s="461"/>
      <c r="D2" s="449"/>
      <c r="E2" s="450"/>
      <c r="F2" s="450"/>
      <c r="G2" s="450"/>
      <c r="H2" s="450"/>
      <c r="I2" s="450"/>
      <c r="J2" s="450"/>
      <c r="K2" s="450"/>
      <c r="L2" s="450"/>
      <c r="M2" s="450"/>
      <c r="N2" s="450"/>
      <c r="O2" s="450"/>
      <c r="P2" s="450"/>
      <c r="Q2" s="450"/>
      <c r="R2" s="450"/>
      <c r="S2" s="450"/>
      <c r="T2" s="451"/>
      <c r="U2" s="252"/>
      <c r="V2" s="252"/>
      <c r="W2" s="252"/>
      <c r="X2" s="426"/>
      <c r="Y2" s="426"/>
      <c r="Z2" s="426"/>
      <c r="AA2" s="426"/>
      <c r="AB2" s="426"/>
      <c r="AC2" s="426"/>
      <c r="AD2" s="426"/>
      <c r="AE2" s="426"/>
      <c r="AF2" s="426"/>
      <c r="AG2" s="426"/>
      <c r="AH2" s="426"/>
      <c r="AI2" s="426"/>
      <c r="AJ2" s="426"/>
      <c r="AK2" s="426"/>
      <c r="AL2" s="426"/>
      <c r="AM2" s="426"/>
      <c r="AN2" s="426"/>
      <c r="AO2" s="426"/>
      <c r="AP2" s="426"/>
      <c r="AQ2" s="426"/>
      <c r="AR2" s="426"/>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row>
    <row r="3" spans="1:272" s="201" customFormat="1" ht="27.75" customHeight="1" thickBot="1" x14ac:dyDescent="0.35">
      <c r="A3" s="459"/>
      <c r="B3" s="460"/>
      <c r="C3" s="461"/>
      <c r="D3" s="452" t="s">
        <v>209</v>
      </c>
      <c r="E3" s="453"/>
      <c r="F3" s="453"/>
      <c r="G3" s="453"/>
      <c r="H3" s="453"/>
      <c r="I3" s="454"/>
      <c r="J3" s="452" t="s">
        <v>210</v>
      </c>
      <c r="K3" s="453"/>
      <c r="L3" s="453"/>
      <c r="M3" s="453"/>
      <c r="N3" s="453"/>
      <c r="O3" s="453"/>
      <c r="P3" s="453"/>
      <c r="Q3" s="453"/>
      <c r="R3" s="453"/>
      <c r="S3" s="453"/>
      <c r="T3" s="454"/>
      <c r="U3" s="253"/>
      <c r="V3" s="253"/>
      <c r="W3" s="252"/>
      <c r="X3" s="427"/>
      <c r="Y3" s="427"/>
      <c r="Z3" s="427"/>
      <c r="AA3" s="427"/>
      <c r="AB3" s="427"/>
      <c r="AC3" s="427"/>
      <c r="AD3" s="427"/>
      <c r="AE3" s="427"/>
      <c r="AF3" s="427"/>
      <c r="AG3" s="427"/>
      <c r="AH3" s="427"/>
      <c r="AI3" s="427"/>
      <c r="AJ3" s="427"/>
      <c r="AK3" s="427"/>
      <c r="AL3" s="427"/>
      <c r="AM3" s="427"/>
      <c r="AN3" s="427"/>
      <c r="AO3" s="427"/>
      <c r="AP3" s="427"/>
      <c r="AQ3" s="427"/>
      <c r="AR3" s="427"/>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row>
    <row r="4" spans="1:272" s="201" customFormat="1" ht="27.75" customHeight="1" thickBot="1" x14ac:dyDescent="0.35">
      <c r="A4" s="462"/>
      <c r="B4" s="463"/>
      <c r="C4" s="464"/>
      <c r="D4" s="452" t="s">
        <v>422</v>
      </c>
      <c r="E4" s="453"/>
      <c r="F4" s="453"/>
      <c r="G4" s="453"/>
      <c r="H4" s="453"/>
      <c r="I4" s="453"/>
      <c r="J4" s="453"/>
      <c r="K4" s="453"/>
      <c r="L4" s="453"/>
      <c r="M4" s="453"/>
      <c r="N4" s="453"/>
      <c r="O4" s="453"/>
      <c r="P4" s="453"/>
      <c r="Q4" s="453"/>
      <c r="R4" s="453"/>
      <c r="S4" s="453"/>
      <c r="T4" s="454"/>
      <c r="U4" s="252"/>
      <c r="V4" s="252"/>
      <c r="W4" s="252"/>
      <c r="X4" s="427"/>
      <c r="Y4" s="427"/>
      <c r="Z4" s="427"/>
      <c r="AA4" s="427"/>
      <c r="AB4" s="427"/>
      <c r="AC4" s="427"/>
      <c r="AD4" s="427"/>
      <c r="AE4" s="427"/>
      <c r="AF4" s="427"/>
      <c r="AG4" s="427"/>
      <c r="AH4" s="427"/>
      <c r="AI4" s="427"/>
      <c r="AJ4" s="427"/>
      <c r="AK4" s="427"/>
      <c r="AL4" s="427"/>
      <c r="AM4" s="427"/>
      <c r="AN4" s="427"/>
      <c r="AO4" s="427"/>
      <c r="AP4" s="427"/>
      <c r="AQ4" s="427"/>
      <c r="AR4" s="427"/>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row>
    <row r="5" spans="1:272" ht="15.75" thickBot="1" x14ac:dyDescent="0.25">
      <c r="A5" s="202"/>
      <c r="B5" s="203"/>
      <c r="C5" s="202"/>
      <c r="D5" s="202"/>
      <c r="E5" s="202"/>
      <c r="F5" s="204"/>
      <c r="G5" s="204"/>
      <c r="H5" s="204"/>
      <c r="I5" s="204"/>
      <c r="J5" s="204"/>
      <c r="K5" s="204"/>
      <c r="L5" s="204"/>
      <c r="M5" s="204"/>
      <c r="N5" s="205"/>
      <c r="O5" s="204"/>
      <c r="P5" s="204"/>
      <c r="Q5" s="204"/>
      <c r="R5" s="204"/>
      <c r="S5" s="204"/>
      <c r="T5" s="204"/>
      <c r="U5" s="204"/>
      <c r="V5" s="204"/>
      <c r="W5" s="204"/>
      <c r="X5" s="204"/>
      <c r="Y5" s="204"/>
      <c r="Z5" s="204"/>
      <c r="AA5" s="204"/>
      <c r="AB5" s="204"/>
      <c r="AC5" s="204"/>
      <c r="AD5" s="204"/>
      <c r="AE5" s="204"/>
      <c r="AF5" s="204"/>
      <c r="AG5" s="204"/>
      <c r="AH5" s="204"/>
      <c r="AI5" s="204"/>
      <c r="AJ5" s="204"/>
      <c r="AK5" s="204"/>
      <c r="AL5" s="25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row>
    <row r="6" spans="1:272" ht="27" customHeight="1" thickBot="1" x14ac:dyDescent="0.25">
      <c r="A6" s="428" t="s">
        <v>211</v>
      </c>
      <c r="B6" s="429"/>
      <c r="C6" s="435"/>
      <c r="D6" s="436"/>
      <c r="E6" s="436"/>
      <c r="F6" s="436"/>
      <c r="G6" s="436"/>
      <c r="H6" s="436"/>
      <c r="I6" s="436"/>
      <c r="J6" s="436"/>
      <c r="K6" s="436"/>
      <c r="L6" s="436"/>
      <c r="M6" s="436"/>
      <c r="N6" s="436"/>
      <c r="O6" s="436"/>
      <c r="P6" s="436"/>
      <c r="Q6" s="436"/>
      <c r="R6" s="436"/>
      <c r="S6" s="436"/>
      <c r="T6" s="437"/>
      <c r="U6" s="255"/>
      <c r="V6" s="255"/>
      <c r="W6" s="434"/>
      <c r="X6" s="434"/>
      <c r="Y6" s="434"/>
      <c r="Z6" s="425"/>
      <c r="AA6" s="425"/>
      <c r="AB6" s="425"/>
      <c r="AC6" s="425"/>
      <c r="AD6" s="425"/>
      <c r="AE6" s="425"/>
      <c r="AF6" s="425"/>
      <c r="AG6" s="425"/>
      <c r="AH6" s="425"/>
      <c r="AI6" s="425"/>
      <c r="AJ6" s="425"/>
      <c r="AK6" s="425"/>
      <c r="AL6" s="425"/>
      <c r="AM6" s="425"/>
      <c r="AN6" s="425"/>
      <c r="AO6" s="425"/>
      <c r="AP6" s="425"/>
      <c r="AQ6" s="425"/>
      <c r="AR6" s="425"/>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row>
    <row r="7" spans="1:272" ht="27" customHeight="1" thickBot="1" x14ac:dyDescent="0.3">
      <c r="A7" s="430" t="s">
        <v>212</v>
      </c>
      <c r="B7" s="431"/>
      <c r="C7" s="618"/>
      <c r="D7" s="619"/>
      <c r="E7" s="619"/>
      <c r="F7" s="619"/>
      <c r="G7" s="619"/>
      <c r="H7" s="619"/>
      <c r="I7" s="619"/>
      <c r="J7" s="619"/>
      <c r="K7" s="619"/>
      <c r="L7" s="619"/>
      <c r="M7" s="619"/>
      <c r="N7" s="619"/>
      <c r="O7" s="619"/>
      <c r="P7" s="619"/>
      <c r="Q7" s="619"/>
      <c r="R7" s="619"/>
      <c r="S7" s="619"/>
      <c r="T7" s="620"/>
      <c r="U7" s="256"/>
      <c r="V7" s="256"/>
      <c r="W7" s="257"/>
      <c r="X7" s="257"/>
      <c r="Y7" s="257"/>
      <c r="Z7" s="425"/>
      <c r="AA7" s="425"/>
      <c r="AB7" s="425"/>
      <c r="AC7" s="425"/>
      <c r="AD7" s="425"/>
      <c r="AE7" s="425"/>
      <c r="AF7" s="425"/>
      <c r="AG7" s="425"/>
      <c r="AH7" s="425"/>
      <c r="AI7" s="425"/>
      <c r="AJ7" s="425"/>
      <c r="AK7" s="425"/>
      <c r="AL7" s="425"/>
      <c r="AM7" s="425"/>
      <c r="AN7" s="425"/>
      <c r="AO7" s="425"/>
      <c r="AP7" s="425"/>
      <c r="AQ7" s="425"/>
      <c r="AR7" s="425"/>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row>
    <row r="8" spans="1:272" ht="27" customHeight="1" thickBot="1" x14ac:dyDescent="0.3">
      <c r="A8" s="432" t="s">
        <v>213</v>
      </c>
      <c r="B8" s="433"/>
      <c r="C8" s="618"/>
      <c r="D8" s="619"/>
      <c r="E8" s="619"/>
      <c r="F8" s="619"/>
      <c r="G8" s="619"/>
      <c r="H8" s="619"/>
      <c r="I8" s="619"/>
      <c r="J8" s="619"/>
      <c r="K8" s="619"/>
      <c r="L8" s="619"/>
      <c r="M8" s="619"/>
      <c r="N8" s="619"/>
      <c r="O8" s="619"/>
      <c r="P8" s="619"/>
      <c r="Q8" s="619"/>
      <c r="R8" s="619"/>
      <c r="S8" s="619"/>
      <c r="T8" s="620"/>
      <c r="U8" s="256"/>
      <c r="V8" s="256"/>
      <c r="W8" s="257"/>
      <c r="X8" s="257"/>
      <c r="Y8" s="257"/>
      <c r="Z8" s="425"/>
      <c r="AA8" s="425"/>
      <c r="AB8" s="425"/>
      <c r="AC8" s="425"/>
      <c r="AD8" s="425"/>
      <c r="AE8" s="425"/>
      <c r="AF8" s="425"/>
      <c r="AG8" s="425"/>
      <c r="AH8" s="425"/>
      <c r="AI8" s="425"/>
      <c r="AJ8" s="425"/>
      <c r="AK8" s="425"/>
      <c r="AL8" s="425"/>
      <c r="AM8" s="425"/>
      <c r="AN8" s="425"/>
      <c r="AO8" s="425"/>
      <c r="AP8" s="425"/>
      <c r="AQ8" s="425"/>
      <c r="AR8" s="425"/>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row>
    <row r="9" spans="1:272" ht="15.75" x14ac:dyDescent="0.25">
      <c r="A9" s="206"/>
      <c r="B9" s="206"/>
      <c r="C9" s="207"/>
      <c r="D9" s="207"/>
      <c r="E9" s="207"/>
      <c r="F9" s="207"/>
      <c r="G9" s="207"/>
      <c r="H9" s="207"/>
      <c r="I9" s="207"/>
      <c r="J9" s="207"/>
      <c r="K9" s="207"/>
      <c r="L9" s="207"/>
      <c r="M9" s="207"/>
      <c r="N9" s="207"/>
      <c r="O9" s="207"/>
      <c r="P9" s="207"/>
      <c r="Q9" s="207"/>
      <c r="R9" s="207"/>
      <c r="S9" s="207"/>
      <c r="T9" s="207"/>
      <c r="U9" s="207"/>
      <c r="V9" s="207"/>
      <c r="W9" s="208"/>
      <c r="X9" s="208"/>
      <c r="Y9" s="208"/>
      <c r="Z9" s="209"/>
      <c r="AA9" s="209"/>
      <c r="AB9" s="209"/>
      <c r="AC9" s="209"/>
      <c r="AD9" s="209"/>
      <c r="AE9" s="209"/>
      <c r="AF9" s="209"/>
      <c r="AG9" s="209"/>
      <c r="AH9" s="209"/>
      <c r="AI9" s="209"/>
      <c r="AJ9" s="209"/>
      <c r="AK9" s="209"/>
      <c r="AL9" s="209"/>
      <c r="AM9" s="209"/>
      <c r="AN9" s="209"/>
      <c r="AO9" s="209"/>
      <c r="AP9" s="209"/>
      <c r="AQ9" s="209"/>
      <c r="AR9" s="209"/>
    </row>
    <row r="10" spans="1:272" ht="39" customHeight="1" x14ac:dyDescent="0.2">
      <c r="A10" s="601" t="s">
        <v>214</v>
      </c>
      <c r="B10" s="602"/>
      <c r="C10" s="602"/>
      <c r="D10" s="602"/>
      <c r="E10" s="602"/>
      <c r="F10" s="603"/>
      <c r="G10" s="607" t="s">
        <v>215</v>
      </c>
      <c r="H10" s="608"/>
      <c r="I10" s="608"/>
      <c r="J10" s="608"/>
      <c r="K10" s="609"/>
      <c r="L10" s="352" t="s">
        <v>216</v>
      </c>
      <c r="M10" s="353"/>
      <c r="N10" s="224"/>
      <c r="O10" s="224"/>
      <c r="P10" s="612" t="s">
        <v>217</v>
      </c>
      <c r="Q10" s="612"/>
      <c r="R10" s="612"/>
      <c r="S10" s="612"/>
      <c r="T10" s="612"/>
      <c r="U10" s="612"/>
      <c r="V10" s="612"/>
      <c r="W10" s="612" t="s">
        <v>218</v>
      </c>
      <c r="X10" s="612"/>
      <c r="Y10" s="612"/>
      <c r="Z10" s="612"/>
      <c r="AA10" s="612"/>
      <c r="AB10" s="612"/>
      <c r="AC10" s="612"/>
      <c r="AD10" s="612"/>
      <c r="AE10" s="612"/>
      <c r="AF10" s="613" t="s">
        <v>219</v>
      </c>
      <c r="AG10" s="614"/>
      <c r="AH10" s="614"/>
      <c r="AI10" s="614"/>
      <c r="AJ10" s="615"/>
      <c r="AK10" s="613" t="s">
        <v>423</v>
      </c>
      <c r="AL10" s="614"/>
      <c r="AM10" s="614"/>
      <c r="AN10" s="614"/>
      <c r="AO10" s="615"/>
      <c r="AP10" s="613" t="s">
        <v>424</v>
      </c>
      <c r="AQ10" s="614"/>
      <c r="AR10" s="615"/>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row>
    <row r="11" spans="1:272" ht="26.25" customHeight="1" x14ac:dyDescent="0.2">
      <c r="A11" s="616" t="s">
        <v>222</v>
      </c>
      <c r="B11" s="412" t="s">
        <v>15</v>
      </c>
      <c r="C11" s="414" t="s">
        <v>17</v>
      </c>
      <c r="D11" s="414" t="s">
        <v>19</v>
      </c>
      <c r="E11" s="412" t="s">
        <v>21</v>
      </c>
      <c r="F11" s="414" t="s">
        <v>23</v>
      </c>
      <c r="G11" s="417" t="s">
        <v>124</v>
      </c>
      <c r="H11" s="417" t="s">
        <v>280</v>
      </c>
      <c r="I11" s="417" t="s">
        <v>224</v>
      </c>
      <c r="J11" s="417" t="s">
        <v>225</v>
      </c>
      <c r="K11" s="417" t="s">
        <v>226</v>
      </c>
      <c r="L11" s="352"/>
      <c r="M11" s="353"/>
      <c r="N11" s="347" t="s">
        <v>227</v>
      </c>
      <c r="O11" s="347" t="s">
        <v>228</v>
      </c>
      <c r="P11" s="393" t="s">
        <v>229</v>
      </c>
      <c r="Q11" s="347" t="s">
        <v>230</v>
      </c>
      <c r="R11" s="347" t="s">
        <v>231</v>
      </c>
      <c r="S11" s="347" t="s">
        <v>232</v>
      </c>
      <c r="T11" s="393" t="s">
        <v>229</v>
      </c>
      <c r="U11" s="347" t="s">
        <v>29</v>
      </c>
      <c r="V11" s="367" t="s">
        <v>233</v>
      </c>
      <c r="W11" s="347" t="s">
        <v>31</v>
      </c>
      <c r="X11" s="347" t="s">
        <v>33</v>
      </c>
      <c r="Y11" s="347" t="s">
        <v>234</v>
      </c>
      <c r="Z11" s="347"/>
      <c r="AA11" s="347"/>
      <c r="AB11" s="347"/>
      <c r="AC11" s="347"/>
      <c r="AD11" s="347"/>
      <c r="AE11" s="367" t="s">
        <v>235</v>
      </c>
      <c r="AF11" s="367" t="s">
        <v>236</v>
      </c>
      <c r="AG11" s="367" t="s">
        <v>229</v>
      </c>
      <c r="AH11" s="367" t="s">
        <v>237</v>
      </c>
      <c r="AI11" s="367" t="s">
        <v>229</v>
      </c>
      <c r="AJ11" s="367" t="s">
        <v>238</v>
      </c>
      <c r="AK11" s="367" t="s">
        <v>49</v>
      </c>
      <c r="AL11" s="347" t="s">
        <v>239</v>
      </c>
      <c r="AM11" s="347" t="s">
        <v>240</v>
      </c>
      <c r="AN11" s="347" t="s">
        <v>241</v>
      </c>
      <c r="AO11" s="347" t="s">
        <v>242</v>
      </c>
      <c r="AP11" s="347" t="s">
        <v>239</v>
      </c>
      <c r="AQ11" s="347" t="s">
        <v>241</v>
      </c>
      <c r="AR11" s="347" t="s">
        <v>240</v>
      </c>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row>
    <row r="12" spans="1:272" s="213" customFormat="1" ht="73.5" customHeight="1" x14ac:dyDescent="0.25">
      <c r="A12" s="616"/>
      <c r="B12" s="412"/>
      <c r="C12" s="414"/>
      <c r="D12" s="414"/>
      <c r="E12" s="412"/>
      <c r="F12" s="414"/>
      <c r="G12" s="617"/>
      <c r="H12" s="617"/>
      <c r="I12" s="617"/>
      <c r="J12" s="617"/>
      <c r="K12" s="617"/>
      <c r="L12" s="250" t="s">
        <v>425</v>
      </c>
      <c r="M12" s="250" t="s">
        <v>246</v>
      </c>
      <c r="N12" s="347"/>
      <c r="O12" s="347"/>
      <c r="P12" s="393"/>
      <c r="Q12" s="393"/>
      <c r="R12" s="347"/>
      <c r="S12" s="393"/>
      <c r="T12" s="393"/>
      <c r="U12" s="347"/>
      <c r="V12" s="367"/>
      <c r="W12" s="347"/>
      <c r="X12" s="347"/>
      <c r="Y12" s="210" t="s">
        <v>247</v>
      </c>
      <c r="Z12" s="210" t="s">
        <v>248</v>
      </c>
      <c r="AA12" s="210" t="s">
        <v>249</v>
      </c>
      <c r="AB12" s="210" t="s">
        <v>250</v>
      </c>
      <c r="AC12" s="210" t="s">
        <v>251</v>
      </c>
      <c r="AD12" s="210" t="s">
        <v>252</v>
      </c>
      <c r="AE12" s="367"/>
      <c r="AF12" s="367"/>
      <c r="AG12" s="367"/>
      <c r="AH12" s="367"/>
      <c r="AI12" s="367"/>
      <c r="AJ12" s="367"/>
      <c r="AK12" s="367"/>
      <c r="AL12" s="347"/>
      <c r="AM12" s="347"/>
      <c r="AN12" s="347"/>
      <c r="AO12" s="347"/>
      <c r="AP12" s="347"/>
      <c r="AQ12" s="347"/>
      <c r="AR12" s="347"/>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c r="FU12" s="212"/>
      <c r="FV12" s="212"/>
      <c r="FW12" s="212"/>
      <c r="FX12" s="212"/>
      <c r="FY12" s="212"/>
      <c r="FZ12" s="212"/>
      <c r="GA12" s="212"/>
      <c r="GB12" s="212"/>
      <c r="GC12" s="212"/>
      <c r="GD12" s="212"/>
      <c r="GE12" s="212"/>
      <c r="GF12" s="212"/>
      <c r="GG12" s="212"/>
      <c r="GH12" s="212"/>
      <c r="GI12" s="212"/>
      <c r="GJ12" s="212"/>
      <c r="GK12" s="212"/>
      <c r="GL12" s="212"/>
      <c r="GM12" s="212"/>
      <c r="GN12" s="212"/>
      <c r="GO12" s="212"/>
      <c r="GP12" s="212"/>
      <c r="GQ12" s="212"/>
      <c r="GR12" s="212"/>
      <c r="GS12" s="212"/>
      <c r="GT12" s="212"/>
      <c r="GU12" s="212"/>
      <c r="GV12" s="212"/>
      <c r="GW12" s="212"/>
      <c r="GX12" s="212"/>
      <c r="GY12" s="212"/>
      <c r="GZ12" s="212"/>
      <c r="HA12" s="212"/>
      <c r="HB12" s="212"/>
      <c r="HC12" s="212"/>
      <c r="HD12" s="212"/>
      <c r="HE12" s="212"/>
      <c r="HF12" s="212"/>
      <c r="HG12" s="212"/>
      <c r="HH12" s="212"/>
      <c r="HI12" s="212"/>
      <c r="HJ12" s="212"/>
      <c r="HK12" s="212"/>
      <c r="HL12" s="212"/>
      <c r="HM12" s="212"/>
      <c r="HN12" s="212"/>
      <c r="HO12" s="212"/>
      <c r="HP12" s="212"/>
      <c r="HQ12" s="212"/>
      <c r="HR12" s="212"/>
      <c r="HS12" s="212"/>
      <c r="HT12" s="212"/>
      <c r="HU12" s="212"/>
      <c r="HV12" s="212"/>
      <c r="HW12" s="212"/>
      <c r="HX12" s="212"/>
      <c r="HY12" s="212"/>
      <c r="HZ12" s="212"/>
      <c r="IA12" s="212"/>
      <c r="IB12" s="212"/>
      <c r="IC12" s="212"/>
      <c r="ID12" s="212"/>
      <c r="IE12" s="212"/>
      <c r="IF12" s="212"/>
      <c r="IG12" s="212"/>
      <c r="IH12" s="212"/>
      <c r="II12" s="212"/>
      <c r="IJ12" s="212"/>
      <c r="IK12" s="212"/>
      <c r="IL12" s="212"/>
      <c r="IM12" s="212"/>
      <c r="IN12" s="212"/>
      <c r="IO12" s="212"/>
      <c r="IP12" s="212"/>
      <c r="IQ12" s="212"/>
      <c r="IR12" s="212"/>
      <c r="IS12" s="212"/>
      <c r="IT12" s="212"/>
      <c r="IU12" s="212"/>
      <c r="IV12" s="212"/>
      <c r="IW12" s="212"/>
      <c r="IX12" s="212"/>
      <c r="IY12" s="212"/>
      <c r="IZ12" s="212"/>
      <c r="JA12" s="212"/>
      <c r="JB12" s="212"/>
      <c r="JC12" s="212"/>
      <c r="JD12" s="212"/>
      <c r="JE12" s="212"/>
      <c r="JF12" s="212"/>
      <c r="JG12" s="212"/>
      <c r="JH12" s="212"/>
      <c r="JI12" s="212"/>
      <c r="JJ12" s="212"/>
      <c r="JK12" s="212"/>
      <c r="JL12" s="212"/>
    </row>
    <row r="13" spans="1:272" s="215" customFormat="1" x14ac:dyDescent="0.25">
      <c r="A13" s="419">
        <v>1</v>
      </c>
      <c r="B13" s="383"/>
      <c r="C13" s="383"/>
      <c r="D13" s="383"/>
      <c r="E13" s="386"/>
      <c r="F13" s="383"/>
      <c r="G13" s="388"/>
      <c r="H13" s="388"/>
      <c r="I13" s="388"/>
      <c r="J13" s="388"/>
      <c r="K13" s="388"/>
      <c r="L13" s="388"/>
      <c r="M13" s="388"/>
      <c r="N13" s="376"/>
      <c r="O13" s="374" t="str">
        <f>IF(N13&lt;=0,"",IF(N13&lt;=2,"Muy Baja",IF(N13&lt;=24,"Baja",IF(N13&lt;=500,"Media",IF(N13&lt;=5000,"Alta","Muy Alta")))))</f>
        <v/>
      </c>
      <c r="P13" s="373" t="str">
        <f>IF(O13="","",IF(O13="Muy Baja",0.2,IF(O13="Baja",0.4,IF(O13="Media",0.6,IF(O13="Alta",0.8,IF(O13="Muy Alta",1,))))))</f>
        <v/>
      </c>
      <c r="Q13" s="349"/>
      <c r="R13" s="373">
        <f>IF(NOT(ISERROR(MATCH(Q13,'Tabla Impacto'!$B$222:$B$224,0))),'Tabla Impacto'!$F$224&amp;"Por favor no seleccionar los criterios de impacto(Afectación Económica o presupuestal y Pérdida Reputacional)",Q13)</f>
        <v>0</v>
      </c>
      <c r="S13" s="374" t="str">
        <f>IF(OR(R13='Tabla Impacto'!$C$12,R13='Tabla Impacto'!$D$12),"Leve",IF(OR(R13='Tabla Impacto'!$C$13,R13='Tabla Impacto'!$D$13),"Menor",IF(OR(R13='Tabla Impacto'!$C$14,R13='Tabla Impacto'!$D$14),"Moderado",IF(OR(R13='Tabla Impacto'!$C$15,R13='Tabla Impacto'!$D$15),"Mayor",IF(OR(R13='Tabla Impacto'!$C$16,R13='Tabla Impacto'!$D$16),"Catastrófico","")))))</f>
        <v/>
      </c>
      <c r="T13" s="373" t="str">
        <f>IF(S13="","",IF(S13="Leve",0.2,IF(S13="Menor",0.4,IF(S13="Moderado",0.6,IF(S13="Mayor",0.8,IF(S13="Catastrófico",1,))))))</f>
        <v/>
      </c>
      <c r="U13" s="360"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
      </c>
      <c r="V13" s="214">
        <v>1</v>
      </c>
      <c r="W13" s="240"/>
      <c r="X13" s="189" t="str">
        <f t="shared" ref="X13:X18" si="0">IF(OR(Y13="Preventivo",Y13="Detectivo"),"Probabilidad",IF(Y13="Correctivo","Impacto",""))</f>
        <v/>
      </c>
      <c r="Y13" s="190"/>
      <c r="Z13" s="190"/>
      <c r="AA13" s="191" t="str">
        <f>IF(AND(Y13="Preventivo",Z13="Automático"),"50%",IF(AND(Y13="Preventivo",Z13="Manual"),"40%",IF(AND(Y13="Detectivo",Z13="Automático"),"40%",IF(AND(Y13="Detectivo",Z13="Manual"),"30%",IF(AND(Y13="Correctivo",Z13="Automático"),"35%",IF(AND(Y13="Correctivo",Z13="Manual"),"25%",""))))))</f>
        <v/>
      </c>
      <c r="AB13" s="190"/>
      <c r="AC13" s="190"/>
      <c r="AD13" s="190"/>
      <c r="AE13" s="192" t="str">
        <f>IFERROR(IF(X13="Probabilidad",(P13-(+P13*AA13)),IF(X13="Impacto",P13,"")),"")</f>
        <v/>
      </c>
      <c r="AF13" s="193" t="str">
        <f>IFERROR(IF(AE13="","",IF(AE13&lt;=0.2,"Muy Baja",IF(AE13&lt;=0.4,"Baja",IF(AE13&lt;=0.6,"Media",IF(AE13&lt;=0.8,"Alta","Muy Alta"))))),"")</f>
        <v/>
      </c>
      <c r="AG13" s="191" t="str">
        <f>+AE13</f>
        <v/>
      </c>
      <c r="AH13" s="193" t="str">
        <f>IFERROR(IF(AI13="","",IF(AI13&lt;=0.2,"Leve",IF(AI13&lt;=0.4,"Menor",IF(AI13&lt;=0.6,"Moderado",IF(AI13&lt;=0.8,"Mayor","Catastrófico"))))),"")</f>
        <v/>
      </c>
      <c r="AI13" s="191" t="str">
        <f>IFERROR(IF(X13="Impacto",(T13-(+T13*AA13)),IF(X13="Probabilidad",T13,"")),"")</f>
        <v/>
      </c>
      <c r="AJ13" s="194" t="str">
        <f>IFERROR(IF(OR(AND(AF13="Muy Baja",AH13="Leve"),AND(AF13="Muy Baja",AH13="Menor"),AND(AF13="Baja",AH13="Leve")),"Bajo",IF(OR(AND(AF13="Muy baja",AH13="Moderado"),AND(AF13="Baja",AH13="Menor"),AND(AF13="Baja",AH13="Moderado"),AND(AF13="Media",AH13="Leve"),AND(AF13="Media",AH13="Menor"),AND(AF13="Media",AH13="Moderado"),AND(AF13="Alta",AH13="Leve"),AND(AF13="Alta",AH13="Menor")),"Moderado",IF(OR(AND(AF13="Muy Baja",AH13="Mayor"),AND(AF13="Baja",AH13="Mayor"),AND(AF13="Media",AH13="Mayor"),AND(AF13="Alta",AH13="Moderado"),AND(AF13="Alta",AH13="Mayor"),AND(AF13="Muy Alta",AH13="Leve"),AND(AF13="Muy Alta",AH13="Menor"),AND(AF13="Muy Alta",AH13="Moderado"),AND(AF13="Muy Alta",AH13="Mayor")),"Alto",IF(OR(AND(AF13="Muy Baja",AH13="Catastrófico"),AND(AF13="Baja",AH13="Catastrófico"),AND(AF13="Media",AH13="Catastrófico"),AND(AF13="Alta",AH13="Catastrófico"),AND(AF13="Muy Alta",AH13="Catastrófico")),"Extremo","")))),"")</f>
        <v/>
      </c>
      <c r="AK13" s="195"/>
      <c r="AL13" s="186"/>
      <c r="AM13" s="196"/>
      <c r="AN13" s="196"/>
      <c r="AO13" s="197"/>
      <c r="AP13" s="383"/>
      <c r="AQ13" s="383"/>
      <c r="AR13" s="383"/>
    </row>
    <row r="14" spans="1:272" x14ac:dyDescent="0.2">
      <c r="A14" s="419"/>
      <c r="B14" s="383"/>
      <c r="C14" s="383"/>
      <c r="D14" s="383"/>
      <c r="E14" s="386"/>
      <c r="F14" s="383"/>
      <c r="G14" s="358"/>
      <c r="H14" s="358"/>
      <c r="I14" s="358"/>
      <c r="J14" s="358"/>
      <c r="K14" s="358"/>
      <c r="L14" s="358"/>
      <c r="M14" s="358"/>
      <c r="N14" s="376"/>
      <c r="O14" s="374"/>
      <c r="P14" s="373"/>
      <c r="Q14" s="349"/>
      <c r="R14" s="373">
        <f>IF(NOT(ISERROR(MATCH(Q14,_xlfn.ANCHORARRAY(E25),0))),P27&amp;"Por favor no seleccionar los criterios de impacto",Q14)</f>
        <v>0</v>
      </c>
      <c r="S14" s="374"/>
      <c r="T14" s="373"/>
      <c r="U14" s="360"/>
      <c r="V14" s="214">
        <v>2</v>
      </c>
      <c r="W14" s="240"/>
      <c r="X14" s="189" t="str">
        <f t="shared" si="0"/>
        <v/>
      </c>
      <c r="Y14" s="190"/>
      <c r="Z14" s="190"/>
      <c r="AA14" s="191" t="str">
        <f t="shared" ref="AA14:AA18" si="1">IF(AND(Y14="Preventivo",Z14="Automático"),"50%",IF(AND(Y14="Preventivo",Z14="Manual"),"40%",IF(AND(Y14="Detectivo",Z14="Automático"),"40%",IF(AND(Y14="Detectivo",Z14="Manual"),"30%",IF(AND(Y14="Correctivo",Z14="Automático"),"35%",IF(AND(Y14="Correctivo",Z14="Manual"),"25%",""))))))</f>
        <v/>
      </c>
      <c r="AB14" s="190"/>
      <c r="AC14" s="190"/>
      <c r="AD14" s="190"/>
      <c r="AE14" s="192" t="str">
        <f>IFERROR(IF(AND(X13="Probabilidad",X14="Probabilidad"),(AG13-(+AG13*AA14)),IF(X14="Probabilidad",(P13-(+P13*AA14)),IF(X14="Impacto",AG13,""))),"")</f>
        <v/>
      </c>
      <c r="AF14" s="193" t="str">
        <f t="shared" ref="AF14:AF72" si="2">IFERROR(IF(AE14="","",IF(AE14&lt;=0.2,"Muy Baja",IF(AE14&lt;=0.4,"Baja",IF(AE14&lt;=0.6,"Media",IF(AE14&lt;=0.8,"Alta","Muy Alta"))))),"")</f>
        <v/>
      </c>
      <c r="AG14" s="191" t="str">
        <f t="shared" ref="AG14:AG18" si="3">+AE14</f>
        <v/>
      </c>
      <c r="AH14" s="193" t="str">
        <f t="shared" ref="AH14:AH72" si="4">IFERROR(IF(AI14="","",IF(AI14&lt;=0.2,"Leve",IF(AI14&lt;=0.4,"Menor",IF(AI14&lt;=0.6,"Moderado",IF(AI14&lt;=0.8,"Mayor","Catastrófico"))))),"")</f>
        <v/>
      </c>
      <c r="AI14" s="191" t="str">
        <f>IFERROR(IF(AND(X13="Impacto",X14="Impacto"),(AI13-(+AI13*AA14)),IF(X14="Impacto",($T$13-(+$T$13*AA14)),IF(X14="Probabilidad",AI13,""))),"")</f>
        <v/>
      </c>
      <c r="AJ14" s="194" t="str">
        <f t="shared" ref="AJ14:AJ18" si="5">IFERROR(IF(OR(AND(AF14="Muy Baja",AH14="Leve"),AND(AF14="Muy Baja",AH14="Menor"),AND(AF14="Baja",AH14="Leve")),"Bajo",IF(OR(AND(AF14="Muy baja",AH14="Moderado"),AND(AF14="Baja",AH14="Menor"),AND(AF14="Baja",AH14="Moderado"),AND(AF14="Media",AH14="Leve"),AND(AF14="Media",AH14="Menor"),AND(AF14="Media",AH14="Moderado"),AND(AF14="Alta",AH14="Leve"),AND(AF14="Alta",AH14="Menor")),"Moderado",IF(OR(AND(AF14="Muy Baja",AH14="Mayor"),AND(AF14="Baja",AH14="Mayor"),AND(AF14="Media",AH14="Mayor"),AND(AF14="Alta",AH14="Moderado"),AND(AF14="Alta",AH14="Mayor"),AND(AF14="Muy Alta",AH14="Leve"),AND(AF14="Muy Alta",AH14="Menor"),AND(AF14="Muy Alta",AH14="Moderado"),AND(AF14="Muy Alta",AH14="Mayor")),"Alto",IF(OR(AND(AF14="Muy Baja",AH14="Catastrófico"),AND(AF14="Baja",AH14="Catastrófico"),AND(AF14="Media",AH14="Catastrófico"),AND(AF14="Alta",AH14="Catastrófico"),AND(AF14="Muy Alta",AH14="Catastrófico")),"Extremo","")))),"")</f>
        <v/>
      </c>
      <c r="AK14" s="195"/>
      <c r="AL14" s="186"/>
      <c r="AM14" s="196"/>
      <c r="AN14" s="186"/>
      <c r="AO14" s="197"/>
      <c r="AP14" s="383"/>
      <c r="AQ14" s="383"/>
      <c r="AR14" s="383"/>
    </row>
    <row r="15" spans="1:272" x14ac:dyDescent="0.2">
      <c r="A15" s="419"/>
      <c r="B15" s="383"/>
      <c r="C15" s="383"/>
      <c r="D15" s="383"/>
      <c r="E15" s="386"/>
      <c r="F15" s="383"/>
      <c r="G15" s="358"/>
      <c r="H15" s="358"/>
      <c r="I15" s="358"/>
      <c r="J15" s="358"/>
      <c r="K15" s="358"/>
      <c r="L15" s="358"/>
      <c r="M15" s="358"/>
      <c r="N15" s="376"/>
      <c r="O15" s="374"/>
      <c r="P15" s="373"/>
      <c r="Q15" s="349"/>
      <c r="R15" s="373">
        <f>IF(NOT(ISERROR(MATCH(Q15,_xlfn.ANCHORARRAY(E26),0))),P28&amp;"Por favor no seleccionar los criterios de impacto",Q15)</f>
        <v>0</v>
      </c>
      <c r="S15" s="374"/>
      <c r="T15" s="373"/>
      <c r="U15" s="360"/>
      <c r="V15" s="214">
        <v>3</v>
      </c>
      <c r="W15" s="188"/>
      <c r="X15" s="189" t="str">
        <f t="shared" si="0"/>
        <v/>
      </c>
      <c r="Y15" s="190"/>
      <c r="Z15" s="190"/>
      <c r="AA15" s="191" t="str">
        <f t="shared" si="1"/>
        <v/>
      </c>
      <c r="AB15" s="190"/>
      <c r="AC15" s="190"/>
      <c r="AD15" s="190"/>
      <c r="AE15" s="192" t="str">
        <f>IFERROR(IF(AND(X14="Probabilidad",X15="Probabilidad"),(AG14-(+AG14*AA15)),IF(AND(X14="Impacto",X15="Probabilidad"),(AG13-(+AG13*AA15)),IF(X15="Impacto",AG14,""))),"")</f>
        <v/>
      </c>
      <c r="AF15" s="193" t="str">
        <f t="shared" si="2"/>
        <v/>
      </c>
      <c r="AG15" s="191" t="str">
        <f t="shared" si="3"/>
        <v/>
      </c>
      <c r="AH15" s="193" t="str">
        <f t="shared" si="4"/>
        <v/>
      </c>
      <c r="AI15" s="191" t="str">
        <f>IFERROR(IF(AND(X14="Impacto",X15="Impacto"),(AI14-(+AI14*AA15)),IF(AND(X14="Probabilidad",X15="Impacto"),(AI13-(+AI13*AA15)),IF(X15="Probabilidad",AI14,""))),"")</f>
        <v/>
      </c>
      <c r="AJ15" s="194" t="str">
        <f t="shared" si="5"/>
        <v/>
      </c>
      <c r="AK15" s="195"/>
      <c r="AL15" s="186"/>
      <c r="AM15" s="196"/>
      <c r="AN15" s="196"/>
      <c r="AO15" s="197"/>
      <c r="AP15" s="383"/>
      <c r="AQ15" s="383"/>
      <c r="AR15" s="383"/>
    </row>
    <row r="16" spans="1:272" x14ac:dyDescent="0.2">
      <c r="A16" s="419"/>
      <c r="B16" s="383"/>
      <c r="C16" s="383"/>
      <c r="D16" s="383"/>
      <c r="E16" s="386"/>
      <c r="F16" s="383"/>
      <c r="G16" s="358"/>
      <c r="H16" s="358"/>
      <c r="I16" s="358"/>
      <c r="J16" s="358"/>
      <c r="K16" s="358"/>
      <c r="L16" s="358"/>
      <c r="M16" s="358"/>
      <c r="N16" s="376"/>
      <c r="O16" s="374"/>
      <c r="P16" s="373"/>
      <c r="Q16" s="349"/>
      <c r="R16" s="373">
        <f>IF(NOT(ISERROR(MATCH(Q16,_xlfn.ANCHORARRAY(E27),0))),P29&amp;"Por favor no seleccionar los criterios de impacto",Q16)</f>
        <v>0</v>
      </c>
      <c r="S16" s="374"/>
      <c r="T16" s="373"/>
      <c r="U16" s="360"/>
      <c r="V16" s="214">
        <v>4</v>
      </c>
      <c r="W16" s="187"/>
      <c r="X16" s="189" t="str">
        <f t="shared" si="0"/>
        <v/>
      </c>
      <c r="Y16" s="190"/>
      <c r="Z16" s="190"/>
      <c r="AA16" s="191" t="str">
        <f t="shared" si="1"/>
        <v/>
      </c>
      <c r="AB16" s="190"/>
      <c r="AC16" s="190"/>
      <c r="AD16" s="190"/>
      <c r="AE16" s="192" t="str">
        <f t="shared" ref="AE16:AE18" si="6">IFERROR(IF(AND(X15="Probabilidad",X16="Probabilidad"),(AG15-(+AG15*AA16)),IF(AND(X15="Impacto",X16="Probabilidad"),(AG14-(+AG14*AA16)),IF(X16="Impacto",AG15,""))),"")</f>
        <v/>
      </c>
      <c r="AF16" s="193" t="str">
        <f t="shared" si="2"/>
        <v/>
      </c>
      <c r="AG16" s="191" t="str">
        <f t="shared" si="3"/>
        <v/>
      </c>
      <c r="AH16" s="193" t="str">
        <f t="shared" si="4"/>
        <v/>
      </c>
      <c r="AI16" s="191" t="str">
        <f t="shared" ref="AI16:AI18" si="7">IFERROR(IF(AND(X15="Impacto",X16="Impacto"),(AI15-(+AI15*AA16)),IF(AND(X15="Probabilidad",X16="Impacto"),(AI14-(+AI14*AA16)),IF(X16="Probabilidad",AI15,""))),"")</f>
        <v/>
      </c>
      <c r="AJ16" s="194" t="str">
        <f>IFERROR(IF(OR(AND(AF16="Muy Baja",AH16="Leve"),AND(AF16="Muy Baja",AH16="Menor"),AND(AF16="Baja",AH16="Leve")),"Bajo",IF(OR(AND(AF16="Muy baja",AH16="Moderado"),AND(AF16="Baja",AH16="Menor"),AND(AF16="Baja",AH16="Moderado"),AND(AF16="Media",AH16="Leve"),AND(AF16="Media",AH16="Menor"),AND(AF16="Media",AH16="Moderado"),AND(AF16="Alta",AH16="Leve"),AND(AF16="Alta",AH16="Menor")),"Moderado",IF(OR(AND(AF16="Muy Baja",AH16="Mayor"),AND(AF16="Baja",AH16="Mayor"),AND(AF16="Media",AH16="Mayor"),AND(AF16="Alta",AH16="Moderado"),AND(AF16="Alta",AH16="Mayor"),AND(AF16="Muy Alta",AH16="Leve"),AND(AF16="Muy Alta",AH16="Menor"),AND(AF16="Muy Alta",AH16="Moderado"),AND(AF16="Muy Alta",AH16="Mayor")),"Alto",IF(OR(AND(AF16="Muy Baja",AH16="Catastrófico"),AND(AF16="Baja",AH16="Catastrófico"),AND(AF16="Media",AH16="Catastrófico"),AND(AF16="Alta",AH16="Catastrófico"),AND(AF16="Muy Alta",AH16="Catastrófico")),"Extremo","")))),"")</f>
        <v/>
      </c>
      <c r="AK16" s="195"/>
      <c r="AL16" s="186"/>
      <c r="AM16" s="196"/>
      <c r="AN16" s="196"/>
      <c r="AO16" s="197"/>
      <c r="AP16" s="383"/>
      <c r="AQ16" s="383"/>
      <c r="AR16" s="383"/>
    </row>
    <row r="17" spans="1:44" x14ac:dyDescent="0.2">
      <c r="A17" s="419"/>
      <c r="B17" s="383"/>
      <c r="C17" s="383"/>
      <c r="D17" s="383"/>
      <c r="E17" s="386"/>
      <c r="F17" s="383"/>
      <c r="G17" s="358"/>
      <c r="H17" s="358"/>
      <c r="I17" s="358"/>
      <c r="J17" s="358"/>
      <c r="K17" s="358"/>
      <c r="L17" s="358"/>
      <c r="M17" s="358"/>
      <c r="N17" s="376"/>
      <c r="O17" s="374"/>
      <c r="P17" s="373"/>
      <c r="Q17" s="349"/>
      <c r="R17" s="373">
        <f>IF(NOT(ISERROR(MATCH(Q17,_xlfn.ANCHORARRAY(E28),0))),P30&amp;"Por favor no seleccionar los criterios de impacto",Q17)</f>
        <v>0</v>
      </c>
      <c r="S17" s="374"/>
      <c r="T17" s="373"/>
      <c r="U17" s="360"/>
      <c r="V17" s="214">
        <v>5</v>
      </c>
      <c r="W17" s="187"/>
      <c r="X17" s="189" t="str">
        <f t="shared" si="0"/>
        <v/>
      </c>
      <c r="Y17" s="190"/>
      <c r="Z17" s="190"/>
      <c r="AA17" s="191" t="str">
        <f t="shared" si="1"/>
        <v/>
      </c>
      <c r="AB17" s="190"/>
      <c r="AC17" s="190"/>
      <c r="AD17" s="190"/>
      <c r="AE17" s="192" t="str">
        <f t="shared" si="6"/>
        <v/>
      </c>
      <c r="AF17" s="193" t="str">
        <f t="shared" si="2"/>
        <v/>
      </c>
      <c r="AG17" s="191" t="str">
        <f t="shared" si="3"/>
        <v/>
      </c>
      <c r="AH17" s="193" t="str">
        <f t="shared" si="4"/>
        <v/>
      </c>
      <c r="AI17" s="191" t="str">
        <f t="shared" si="7"/>
        <v/>
      </c>
      <c r="AJ17" s="194" t="str">
        <f t="shared" si="5"/>
        <v/>
      </c>
      <c r="AK17" s="195"/>
      <c r="AL17" s="186"/>
      <c r="AM17" s="196"/>
      <c r="AN17" s="196"/>
      <c r="AO17" s="197"/>
      <c r="AP17" s="383"/>
      <c r="AQ17" s="383"/>
      <c r="AR17" s="383"/>
    </row>
    <row r="18" spans="1:44" x14ac:dyDescent="0.2">
      <c r="A18" s="419"/>
      <c r="B18" s="383"/>
      <c r="C18" s="383"/>
      <c r="D18" s="383"/>
      <c r="E18" s="386"/>
      <c r="F18" s="383"/>
      <c r="G18" s="369"/>
      <c r="H18" s="369"/>
      <c r="I18" s="369"/>
      <c r="J18" s="369"/>
      <c r="K18" s="369"/>
      <c r="L18" s="369"/>
      <c r="M18" s="369"/>
      <c r="N18" s="376"/>
      <c r="O18" s="374"/>
      <c r="P18" s="373"/>
      <c r="Q18" s="349"/>
      <c r="R18" s="373">
        <f>IF(NOT(ISERROR(MATCH(Q18,_xlfn.ANCHORARRAY(E29),0))),P31&amp;"Por favor no seleccionar los criterios de impacto",Q18)</f>
        <v>0</v>
      </c>
      <c r="S18" s="374"/>
      <c r="T18" s="373"/>
      <c r="U18" s="360"/>
      <c r="V18" s="214">
        <v>6</v>
      </c>
      <c r="W18" s="187"/>
      <c r="X18" s="189" t="str">
        <f t="shared" si="0"/>
        <v/>
      </c>
      <c r="Y18" s="190"/>
      <c r="Z18" s="190"/>
      <c r="AA18" s="191" t="str">
        <f t="shared" si="1"/>
        <v/>
      </c>
      <c r="AB18" s="190"/>
      <c r="AC18" s="190"/>
      <c r="AD18" s="190"/>
      <c r="AE18" s="192" t="str">
        <f t="shared" si="6"/>
        <v/>
      </c>
      <c r="AF18" s="193" t="str">
        <f t="shared" si="2"/>
        <v/>
      </c>
      <c r="AG18" s="191" t="str">
        <f t="shared" si="3"/>
        <v/>
      </c>
      <c r="AH18" s="193" t="str">
        <f t="shared" si="4"/>
        <v/>
      </c>
      <c r="AI18" s="191" t="str">
        <f t="shared" si="7"/>
        <v/>
      </c>
      <c r="AJ18" s="194" t="str">
        <f t="shared" si="5"/>
        <v/>
      </c>
      <c r="AK18" s="195"/>
      <c r="AL18" s="186"/>
      <c r="AM18" s="196"/>
      <c r="AN18" s="196"/>
      <c r="AO18" s="197"/>
      <c r="AP18" s="383"/>
      <c r="AQ18" s="383"/>
      <c r="AR18" s="383"/>
    </row>
    <row r="19" spans="1:44" x14ac:dyDescent="0.2">
      <c r="A19" s="419">
        <v>2</v>
      </c>
      <c r="B19" s="383"/>
      <c r="C19" s="383"/>
      <c r="D19" s="383"/>
      <c r="E19" s="386"/>
      <c r="F19" s="383"/>
      <c r="G19" s="388"/>
      <c r="H19" s="388"/>
      <c r="I19" s="388"/>
      <c r="J19" s="388"/>
      <c r="K19" s="388"/>
      <c r="L19" s="388"/>
      <c r="M19" s="388"/>
      <c r="N19" s="376"/>
      <c r="O19" s="374" t="str">
        <f>IF(N19&lt;=0,"",IF(N19&lt;=2,"Muy Baja",IF(N19&lt;=24,"Baja",IF(N19&lt;=500,"Media",IF(N19&lt;=5000,"Alta","Muy Alta")))))</f>
        <v/>
      </c>
      <c r="P19" s="373" t="str">
        <f>IF(O19="","",IF(O19="Muy Baja",0.2,IF(O19="Baja",0.4,IF(O19="Media",0.6,IF(O19="Alta",0.8,IF(O19="Muy Alta",1,))))))</f>
        <v/>
      </c>
      <c r="Q19" s="349"/>
      <c r="R19" s="373">
        <f>IF(NOT(ISERROR(MATCH(Q19,'Tabla Impacto'!$B$222:$B$224,0))),'Tabla Impacto'!$F$224&amp;"Por favor no seleccionar los criterios de impacto(Afectación Económica o presupuestal y Pérdida Reputacional)",Q19)</f>
        <v>0</v>
      </c>
      <c r="S19" s="374" t="str">
        <f>IF(OR(R19='Tabla Impacto'!$C$12,R19='Tabla Impacto'!$D$12),"Leve",IF(OR(R19='Tabla Impacto'!$C$13,R19='Tabla Impacto'!$D$13),"Menor",IF(OR(R19='Tabla Impacto'!$C$14,R19='Tabla Impacto'!$D$14),"Moderado",IF(OR(R19='Tabla Impacto'!$C$15,R19='Tabla Impacto'!$D$15),"Mayor",IF(OR(R19='Tabla Impacto'!$C$16,R19='Tabla Impacto'!$D$16),"Catastrófico","")))))</f>
        <v/>
      </c>
      <c r="T19" s="373" t="str">
        <f>IF(S19="","",IF(S19="Leve",0.2,IF(S19="Menor",0.4,IF(S19="Moderado",0.6,IF(S19="Mayor",0.8,IF(S19="Catastrófico",1,))))))</f>
        <v/>
      </c>
      <c r="U19" s="360" t="str">
        <f>IF(OR(AND(O19="Muy Baja",S19="Leve"),AND(O19="Muy Baja",S19="Menor"),AND(O19="Baja",S19="Leve")),"Bajo",IF(OR(AND(O19="Muy baja",S19="Moderado"),AND(O19="Baja",S19="Menor"),AND(O19="Baja",S19="Moderado"),AND(O19="Media",S19="Leve"),AND(O19="Media",S19="Menor"),AND(O19="Media",S19="Moderado"),AND(O19="Alta",S19="Leve"),AND(O19="Alta",S19="Menor")),"Moderado",IF(OR(AND(O19="Muy Baja",S19="Mayor"),AND(O19="Baja",S19="Mayor"),AND(O19="Media",S19="Mayor"),AND(O19="Alta",S19="Moderado"),AND(O19="Alta",S19="Mayor"),AND(O19="Muy Alta",S19="Leve"),AND(O19="Muy Alta",S19="Menor"),AND(O19="Muy Alta",S19="Moderado"),AND(O19="Muy Alta",S19="Mayor")),"Alto",IF(OR(AND(O19="Muy Baja",S19="Catastrófico"),AND(O19="Baja",S19="Catastrófico"),AND(O19="Media",S19="Catastrófico"),AND(O19="Alta",S19="Catastrófico"),AND(O19="Muy Alta",S19="Catastrófico")),"Extremo",""))))</f>
        <v/>
      </c>
      <c r="V19" s="214">
        <v>1</v>
      </c>
      <c r="W19" s="187"/>
      <c r="X19" s="189" t="str">
        <f>IF(OR(Y19="Preventivo",Y19="Detectivo"),"Probabilidad",IF(Y19="Correctivo","Impacto",""))</f>
        <v/>
      </c>
      <c r="Y19" s="190"/>
      <c r="Z19" s="190"/>
      <c r="AA19" s="191" t="str">
        <f>IF(AND(Y19="Preventivo",Z19="Automático"),"50%",IF(AND(Y19="Preventivo",Z19="Manual"),"40%",IF(AND(Y19="Detectivo",Z19="Automático"),"40%",IF(AND(Y19="Detectivo",Z19="Manual"),"30%",IF(AND(Y19="Correctivo",Z19="Automático"),"35%",IF(AND(Y19="Correctivo",Z19="Manual"),"25%",""))))))</f>
        <v/>
      </c>
      <c r="AB19" s="190"/>
      <c r="AC19" s="190"/>
      <c r="AD19" s="190"/>
      <c r="AE19" s="192" t="str">
        <f>IFERROR(IF(X19="Probabilidad",(P19-(+P19*AA19)),IF(X19="Impacto",P19,"")),"")</f>
        <v/>
      </c>
      <c r="AF19" s="193" t="str">
        <f>IFERROR(IF(AE19="","",IF(AE19&lt;=0.2,"Muy Baja",IF(AE19&lt;=0.4,"Baja",IF(AE19&lt;=0.6,"Media",IF(AE19&lt;=0.8,"Alta","Muy Alta"))))),"")</f>
        <v/>
      </c>
      <c r="AG19" s="191" t="str">
        <f>+AE19</f>
        <v/>
      </c>
      <c r="AH19" s="193" t="str">
        <f>IFERROR(IF(AI19="","",IF(AI19&lt;=0.2,"Leve",IF(AI19&lt;=0.4,"Menor",IF(AI19&lt;=0.6,"Moderado",IF(AI19&lt;=0.8,"Mayor","Catastrófico"))))),"")</f>
        <v/>
      </c>
      <c r="AI19" s="191" t="str">
        <f t="shared" ref="AI19" si="8">IFERROR(IF(X19="Impacto",(T19-(+T19*AA19)),IF(X19="Probabilidad",T19,"")),"")</f>
        <v/>
      </c>
      <c r="AJ19" s="194" t="str">
        <f>IFERROR(IF(OR(AND(AF19="Muy Baja",AH19="Leve"),AND(AF19="Muy Baja",AH19="Menor"),AND(AF19="Baja",AH19="Leve")),"Bajo",IF(OR(AND(AF19="Muy baja",AH19="Moderado"),AND(AF19="Baja",AH19="Menor"),AND(AF19="Baja",AH19="Moderado"),AND(AF19="Media",AH19="Leve"),AND(AF19="Media",AH19="Menor"),AND(AF19="Media",AH19="Moderado"),AND(AF19="Alta",AH19="Leve"),AND(AF19="Alta",AH19="Menor")),"Moderado",IF(OR(AND(AF19="Muy Baja",AH19="Mayor"),AND(AF19="Baja",AH19="Mayor"),AND(AF19="Media",AH19="Mayor"),AND(AF19="Alta",AH19="Moderado"),AND(AF19="Alta",AH19="Mayor"),AND(AF19="Muy Alta",AH19="Leve"),AND(AF19="Muy Alta",AH19="Menor"),AND(AF19="Muy Alta",AH19="Moderado"),AND(AF19="Muy Alta",AH19="Mayor")),"Alto",IF(OR(AND(AF19="Muy Baja",AH19="Catastrófico"),AND(AF19="Baja",AH19="Catastrófico"),AND(AF19="Media",AH19="Catastrófico"),AND(AF19="Alta",AH19="Catastrófico"),AND(AF19="Muy Alta",AH19="Catastrófico")),"Extremo","")))),"")</f>
        <v/>
      </c>
      <c r="AK19" s="195"/>
      <c r="AL19" s="186"/>
      <c r="AM19" s="196"/>
      <c r="AN19" s="196"/>
      <c r="AO19" s="197"/>
      <c r="AP19" s="376"/>
      <c r="AQ19" s="376"/>
      <c r="AR19" s="376"/>
    </row>
    <row r="20" spans="1:44" x14ac:dyDescent="0.2">
      <c r="A20" s="419"/>
      <c r="B20" s="383"/>
      <c r="C20" s="383"/>
      <c r="D20" s="383"/>
      <c r="E20" s="386"/>
      <c r="F20" s="383"/>
      <c r="G20" s="358"/>
      <c r="H20" s="358"/>
      <c r="I20" s="358"/>
      <c r="J20" s="358"/>
      <c r="K20" s="358"/>
      <c r="L20" s="358"/>
      <c r="M20" s="358"/>
      <c r="N20" s="376"/>
      <c r="O20" s="374"/>
      <c r="P20" s="373"/>
      <c r="Q20" s="349"/>
      <c r="R20" s="373">
        <f>IF(NOT(ISERROR(MATCH(Q20,_xlfn.ANCHORARRAY(E31),0))),P33&amp;"Por favor no seleccionar los criterios de impacto",Q20)</f>
        <v>0</v>
      </c>
      <c r="S20" s="374"/>
      <c r="T20" s="373"/>
      <c r="U20" s="360"/>
      <c r="V20" s="214">
        <v>2</v>
      </c>
      <c r="W20" s="187"/>
      <c r="X20" s="189" t="str">
        <f>IF(OR(Y20="Preventivo",Y20="Detectivo"),"Probabilidad",IF(Y20="Correctivo","Impacto",""))</f>
        <v/>
      </c>
      <c r="Y20" s="190"/>
      <c r="Z20" s="190"/>
      <c r="AA20" s="191" t="str">
        <f t="shared" ref="AA20:AA24" si="9">IF(AND(Y20="Preventivo",Z20="Automático"),"50%",IF(AND(Y20="Preventivo",Z20="Manual"),"40%",IF(AND(Y20="Detectivo",Z20="Automático"),"40%",IF(AND(Y20="Detectivo",Z20="Manual"),"30%",IF(AND(Y20="Correctivo",Z20="Automático"),"35%",IF(AND(Y20="Correctivo",Z20="Manual"),"25%",""))))))</f>
        <v/>
      </c>
      <c r="AB20" s="190"/>
      <c r="AC20" s="190"/>
      <c r="AD20" s="190"/>
      <c r="AE20" s="192" t="str">
        <f>IFERROR(IF(AND(X19="Probabilidad",X20="Probabilidad"),(AG19-(+AG19*AA20)),IF(X20="Probabilidad",(P19-(+P19*AA20)),IF(X20="Impacto",AG19,""))),"")</f>
        <v/>
      </c>
      <c r="AF20" s="193" t="str">
        <f t="shared" si="2"/>
        <v/>
      </c>
      <c r="AG20" s="191" t="str">
        <f t="shared" ref="AG20:AG24" si="10">+AE20</f>
        <v/>
      </c>
      <c r="AH20" s="193" t="str">
        <f t="shared" si="4"/>
        <v/>
      </c>
      <c r="AI20" s="191" t="str">
        <f t="shared" ref="AI20" si="11">IFERROR(IF(AND(X19="Impacto",X20="Impacto"),(AI19-(+AI19*AA20)),IF(X20="Impacto",($T$13-(+$T$13*AA20)),IF(X20="Probabilidad",AI19,""))),"")</f>
        <v/>
      </c>
      <c r="AJ20" s="194" t="str">
        <f t="shared" ref="AJ20:AJ21" si="12">IFERROR(IF(OR(AND(AF20="Muy Baja",AH20="Leve"),AND(AF20="Muy Baja",AH20="Menor"),AND(AF20="Baja",AH20="Leve")),"Bajo",IF(OR(AND(AF20="Muy baja",AH20="Moderado"),AND(AF20="Baja",AH20="Menor"),AND(AF20="Baja",AH20="Moderado"),AND(AF20="Media",AH20="Leve"),AND(AF20="Media",AH20="Menor"),AND(AF20="Media",AH20="Moderado"),AND(AF20="Alta",AH20="Leve"),AND(AF20="Alta",AH20="Menor")),"Moderado",IF(OR(AND(AF20="Muy Baja",AH20="Mayor"),AND(AF20="Baja",AH20="Mayor"),AND(AF20="Media",AH20="Mayor"),AND(AF20="Alta",AH20="Moderado"),AND(AF20="Alta",AH20="Mayor"),AND(AF20="Muy Alta",AH20="Leve"),AND(AF20="Muy Alta",AH20="Menor"),AND(AF20="Muy Alta",AH20="Moderado"),AND(AF20="Muy Alta",AH20="Mayor")),"Alto",IF(OR(AND(AF20="Muy Baja",AH20="Catastrófico"),AND(AF20="Baja",AH20="Catastrófico"),AND(AF20="Media",AH20="Catastrófico"),AND(AF20="Alta",AH20="Catastrófico"),AND(AF20="Muy Alta",AH20="Catastrófico")),"Extremo","")))),"")</f>
        <v/>
      </c>
      <c r="AK20" s="195"/>
      <c r="AL20" s="186"/>
      <c r="AM20" s="196"/>
      <c r="AN20" s="186"/>
      <c r="AO20" s="197"/>
      <c r="AP20" s="376"/>
      <c r="AQ20" s="376"/>
      <c r="AR20" s="376"/>
    </row>
    <row r="21" spans="1:44" x14ac:dyDescent="0.2">
      <c r="A21" s="419"/>
      <c r="B21" s="383"/>
      <c r="C21" s="383"/>
      <c r="D21" s="383"/>
      <c r="E21" s="386"/>
      <c r="F21" s="383"/>
      <c r="G21" s="358"/>
      <c r="H21" s="358"/>
      <c r="I21" s="358"/>
      <c r="J21" s="358"/>
      <c r="K21" s="358"/>
      <c r="L21" s="358"/>
      <c r="M21" s="358"/>
      <c r="N21" s="376"/>
      <c r="O21" s="374"/>
      <c r="P21" s="373"/>
      <c r="Q21" s="349"/>
      <c r="R21" s="373">
        <f>IF(NOT(ISERROR(MATCH(Q21,_xlfn.ANCHORARRAY(E32),0))),P34&amp;"Por favor no seleccionar los criterios de impacto",Q21)</f>
        <v>0</v>
      </c>
      <c r="S21" s="374"/>
      <c r="T21" s="373"/>
      <c r="U21" s="360"/>
      <c r="V21" s="214">
        <v>3</v>
      </c>
      <c r="W21" s="188"/>
      <c r="X21" s="189" t="str">
        <f>IF(OR(Y21="Preventivo",Y21="Detectivo"),"Probabilidad",IF(Y21="Correctivo","Impacto",""))</f>
        <v/>
      </c>
      <c r="Y21" s="190"/>
      <c r="Z21" s="190"/>
      <c r="AA21" s="191" t="str">
        <f t="shared" si="9"/>
        <v/>
      </c>
      <c r="AB21" s="190"/>
      <c r="AC21" s="190"/>
      <c r="AD21" s="190"/>
      <c r="AE21" s="192" t="str">
        <f>IFERROR(IF(AND(X20="Probabilidad",X21="Probabilidad"),(AG20-(+AG20*AA21)),IF(AND(X20="Impacto",X21="Probabilidad"),(AG19-(+AG19*AA21)),IF(X21="Impacto",AG20,""))),"")</f>
        <v/>
      </c>
      <c r="AF21" s="193" t="str">
        <f t="shared" si="2"/>
        <v/>
      </c>
      <c r="AG21" s="191" t="str">
        <f t="shared" si="10"/>
        <v/>
      </c>
      <c r="AH21" s="193" t="str">
        <f t="shared" si="4"/>
        <v/>
      </c>
      <c r="AI21" s="191" t="str">
        <f t="shared" ref="AI21:AI72" si="13">IFERROR(IF(AND(X20="Impacto",X21="Impacto"),(AI20-(+AI20*AA21)),IF(AND(X20="Probabilidad",X21="Impacto"),(AI19-(+AI19*AA21)),IF(X21="Probabilidad",AI20,""))),"")</f>
        <v/>
      </c>
      <c r="AJ21" s="194" t="str">
        <f t="shared" si="12"/>
        <v/>
      </c>
      <c r="AK21" s="195"/>
      <c r="AL21" s="186"/>
      <c r="AM21" s="196"/>
      <c r="AN21" s="196"/>
      <c r="AO21" s="197"/>
      <c r="AP21" s="376"/>
      <c r="AQ21" s="376"/>
      <c r="AR21" s="376"/>
    </row>
    <row r="22" spans="1:44" x14ac:dyDescent="0.2">
      <c r="A22" s="419"/>
      <c r="B22" s="383"/>
      <c r="C22" s="383"/>
      <c r="D22" s="383"/>
      <c r="E22" s="386"/>
      <c r="F22" s="383"/>
      <c r="G22" s="358"/>
      <c r="H22" s="358"/>
      <c r="I22" s="358"/>
      <c r="J22" s="358"/>
      <c r="K22" s="358"/>
      <c r="L22" s="358"/>
      <c r="M22" s="358"/>
      <c r="N22" s="376"/>
      <c r="O22" s="374"/>
      <c r="P22" s="373"/>
      <c r="Q22" s="349"/>
      <c r="R22" s="373">
        <f>IF(NOT(ISERROR(MATCH(Q22,_xlfn.ANCHORARRAY(E33),0))),P35&amp;"Por favor no seleccionar los criterios de impacto",Q22)</f>
        <v>0</v>
      </c>
      <c r="S22" s="374"/>
      <c r="T22" s="373"/>
      <c r="U22" s="360"/>
      <c r="V22" s="214">
        <v>4</v>
      </c>
      <c r="W22" s="187"/>
      <c r="X22" s="189" t="str">
        <f t="shared" ref="X22:X24" si="14">IF(OR(Y22="Preventivo",Y22="Detectivo"),"Probabilidad",IF(Y22="Correctivo","Impacto",""))</f>
        <v/>
      </c>
      <c r="Y22" s="190"/>
      <c r="Z22" s="190"/>
      <c r="AA22" s="191" t="str">
        <f t="shared" si="9"/>
        <v/>
      </c>
      <c r="AB22" s="190"/>
      <c r="AC22" s="190"/>
      <c r="AD22" s="190"/>
      <c r="AE22" s="192" t="str">
        <f t="shared" ref="AE22:AE24" si="15">IFERROR(IF(AND(X21="Probabilidad",X22="Probabilidad"),(AG21-(+AG21*AA22)),IF(AND(X21="Impacto",X22="Probabilidad"),(AG20-(+AG20*AA22)),IF(X22="Impacto",AG21,""))),"")</f>
        <v/>
      </c>
      <c r="AF22" s="193" t="str">
        <f t="shared" si="2"/>
        <v/>
      </c>
      <c r="AG22" s="191" t="str">
        <f t="shared" si="10"/>
        <v/>
      </c>
      <c r="AH22" s="193" t="str">
        <f t="shared" si="4"/>
        <v/>
      </c>
      <c r="AI22" s="191" t="str">
        <f t="shared" si="13"/>
        <v/>
      </c>
      <c r="AJ22" s="194" t="str">
        <f>IFERROR(IF(OR(AND(AF22="Muy Baja",AH22="Leve"),AND(AF22="Muy Baja",AH22="Menor"),AND(AF22="Baja",AH22="Leve")),"Bajo",IF(OR(AND(AF22="Muy baja",AH22="Moderado"),AND(AF22="Baja",AH22="Menor"),AND(AF22="Baja",AH22="Moderado"),AND(AF22="Media",AH22="Leve"),AND(AF22="Media",AH22="Menor"),AND(AF22="Media",AH22="Moderado"),AND(AF22="Alta",AH22="Leve"),AND(AF22="Alta",AH22="Menor")),"Moderado",IF(OR(AND(AF22="Muy Baja",AH22="Mayor"),AND(AF22="Baja",AH22="Mayor"),AND(AF22="Media",AH22="Mayor"),AND(AF22="Alta",AH22="Moderado"),AND(AF22="Alta",AH22="Mayor"),AND(AF22="Muy Alta",AH22="Leve"),AND(AF22="Muy Alta",AH22="Menor"),AND(AF22="Muy Alta",AH22="Moderado"),AND(AF22="Muy Alta",AH22="Mayor")),"Alto",IF(OR(AND(AF22="Muy Baja",AH22="Catastrófico"),AND(AF22="Baja",AH22="Catastrófico"),AND(AF22="Media",AH22="Catastrófico"),AND(AF22="Alta",AH22="Catastrófico"),AND(AF22="Muy Alta",AH22="Catastrófico")),"Extremo","")))),"")</f>
        <v/>
      </c>
      <c r="AK22" s="195"/>
      <c r="AL22" s="186"/>
      <c r="AM22" s="196"/>
      <c r="AN22" s="196"/>
      <c r="AO22" s="197"/>
      <c r="AP22" s="376"/>
      <c r="AQ22" s="376"/>
      <c r="AR22" s="376"/>
    </row>
    <row r="23" spans="1:44" x14ac:dyDescent="0.2">
      <c r="A23" s="419"/>
      <c r="B23" s="383"/>
      <c r="C23" s="383"/>
      <c r="D23" s="383"/>
      <c r="E23" s="386"/>
      <c r="F23" s="383"/>
      <c r="G23" s="358"/>
      <c r="H23" s="358"/>
      <c r="I23" s="358"/>
      <c r="J23" s="358"/>
      <c r="K23" s="358"/>
      <c r="L23" s="358"/>
      <c r="M23" s="358"/>
      <c r="N23" s="376"/>
      <c r="O23" s="374"/>
      <c r="P23" s="373"/>
      <c r="Q23" s="349"/>
      <c r="R23" s="373">
        <f>IF(NOT(ISERROR(MATCH(Q23,_xlfn.ANCHORARRAY(E34),0))),P36&amp;"Por favor no seleccionar los criterios de impacto",Q23)</f>
        <v>0</v>
      </c>
      <c r="S23" s="374"/>
      <c r="T23" s="373"/>
      <c r="U23" s="360"/>
      <c r="V23" s="214">
        <v>5</v>
      </c>
      <c r="W23" s="187"/>
      <c r="X23" s="189" t="str">
        <f t="shared" si="14"/>
        <v/>
      </c>
      <c r="Y23" s="190"/>
      <c r="Z23" s="190"/>
      <c r="AA23" s="191" t="str">
        <f t="shared" si="9"/>
        <v/>
      </c>
      <c r="AB23" s="190"/>
      <c r="AC23" s="190"/>
      <c r="AD23" s="190"/>
      <c r="AE23" s="192" t="str">
        <f t="shared" si="15"/>
        <v/>
      </c>
      <c r="AF23" s="193" t="str">
        <f t="shared" si="2"/>
        <v/>
      </c>
      <c r="AG23" s="191" t="str">
        <f t="shared" si="10"/>
        <v/>
      </c>
      <c r="AH23" s="193" t="str">
        <f t="shared" si="4"/>
        <v/>
      </c>
      <c r="AI23" s="191" t="str">
        <f t="shared" si="13"/>
        <v/>
      </c>
      <c r="AJ23" s="194" t="str">
        <f t="shared" ref="AJ23:AJ24" si="16">IFERROR(IF(OR(AND(AF23="Muy Baja",AH23="Leve"),AND(AF23="Muy Baja",AH23="Menor"),AND(AF23="Baja",AH23="Leve")),"Bajo",IF(OR(AND(AF23="Muy baja",AH23="Moderado"),AND(AF23="Baja",AH23="Menor"),AND(AF23="Baja",AH23="Moderado"),AND(AF23="Media",AH23="Leve"),AND(AF23="Media",AH23="Menor"),AND(AF23="Media",AH23="Moderado"),AND(AF23="Alta",AH23="Leve"),AND(AF23="Alta",AH23="Menor")),"Moderado",IF(OR(AND(AF23="Muy Baja",AH23="Mayor"),AND(AF23="Baja",AH23="Mayor"),AND(AF23="Media",AH23="Mayor"),AND(AF23="Alta",AH23="Moderado"),AND(AF23="Alta",AH23="Mayor"),AND(AF23="Muy Alta",AH23="Leve"),AND(AF23="Muy Alta",AH23="Menor"),AND(AF23="Muy Alta",AH23="Moderado"),AND(AF23="Muy Alta",AH23="Mayor")),"Alto",IF(OR(AND(AF23="Muy Baja",AH23="Catastrófico"),AND(AF23="Baja",AH23="Catastrófico"),AND(AF23="Media",AH23="Catastrófico"),AND(AF23="Alta",AH23="Catastrófico"),AND(AF23="Muy Alta",AH23="Catastrófico")),"Extremo","")))),"")</f>
        <v/>
      </c>
      <c r="AK23" s="195"/>
      <c r="AL23" s="186"/>
      <c r="AM23" s="196"/>
      <c r="AN23" s="196"/>
      <c r="AO23" s="197"/>
      <c r="AP23" s="376"/>
      <c r="AQ23" s="376"/>
      <c r="AR23" s="376"/>
    </row>
    <row r="24" spans="1:44" x14ac:dyDescent="0.2">
      <c r="A24" s="419"/>
      <c r="B24" s="383"/>
      <c r="C24" s="383"/>
      <c r="D24" s="383"/>
      <c r="E24" s="386"/>
      <c r="F24" s="383"/>
      <c r="G24" s="369"/>
      <c r="H24" s="369"/>
      <c r="I24" s="369"/>
      <c r="J24" s="369"/>
      <c r="K24" s="369"/>
      <c r="L24" s="369"/>
      <c r="M24" s="369"/>
      <c r="N24" s="376"/>
      <c r="O24" s="374"/>
      <c r="P24" s="373"/>
      <c r="Q24" s="349"/>
      <c r="R24" s="373">
        <f>IF(NOT(ISERROR(MATCH(Q24,_xlfn.ANCHORARRAY(E35),0))),P37&amp;"Por favor no seleccionar los criterios de impacto",Q24)</f>
        <v>0</v>
      </c>
      <c r="S24" s="374"/>
      <c r="T24" s="373"/>
      <c r="U24" s="360"/>
      <c r="V24" s="214">
        <v>6</v>
      </c>
      <c r="W24" s="187"/>
      <c r="X24" s="189" t="str">
        <f t="shared" si="14"/>
        <v/>
      </c>
      <c r="Y24" s="190"/>
      <c r="Z24" s="190"/>
      <c r="AA24" s="191" t="str">
        <f t="shared" si="9"/>
        <v/>
      </c>
      <c r="AB24" s="190"/>
      <c r="AC24" s="190"/>
      <c r="AD24" s="190"/>
      <c r="AE24" s="192" t="str">
        <f t="shared" si="15"/>
        <v/>
      </c>
      <c r="AF24" s="193" t="str">
        <f t="shared" si="2"/>
        <v/>
      </c>
      <c r="AG24" s="191" t="str">
        <f t="shared" si="10"/>
        <v/>
      </c>
      <c r="AH24" s="193" t="str">
        <f t="shared" si="4"/>
        <v/>
      </c>
      <c r="AI24" s="191" t="str">
        <f t="shared" si="13"/>
        <v/>
      </c>
      <c r="AJ24" s="194" t="str">
        <f t="shared" si="16"/>
        <v/>
      </c>
      <c r="AK24" s="195"/>
      <c r="AL24" s="186"/>
      <c r="AM24" s="196"/>
      <c r="AN24" s="196"/>
      <c r="AO24" s="197"/>
      <c r="AP24" s="376"/>
      <c r="AQ24" s="376"/>
      <c r="AR24" s="376"/>
    </row>
    <row r="25" spans="1:44" x14ac:dyDescent="0.2">
      <c r="A25" s="419">
        <v>3</v>
      </c>
      <c r="B25" s="383"/>
      <c r="C25" s="383"/>
      <c r="D25" s="383"/>
      <c r="E25" s="386"/>
      <c r="F25" s="383"/>
      <c r="G25" s="388"/>
      <c r="H25" s="388"/>
      <c r="I25" s="388"/>
      <c r="J25" s="388"/>
      <c r="K25" s="388"/>
      <c r="L25" s="388"/>
      <c r="M25" s="388"/>
      <c r="N25" s="376"/>
      <c r="O25" s="374" t="str">
        <f>IF(N25&lt;=0,"",IF(N25&lt;=2,"Muy Baja",IF(N25&lt;=24,"Baja",IF(N25&lt;=500,"Media",IF(N25&lt;=5000,"Alta","Muy Alta")))))</f>
        <v/>
      </c>
      <c r="P25" s="373" t="str">
        <f>IF(O25="","",IF(O25="Muy Baja",0.2,IF(O25="Baja",0.4,IF(O25="Media",0.6,IF(O25="Alta",0.8,IF(O25="Muy Alta",1,))))))</f>
        <v/>
      </c>
      <c r="Q25" s="349"/>
      <c r="R25" s="373">
        <f>IF(NOT(ISERROR(MATCH(Q25,'Tabla Impacto'!$B$222:$B$224,0))),'Tabla Impacto'!$F$224&amp;"Por favor no seleccionar los criterios de impacto(Afectación Económica o presupuestal y Pérdida Reputacional)",Q25)</f>
        <v>0</v>
      </c>
      <c r="S25" s="374" t="str">
        <f>IF(OR(R25='Tabla Impacto'!$C$12,R25='Tabla Impacto'!$D$12),"Leve",IF(OR(R25='Tabla Impacto'!$C$13,R25='Tabla Impacto'!$D$13),"Menor",IF(OR(R25='Tabla Impacto'!$C$14,R25='Tabla Impacto'!$D$14),"Moderado",IF(OR(R25='Tabla Impacto'!$C$15,R25='Tabla Impacto'!$D$15),"Mayor",IF(OR(R25='Tabla Impacto'!$C$16,R25='Tabla Impacto'!$D$16),"Catastrófico","")))))</f>
        <v/>
      </c>
      <c r="T25" s="373" t="str">
        <f>IF(S25="","",IF(S25="Leve",0.2,IF(S25="Menor",0.4,IF(S25="Moderado",0.6,IF(S25="Mayor",0.8,IF(S25="Catastrófico",1,))))))</f>
        <v/>
      </c>
      <c r="U25" s="360"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
      </c>
      <c r="V25" s="214">
        <v>1</v>
      </c>
      <c r="W25" s="187"/>
      <c r="X25" s="189" t="str">
        <f>IF(OR(Y25="Preventivo",Y25="Detectivo"),"Probabilidad",IF(Y25="Correctivo","Impacto",""))</f>
        <v/>
      </c>
      <c r="Y25" s="190"/>
      <c r="Z25" s="190"/>
      <c r="AA25" s="191" t="str">
        <f>IF(AND(Y25="Preventivo",Z25="Automático"),"50%",IF(AND(Y25="Preventivo",Z25="Manual"),"40%",IF(AND(Y25="Detectivo",Z25="Automático"),"40%",IF(AND(Y25="Detectivo",Z25="Manual"),"30%",IF(AND(Y25="Correctivo",Z25="Automático"),"35%",IF(AND(Y25="Correctivo",Z25="Manual"),"25%",""))))))</f>
        <v/>
      </c>
      <c r="AB25" s="190"/>
      <c r="AC25" s="190"/>
      <c r="AD25" s="190"/>
      <c r="AE25" s="192" t="str">
        <f>IFERROR(IF(X25="Probabilidad",(P25-(+P25*AA25)),IF(X25="Impacto",P25,"")),"")</f>
        <v/>
      </c>
      <c r="AF25" s="193" t="str">
        <f>IFERROR(IF(AE25="","",IF(AE25&lt;=0.2,"Muy Baja",IF(AE25&lt;=0.4,"Baja",IF(AE25&lt;=0.6,"Media",IF(AE25&lt;=0.8,"Alta","Muy Alta"))))),"")</f>
        <v/>
      </c>
      <c r="AG25" s="191" t="str">
        <f>+AE25</f>
        <v/>
      </c>
      <c r="AH25" s="193" t="str">
        <f>IFERROR(IF(AI25="","",IF(AI25&lt;=0.2,"Leve",IF(AI25&lt;=0.4,"Menor",IF(AI25&lt;=0.6,"Moderado",IF(AI25&lt;=0.8,"Mayor","Catastrófico"))))),"")</f>
        <v/>
      </c>
      <c r="AI25" s="191" t="str">
        <f t="shared" ref="AI25" si="17">IFERROR(IF(X25="Impacto",(T25-(+T25*AA25)),IF(X25="Probabilidad",T25,"")),"")</f>
        <v/>
      </c>
      <c r="AJ25" s="194" t="str">
        <f>IFERROR(IF(OR(AND(AF25="Muy Baja",AH25="Leve"),AND(AF25="Muy Baja",AH25="Menor"),AND(AF25="Baja",AH25="Leve")),"Bajo",IF(OR(AND(AF25="Muy baja",AH25="Moderado"),AND(AF25="Baja",AH25="Menor"),AND(AF25="Baja",AH25="Moderado"),AND(AF25="Media",AH25="Leve"),AND(AF25="Media",AH25="Menor"),AND(AF25="Media",AH25="Moderado"),AND(AF25="Alta",AH25="Leve"),AND(AF25="Alta",AH25="Menor")),"Moderado",IF(OR(AND(AF25="Muy Baja",AH25="Mayor"),AND(AF25="Baja",AH25="Mayor"),AND(AF25="Media",AH25="Mayor"),AND(AF25="Alta",AH25="Moderado"),AND(AF25="Alta",AH25="Mayor"),AND(AF25="Muy Alta",AH25="Leve"),AND(AF25="Muy Alta",AH25="Menor"),AND(AF25="Muy Alta",AH25="Moderado"),AND(AF25="Muy Alta",AH25="Mayor")),"Alto",IF(OR(AND(AF25="Muy Baja",AH25="Catastrófico"),AND(AF25="Baja",AH25="Catastrófico"),AND(AF25="Media",AH25="Catastrófico"),AND(AF25="Alta",AH25="Catastrófico"),AND(AF25="Muy Alta",AH25="Catastrófico")),"Extremo","")))),"")</f>
        <v/>
      </c>
      <c r="AK25" s="195"/>
      <c r="AL25" s="186"/>
      <c r="AM25" s="196"/>
      <c r="AN25" s="196"/>
      <c r="AO25" s="197"/>
      <c r="AP25" s="376"/>
      <c r="AQ25" s="376"/>
      <c r="AR25" s="376"/>
    </row>
    <row r="26" spans="1:44" x14ac:dyDescent="0.2">
      <c r="A26" s="419"/>
      <c r="B26" s="383"/>
      <c r="C26" s="383"/>
      <c r="D26" s="383"/>
      <c r="E26" s="386"/>
      <c r="F26" s="383"/>
      <c r="G26" s="358"/>
      <c r="H26" s="358"/>
      <c r="I26" s="358"/>
      <c r="J26" s="358"/>
      <c r="K26" s="358"/>
      <c r="L26" s="358"/>
      <c r="M26" s="358"/>
      <c r="N26" s="376"/>
      <c r="O26" s="374"/>
      <c r="P26" s="373"/>
      <c r="Q26" s="349"/>
      <c r="R26" s="373">
        <f>IF(NOT(ISERROR(MATCH(Q26,_xlfn.ANCHORARRAY(E37),0))),P39&amp;"Por favor no seleccionar los criterios de impacto",Q26)</f>
        <v>0</v>
      </c>
      <c r="S26" s="374"/>
      <c r="T26" s="373"/>
      <c r="U26" s="360"/>
      <c r="V26" s="214">
        <v>2</v>
      </c>
      <c r="W26" s="187"/>
      <c r="X26" s="189" t="str">
        <f>IF(OR(Y26="Preventivo",Y26="Detectivo"),"Probabilidad",IF(Y26="Correctivo","Impacto",""))</f>
        <v/>
      </c>
      <c r="Y26" s="190"/>
      <c r="Z26" s="190"/>
      <c r="AA26" s="191" t="str">
        <f t="shared" ref="AA26:AA30" si="18">IF(AND(Y26="Preventivo",Z26="Automático"),"50%",IF(AND(Y26="Preventivo",Z26="Manual"),"40%",IF(AND(Y26="Detectivo",Z26="Automático"),"40%",IF(AND(Y26="Detectivo",Z26="Manual"),"30%",IF(AND(Y26="Correctivo",Z26="Automático"),"35%",IF(AND(Y26="Correctivo",Z26="Manual"),"25%",""))))))</f>
        <v/>
      </c>
      <c r="AB26" s="190"/>
      <c r="AC26" s="190"/>
      <c r="AD26" s="190"/>
      <c r="AE26" s="192" t="str">
        <f>IFERROR(IF(AND(X25="Probabilidad",X26="Probabilidad"),(AG25-(+AG25*AA26)),IF(X26="Probabilidad",(P25-(+P25*AA26)),IF(X26="Impacto",AG25,""))),"")</f>
        <v/>
      </c>
      <c r="AF26" s="193" t="str">
        <f t="shared" si="2"/>
        <v/>
      </c>
      <c r="AG26" s="191" t="str">
        <f t="shared" ref="AG26:AG30" si="19">+AE26</f>
        <v/>
      </c>
      <c r="AH26" s="193" t="str">
        <f t="shared" si="4"/>
        <v/>
      </c>
      <c r="AI26" s="191" t="str">
        <f t="shared" ref="AI26" si="20">IFERROR(IF(AND(X25="Impacto",X26="Impacto"),(AI25-(+AI25*AA26)),IF(X26="Impacto",($T$13-(+$T$13*AA26)),IF(X26="Probabilidad",AI25,""))),"")</f>
        <v/>
      </c>
      <c r="AJ26" s="194" t="str">
        <f t="shared" ref="AJ26:AJ27" si="21">IFERROR(IF(OR(AND(AF26="Muy Baja",AH26="Leve"),AND(AF26="Muy Baja",AH26="Menor"),AND(AF26="Baja",AH26="Leve")),"Bajo",IF(OR(AND(AF26="Muy baja",AH26="Moderado"),AND(AF26="Baja",AH26="Menor"),AND(AF26="Baja",AH26="Moderado"),AND(AF26="Media",AH26="Leve"),AND(AF26="Media",AH26="Menor"),AND(AF26="Media",AH26="Moderado"),AND(AF26="Alta",AH26="Leve"),AND(AF26="Alta",AH26="Menor")),"Moderado",IF(OR(AND(AF26="Muy Baja",AH26="Mayor"),AND(AF26="Baja",AH26="Mayor"),AND(AF26="Media",AH26="Mayor"),AND(AF26="Alta",AH26="Moderado"),AND(AF26="Alta",AH26="Mayor"),AND(AF26="Muy Alta",AH26="Leve"),AND(AF26="Muy Alta",AH26="Menor"),AND(AF26="Muy Alta",AH26="Moderado"),AND(AF26="Muy Alta",AH26="Mayor")),"Alto",IF(OR(AND(AF26="Muy Baja",AH26="Catastrófico"),AND(AF26="Baja",AH26="Catastrófico"),AND(AF26="Media",AH26="Catastrófico"),AND(AF26="Alta",AH26="Catastrófico"),AND(AF26="Muy Alta",AH26="Catastrófico")),"Extremo","")))),"")</f>
        <v/>
      </c>
      <c r="AK26" s="195"/>
      <c r="AL26" s="186"/>
      <c r="AM26" s="196"/>
      <c r="AN26" s="196"/>
      <c r="AO26" s="197"/>
      <c r="AP26" s="376"/>
      <c r="AQ26" s="376"/>
      <c r="AR26" s="376"/>
    </row>
    <row r="27" spans="1:44" x14ac:dyDescent="0.2">
      <c r="A27" s="419"/>
      <c r="B27" s="383"/>
      <c r="C27" s="383"/>
      <c r="D27" s="383"/>
      <c r="E27" s="386"/>
      <c r="F27" s="383"/>
      <c r="G27" s="358"/>
      <c r="H27" s="358"/>
      <c r="I27" s="358"/>
      <c r="J27" s="358"/>
      <c r="K27" s="358"/>
      <c r="L27" s="358"/>
      <c r="M27" s="358"/>
      <c r="N27" s="376"/>
      <c r="O27" s="374"/>
      <c r="P27" s="373"/>
      <c r="Q27" s="349"/>
      <c r="R27" s="373">
        <f>IF(NOT(ISERROR(MATCH(Q27,_xlfn.ANCHORARRAY(E38),0))),P40&amp;"Por favor no seleccionar los criterios de impacto",Q27)</f>
        <v>0</v>
      </c>
      <c r="S27" s="374"/>
      <c r="T27" s="373"/>
      <c r="U27" s="360"/>
      <c r="V27" s="214">
        <v>3</v>
      </c>
      <c r="W27" s="187"/>
      <c r="X27" s="189" t="str">
        <f>IF(OR(Y27="Preventivo",Y27="Detectivo"),"Probabilidad",IF(Y27="Correctivo","Impacto",""))</f>
        <v/>
      </c>
      <c r="Y27" s="190"/>
      <c r="Z27" s="190"/>
      <c r="AA27" s="191" t="str">
        <f t="shared" si="18"/>
        <v/>
      </c>
      <c r="AB27" s="190"/>
      <c r="AC27" s="190"/>
      <c r="AD27" s="190"/>
      <c r="AE27" s="192" t="str">
        <f>IFERROR(IF(AND(X26="Probabilidad",X27="Probabilidad"),(AG26-(+AG26*AA27)),IF(AND(X26="Impacto",X27="Probabilidad"),(AG25-(+AG25*AA27)),IF(X27="Impacto",AG26,""))),"")</f>
        <v/>
      </c>
      <c r="AF27" s="193" t="str">
        <f t="shared" si="2"/>
        <v/>
      </c>
      <c r="AG27" s="191" t="str">
        <f t="shared" si="19"/>
        <v/>
      </c>
      <c r="AH27" s="193" t="str">
        <f t="shared" si="4"/>
        <v/>
      </c>
      <c r="AI27" s="191" t="str">
        <f t="shared" ref="AI27" si="22">IFERROR(IF(AND(X26="Impacto",X27="Impacto"),(AI26-(+AI26*AA27)),IF(AND(X26="Probabilidad",X27="Impacto"),(AI25-(+AI25*AA27)),IF(X27="Probabilidad",AI26,""))),"")</f>
        <v/>
      </c>
      <c r="AJ27" s="194" t="str">
        <f t="shared" si="21"/>
        <v/>
      </c>
      <c r="AK27" s="195"/>
      <c r="AL27" s="186"/>
      <c r="AM27" s="196"/>
      <c r="AN27" s="196"/>
      <c r="AO27" s="197"/>
      <c r="AP27" s="376"/>
      <c r="AQ27" s="376"/>
      <c r="AR27" s="376"/>
    </row>
    <row r="28" spans="1:44" x14ac:dyDescent="0.2">
      <c r="A28" s="419"/>
      <c r="B28" s="383"/>
      <c r="C28" s="383"/>
      <c r="D28" s="383"/>
      <c r="E28" s="386"/>
      <c r="F28" s="383"/>
      <c r="G28" s="358"/>
      <c r="H28" s="358"/>
      <c r="I28" s="358"/>
      <c r="J28" s="358"/>
      <c r="K28" s="358"/>
      <c r="L28" s="358"/>
      <c r="M28" s="358"/>
      <c r="N28" s="376"/>
      <c r="O28" s="374"/>
      <c r="P28" s="373"/>
      <c r="Q28" s="349"/>
      <c r="R28" s="373">
        <f>IF(NOT(ISERROR(MATCH(Q28,_xlfn.ANCHORARRAY(E39),0))),P41&amp;"Por favor no seleccionar los criterios de impacto",Q28)</f>
        <v>0</v>
      </c>
      <c r="S28" s="374"/>
      <c r="T28" s="373"/>
      <c r="U28" s="360"/>
      <c r="V28" s="214">
        <v>4</v>
      </c>
      <c r="W28" s="187"/>
      <c r="X28" s="189" t="str">
        <f t="shared" ref="X28:X30" si="23">IF(OR(Y28="Preventivo",Y28="Detectivo"),"Probabilidad",IF(Y28="Correctivo","Impacto",""))</f>
        <v/>
      </c>
      <c r="Y28" s="190"/>
      <c r="Z28" s="190"/>
      <c r="AA28" s="191" t="str">
        <f t="shared" si="18"/>
        <v/>
      </c>
      <c r="AB28" s="190"/>
      <c r="AC28" s="190"/>
      <c r="AD28" s="190"/>
      <c r="AE28" s="192" t="str">
        <f t="shared" ref="AE28:AE30" si="24">IFERROR(IF(AND(X27="Probabilidad",X28="Probabilidad"),(AG27-(+AG27*AA28)),IF(AND(X27="Impacto",X28="Probabilidad"),(AG26-(+AG26*AA28)),IF(X28="Impacto",AG27,""))),"")</f>
        <v/>
      </c>
      <c r="AF28" s="193" t="str">
        <f t="shared" si="2"/>
        <v/>
      </c>
      <c r="AG28" s="191" t="str">
        <f t="shared" si="19"/>
        <v/>
      </c>
      <c r="AH28" s="193" t="str">
        <f t="shared" si="4"/>
        <v/>
      </c>
      <c r="AI28" s="191" t="str">
        <f t="shared" si="13"/>
        <v/>
      </c>
      <c r="AJ28" s="194" t="str">
        <f>IFERROR(IF(OR(AND(AF28="Muy Baja",AH28="Leve"),AND(AF28="Muy Baja",AH28="Menor"),AND(AF28="Baja",AH28="Leve")),"Bajo",IF(OR(AND(AF28="Muy baja",AH28="Moderado"),AND(AF28="Baja",AH28="Menor"),AND(AF28="Baja",AH28="Moderado"),AND(AF28="Media",AH28="Leve"),AND(AF28="Media",AH28="Menor"),AND(AF28="Media",AH28="Moderado"),AND(AF28="Alta",AH28="Leve"),AND(AF28="Alta",AH28="Menor")),"Moderado",IF(OR(AND(AF28="Muy Baja",AH28="Mayor"),AND(AF28="Baja",AH28="Mayor"),AND(AF28="Media",AH28="Mayor"),AND(AF28="Alta",AH28="Moderado"),AND(AF28="Alta",AH28="Mayor"),AND(AF28="Muy Alta",AH28="Leve"),AND(AF28="Muy Alta",AH28="Menor"),AND(AF28="Muy Alta",AH28="Moderado"),AND(AF28="Muy Alta",AH28="Mayor")),"Alto",IF(OR(AND(AF28="Muy Baja",AH28="Catastrófico"),AND(AF28="Baja",AH28="Catastrófico"),AND(AF28="Media",AH28="Catastrófico"),AND(AF28="Alta",AH28="Catastrófico"),AND(AF28="Muy Alta",AH28="Catastrófico")),"Extremo","")))),"")</f>
        <v/>
      </c>
      <c r="AK28" s="195"/>
      <c r="AL28" s="186"/>
      <c r="AM28" s="196"/>
      <c r="AN28" s="196"/>
      <c r="AO28" s="197"/>
      <c r="AP28" s="376"/>
      <c r="AQ28" s="376"/>
      <c r="AR28" s="376"/>
    </row>
    <row r="29" spans="1:44" x14ac:dyDescent="0.2">
      <c r="A29" s="419"/>
      <c r="B29" s="383"/>
      <c r="C29" s="383"/>
      <c r="D29" s="383"/>
      <c r="E29" s="386"/>
      <c r="F29" s="383"/>
      <c r="G29" s="358"/>
      <c r="H29" s="358"/>
      <c r="I29" s="358"/>
      <c r="J29" s="358"/>
      <c r="K29" s="358"/>
      <c r="L29" s="358"/>
      <c r="M29" s="358"/>
      <c r="N29" s="376"/>
      <c r="O29" s="374"/>
      <c r="P29" s="373"/>
      <c r="Q29" s="349"/>
      <c r="R29" s="373">
        <f>IF(NOT(ISERROR(MATCH(Q29,_xlfn.ANCHORARRAY(E40),0))),P42&amp;"Por favor no seleccionar los criterios de impacto",Q29)</f>
        <v>0</v>
      </c>
      <c r="S29" s="374"/>
      <c r="T29" s="373"/>
      <c r="U29" s="360"/>
      <c r="V29" s="214">
        <v>5</v>
      </c>
      <c r="W29" s="187"/>
      <c r="X29" s="189" t="str">
        <f t="shared" si="23"/>
        <v/>
      </c>
      <c r="Y29" s="190"/>
      <c r="Z29" s="190"/>
      <c r="AA29" s="191" t="str">
        <f t="shared" si="18"/>
        <v/>
      </c>
      <c r="AB29" s="190"/>
      <c r="AC29" s="190"/>
      <c r="AD29" s="190"/>
      <c r="AE29" s="192" t="str">
        <f t="shared" si="24"/>
        <v/>
      </c>
      <c r="AF29" s="193" t="str">
        <f t="shared" si="2"/>
        <v/>
      </c>
      <c r="AG29" s="191" t="str">
        <f t="shared" si="19"/>
        <v/>
      </c>
      <c r="AH29" s="193" t="str">
        <f t="shared" si="4"/>
        <v/>
      </c>
      <c r="AI29" s="191" t="str">
        <f t="shared" si="13"/>
        <v/>
      </c>
      <c r="AJ29" s="194" t="str">
        <f t="shared" ref="AJ29:AJ30" si="25">IFERROR(IF(OR(AND(AF29="Muy Baja",AH29="Leve"),AND(AF29="Muy Baja",AH29="Menor"),AND(AF29="Baja",AH29="Leve")),"Bajo",IF(OR(AND(AF29="Muy baja",AH29="Moderado"),AND(AF29="Baja",AH29="Menor"),AND(AF29="Baja",AH29="Moderado"),AND(AF29="Media",AH29="Leve"),AND(AF29="Media",AH29="Menor"),AND(AF29="Media",AH29="Moderado"),AND(AF29="Alta",AH29="Leve"),AND(AF29="Alta",AH29="Menor")),"Moderado",IF(OR(AND(AF29="Muy Baja",AH29="Mayor"),AND(AF29="Baja",AH29="Mayor"),AND(AF29="Media",AH29="Mayor"),AND(AF29="Alta",AH29="Moderado"),AND(AF29="Alta",AH29="Mayor"),AND(AF29="Muy Alta",AH29="Leve"),AND(AF29="Muy Alta",AH29="Menor"),AND(AF29="Muy Alta",AH29="Moderado"),AND(AF29="Muy Alta",AH29="Mayor")),"Alto",IF(OR(AND(AF29="Muy Baja",AH29="Catastrófico"),AND(AF29="Baja",AH29="Catastrófico"),AND(AF29="Media",AH29="Catastrófico"),AND(AF29="Alta",AH29="Catastrófico"),AND(AF29="Muy Alta",AH29="Catastrófico")),"Extremo","")))),"")</f>
        <v/>
      </c>
      <c r="AK29" s="195"/>
      <c r="AL29" s="186"/>
      <c r="AM29" s="196"/>
      <c r="AN29" s="196"/>
      <c r="AO29" s="197"/>
      <c r="AP29" s="376"/>
      <c r="AQ29" s="376"/>
      <c r="AR29" s="376"/>
    </row>
    <row r="30" spans="1:44" x14ac:dyDescent="0.2">
      <c r="A30" s="419"/>
      <c r="B30" s="383"/>
      <c r="C30" s="383"/>
      <c r="D30" s="383"/>
      <c r="E30" s="386"/>
      <c r="F30" s="383"/>
      <c r="G30" s="369"/>
      <c r="H30" s="369"/>
      <c r="I30" s="369"/>
      <c r="J30" s="369"/>
      <c r="K30" s="369"/>
      <c r="L30" s="369"/>
      <c r="M30" s="369"/>
      <c r="N30" s="376"/>
      <c r="O30" s="374"/>
      <c r="P30" s="373"/>
      <c r="Q30" s="349"/>
      <c r="R30" s="373">
        <f>IF(NOT(ISERROR(MATCH(Q30,_xlfn.ANCHORARRAY(E41),0))),P43&amp;"Por favor no seleccionar los criterios de impacto",Q30)</f>
        <v>0</v>
      </c>
      <c r="S30" s="374"/>
      <c r="T30" s="373"/>
      <c r="U30" s="360"/>
      <c r="V30" s="214">
        <v>6</v>
      </c>
      <c r="W30" s="187"/>
      <c r="X30" s="189" t="str">
        <f t="shared" si="23"/>
        <v/>
      </c>
      <c r="Y30" s="190"/>
      <c r="Z30" s="190"/>
      <c r="AA30" s="191" t="str">
        <f t="shared" si="18"/>
        <v/>
      </c>
      <c r="AB30" s="190"/>
      <c r="AC30" s="190"/>
      <c r="AD30" s="190"/>
      <c r="AE30" s="192" t="str">
        <f t="shared" si="24"/>
        <v/>
      </c>
      <c r="AF30" s="193" t="str">
        <f t="shared" si="2"/>
        <v/>
      </c>
      <c r="AG30" s="191" t="str">
        <f t="shared" si="19"/>
        <v/>
      </c>
      <c r="AH30" s="193" t="str">
        <f t="shared" si="4"/>
        <v/>
      </c>
      <c r="AI30" s="191" t="str">
        <f t="shared" si="13"/>
        <v/>
      </c>
      <c r="AJ30" s="194" t="str">
        <f t="shared" si="25"/>
        <v/>
      </c>
      <c r="AK30" s="195"/>
      <c r="AL30" s="186"/>
      <c r="AM30" s="196"/>
      <c r="AN30" s="196"/>
      <c r="AO30" s="197"/>
      <c r="AP30" s="376"/>
      <c r="AQ30" s="376"/>
      <c r="AR30" s="376"/>
    </row>
    <row r="31" spans="1:44" x14ac:dyDescent="0.2">
      <c r="A31" s="419">
        <v>4</v>
      </c>
      <c r="B31" s="383"/>
      <c r="C31" s="383"/>
      <c r="D31" s="383"/>
      <c r="E31" s="383"/>
      <c r="F31" s="383"/>
      <c r="G31" s="388"/>
      <c r="H31" s="388"/>
      <c r="I31" s="388"/>
      <c r="J31" s="388"/>
      <c r="K31" s="388"/>
      <c r="L31" s="388"/>
      <c r="M31" s="388"/>
      <c r="N31" s="376"/>
      <c r="O31" s="374" t="str">
        <f>IF(N31&lt;=0,"",IF(N31&lt;=2,"Muy Baja",IF(N31&lt;=24,"Baja",IF(N31&lt;=500,"Media",IF(N31&lt;=5000,"Alta","Muy Alta")))))</f>
        <v/>
      </c>
      <c r="P31" s="373" t="str">
        <f>IF(O31="","",IF(O31="Muy Baja",0.2,IF(O31="Baja",0.4,IF(O31="Media",0.6,IF(O31="Alta",0.8,IF(O31="Muy Alta",1,))))))</f>
        <v/>
      </c>
      <c r="Q31" s="349"/>
      <c r="R31" s="373">
        <f>IF(NOT(ISERROR(MATCH(Q31,'Tabla Impacto'!$B$222:$B$224,0))),'Tabla Impacto'!$F$224&amp;"Por favor no seleccionar los criterios de impacto(Afectación Económica o presupuestal y Pérdida Reputacional)",Q31)</f>
        <v>0</v>
      </c>
      <c r="S31" s="374" t="str">
        <f>IF(OR(R31='Tabla Impacto'!$C$12,R31='Tabla Impacto'!$D$12),"Leve",IF(OR(R31='Tabla Impacto'!$C$13,R31='Tabla Impacto'!$D$13),"Menor",IF(OR(R31='Tabla Impacto'!$C$14,R31='Tabla Impacto'!$D$14),"Moderado",IF(OR(R31='Tabla Impacto'!$C$15,R31='Tabla Impacto'!$D$15),"Mayor",IF(OR(R31='Tabla Impacto'!$C$16,R31='Tabla Impacto'!$D$16),"Catastrófico","")))))</f>
        <v/>
      </c>
      <c r="T31" s="373" t="str">
        <f>IF(S31="","",IF(S31="Leve",0.2,IF(S31="Menor",0.4,IF(S31="Moderado",0.6,IF(S31="Mayor",0.8,IF(S31="Catastrófico",1,))))))</f>
        <v/>
      </c>
      <c r="U31" s="360"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
      </c>
      <c r="V31" s="214">
        <v>1</v>
      </c>
      <c r="W31" s="187"/>
      <c r="X31" s="189" t="str">
        <f>IF(OR(Y31="Preventivo",Y31="Detectivo"),"Probabilidad",IF(Y31="Correctivo","Impacto",""))</f>
        <v/>
      </c>
      <c r="Y31" s="190"/>
      <c r="Z31" s="190"/>
      <c r="AA31" s="191" t="str">
        <f>IF(AND(Y31="Preventivo",Z31="Automático"),"50%",IF(AND(Y31="Preventivo",Z31="Manual"),"40%",IF(AND(Y31="Detectivo",Z31="Automático"),"40%",IF(AND(Y31="Detectivo",Z31="Manual"),"30%",IF(AND(Y31="Correctivo",Z31="Automático"),"35%",IF(AND(Y31="Correctivo",Z31="Manual"),"25%",""))))))</f>
        <v/>
      </c>
      <c r="AB31" s="190"/>
      <c r="AC31" s="190"/>
      <c r="AD31" s="190"/>
      <c r="AE31" s="192" t="str">
        <f>IFERROR(IF(X31="Probabilidad",(P31-(+P31*AA31)),IF(X31="Impacto",P31,"")),"")</f>
        <v/>
      </c>
      <c r="AF31" s="193" t="str">
        <f>IFERROR(IF(AE31="","",IF(AE31&lt;=0.2,"Muy Baja",IF(AE31&lt;=0.4,"Baja",IF(AE31&lt;=0.6,"Media",IF(AE31&lt;=0.8,"Alta","Muy Alta"))))),"")</f>
        <v/>
      </c>
      <c r="AG31" s="191" t="str">
        <f>+AE31</f>
        <v/>
      </c>
      <c r="AH31" s="193" t="str">
        <f>IFERROR(IF(AI31="","",IF(AI31&lt;=0.2,"Leve",IF(AI31&lt;=0.4,"Menor",IF(AI31&lt;=0.6,"Moderado",IF(AI31&lt;=0.8,"Mayor","Catastrófico"))))),"")</f>
        <v/>
      </c>
      <c r="AI31" s="191" t="str">
        <f t="shared" ref="AI31" si="26">IFERROR(IF(X31="Impacto",(T31-(+T31*AA31)),IF(X31="Probabilidad",T31,"")),"")</f>
        <v/>
      </c>
      <c r="AJ31" s="194" t="str">
        <f>IFERROR(IF(OR(AND(AF31="Muy Baja",AH31="Leve"),AND(AF31="Muy Baja",AH31="Menor"),AND(AF31="Baja",AH31="Leve")),"Bajo",IF(OR(AND(AF31="Muy baja",AH31="Moderado"),AND(AF31="Baja",AH31="Menor"),AND(AF31="Baja",AH31="Moderado"),AND(AF31="Media",AH31="Leve"),AND(AF31="Media",AH31="Menor"),AND(AF31="Media",AH31="Moderado"),AND(AF31="Alta",AH31="Leve"),AND(AF31="Alta",AH31="Menor")),"Moderado",IF(OR(AND(AF31="Muy Baja",AH31="Mayor"),AND(AF31="Baja",AH31="Mayor"),AND(AF31="Media",AH31="Mayor"),AND(AF31="Alta",AH31="Moderado"),AND(AF31="Alta",AH31="Mayor"),AND(AF31="Muy Alta",AH31="Leve"),AND(AF31="Muy Alta",AH31="Menor"),AND(AF31="Muy Alta",AH31="Moderado"),AND(AF31="Muy Alta",AH31="Mayor")),"Alto",IF(OR(AND(AF31="Muy Baja",AH31="Catastrófico"),AND(AF31="Baja",AH31="Catastrófico"),AND(AF31="Media",AH31="Catastrófico"),AND(AF31="Alta",AH31="Catastrófico"),AND(AF31="Muy Alta",AH31="Catastrófico")),"Extremo","")))),"")</f>
        <v/>
      </c>
      <c r="AK31" s="195"/>
      <c r="AL31" s="186"/>
      <c r="AM31" s="196"/>
      <c r="AN31" s="196"/>
      <c r="AO31" s="197"/>
      <c r="AP31" s="376"/>
      <c r="AQ31" s="376"/>
      <c r="AR31" s="376"/>
    </row>
    <row r="32" spans="1:44" x14ac:dyDescent="0.2">
      <c r="A32" s="419"/>
      <c r="B32" s="383"/>
      <c r="C32" s="383"/>
      <c r="D32" s="383"/>
      <c r="E32" s="383"/>
      <c r="F32" s="383"/>
      <c r="G32" s="358"/>
      <c r="H32" s="358"/>
      <c r="I32" s="358"/>
      <c r="J32" s="358"/>
      <c r="K32" s="358"/>
      <c r="L32" s="358"/>
      <c r="M32" s="358"/>
      <c r="N32" s="376"/>
      <c r="O32" s="374"/>
      <c r="P32" s="373"/>
      <c r="Q32" s="349"/>
      <c r="R32" s="373">
        <f>IF(NOT(ISERROR(MATCH(Q32,_xlfn.ANCHORARRAY(E43),0))),P45&amp;"Por favor no seleccionar los criterios de impacto",Q32)</f>
        <v>0</v>
      </c>
      <c r="S32" s="374"/>
      <c r="T32" s="373"/>
      <c r="U32" s="360"/>
      <c r="V32" s="214">
        <v>2</v>
      </c>
      <c r="W32" s="187"/>
      <c r="X32" s="189" t="str">
        <f>IF(OR(Y32="Preventivo",Y32="Detectivo"),"Probabilidad",IF(Y32="Correctivo","Impacto",""))</f>
        <v/>
      </c>
      <c r="Y32" s="190"/>
      <c r="Z32" s="190"/>
      <c r="AA32" s="191" t="str">
        <f t="shared" ref="AA32:AA36" si="27">IF(AND(Y32="Preventivo",Z32="Automático"),"50%",IF(AND(Y32="Preventivo",Z32="Manual"),"40%",IF(AND(Y32="Detectivo",Z32="Automático"),"40%",IF(AND(Y32="Detectivo",Z32="Manual"),"30%",IF(AND(Y32="Correctivo",Z32="Automático"),"35%",IF(AND(Y32="Correctivo",Z32="Manual"),"25%",""))))))</f>
        <v/>
      </c>
      <c r="AB32" s="190"/>
      <c r="AC32" s="190"/>
      <c r="AD32" s="190"/>
      <c r="AE32" s="192" t="str">
        <f>IFERROR(IF(AND(X31="Probabilidad",X32="Probabilidad"),(AG31-(+AG31*AA32)),IF(X32="Probabilidad",(P31-(+P31*AA32)),IF(X32="Impacto",AG31,""))),"")</f>
        <v/>
      </c>
      <c r="AF32" s="193" t="str">
        <f t="shared" si="2"/>
        <v/>
      </c>
      <c r="AG32" s="191" t="str">
        <f t="shared" ref="AG32:AG36" si="28">+AE32</f>
        <v/>
      </c>
      <c r="AH32" s="193" t="str">
        <f t="shared" si="4"/>
        <v/>
      </c>
      <c r="AI32" s="191" t="str">
        <f t="shared" ref="AI32" si="29">IFERROR(IF(AND(X31="Impacto",X32="Impacto"),(AI31-(+AI31*AA32)),IF(X32="Impacto",($T$13-(+$T$13*AA32)),IF(X32="Probabilidad",AI31,""))),"")</f>
        <v/>
      </c>
      <c r="AJ32" s="194" t="str">
        <f t="shared" ref="AJ32:AJ33" si="30">IFERROR(IF(OR(AND(AF32="Muy Baja",AH32="Leve"),AND(AF32="Muy Baja",AH32="Menor"),AND(AF32="Baja",AH32="Leve")),"Bajo",IF(OR(AND(AF32="Muy baja",AH32="Moderado"),AND(AF32="Baja",AH32="Menor"),AND(AF32="Baja",AH32="Moderado"),AND(AF32="Media",AH32="Leve"),AND(AF32="Media",AH32="Menor"),AND(AF32="Media",AH32="Moderado"),AND(AF32="Alta",AH32="Leve"),AND(AF32="Alta",AH32="Menor")),"Moderado",IF(OR(AND(AF32="Muy Baja",AH32="Mayor"),AND(AF32="Baja",AH32="Mayor"),AND(AF32="Media",AH32="Mayor"),AND(AF32="Alta",AH32="Moderado"),AND(AF32="Alta",AH32="Mayor"),AND(AF32="Muy Alta",AH32="Leve"),AND(AF32="Muy Alta",AH32="Menor"),AND(AF32="Muy Alta",AH32="Moderado"),AND(AF32="Muy Alta",AH32="Mayor")),"Alto",IF(OR(AND(AF32="Muy Baja",AH32="Catastrófico"),AND(AF32="Baja",AH32="Catastrófico"),AND(AF32="Media",AH32="Catastrófico"),AND(AF32="Alta",AH32="Catastrófico"),AND(AF32="Muy Alta",AH32="Catastrófico")),"Extremo","")))),"")</f>
        <v/>
      </c>
      <c r="AK32" s="195"/>
      <c r="AL32" s="186"/>
      <c r="AM32" s="196"/>
      <c r="AN32" s="196"/>
      <c r="AO32" s="197"/>
      <c r="AP32" s="376"/>
      <c r="AQ32" s="376"/>
      <c r="AR32" s="376"/>
    </row>
    <row r="33" spans="1:44" x14ac:dyDescent="0.2">
      <c r="A33" s="419"/>
      <c r="B33" s="383"/>
      <c r="C33" s="383"/>
      <c r="D33" s="383"/>
      <c r="E33" s="383"/>
      <c r="F33" s="383"/>
      <c r="G33" s="358"/>
      <c r="H33" s="358"/>
      <c r="I33" s="358"/>
      <c r="J33" s="358"/>
      <c r="K33" s="358"/>
      <c r="L33" s="358"/>
      <c r="M33" s="358"/>
      <c r="N33" s="376"/>
      <c r="O33" s="374"/>
      <c r="P33" s="373"/>
      <c r="Q33" s="349"/>
      <c r="R33" s="373">
        <f>IF(NOT(ISERROR(MATCH(Q33,_xlfn.ANCHORARRAY(E44),0))),P46&amp;"Por favor no seleccionar los criterios de impacto",Q33)</f>
        <v>0</v>
      </c>
      <c r="S33" s="374"/>
      <c r="T33" s="373"/>
      <c r="U33" s="360"/>
      <c r="V33" s="214">
        <v>3</v>
      </c>
      <c r="W33" s="188"/>
      <c r="X33" s="189" t="str">
        <f>IF(OR(Y33="Preventivo",Y33="Detectivo"),"Probabilidad",IF(Y33="Correctivo","Impacto",""))</f>
        <v/>
      </c>
      <c r="Y33" s="190"/>
      <c r="Z33" s="190"/>
      <c r="AA33" s="191" t="str">
        <f t="shared" si="27"/>
        <v/>
      </c>
      <c r="AB33" s="190"/>
      <c r="AC33" s="190"/>
      <c r="AD33" s="190"/>
      <c r="AE33" s="192" t="str">
        <f>IFERROR(IF(AND(X32="Probabilidad",X33="Probabilidad"),(AG32-(+AG32*AA33)),IF(AND(X32="Impacto",X33="Probabilidad"),(AG31-(+AG31*AA33)),IF(X33="Impacto",AG32,""))),"")</f>
        <v/>
      </c>
      <c r="AF33" s="193" t="str">
        <f t="shared" si="2"/>
        <v/>
      </c>
      <c r="AG33" s="191" t="str">
        <f t="shared" si="28"/>
        <v/>
      </c>
      <c r="AH33" s="193" t="str">
        <f t="shared" si="4"/>
        <v/>
      </c>
      <c r="AI33" s="191" t="str">
        <f t="shared" ref="AI33" si="31">IFERROR(IF(AND(X32="Impacto",X33="Impacto"),(AI32-(+AI32*AA33)),IF(AND(X32="Probabilidad",X33="Impacto"),(AI31-(+AI31*AA33)),IF(X33="Probabilidad",AI32,""))),"")</f>
        <v/>
      </c>
      <c r="AJ33" s="194" t="str">
        <f t="shared" si="30"/>
        <v/>
      </c>
      <c r="AK33" s="195"/>
      <c r="AL33" s="186"/>
      <c r="AM33" s="196"/>
      <c r="AN33" s="196"/>
      <c r="AO33" s="197"/>
      <c r="AP33" s="376"/>
      <c r="AQ33" s="376"/>
      <c r="AR33" s="376"/>
    </row>
    <row r="34" spans="1:44" x14ac:dyDescent="0.2">
      <c r="A34" s="419"/>
      <c r="B34" s="383"/>
      <c r="C34" s="383"/>
      <c r="D34" s="383"/>
      <c r="E34" s="383"/>
      <c r="F34" s="383"/>
      <c r="G34" s="358"/>
      <c r="H34" s="358"/>
      <c r="I34" s="358"/>
      <c r="J34" s="358"/>
      <c r="K34" s="358"/>
      <c r="L34" s="358"/>
      <c r="M34" s="358"/>
      <c r="N34" s="376"/>
      <c r="O34" s="374"/>
      <c r="P34" s="373"/>
      <c r="Q34" s="349"/>
      <c r="R34" s="373">
        <f>IF(NOT(ISERROR(MATCH(Q34,_xlfn.ANCHORARRAY(E45),0))),P47&amp;"Por favor no seleccionar los criterios de impacto",Q34)</f>
        <v>0</v>
      </c>
      <c r="S34" s="374"/>
      <c r="T34" s="373"/>
      <c r="U34" s="360"/>
      <c r="V34" s="214">
        <v>4</v>
      </c>
      <c r="W34" s="187"/>
      <c r="X34" s="189" t="str">
        <f t="shared" ref="X34:X36" si="32">IF(OR(Y34="Preventivo",Y34="Detectivo"),"Probabilidad",IF(Y34="Correctivo","Impacto",""))</f>
        <v/>
      </c>
      <c r="Y34" s="190"/>
      <c r="Z34" s="190"/>
      <c r="AA34" s="191" t="str">
        <f t="shared" si="27"/>
        <v/>
      </c>
      <c r="AB34" s="190"/>
      <c r="AC34" s="190"/>
      <c r="AD34" s="190"/>
      <c r="AE34" s="192" t="str">
        <f t="shared" ref="AE34:AE36" si="33">IFERROR(IF(AND(X33="Probabilidad",X34="Probabilidad"),(AG33-(+AG33*AA34)),IF(AND(X33="Impacto",X34="Probabilidad"),(AG32-(+AG32*AA34)),IF(X34="Impacto",AG33,""))),"")</f>
        <v/>
      </c>
      <c r="AF34" s="193" t="str">
        <f t="shared" si="2"/>
        <v/>
      </c>
      <c r="AG34" s="191" t="str">
        <f t="shared" si="28"/>
        <v/>
      </c>
      <c r="AH34" s="193" t="str">
        <f t="shared" si="4"/>
        <v/>
      </c>
      <c r="AI34" s="191" t="str">
        <f t="shared" si="13"/>
        <v/>
      </c>
      <c r="AJ34" s="194" t="str">
        <f>IFERROR(IF(OR(AND(AF34="Muy Baja",AH34="Leve"),AND(AF34="Muy Baja",AH34="Menor"),AND(AF34="Baja",AH34="Leve")),"Bajo",IF(OR(AND(AF34="Muy baja",AH34="Moderado"),AND(AF34="Baja",AH34="Menor"),AND(AF34="Baja",AH34="Moderado"),AND(AF34="Media",AH34="Leve"),AND(AF34="Media",AH34="Menor"),AND(AF34="Media",AH34="Moderado"),AND(AF34="Alta",AH34="Leve"),AND(AF34="Alta",AH34="Menor")),"Moderado",IF(OR(AND(AF34="Muy Baja",AH34="Mayor"),AND(AF34="Baja",AH34="Mayor"),AND(AF34="Media",AH34="Mayor"),AND(AF34="Alta",AH34="Moderado"),AND(AF34="Alta",AH34="Mayor"),AND(AF34="Muy Alta",AH34="Leve"),AND(AF34="Muy Alta",AH34="Menor"),AND(AF34="Muy Alta",AH34="Moderado"),AND(AF34="Muy Alta",AH34="Mayor")),"Alto",IF(OR(AND(AF34="Muy Baja",AH34="Catastrófico"),AND(AF34="Baja",AH34="Catastrófico"),AND(AF34="Media",AH34="Catastrófico"),AND(AF34="Alta",AH34="Catastrófico"),AND(AF34="Muy Alta",AH34="Catastrófico")),"Extremo","")))),"")</f>
        <v/>
      </c>
      <c r="AK34" s="195"/>
      <c r="AL34" s="186"/>
      <c r="AM34" s="196"/>
      <c r="AN34" s="196"/>
      <c r="AO34" s="197"/>
      <c r="AP34" s="376"/>
      <c r="AQ34" s="376"/>
      <c r="AR34" s="376"/>
    </row>
    <row r="35" spans="1:44" x14ac:dyDescent="0.2">
      <c r="A35" s="419"/>
      <c r="B35" s="383"/>
      <c r="C35" s="383"/>
      <c r="D35" s="383"/>
      <c r="E35" s="383"/>
      <c r="F35" s="383"/>
      <c r="G35" s="358"/>
      <c r="H35" s="358"/>
      <c r="I35" s="358"/>
      <c r="J35" s="358"/>
      <c r="K35" s="358"/>
      <c r="L35" s="358"/>
      <c r="M35" s="358"/>
      <c r="N35" s="376"/>
      <c r="O35" s="374"/>
      <c r="P35" s="373"/>
      <c r="Q35" s="349"/>
      <c r="R35" s="373">
        <f>IF(NOT(ISERROR(MATCH(Q35,_xlfn.ANCHORARRAY(E46),0))),P48&amp;"Por favor no seleccionar los criterios de impacto",Q35)</f>
        <v>0</v>
      </c>
      <c r="S35" s="374"/>
      <c r="T35" s="373"/>
      <c r="U35" s="360"/>
      <c r="V35" s="214">
        <v>5</v>
      </c>
      <c r="W35" s="187"/>
      <c r="X35" s="189" t="str">
        <f t="shared" si="32"/>
        <v/>
      </c>
      <c r="Y35" s="190"/>
      <c r="Z35" s="190"/>
      <c r="AA35" s="191" t="str">
        <f t="shared" si="27"/>
        <v/>
      </c>
      <c r="AB35" s="190"/>
      <c r="AC35" s="190"/>
      <c r="AD35" s="190"/>
      <c r="AE35" s="192" t="str">
        <f t="shared" si="33"/>
        <v/>
      </c>
      <c r="AF35" s="193" t="str">
        <f>IFERROR(IF(AE35="","",IF(AE35&lt;=0.2,"Muy Baja",IF(AE35&lt;=0.4,"Baja",IF(AE35&lt;=0.6,"Media",IF(AE35&lt;=0.8,"Alta","Muy Alta"))))),"")</f>
        <v/>
      </c>
      <c r="AG35" s="191" t="str">
        <f t="shared" si="28"/>
        <v/>
      </c>
      <c r="AH35" s="193" t="str">
        <f t="shared" si="4"/>
        <v/>
      </c>
      <c r="AI35" s="191" t="str">
        <f t="shared" si="13"/>
        <v/>
      </c>
      <c r="AJ35" s="194" t="str">
        <f t="shared" ref="AJ35:AJ36" si="34">IFERROR(IF(OR(AND(AF35="Muy Baja",AH35="Leve"),AND(AF35="Muy Baja",AH35="Menor"),AND(AF35="Baja",AH35="Leve")),"Bajo",IF(OR(AND(AF35="Muy baja",AH35="Moderado"),AND(AF35="Baja",AH35="Menor"),AND(AF35="Baja",AH35="Moderado"),AND(AF35="Media",AH35="Leve"),AND(AF35="Media",AH35="Menor"),AND(AF35="Media",AH35="Moderado"),AND(AF35="Alta",AH35="Leve"),AND(AF35="Alta",AH35="Menor")),"Moderado",IF(OR(AND(AF35="Muy Baja",AH35="Mayor"),AND(AF35="Baja",AH35="Mayor"),AND(AF35="Media",AH35="Mayor"),AND(AF35="Alta",AH35="Moderado"),AND(AF35="Alta",AH35="Mayor"),AND(AF35="Muy Alta",AH35="Leve"),AND(AF35="Muy Alta",AH35="Menor"),AND(AF35="Muy Alta",AH35="Moderado"),AND(AF35="Muy Alta",AH35="Mayor")),"Alto",IF(OR(AND(AF35="Muy Baja",AH35="Catastrófico"),AND(AF35="Baja",AH35="Catastrófico"),AND(AF35="Media",AH35="Catastrófico"),AND(AF35="Alta",AH35="Catastrófico"),AND(AF35="Muy Alta",AH35="Catastrófico")),"Extremo","")))),"")</f>
        <v/>
      </c>
      <c r="AK35" s="195"/>
      <c r="AL35" s="186"/>
      <c r="AM35" s="196"/>
      <c r="AN35" s="196"/>
      <c r="AO35" s="197"/>
      <c r="AP35" s="376"/>
      <c r="AQ35" s="376"/>
      <c r="AR35" s="376"/>
    </row>
    <row r="36" spans="1:44" x14ac:dyDescent="0.2">
      <c r="A36" s="419"/>
      <c r="B36" s="383"/>
      <c r="C36" s="383"/>
      <c r="D36" s="383"/>
      <c r="E36" s="383"/>
      <c r="F36" s="383"/>
      <c r="G36" s="369"/>
      <c r="H36" s="369"/>
      <c r="I36" s="369"/>
      <c r="J36" s="369"/>
      <c r="K36" s="369"/>
      <c r="L36" s="369"/>
      <c r="M36" s="369"/>
      <c r="N36" s="376"/>
      <c r="O36" s="374"/>
      <c r="P36" s="373"/>
      <c r="Q36" s="349"/>
      <c r="R36" s="373">
        <f>IF(NOT(ISERROR(MATCH(Q36,_xlfn.ANCHORARRAY(E47),0))),P49&amp;"Por favor no seleccionar los criterios de impacto",Q36)</f>
        <v>0</v>
      </c>
      <c r="S36" s="374"/>
      <c r="T36" s="373"/>
      <c r="U36" s="360"/>
      <c r="V36" s="214">
        <v>6</v>
      </c>
      <c r="W36" s="187"/>
      <c r="X36" s="189" t="str">
        <f t="shared" si="32"/>
        <v/>
      </c>
      <c r="Y36" s="190"/>
      <c r="Z36" s="190"/>
      <c r="AA36" s="191" t="str">
        <f t="shared" si="27"/>
        <v/>
      </c>
      <c r="AB36" s="190"/>
      <c r="AC36" s="190"/>
      <c r="AD36" s="190"/>
      <c r="AE36" s="192" t="str">
        <f t="shared" si="33"/>
        <v/>
      </c>
      <c r="AF36" s="193" t="str">
        <f t="shared" si="2"/>
        <v/>
      </c>
      <c r="AG36" s="191" t="str">
        <f t="shared" si="28"/>
        <v/>
      </c>
      <c r="AH36" s="193" t="str">
        <f t="shared" si="4"/>
        <v/>
      </c>
      <c r="AI36" s="191" t="str">
        <f t="shared" si="13"/>
        <v/>
      </c>
      <c r="AJ36" s="194" t="str">
        <f t="shared" si="34"/>
        <v/>
      </c>
      <c r="AK36" s="195"/>
      <c r="AL36" s="186"/>
      <c r="AM36" s="196"/>
      <c r="AN36" s="196"/>
      <c r="AO36" s="197"/>
      <c r="AP36" s="376"/>
      <c r="AQ36" s="376"/>
      <c r="AR36" s="376"/>
    </row>
    <row r="37" spans="1:44" x14ac:dyDescent="0.2">
      <c r="A37" s="419">
        <v>5</v>
      </c>
      <c r="B37" s="383"/>
      <c r="C37" s="383"/>
      <c r="D37" s="383"/>
      <c r="E37" s="383"/>
      <c r="F37" s="383"/>
      <c r="G37" s="388"/>
      <c r="H37" s="388"/>
      <c r="I37" s="388"/>
      <c r="J37" s="388"/>
      <c r="K37" s="388"/>
      <c r="L37" s="388"/>
      <c r="M37" s="388"/>
      <c r="N37" s="376"/>
      <c r="O37" s="374" t="str">
        <f>IF(N37&lt;=0,"",IF(N37&lt;=2,"Muy Baja",IF(N37&lt;=24,"Baja",IF(N37&lt;=500,"Media",IF(N37&lt;=5000,"Alta","Muy Alta")))))</f>
        <v/>
      </c>
      <c r="P37" s="373" t="str">
        <f>IF(O37="","",IF(O37="Muy Baja",0.2,IF(O37="Baja",0.4,IF(O37="Media",0.6,IF(O37="Alta",0.8,IF(O37="Muy Alta",1,))))))</f>
        <v/>
      </c>
      <c r="Q37" s="349"/>
      <c r="R37" s="373">
        <f>IF(NOT(ISERROR(MATCH(Q37,'Tabla Impacto'!$B$222:$B$224,0))),'Tabla Impacto'!$F$224&amp;"Por favor no seleccionar los criterios de impacto(Afectación Económica o presupuestal y Pérdida Reputacional)",Q37)</f>
        <v>0</v>
      </c>
      <c r="S37" s="374" t="str">
        <f>IF(OR(R37='Tabla Impacto'!$C$12,R37='Tabla Impacto'!$D$12),"Leve",IF(OR(R37='Tabla Impacto'!$C$13,R37='Tabla Impacto'!$D$13),"Menor",IF(OR(R37='Tabla Impacto'!$C$14,R37='Tabla Impacto'!$D$14),"Moderado",IF(OR(R37='Tabla Impacto'!$C$15,R37='Tabla Impacto'!$D$15),"Mayor",IF(OR(R37='Tabla Impacto'!$C$16,R37='Tabla Impacto'!$D$16),"Catastrófico","")))))</f>
        <v/>
      </c>
      <c r="T37" s="373" t="str">
        <f>IF(S37="","",IF(S37="Leve",0.2,IF(S37="Menor",0.4,IF(S37="Moderado",0.6,IF(S37="Mayor",0.8,IF(S37="Catastrófico",1,))))))</f>
        <v/>
      </c>
      <c r="U37" s="360" t="str">
        <f>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
      </c>
      <c r="V37" s="214">
        <v>1</v>
      </c>
      <c r="W37" s="187"/>
      <c r="X37" s="189" t="str">
        <f>IF(OR(Y37="Preventivo",Y37="Detectivo"),"Probabilidad",IF(Y37="Correctivo","Impacto",""))</f>
        <v/>
      </c>
      <c r="Y37" s="190"/>
      <c r="Z37" s="190"/>
      <c r="AA37" s="191" t="str">
        <f>IF(AND(Y37="Preventivo",Z37="Automático"),"50%",IF(AND(Y37="Preventivo",Z37="Manual"),"40%",IF(AND(Y37="Detectivo",Z37="Automático"),"40%",IF(AND(Y37="Detectivo",Z37="Manual"),"30%",IF(AND(Y37="Correctivo",Z37="Automático"),"35%",IF(AND(Y37="Correctivo",Z37="Manual"),"25%",""))))))</f>
        <v/>
      </c>
      <c r="AB37" s="190"/>
      <c r="AC37" s="190"/>
      <c r="AD37" s="190"/>
      <c r="AE37" s="192" t="str">
        <f>IFERROR(IF(X37="Probabilidad",(P37-(+P37*AA37)),IF(X37="Impacto",P37,"")),"")</f>
        <v/>
      </c>
      <c r="AF37" s="193" t="str">
        <f>IFERROR(IF(AE37="","",IF(AE37&lt;=0.2,"Muy Baja",IF(AE37&lt;=0.4,"Baja",IF(AE37&lt;=0.6,"Media",IF(AE37&lt;=0.8,"Alta","Muy Alta"))))),"")</f>
        <v/>
      </c>
      <c r="AG37" s="191" t="str">
        <f>+AE37</f>
        <v/>
      </c>
      <c r="AH37" s="193" t="str">
        <f>IFERROR(IF(AI37="","",IF(AI37&lt;=0.2,"Leve",IF(AI37&lt;=0.4,"Menor",IF(AI37&lt;=0.6,"Moderado",IF(AI37&lt;=0.8,"Mayor","Catastrófico"))))),"")</f>
        <v/>
      </c>
      <c r="AI37" s="191" t="str">
        <f t="shared" ref="AI37" si="35">IFERROR(IF(X37="Impacto",(T37-(+T37*AA37)),IF(X37="Probabilidad",T37,"")),"")</f>
        <v/>
      </c>
      <c r="AJ37" s="194" t="str">
        <f>IFERROR(IF(OR(AND(AF37="Muy Baja",AH37="Leve"),AND(AF37="Muy Baja",AH37="Menor"),AND(AF37="Baja",AH37="Leve")),"Bajo",IF(OR(AND(AF37="Muy baja",AH37="Moderado"),AND(AF37="Baja",AH37="Menor"),AND(AF37="Baja",AH37="Moderado"),AND(AF37="Media",AH37="Leve"),AND(AF37="Media",AH37="Menor"),AND(AF37="Media",AH37="Moderado"),AND(AF37="Alta",AH37="Leve"),AND(AF37="Alta",AH37="Menor")),"Moderado",IF(OR(AND(AF37="Muy Baja",AH37="Mayor"),AND(AF37="Baja",AH37="Mayor"),AND(AF37="Media",AH37="Mayor"),AND(AF37="Alta",AH37="Moderado"),AND(AF37="Alta",AH37="Mayor"),AND(AF37="Muy Alta",AH37="Leve"),AND(AF37="Muy Alta",AH37="Menor"),AND(AF37="Muy Alta",AH37="Moderado"),AND(AF37="Muy Alta",AH37="Mayor")),"Alto",IF(OR(AND(AF37="Muy Baja",AH37="Catastrófico"),AND(AF37="Baja",AH37="Catastrófico"),AND(AF37="Media",AH37="Catastrófico"),AND(AF37="Alta",AH37="Catastrófico"),AND(AF37="Muy Alta",AH37="Catastrófico")),"Extremo","")))),"")</f>
        <v/>
      </c>
      <c r="AK37" s="195"/>
      <c r="AL37" s="186"/>
      <c r="AM37" s="196"/>
      <c r="AN37" s="196"/>
      <c r="AO37" s="197"/>
      <c r="AP37" s="376"/>
      <c r="AQ37" s="376"/>
      <c r="AR37" s="376"/>
    </row>
    <row r="38" spans="1:44" x14ac:dyDescent="0.2">
      <c r="A38" s="419"/>
      <c r="B38" s="383"/>
      <c r="C38" s="383"/>
      <c r="D38" s="383"/>
      <c r="E38" s="383"/>
      <c r="F38" s="383"/>
      <c r="G38" s="358"/>
      <c r="H38" s="358"/>
      <c r="I38" s="358"/>
      <c r="J38" s="358"/>
      <c r="K38" s="358"/>
      <c r="L38" s="358"/>
      <c r="M38" s="358"/>
      <c r="N38" s="376"/>
      <c r="O38" s="374"/>
      <c r="P38" s="373"/>
      <c r="Q38" s="349"/>
      <c r="R38" s="373">
        <f>IF(NOT(ISERROR(MATCH(Q38,_xlfn.ANCHORARRAY(E49),0))),P51&amp;"Por favor no seleccionar los criterios de impacto",Q38)</f>
        <v>0</v>
      </c>
      <c r="S38" s="374"/>
      <c r="T38" s="373"/>
      <c r="U38" s="360"/>
      <c r="V38" s="214">
        <v>2</v>
      </c>
      <c r="W38" s="187"/>
      <c r="X38" s="189" t="str">
        <f>IF(OR(Y38="Preventivo",Y38="Detectivo"),"Probabilidad",IF(Y38="Correctivo","Impacto",""))</f>
        <v/>
      </c>
      <c r="Y38" s="190"/>
      <c r="Z38" s="190"/>
      <c r="AA38" s="191" t="str">
        <f t="shared" ref="AA38:AA42" si="36">IF(AND(Y38="Preventivo",Z38="Automático"),"50%",IF(AND(Y38="Preventivo",Z38="Manual"),"40%",IF(AND(Y38="Detectivo",Z38="Automático"),"40%",IF(AND(Y38="Detectivo",Z38="Manual"),"30%",IF(AND(Y38="Correctivo",Z38="Automático"),"35%",IF(AND(Y38="Correctivo",Z38="Manual"),"25%",""))))))</f>
        <v/>
      </c>
      <c r="AB38" s="190"/>
      <c r="AC38" s="190"/>
      <c r="AD38" s="190"/>
      <c r="AE38" s="192" t="str">
        <f>IFERROR(IF(AND(X37="Probabilidad",X38="Probabilidad"),(AG37-(+AG37*AA38)),IF(X38="Probabilidad",(P37-(+P37*AA38)),IF(X38="Impacto",AG37,""))),"")</f>
        <v/>
      </c>
      <c r="AF38" s="193" t="str">
        <f t="shared" si="2"/>
        <v/>
      </c>
      <c r="AG38" s="191" t="str">
        <f t="shared" ref="AG38:AG42" si="37">+AE38</f>
        <v/>
      </c>
      <c r="AH38" s="193" t="str">
        <f t="shared" si="4"/>
        <v/>
      </c>
      <c r="AI38" s="191" t="str">
        <f t="shared" ref="AI38" si="38">IFERROR(IF(AND(X37="Impacto",X38="Impacto"),(AI37-(+AI37*AA38)),IF(X38="Impacto",($T$13-(+$T$13*AA38)),IF(X38="Probabilidad",AI37,""))),"")</f>
        <v/>
      </c>
      <c r="AJ38" s="194" t="str">
        <f t="shared" ref="AJ38:AJ39" si="39">IFERROR(IF(OR(AND(AF38="Muy Baja",AH38="Leve"),AND(AF38="Muy Baja",AH38="Menor"),AND(AF38="Baja",AH38="Leve")),"Bajo",IF(OR(AND(AF38="Muy baja",AH38="Moderado"),AND(AF38="Baja",AH38="Menor"),AND(AF38="Baja",AH38="Moderado"),AND(AF38="Media",AH38="Leve"),AND(AF38="Media",AH38="Menor"),AND(AF38="Media",AH38="Moderado"),AND(AF38="Alta",AH38="Leve"),AND(AF38="Alta",AH38="Menor")),"Moderado",IF(OR(AND(AF38="Muy Baja",AH38="Mayor"),AND(AF38="Baja",AH38="Mayor"),AND(AF38="Media",AH38="Mayor"),AND(AF38="Alta",AH38="Moderado"),AND(AF38="Alta",AH38="Mayor"),AND(AF38="Muy Alta",AH38="Leve"),AND(AF38="Muy Alta",AH38="Menor"),AND(AF38="Muy Alta",AH38="Moderado"),AND(AF38="Muy Alta",AH38="Mayor")),"Alto",IF(OR(AND(AF38="Muy Baja",AH38="Catastrófico"),AND(AF38="Baja",AH38="Catastrófico"),AND(AF38="Media",AH38="Catastrófico"),AND(AF38="Alta",AH38="Catastrófico"),AND(AF38="Muy Alta",AH38="Catastrófico")),"Extremo","")))),"")</f>
        <v/>
      </c>
      <c r="AK38" s="195"/>
      <c r="AL38" s="186"/>
      <c r="AM38" s="196"/>
      <c r="AN38" s="196"/>
      <c r="AO38" s="197"/>
      <c r="AP38" s="376"/>
      <c r="AQ38" s="376"/>
      <c r="AR38" s="376"/>
    </row>
    <row r="39" spans="1:44" x14ac:dyDescent="0.2">
      <c r="A39" s="419"/>
      <c r="B39" s="383"/>
      <c r="C39" s="383"/>
      <c r="D39" s="383"/>
      <c r="E39" s="383"/>
      <c r="F39" s="383"/>
      <c r="G39" s="358"/>
      <c r="H39" s="358"/>
      <c r="I39" s="358"/>
      <c r="J39" s="358"/>
      <c r="K39" s="358"/>
      <c r="L39" s="358"/>
      <c r="M39" s="358"/>
      <c r="N39" s="376"/>
      <c r="O39" s="374"/>
      <c r="P39" s="373"/>
      <c r="Q39" s="349"/>
      <c r="R39" s="373">
        <f>IF(NOT(ISERROR(MATCH(Q39,_xlfn.ANCHORARRAY(E50),0))),P52&amp;"Por favor no seleccionar los criterios de impacto",Q39)</f>
        <v>0</v>
      </c>
      <c r="S39" s="374"/>
      <c r="T39" s="373"/>
      <c r="U39" s="360"/>
      <c r="V39" s="214">
        <v>3</v>
      </c>
      <c r="W39" s="188"/>
      <c r="X39" s="189" t="str">
        <f>IF(OR(Y39="Preventivo",Y39="Detectivo"),"Probabilidad",IF(Y39="Correctivo","Impacto",""))</f>
        <v/>
      </c>
      <c r="Y39" s="190"/>
      <c r="Z39" s="190"/>
      <c r="AA39" s="191" t="str">
        <f t="shared" si="36"/>
        <v/>
      </c>
      <c r="AB39" s="190"/>
      <c r="AC39" s="190"/>
      <c r="AD39" s="190"/>
      <c r="AE39" s="192" t="str">
        <f>IFERROR(IF(AND(X38="Probabilidad",X39="Probabilidad"),(AG38-(+AG38*AA39)),IF(AND(X38="Impacto",X39="Probabilidad"),(AG37-(+AG37*AA39)),IF(X39="Impacto",AG38,""))),"")</f>
        <v/>
      </c>
      <c r="AF39" s="193" t="str">
        <f t="shared" si="2"/>
        <v/>
      </c>
      <c r="AG39" s="191" t="str">
        <f t="shared" si="37"/>
        <v/>
      </c>
      <c r="AH39" s="193" t="str">
        <f t="shared" si="4"/>
        <v/>
      </c>
      <c r="AI39" s="191" t="str">
        <f t="shared" ref="AI39" si="40">IFERROR(IF(AND(X38="Impacto",X39="Impacto"),(AI38-(+AI38*AA39)),IF(AND(X38="Probabilidad",X39="Impacto"),(AI37-(+AI37*AA39)),IF(X39="Probabilidad",AI38,""))),"")</f>
        <v/>
      </c>
      <c r="AJ39" s="194" t="str">
        <f t="shared" si="39"/>
        <v/>
      </c>
      <c r="AK39" s="195"/>
      <c r="AL39" s="186"/>
      <c r="AM39" s="196"/>
      <c r="AN39" s="196"/>
      <c r="AO39" s="197"/>
      <c r="AP39" s="376"/>
      <c r="AQ39" s="376"/>
      <c r="AR39" s="376"/>
    </row>
    <row r="40" spans="1:44" x14ac:dyDescent="0.2">
      <c r="A40" s="419"/>
      <c r="B40" s="383"/>
      <c r="C40" s="383"/>
      <c r="D40" s="383"/>
      <c r="E40" s="383"/>
      <c r="F40" s="383"/>
      <c r="G40" s="358"/>
      <c r="H40" s="358"/>
      <c r="I40" s="358"/>
      <c r="J40" s="358"/>
      <c r="K40" s="358"/>
      <c r="L40" s="358"/>
      <c r="M40" s="358"/>
      <c r="N40" s="376"/>
      <c r="O40" s="374"/>
      <c r="P40" s="373"/>
      <c r="Q40" s="349"/>
      <c r="R40" s="373">
        <f>IF(NOT(ISERROR(MATCH(Q40,_xlfn.ANCHORARRAY(E51),0))),P53&amp;"Por favor no seleccionar los criterios de impacto",Q40)</f>
        <v>0</v>
      </c>
      <c r="S40" s="374"/>
      <c r="T40" s="373"/>
      <c r="U40" s="360"/>
      <c r="V40" s="214">
        <v>4</v>
      </c>
      <c r="W40" s="187"/>
      <c r="X40" s="189" t="str">
        <f t="shared" ref="X40:X42" si="41">IF(OR(Y40="Preventivo",Y40="Detectivo"),"Probabilidad",IF(Y40="Correctivo","Impacto",""))</f>
        <v/>
      </c>
      <c r="Y40" s="190"/>
      <c r="Z40" s="190"/>
      <c r="AA40" s="191" t="str">
        <f t="shared" si="36"/>
        <v/>
      </c>
      <c r="AB40" s="190"/>
      <c r="AC40" s="190"/>
      <c r="AD40" s="190"/>
      <c r="AE40" s="192" t="str">
        <f t="shared" ref="AE40:AE42" si="42">IFERROR(IF(AND(X39="Probabilidad",X40="Probabilidad"),(AG39-(+AG39*AA40)),IF(AND(X39="Impacto",X40="Probabilidad"),(AG38-(+AG38*AA40)),IF(X40="Impacto",AG39,""))),"")</f>
        <v/>
      </c>
      <c r="AF40" s="193" t="str">
        <f t="shared" si="2"/>
        <v/>
      </c>
      <c r="AG40" s="191" t="str">
        <f t="shared" si="37"/>
        <v/>
      </c>
      <c r="AH40" s="193" t="str">
        <f t="shared" si="4"/>
        <v/>
      </c>
      <c r="AI40" s="191" t="str">
        <f t="shared" si="13"/>
        <v/>
      </c>
      <c r="AJ40" s="194" t="str">
        <f>IFERROR(IF(OR(AND(AF40="Muy Baja",AH40="Leve"),AND(AF40="Muy Baja",AH40="Menor"),AND(AF40="Baja",AH40="Leve")),"Bajo",IF(OR(AND(AF40="Muy baja",AH40="Moderado"),AND(AF40="Baja",AH40="Menor"),AND(AF40="Baja",AH40="Moderado"),AND(AF40="Media",AH40="Leve"),AND(AF40="Media",AH40="Menor"),AND(AF40="Media",AH40="Moderado"),AND(AF40="Alta",AH40="Leve"),AND(AF40="Alta",AH40="Menor")),"Moderado",IF(OR(AND(AF40="Muy Baja",AH40="Mayor"),AND(AF40="Baja",AH40="Mayor"),AND(AF40="Media",AH40="Mayor"),AND(AF40="Alta",AH40="Moderado"),AND(AF40="Alta",AH40="Mayor"),AND(AF40="Muy Alta",AH40="Leve"),AND(AF40="Muy Alta",AH40="Menor"),AND(AF40="Muy Alta",AH40="Moderado"),AND(AF40="Muy Alta",AH40="Mayor")),"Alto",IF(OR(AND(AF40="Muy Baja",AH40="Catastrófico"),AND(AF40="Baja",AH40="Catastrófico"),AND(AF40="Media",AH40="Catastrófico"),AND(AF40="Alta",AH40="Catastrófico"),AND(AF40="Muy Alta",AH40="Catastrófico")),"Extremo","")))),"")</f>
        <v/>
      </c>
      <c r="AK40" s="195"/>
      <c r="AL40" s="186"/>
      <c r="AM40" s="196"/>
      <c r="AN40" s="196"/>
      <c r="AO40" s="197"/>
      <c r="AP40" s="376"/>
      <c r="AQ40" s="376"/>
      <c r="AR40" s="376"/>
    </row>
    <row r="41" spans="1:44" x14ac:dyDescent="0.2">
      <c r="A41" s="419"/>
      <c r="B41" s="383"/>
      <c r="C41" s="383"/>
      <c r="D41" s="383"/>
      <c r="E41" s="383"/>
      <c r="F41" s="383"/>
      <c r="G41" s="358"/>
      <c r="H41" s="358"/>
      <c r="I41" s="358"/>
      <c r="J41" s="358"/>
      <c r="K41" s="358"/>
      <c r="L41" s="358"/>
      <c r="M41" s="358"/>
      <c r="N41" s="376"/>
      <c r="O41" s="374"/>
      <c r="P41" s="373"/>
      <c r="Q41" s="349"/>
      <c r="R41" s="373">
        <f>IF(NOT(ISERROR(MATCH(Q41,_xlfn.ANCHORARRAY(E52),0))),P54&amp;"Por favor no seleccionar los criterios de impacto",Q41)</f>
        <v>0</v>
      </c>
      <c r="S41" s="374"/>
      <c r="T41" s="373"/>
      <c r="U41" s="360"/>
      <c r="V41" s="214">
        <v>5</v>
      </c>
      <c r="W41" s="187"/>
      <c r="X41" s="189" t="str">
        <f t="shared" si="41"/>
        <v/>
      </c>
      <c r="Y41" s="190"/>
      <c r="Z41" s="190"/>
      <c r="AA41" s="191" t="str">
        <f t="shared" si="36"/>
        <v/>
      </c>
      <c r="AB41" s="190"/>
      <c r="AC41" s="190"/>
      <c r="AD41" s="190"/>
      <c r="AE41" s="192" t="str">
        <f t="shared" si="42"/>
        <v/>
      </c>
      <c r="AF41" s="193" t="str">
        <f t="shared" si="2"/>
        <v/>
      </c>
      <c r="AG41" s="191" t="str">
        <f t="shared" si="37"/>
        <v/>
      </c>
      <c r="AH41" s="193" t="str">
        <f t="shared" si="4"/>
        <v/>
      </c>
      <c r="AI41" s="191" t="str">
        <f t="shared" si="13"/>
        <v/>
      </c>
      <c r="AJ41" s="194" t="str">
        <f t="shared" ref="AJ41:AJ42" si="43">IFERROR(IF(OR(AND(AF41="Muy Baja",AH41="Leve"),AND(AF41="Muy Baja",AH41="Menor"),AND(AF41="Baja",AH41="Leve")),"Bajo",IF(OR(AND(AF41="Muy baja",AH41="Moderado"),AND(AF41="Baja",AH41="Menor"),AND(AF41="Baja",AH41="Moderado"),AND(AF41="Media",AH41="Leve"),AND(AF41="Media",AH41="Menor"),AND(AF41="Media",AH41="Moderado"),AND(AF41="Alta",AH41="Leve"),AND(AF41="Alta",AH41="Menor")),"Moderado",IF(OR(AND(AF41="Muy Baja",AH41="Mayor"),AND(AF41="Baja",AH41="Mayor"),AND(AF41="Media",AH41="Mayor"),AND(AF41="Alta",AH41="Moderado"),AND(AF41="Alta",AH41="Mayor"),AND(AF41="Muy Alta",AH41="Leve"),AND(AF41="Muy Alta",AH41="Menor"),AND(AF41="Muy Alta",AH41="Moderado"),AND(AF41="Muy Alta",AH41="Mayor")),"Alto",IF(OR(AND(AF41="Muy Baja",AH41="Catastrófico"),AND(AF41="Baja",AH41="Catastrófico"),AND(AF41="Media",AH41="Catastrófico"),AND(AF41="Alta",AH41="Catastrófico"),AND(AF41="Muy Alta",AH41="Catastrófico")),"Extremo","")))),"")</f>
        <v/>
      </c>
      <c r="AK41" s="195"/>
      <c r="AL41" s="186"/>
      <c r="AM41" s="196"/>
      <c r="AN41" s="196"/>
      <c r="AO41" s="197"/>
      <c r="AP41" s="376"/>
      <c r="AQ41" s="376"/>
      <c r="AR41" s="376"/>
    </row>
    <row r="42" spans="1:44" x14ac:dyDescent="0.2">
      <c r="A42" s="419"/>
      <c r="B42" s="383"/>
      <c r="C42" s="383"/>
      <c r="D42" s="383"/>
      <c r="E42" s="383"/>
      <c r="F42" s="383"/>
      <c r="G42" s="369"/>
      <c r="H42" s="369"/>
      <c r="I42" s="369"/>
      <c r="J42" s="369"/>
      <c r="K42" s="369"/>
      <c r="L42" s="369"/>
      <c r="M42" s="369"/>
      <c r="N42" s="376"/>
      <c r="O42" s="374"/>
      <c r="P42" s="373"/>
      <c r="Q42" s="349"/>
      <c r="R42" s="373">
        <f>IF(NOT(ISERROR(MATCH(Q42,_xlfn.ANCHORARRAY(E53),0))),P55&amp;"Por favor no seleccionar los criterios de impacto",Q42)</f>
        <v>0</v>
      </c>
      <c r="S42" s="374"/>
      <c r="T42" s="373"/>
      <c r="U42" s="360"/>
      <c r="V42" s="214">
        <v>6</v>
      </c>
      <c r="W42" s="187"/>
      <c r="X42" s="189" t="str">
        <f t="shared" si="41"/>
        <v/>
      </c>
      <c r="Y42" s="190"/>
      <c r="Z42" s="190"/>
      <c r="AA42" s="191" t="str">
        <f t="shared" si="36"/>
        <v/>
      </c>
      <c r="AB42" s="190"/>
      <c r="AC42" s="190"/>
      <c r="AD42" s="190"/>
      <c r="AE42" s="192" t="str">
        <f t="shared" si="42"/>
        <v/>
      </c>
      <c r="AF42" s="193" t="str">
        <f t="shared" si="2"/>
        <v/>
      </c>
      <c r="AG42" s="191" t="str">
        <f t="shared" si="37"/>
        <v/>
      </c>
      <c r="AH42" s="193" t="str">
        <f t="shared" si="4"/>
        <v/>
      </c>
      <c r="AI42" s="191" t="str">
        <f t="shared" si="13"/>
        <v/>
      </c>
      <c r="AJ42" s="194" t="str">
        <f t="shared" si="43"/>
        <v/>
      </c>
      <c r="AK42" s="195"/>
      <c r="AL42" s="186"/>
      <c r="AM42" s="196"/>
      <c r="AN42" s="196"/>
      <c r="AO42" s="197"/>
      <c r="AP42" s="376"/>
      <c r="AQ42" s="376"/>
      <c r="AR42" s="376"/>
    </row>
    <row r="43" spans="1:44" x14ac:dyDescent="0.2">
      <c r="A43" s="419">
        <v>6</v>
      </c>
      <c r="B43" s="383"/>
      <c r="C43" s="383"/>
      <c r="D43" s="383"/>
      <c r="E43" s="388"/>
      <c r="F43" s="383"/>
      <c r="G43" s="388"/>
      <c r="H43" s="388"/>
      <c r="I43" s="388"/>
      <c r="J43" s="388"/>
      <c r="K43" s="388"/>
      <c r="L43" s="388"/>
      <c r="M43" s="388"/>
      <c r="N43" s="376"/>
      <c r="O43" s="374" t="str">
        <f>IF(N43&lt;=0,"",IF(N43&lt;=2,"Muy Baja",IF(N43&lt;=24,"Baja",IF(N43&lt;=500,"Media",IF(N43&lt;=5000,"Alta","Muy Alta")))))</f>
        <v/>
      </c>
      <c r="P43" s="373" t="str">
        <f>IF(O43="","",IF(O43="Muy Baja",0.2,IF(O43="Baja",0.4,IF(O43="Media",0.6,IF(O43="Alta",0.8,IF(O43="Muy Alta",1,))))))</f>
        <v/>
      </c>
      <c r="Q43" s="349"/>
      <c r="R43" s="373">
        <f>IF(NOT(ISERROR(MATCH(Q43,'Tabla Impacto'!$B$222:$B$224,0))),'Tabla Impacto'!$F$224&amp;"Por favor no seleccionar los criterios de impacto(Afectación Económica o presupuestal y Pérdida Reputacional)",Q43)</f>
        <v>0</v>
      </c>
      <c r="S43" s="374" t="str">
        <f>IF(OR(R43='Tabla Impacto'!$C$12,R43='Tabla Impacto'!$D$12),"Leve",IF(OR(R43='Tabla Impacto'!$C$13,R43='Tabla Impacto'!$D$13),"Menor",IF(OR(R43='Tabla Impacto'!$C$14,R43='Tabla Impacto'!$D$14),"Moderado",IF(OR(R43='Tabla Impacto'!$C$15,R43='Tabla Impacto'!$D$15),"Mayor",IF(OR(R43='Tabla Impacto'!$C$16,R43='Tabla Impacto'!$D$16),"Catastrófico","")))))</f>
        <v/>
      </c>
      <c r="T43" s="373" t="str">
        <f>IF(S43="","",IF(S43="Leve",0.2,IF(S43="Menor",0.4,IF(S43="Moderado",0.6,IF(S43="Mayor",0.8,IF(S43="Catastrófico",1,))))))</f>
        <v/>
      </c>
      <c r="U43" s="360" t="str">
        <f>IF(OR(AND(O43="Muy Baja",S43="Leve"),AND(O43="Muy Baja",S43="Menor"),AND(O43="Baja",S43="Leve")),"Bajo",IF(OR(AND(O43="Muy baja",S43="Moderado"),AND(O43="Baja",S43="Menor"),AND(O43="Baja",S43="Moderado"),AND(O43="Media",S43="Leve"),AND(O43="Media",S43="Menor"),AND(O43="Media",S43="Moderado"),AND(O43="Alta",S43="Leve"),AND(O43="Alta",S43="Menor")),"Moderado",IF(OR(AND(O43="Muy Baja",S43="Mayor"),AND(O43="Baja",S43="Mayor"),AND(O43="Media",S43="Mayor"),AND(O43="Alta",S43="Moderado"),AND(O43="Alta",S43="Mayor"),AND(O43="Muy Alta",S43="Leve"),AND(O43="Muy Alta",S43="Menor"),AND(O43="Muy Alta",S43="Moderado"),AND(O43="Muy Alta",S43="Mayor")),"Alto",IF(OR(AND(O43="Muy Baja",S43="Catastrófico"),AND(O43="Baja",S43="Catastrófico"),AND(O43="Media",S43="Catastrófico"),AND(O43="Alta",S43="Catastrófico"),AND(O43="Muy Alta",S43="Catastrófico")),"Extremo",""))))</f>
        <v/>
      </c>
      <c r="V43" s="214">
        <v>1</v>
      </c>
      <c r="W43" s="187"/>
      <c r="X43" s="189" t="str">
        <f>IF(OR(Y43="Preventivo",Y43="Detectivo"),"Probabilidad",IF(Y43="Correctivo","Impacto",""))</f>
        <v/>
      </c>
      <c r="Y43" s="190"/>
      <c r="Z43" s="190"/>
      <c r="AA43" s="191" t="str">
        <f>IF(AND(Y43="Preventivo",Z43="Automático"),"50%",IF(AND(Y43="Preventivo",Z43="Manual"),"40%",IF(AND(Y43="Detectivo",Z43="Automático"),"40%",IF(AND(Y43="Detectivo",Z43="Manual"),"30%",IF(AND(Y43="Correctivo",Z43="Automático"),"35%",IF(AND(Y43="Correctivo",Z43="Manual"),"25%",""))))))</f>
        <v/>
      </c>
      <c r="AB43" s="190"/>
      <c r="AC43" s="190"/>
      <c r="AD43" s="190"/>
      <c r="AE43" s="192" t="str">
        <f>IFERROR(IF(X43="Probabilidad",(P43-(+P43*AA43)),IF(X43="Impacto",P43,"")),"")</f>
        <v/>
      </c>
      <c r="AF43" s="193" t="str">
        <f>IFERROR(IF(AE43="","",IF(AE43&lt;=0.2,"Muy Baja",IF(AE43&lt;=0.4,"Baja",IF(AE43&lt;=0.6,"Media",IF(AE43&lt;=0.8,"Alta","Muy Alta"))))),"")</f>
        <v/>
      </c>
      <c r="AG43" s="191" t="str">
        <f>+AE43</f>
        <v/>
      </c>
      <c r="AH43" s="193" t="str">
        <f>IFERROR(IF(AI43="","",IF(AI43&lt;=0.2,"Leve",IF(AI43&lt;=0.4,"Menor",IF(AI43&lt;=0.6,"Moderado",IF(AI43&lt;=0.8,"Mayor","Catastrófico"))))),"")</f>
        <v/>
      </c>
      <c r="AI43" s="191" t="str">
        <f t="shared" ref="AI43" si="44">IFERROR(IF(X43="Impacto",(T43-(+T43*AA43)),IF(X43="Probabilidad",T43,"")),"")</f>
        <v/>
      </c>
      <c r="AJ43" s="194" t="str">
        <f>IFERROR(IF(OR(AND(AF43="Muy Baja",AH43="Leve"),AND(AF43="Muy Baja",AH43="Menor"),AND(AF43="Baja",AH43="Leve")),"Bajo",IF(OR(AND(AF43="Muy baja",AH43="Moderado"),AND(AF43="Baja",AH43="Menor"),AND(AF43="Baja",AH43="Moderado"),AND(AF43="Media",AH43="Leve"),AND(AF43="Media",AH43="Menor"),AND(AF43="Media",AH43="Moderado"),AND(AF43="Alta",AH43="Leve"),AND(AF43="Alta",AH43="Menor")),"Moderado",IF(OR(AND(AF43="Muy Baja",AH43="Mayor"),AND(AF43="Baja",AH43="Mayor"),AND(AF43="Media",AH43="Mayor"),AND(AF43="Alta",AH43="Moderado"),AND(AF43="Alta",AH43="Mayor"),AND(AF43="Muy Alta",AH43="Leve"),AND(AF43="Muy Alta",AH43="Menor"),AND(AF43="Muy Alta",AH43="Moderado"),AND(AF43="Muy Alta",AH43="Mayor")),"Alto",IF(OR(AND(AF43="Muy Baja",AH43="Catastrófico"),AND(AF43="Baja",AH43="Catastrófico"),AND(AF43="Media",AH43="Catastrófico"),AND(AF43="Alta",AH43="Catastrófico"),AND(AF43="Muy Alta",AH43="Catastrófico")),"Extremo","")))),"")</f>
        <v/>
      </c>
      <c r="AK43" s="190"/>
      <c r="AL43" s="186"/>
      <c r="AM43" s="196"/>
      <c r="AN43" s="196"/>
      <c r="AO43" s="197"/>
      <c r="AP43" s="376"/>
      <c r="AQ43" s="376"/>
      <c r="AR43" s="376"/>
    </row>
    <row r="44" spans="1:44" x14ac:dyDescent="0.2">
      <c r="A44" s="419"/>
      <c r="B44" s="383"/>
      <c r="C44" s="383"/>
      <c r="D44" s="383"/>
      <c r="E44" s="358"/>
      <c r="F44" s="383"/>
      <c r="G44" s="358"/>
      <c r="H44" s="358"/>
      <c r="I44" s="358"/>
      <c r="J44" s="358"/>
      <c r="K44" s="358"/>
      <c r="L44" s="358"/>
      <c r="M44" s="358"/>
      <c r="N44" s="376"/>
      <c r="O44" s="374"/>
      <c r="P44" s="373"/>
      <c r="Q44" s="349"/>
      <c r="R44" s="373">
        <f>IF(NOT(ISERROR(MATCH(Q44,_xlfn.ANCHORARRAY(E55),0))),P57&amp;"Por favor no seleccionar los criterios de impacto",Q44)</f>
        <v>0</v>
      </c>
      <c r="S44" s="374"/>
      <c r="T44" s="373"/>
      <c r="U44" s="360"/>
      <c r="V44" s="214">
        <v>2</v>
      </c>
      <c r="W44" s="187"/>
      <c r="X44" s="189" t="str">
        <f>IF(OR(Y44="Preventivo",Y44="Detectivo"),"Probabilidad",IF(Y44="Correctivo","Impacto",""))</f>
        <v/>
      </c>
      <c r="Y44" s="190"/>
      <c r="Z44" s="190"/>
      <c r="AA44" s="191" t="str">
        <f t="shared" ref="AA44:AA48" si="45">IF(AND(Y44="Preventivo",Z44="Automático"),"50%",IF(AND(Y44="Preventivo",Z44="Manual"),"40%",IF(AND(Y44="Detectivo",Z44="Automático"),"40%",IF(AND(Y44="Detectivo",Z44="Manual"),"30%",IF(AND(Y44="Correctivo",Z44="Automático"),"35%",IF(AND(Y44="Correctivo",Z44="Manual"),"25%",""))))))</f>
        <v/>
      </c>
      <c r="AB44" s="190"/>
      <c r="AC44" s="190"/>
      <c r="AD44" s="190"/>
      <c r="AE44" s="192" t="str">
        <f>IFERROR(IF(AND(X43="Probabilidad",X44="Probabilidad"),(AG43-(+AG43*AA44)),IF(X44="Probabilidad",(P43-(+P43*AA44)),IF(X44="Impacto",AG43,""))),"")</f>
        <v/>
      </c>
      <c r="AF44" s="193" t="str">
        <f t="shared" si="2"/>
        <v/>
      </c>
      <c r="AG44" s="191" t="str">
        <f t="shared" ref="AG44:AG48" si="46">+AE44</f>
        <v/>
      </c>
      <c r="AH44" s="193" t="str">
        <f t="shared" si="4"/>
        <v/>
      </c>
      <c r="AI44" s="191" t="str">
        <f t="shared" ref="AI44" si="47">IFERROR(IF(AND(X43="Impacto",X44="Impacto"),(AI43-(+AI43*AA44)),IF(X44="Impacto",($T$13-(+$T$13*AA44)),IF(X44="Probabilidad",AI43,""))),"")</f>
        <v/>
      </c>
      <c r="AJ44" s="194" t="str">
        <f t="shared" ref="AJ44:AJ45" si="48">IFERROR(IF(OR(AND(AF44="Muy Baja",AH44="Leve"),AND(AF44="Muy Baja",AH44="Menor"),AND(AF44="Baja",AH44="Leve")),"Bajo",IF(OR(AND(AF44="Muy baja",AH44="Moderado"),AND(AF44="Baja",AH44="Menor"),AND(AF44="Baja",AH44="Moderado"),AND(AF44="Media",AH44="Leve"),AND(AF44="Media",AH44="Menor"),AND(AF44="Media",AH44="Moderado"),AND(AF44="Alta",AH44="Leve"),AND(AF44="Alta",AH44="Menor")),"Moderado",IF(OR(AND(AF44="Muy Baja",AH44="Mayor"),AND(AF44="Baja",AH44="Mayor"),AND(AF44="Media",AH44="Mayor"),AND(AF44="Alta",AH44="Moderado"),AND(AF44="Alta",AH44="Mayor"),AND(AF44="Muy Alta",AH44="Leve"),AND(AF44="Muy Alta",AH44="Menor"),AND(AF44="Muy Alta",AH44="Moderado"),AND(AF44="Muy Alta",AH44="Mayor")),"Alto",IF(OR(AND(AF44="Muy Baja",AH44="Catastrófico"),AND(AF44="Baja",AH44="Catastrófico"),AND(AF44="Media",AH44="Catastrófico"),AND(AF44="Alta",AH44="Catastrófico"),AND(AF44="Muy Alta",AH44="Catastrófico")),"Extremo","")))),"")</f>
        <v/>
      </c>
      <c r="AK44" s="195"/>
      <c r="AL44" s="186"/>
      <c r="AM44" s="196"/>
      <c r="AN44" s="196"/>
      <c r="AO44" s="197"/>
      <c r="AP44" s="376"/>
      <c r="AQ44" s="376"/>
      <c r="AR44" s="376"/>
    </row>
    <row r="45" spans="1:44" x14ac:dyDescent="0.2">
      <c r="A45" s="419"/>
      <c r="B45" s="383"/>
      <c r="C45" s="383"/>
      <c r="D45" s="383"/>
      <c r="E45" s="358"/>
      <c r="F45" s="383"/>
      <c r="G45" s="358"/>
      <c r="H45" s="358"/>
      <c r="I45" s="358"/>
      <c r="J45" s="358"/>
      <c r="K45" s="358"/>
      <c r="L45" s="358"/>
      <c r="M45" s="358"/>
      <c r="N45" s="376"/>
      <c r="O45" s="374"/>
      <c r="P45" s="373"/>
      <c r="Q45" s="349"/>
      <c r="R45" s="373">
        <f>IF(NOT(ISERROR(MATCH(Q45,_xlfn.ANCHORARRAY(E56),0))),P58&amp;"Por favor no seleccionar los criterios de impacto",Q45)</f>
        <v>0</v>
      </c>
      <c r="S45" s="374"/>
      <c r="T45" s="373"/>
      <c r="U45" s="360"/>
      <c r="V45" s="214">
        <v>3</v>
      </c>
      <c r="W45" s="188"/>
      <c r="X45" s="189" t="str">
        <f>IF(OR(Y45="Preventivo",Y45="Detectivo"),"Probabilidad",IF(Y45="Correctivo","Impacto",""))</f>
        <v/>
      </c>
      <c r="Y45" s="190"/>
      <c r="Z45" s="190"/>
      <c r="AA45" s="191" t="str">
        <f t="shared" si="45"/>
        <v/>
      </c>
      <c r="AB45" s="190"/>
      <c r="AC45" s="190"/>
      <c r="AD45" s="190"/>
      <c r="AE45" s="192" t="str">
        <f>IFERROR(IF(AND(X44="Probabilidad",X45="Probabilidad"),(AG44-(+AG44*AA45)),IF(AND(X44="Impacto",X45="Probabilidad"),(AG43-(+AG43*AA45)),IF(X45="Impacto",AG44,""))),"")</f>
        <v/>
      </c>
      <c r="AF45" s="193" t="str">
        <f t="shared" si="2"/>
        <v/>
      </c>
      <c r="AG45" s="191" t="str">
        <f t="shared" si="46"/>
        <v/>
      </c>
      <c r="AH45" s="193" t="str">
        <f t="shared" si="4"/>
        <v/>
      </c>
      <c r="AI45" s="191" t="str">
        <f t="shared" ref="AI45" si="49">IFERROR(IF(AND(X44="Impacto",X45="Impacto"),(AI44-(+AI44*AA45)),IF(AND(X44="Probabilidad",X45="Impacto"),(AI43-(+AI43*AA45)),IF(X45="Probabilidad",AI44,""))),"")</f>
        <v/>
      </c>
      <c r="AJ45" s="194" t="str">
        <f t="shared" si="48"/>
        <v/>
      </c>
      <c r="AK45" s="195"/>
      <c r="AL45" s="186"/>
      <c r="AM45" s="196"/>
      <c r="AN45" s="196"/>
      <c r="AO45" s="197"/>
      <c r="AP45" s="376"/>
      <c r="AQ45" s="376"/>
      <c r="AR45" s="376"/>
    </row>
    <row r="46" spans="1:44" x14ac:dyDescent="0.2">
      <c r="A46" s="419"/>
      <c r="B46" s="383"/>
      <c r="C46" s="383"/>
      <c r="D46" s="383"/>
      <c r="E46" s="358"/>
      <c r="F46" s="383"/>
      <c r="G46" s="358"/>
      <c r="H46" s="358"/>
      <c r="I46" s="358"/>
      <c r="J46" s="358"/>
      <c r="K46" s="358"/>
      <c r="L46" s="358"/>
      <c r="M46" s="358"/>
      <c r="N46" s="376"/>
      <c r="O46" s="374"/>
      <c r="P46" s="373"/>
      <c r="Q46" s="349"/>
      <c r="R46" s="373">
        <f>IF(NOT(ISERROR(MATCH(Q46,_xlfn.ANCHORARRAY(E57),0))),P59&amp;"Por favor no seleccionar los criterios de impacto",Q46)</f>
        <v>0</v>
      </c>
      <c r="S46" s="374"/>
      <c r="T46" s="373"/>
      <c r="U46" s="360"/>
      <c r="V46" s="214">
        <v>4</v>
      </c>
      <c r="W46" s="187"/>
      <c r="X46" s="189" t="str">
        <f t="shared" ref="X46:X48" si="50">IF(OR(Y46="Preventivo",Y46="Detectivo"),"Probabilidad",IF(Y46="Correctivo","Impacto",""))</f>
        <v/>
      </c>
      <c r="Y46" s="190"/>
      <c r="Z46" s="190"/>
      <c r="AA46" s="191" t="str">
        <f t="shared" si="45"/>
        <v/>
      </c>
      <c r="AB46" s="190"/>
      <c r="AC46" s="190"/>
      <c r="AD46" s="190"/>
      <c r="AE46" s="192" t="str">
        <f t="shared" ref="AE46:AE48" si="51">IFERROR(IF(AND(X45="Probabilidad",X46="Probabilidad"),(AG45-(+AG45*AA46)),IF(AND(X45="Impacto",X46="Probabilidad"),(AG44-(+AG44*AA46)),IF(X46="Impacto",AG45,""))),"")</f>
        <v/>
      </c>
      <c r="AF46" s="193" t="str">
        <f t="shared" si="2"/>
        <v/>
      </c>
      <c r="AG46" s="191" t="str">
        <f t="shared" si="46"/>
        <v/>
      </c>
      <c r="AH46" s="193" t="str">
        <f t="shared" si="4"/>
        <v/>
      </c>
      <c r="AI46" s="191" t="str">
        <f t="shared" si="13"/>
        <v/>
      </c>
      <c r="AJ46" s="194" t="str">
        <f>IFERROR(IF(OR(AND(AF46="Muy Baja",AH46="Leve"),AND(AF46="Muy Baja",AH46="Menor"),AND(AF46="Baja",AH46="Leve")),"Bajo",IF(OR(AND(AF46="Muy baja",AH46="Moderado"),AND(AF46="Baja",AH46="Menor"),AND(AF46="Baja",AH46="Moderado"),AND(AF46="Media",AH46="Leve"),AND(AF46="Media",AH46="Menor"),AND(AF46="Media",AH46="Moderado"),AND(AF46="Alta",AH46="Leve"),AND(AF46="Alta",AH46="Menor")),"Moderado",IF(OR(AND(AF46="Muy Baja",AH46="Mayor"),AND(AF46="Baja",AH46="Mayor"),AND(AF46="Media",AH46="Mayor"),AND(AF46="Alta",AH46="Moderado"),AND(AF46="Alta",AH46="Mayor"),AND(AF46="Muy Alta",AH46="Leve"),AND(AF46="Muy Alta",AH46="Menor"),AND(AF46="Muy Alta",AH46="Moderado"),AND(AF46="Muy Alta",AH46="Mayor")),"Alto",IF(OR(AND(AF46="Muy Baja",AH46="Catastrófico"),AND(AF46="Baja",AH46="Catastrófico"),AND(AF46="Media",AH46="Catastrófico"),AND(AF46="Alta",AH46="Catastrófico"),AND(AF46="Muy Alta",AH46="Catastrófico")),"Extremo","")))),"")</f>
        <v/>
      </c>
      <c r="AK46" s="195"/>
      <c r="AL46" s="186"/>
      <c r="AM46" s="196"/>
      <c r="AN46" s="196"/>
      <c r="AO46" s="197"/>
      <c r="AP46" s="376"/>
      <c r="AQ46" s="376"/>
      <c r="AR46" s="376"/>
    </row>
    <row r="47" spans="1:44" x14ac:dyDescent="0.2">
      <c r="A47" s="419"/>
      <c r="B47" s="383"/>
      <c r="C47" s="383"/>
      <c r="D47" s="383"/>
      <c r="E47" s="358"/>
      <c r="F47" s="383"/>
      <c r="G47" s="358"/>
      <c r="H47" s="358"/>
      <c r="I47" s="358"/>
      <c r="J47" s="358"/>
      <c r="K47" s="358"/>
      <c r="L47" s="358"/>
      <c r="M47" s="358"/>
      <c r="N47" s="376"/>
      <c r="O47" s="374"/>
      <c r="P47" s="373"/>
      <c r="Q47" s="349"/>
      <c r="R47" s="373">
        <f>IF(NOT(ISERROR(MATCH(Q47,_xlfn.ANCHORARRAY(E58),0))),P60&amp;"Por favor no seleccionar los criterios de impacto",Q47)</f>
        <v>0</v>
      </c>
      <c r="S47" s="374"/>
      <c r="T47" s="373"/>
      <c r="U47" s="360"/>
      <c r="V47" s="214">
        <v>5</v>
      </c>
      <c r="W47" s="187"/>
      <c r="X47" s="189" t="str">
        <f t="shared" si="50"/>
        <v/>
      </c>
      <c r="Y47" s="190"/>
      <c r="Z47" s="190"/>
      <c r="AA47" s="191" t="str">
        <f t="shared" si="45"/>
        <v/>
      </c>
      <c r="AB47" s="190"/>
      <c r="AC47" s="190"/>
      <c r="AD47" s="190"/>
      <c r="AE47" s="192" t="str">
        <f t="shared" si="51"/>
        <v/>
      </c>
      <c r="AF47" s="193" t="str">
        <f t="shared" si="2"/>
        <v/>
      </c>
      <c r="AG47" s="191" t="str">
        <f t="shared" si="46"/>
        <v/>
      </c>
      <c r="AH47" s="193" t="str">
        <f t="shared" si="4"/>
        <v/>
      </c>
      <c r="AI47" s="191" t="str">
        <f t="shared" si="13"/>
        <v/>
      </c>
      <c r="AJ47" s="194" t="str">
        <f t="shared" ref="AJ47" si="52">IFERROR(IF(OR(AND(AF47="Muy Baja",AH47="Leve"),AND(AF47="Muy Baja",AH47="Menor"),AND(AF47="Baja",AH47="Leve")),"Bajo",IF(OR(AND(AF47="Muy baja",AH47="Moderado"),AND(AF47="Baja",AH47="Menor"),AND(AF47="Baja",AH47="Moderado"),AND(AF47="Media",AH47="Leve"),AND(AF47="Media",AH47="Menor"),AND(AF47="Media",AH47="Moderado"),AND(AF47="Alta",AH47="Leve"),AND(AF47="Alta",AH47="Menor")),"Moderado",IF(OR(AND(AF47="Muy Baja",AH47="Mayor"),AND(AF47="Baja",AH47="Mayor"),AND(AF47="Media",AH47="Mayor"),AND(AF47="Alta",AH47="Moderado"),AND(AF47="Alta",AH47="Mayor"),AND(AF47="Muy Alta",AH47="Leve"),AND(AF47="Muy Alta",AH47="Menor"),AND(AF47="Muy Alta",AH47="Moderado"),AND(AF47="Muy Alta",AH47="Mayor")),"Alto",IF(OR(AND(AF47="Muy Baja",AH47="Catastrófico"),AND(AF47="Baja",AH47="Catastrófico"),AND(AF47="Media",AH47="Catastrófico"),AND(AF47="Alta",AH47="Catastrófico"),AND(AF47="Muy Alta",AH47="Catastrófico")),"Extremo","")))),"")</f>
        <v/>
      </c>
      <c r="AK47" s="195"/>
      <c r="AL47" s="186"/>
      <c r="AM47" s="196"/>
      <c r="AN47" s="196"/>
      <c r="AO47" s="197"/>
      <c r="AP47" s="376"/>
      <c r="AQ47" s="376"/>
      <c r="AR47" s="376"/>
    </row>
    <row r="48" spans="1:44" x14ac:dyDescent="0.2">
      <c r="A48" s="419"/>
      <c r="B48" s="383"/>
      <c r="C48" s="383"/>
      <c r="D48" s="383"/>
      <c r="E48" s="369"/>
      <c r="F48" s="383"/>
      <c r="G48" s="369"/>
      <c r="H48" s="369"/>
      <c r="I48" s="369"/>
      <c r="J48" s="369"/>
      <c r="K48" s="369"/>
      <c r="L48" s="369"/>
      <c r="M48" s="369"/>
      <c r="N48" s="376"/>
      <c r="O48" s="374"/>
      <c r="P48" s="373"/>
      <c r="Q48" s="349"/>
      <c r="R48" s="373">
        <f>IF(NOT(ISERROR(MATCH(Q48,_xlfn.ANCHORARRAY(E59),0))),P61&amp;"Por favor no seleccionar los criterios de impacto",Q48)</f>
        <v>0</v>
      </c>
      <c r="S48" s="374"/>
      <c r="T48" s="373"/>
      <c r="U48" s="360"/>
      <c r="V48" s="214">
        <v>6</v>
      </c>
      <c r="W48" s="187"/>
      <c r="X48" s="189" t="str">
        <f t="shared" si="50"/>
        <v/>
      </c>
      <c r="Y48" s="190"/>
      <c r="Z48" s="190"/>
      <c r="AA48" s="191" t="str">
        <f t="shared" si="45"/>
        <v/>
      </c>
      <c r="AB48" s="190"/>
      <c r="AC48" s="190"/>
      <c r="AD48" s="190"/>
      <c r="AE48" s="192" t="str">
        <f t="shared" si="51"/>
        <v/>
      </c>
      <c r="AF48" s="193" t="str">
        <f t="shared" si="2"/>
        <v/>
      </c>
      <c r="AG48" s="191" t="str">
        <f t="shared" si="46"/>
        <v/>
      </c>
      <c r="AH48" s="193" t="str">
        <f>IFERROR(IF(AI48="","",IF(AI48&lt;=0.2,"Leve",IF(AI48&lt;=0.4,"Menor",IF(AI48&lt;=0.6,"Moderado",IF(AI48&lt;=0.8,"Mayor","Catastrófico"))))),"")</f>
        <v/>
      </c>
      <c r="AI48" s="191" t="str">
        <f t="shared" si="13"/>
        <v/>
      </c>
      <c r="AJ48" s="194" t="str">
        <f>IFERROR(IF(OR(AND(AF48="Muy Baja",AH48="Leve"),AND(AF48="Muy Baja",AH48="Menor"),AND(AF48="Baja",AH48="Leve")),"Bajo",IF(OR(AND(AF48="Muy baja",AH48="Moderado"),AND(AF48="Baja",AH48="Menor"),AND(AF48="Baja",AH48="Moderado"),AND(AF48="Media",AH48="Leve"),AND(AF48="Media",AH48="Menor"),AND(AF48="Media",AH48="Moderado"),AND(AF48="Alta",AH48="Leve"),AND(AF48="Alta",AH48="Menor")),"Moderado",IF(OR(AND(AF48="Muy Baja",AH48="Mayor"),AND(AF48="Baja",AH48="Mayor"),AND(AF48="Media",AH48="Mayor"),AND(AF48="Alta",AH48="Moderado"),AND(AF48="Alta",AH48="Mayor"),AND(AF48="Muy Alta",AH48="Leve"),AND(AF48="Muy Alta",AH48="Menor"),AND(AF48="Muy Alta",AH48="Moderado"),AND(AF48="Muy Alta",AH48="Mayor")),"Alto",IF(OR(AND(AF48="Muy Baja",AH48="Catastrófico"),AND(AF48="Baja",AH48="Catastrófico"),AND(AF48="Media",AH48="Catastrófico"),AND(AF48="Alta",AH48="Catastrófico"),AND(AF48="Muy Alta",AH48="Catastrófico")),"Extremo","")))),"")</f>
        <v/>
      </c>
      <c r="AK48" s="195"/>
      <c r="AL48" s="186"/>
      <c r="AM48" s="196"/>
      <c r="AN48" s="196"/>
      <c r="AO48" s="197"/>
      <c r="AP48" s="376"/>
      <c r="AQ48" s="376"/>
      <c r="AR48" s="376"/>
    </row>
    <row r="49" spans="1:44" x14ac:dyDescent="0.2">
      <c r="A49" s="419">
        <v>7</v>
      </c>
      <c r="B49" s="383"/>
      <c r="C49" s="383"/>
      <c r="D49" s="422"/>
      <c r="E49" s="383"/>
      <c r="F49" s="383"/>
      <c r="G49" s="388"/>
      <c r="H49" s="388"/>
      <c r="I49" s="388"/>
      <c r="J49" s="388"/>
      <c r="K49" s="388"/>
      <c r="L49" s="388"/>
      <c r="M49" s="388"/>
      <c r="N49" s="376"/>
      <c r="O49" s="374" t="str">
        <f>IF(N49&lt;=0,"",IF(N49&lt;=2,"Muy Baja",IF(N49&lt;=24,"Baja",IF(N49&lt;=500,"Media",IF(N49&lt;=5000,"Alta","Muy Alta")))))</f>
        <v/>
      </c>
      <c r="P49" s="373" t="str">
        <f>IF(O49="","",IF(O49="Muy Baja",0.2,IF(O49="Baja",0.4,IF(O49="Media",0.6,IF(O49="Alta",0.8,IF(O49="Muy Alta",1,))))))</f>
        <v/>
      </c>
      <c r="Q49" s="349"/>
      <c r="R49" s="373">
        <f>IF(NOT(ISERROR(MATCH(Q49,'Tabla Impacto'!$B$222:$B$224,0))),'Tabla Impacto'!$F$224&amp;"Por favor no seleccionar los criterios de impacto(Afectación Económica o presupuestal y Pérdida Reputacional)",Q49)</f>
        <v>0</v>
      </c>
      <c r="S49" s="374" t="str">
        <f>IF(OR(R49='Tabla Impacto'!$C$12,R49='Tabla Impacto'!$D$12),"Leve",IF(OR(R49='Tabla Impacto'!$C$13,R49='Tabla Impacto'!$D$13),"Menor",IF(OR(R49='Tabla Impacto'!$C$14,R49='Tabla Impacto'!$D$14),"Moderado",IF(OR(R49='Tabla Impacto'!$C$15,R49='Tabla Impacto'!$D$15),"Mayor",IF(OR(R49='Tabla Impacto'!$C$16,R49='Tabla Impacto'!$D$16),"Catastrófico","")))))</f>
        <v/>
      </c>
      <c r="T49" s="373" t="str">
        <f>IF(S49="","",IF(S49="Leve",0.2,IF(S49="Menor",0.4,IF(S49="Moderado",0.6,IF(S49="Mayor",0.8,IF(S49="Catastrófico",1,))))))</f>
        <v/>
      </c>
      <c r="U49" s="360" t="str">
        <f>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
      </c>
      <c r="V49" s="214">
        <v>1</v>
      </c>
      <c r="W49" s="199"/>
      <c r="X49" s="189" t="str">
        <f>IF(OR(Y49="Preventivo",Y49="Detectivo"),"Probabilidad",IF(Y49="Correctivo","Impacto",""))</f>
        <v/>
      </c>
      <c r="Y49" s="190"/>
      <c r="Z49" s="190"/>
      <c r="AA49" s="191" t="str">
        <f>IF(AND(Y49="Preventivo",Z49="Automático"),"50%",IF(AND(Y49="Preventivo",Z49="Manual"),"40%",IF(AND(Y49="Detectivo",Z49="Automático"),"40%",IF(AND(Y49="Detectivo",Z49="Manual"),"30%",IF(AND(Y49="Correctivo",Z49="Automático"),"35%",IF(AND(Y49="Correctivo",Z49="Manual"),"25%",""))))))</f>
        <v/>
      </c>
      <c r="AB49" s="190"/>
      <c r="AC49" s="190"/>
      <c r="AD49" s="190"/>
      <c r="AE49" s="192" t="str">
        <f>IFERROR(IF(X49="Probabilidad",(P49-(+P49*AA49)),IF(X49="Impacto",P49,"")),"")</f>
        <v/>
      </c>
      <c r="AF49" s="193" t="str">
        <f>IFERROR(IF(AE49="","",IF(AE49&lt;=0.2,"Muy Baja",IF(AE49&lt;=0.4,"Baja",IF(AE49&lt;=0.6,"Media",IF(AE49&lt;=0.8,"Alta","Muy Alta"))))),"")</f>
        <v/>
      </c>
      <c r="AG49" s="191" t="str">
        <f>+AE49</f>
        <v/>
      </c>
      <c r="AH49" s="193" t="str">
        <f>IFERROR(IF(AI49="","",IF(AI49&lt;=0.2,"Leve",IF(AI49&lt;=0.4,"Menor",IF(AI49&lt;=0.6,"Moderado",IF(AI49&lt;=0.8,"Mayor","Catastrófico"))))),"")</f>
        <v/>
      </c>
      <c r="AI49" s="191" t="str">
        <f t="shared" ref="AI49" si="53">IFERROR(IF(X49="Impacto",(T49-(+T49*AA49)),IF(X49="Probabilidad",T49,"")),"")</f>
        <v/>
      </c>
      <c r="AJ49" s="194" t="str">
        <f>IFERROR(IF(OR(AND(AF49="Muy Baja",AH49="Leve"),AND(AF49="Muy Baja",AH49="Menor"),AND(AF49="Baja",AH49="Leve")),"Bajo",IF(OR(AND(AF49="Muy baja",AH49="Moderado"),AND(AF49="Baja",AH49="Menor"),AND(AF49="Baja",AH49="Moderado"),AND(AF49="Media",AH49="Leve"),AND(AF49="Media",AH49="Menor"),AND(AF49="Media",AH49="Moderado"),AND(AF49="Alta",AH49="Leve"),AND(AF49="Alta",AH49="Menor")),"Moderado",IF(OR(AND(AF49="Muy Baja",AH49="Mayor"),AND(AF49="Baja",AH49="Mayor"),AND(AF49="Media",AH49="Mayor"),AND(AF49="Alta",AH49="Moderado"),AND(AF49="Alta",AH49="Mayor"),AND(AF49="Muy Alta",AH49="Leve"),AND(AF49="Muy Alta",AH49="Menor"),AND(AF49="Muy Alta",AH49="Moderado"),AND(AF49="Muy Alta",AH49="Mayor")),"Alto",IF(OR(AND(AF49="Muy Baja",AH49="Catastrófico"),AND(AF49="Baja",AH49="Catastrófico"),AND(AF49="Media",AH49="Catastrófico"),AND(AF49="Alta",AH49="Catastrófico"),AND(AF49="Muy Alta",AH49="Catastrófico")),"Extremo","")))),"")</f>
        <v/>
      </c>
      <c r="AK49" s="195"/>
      <c r="AL49" s="186"/>
      <c r="AM49" s="196"/>
      <c r="AN49" s="196"/>
      <c r="AO49" s="197"/>
      <c r="AP49" s="376"/>
      <c r="AQ49" s="376"/>
      <c r="AR49" s="376"/>
    </row>
    <row r="50" spans="1:44" x14ac:dyDescent="0.2">
      <c r="A50" s="419"/>
      <c r="B50" s="383"/>
      <c r="C50" s="383"/>
      <c r="D50" s="422"/>
      <c r="E50" s="383"/>
      <c r="F50" s="383"/>
      <c r="G50" s="358"/>
      <c r="H50" s="358"/>
      <c r="I50" s="358"/>
      <c r="J50" s="358"/>
      <c r="K50" s="358"/>
      <c r="L50" s="358"/>
      <c r="M50" s="358"/>
      <c r="N50" s="376"/>
      <c r="O50" s="374"/>
      <c r="P50" s="373"/>
      <c r="Q50" s="349"/>
      <c r="R50" s="373">
        <f>IF(NOT(ISERROR(MATCH(Q50,_xlfn.ANCHORARRAY(E61),0))),P63&amp;"Por favor no seleccionar los criterios de impacto",Q50)</f>
        <v>0</v>
      </c>
      <c r="S50" s="374"/>
      <c r="T50" s="373"/>
      <c r="U50" s="360"/>
      <c r="V50" s="214">
        <v>2</v>
      </c>
      <c r="W50" s="187"/>
      <c r="X50" s="189" t="str">
        <f>IF(OR(Y50="Preventivo",Y50="Detectivo"),"Probabilidad",IF(Y50="Correctivo","Impacto",""))</f>
        <v/>
      </c>
      <c r="Y50" s="190"/>
      <c r="Z50" s="190"/>
      <c r="AA50" s="191" t="str">
        <f t="shared" ref="AA50:AA54" si="54">IF(AND(Y50="Preventivo",Z50="Automático"),"50%",IF(AND(Y50="Preventivo",Z50="Manual"),"40%",IF(AND(Y50="Detectivo",Z50="Automático"),"40%",IF(AND(Y50="Detectivo",Z50="Manual"),"30%",IF(AND(Y50="Correctivo",Z50="Automático"),"35%",IF(AND(Y50="Correctivo",Z50="Manual"),"25%",""))))))</f>
        <v/>
      </c>
      <c r="AB50" s="190"/>
      <c r="AC50" s="190"/>
      <c r="AD50" s="190"/>
      <c r="AE50" s="192" t="str">
        <f>IFERROR(IF(AND(X49="Probabilidad",X50="Probabilidad"),(AG49-(+AG49*AA50)),IF(X50="Probabilidad",(P49-(+P49*AA50)),IF(X50="Impacto",AG49,""))),"")</f>
        <v/>
      </c>
      <c r="AF50" s="193" t="str">
        <f t="shared" si="2"/>
        <v/>
      </c>
      <c r="AG50" s="191" t="str">
        <f t="shared" ref="AG50:AG54" si="55">+AE50</f>
        <v/>
      </c>
      <c r="AH50" s="193" t="str">
        <f t="shared" si="4"/>
        <v/>
      </c>
      <c r="AI50" s="191" t="str">
        <f t="shared" ref="AI50" si="56">IFERROR(IF(AND(X49="Impacto",X50="Impacto"),(AI49-(+AI49*AA50)),IF(X50="Impacto",($T$13-(+$T$13*AA50)),IF(X50="Probabilidad",AI49,""))),"")</f>
        <v/>
      </c>
      <c r="AJ50" s="194" t="str">
        <f t="shared" ref="AJ50:AJ51" si="57">IFERROR(IF(OR(AND(AF50="Muy Baja",AH50="Leve"),AND(AF50="Muy Baja",AH50="Menor"),AND(AF50="Baja",AH50="Leve")),"Bajo",IF(OR(AND(AF50="Muy baja",AH50="Moderado"),AND(AF50="Baja",AH50="Menor"),AND(AF50="Baja",AH50="Moderado"),AND(AF50="Media",AH50="Leve"),AND(AF50="Media",AH50="Menor"),AND(AF50="Media",AH50="Moderado"),AND(AF50="Alta",AH50="Leve"),AND(AF50="Alta",AH50="Menor")),"Moderado",IF(OR(AND(AF50="Muy Baja",AH50="Mayor"),AND(AF50="Baja",AH50="Mayor"),AND(AF50="Media",AH50="Mayor"),AND(AF50="Alta",AH50="Moderado"),AND(AF50="Alta",AH50="Mayor"),AND(AF50="Muy Alta",AH50="Leve"),AND(AF50="Muy Alta",AH50="Menor"),AND(AF50="Muy Alta",AH50="Moderado"),AND(AF50="Muy Alta",AH50="Mayor")),"Alto",IF(OR(AND(AF50="Muy Baja",AH50="Catastrófico"),AND(AF50="Baja",AH50="Catastrófico"),AND(AF50="Media",AH50="Catastrófico"),AND(AF50="Alta",AH50="Catastrófico"),AND(AF50="Muy Alta",AH50="Catastrófico")),"Extremo","")))),"")</f>
        <v/>
      </c>
      <c r="AK50" s="195"/>
      <c r="AL50" s="186"/>
      <c r="AM50" s="196"/>
      <c r="AN50" s="196"/>
      <c r="AO50" s="197"/>
      <c r="AP50" s="376"/>
      <c r="AQ50" s="376"/>
      <c r="AR50" s="376"/>
    </row>
    <row r="51" spans="1:44" x14ac:dyDescent="0.2">
      <c r="A51" s="419"/>
      <c r="B51" s="383"/>
      <c r="C51" s="383"/>
      <c r="D51" s="422"/>
      <c r="E51" s="383"/>
      <c r="F51" s="383"/>
      <c r="G51" s="358"/>
      <c r="H51" s="358"/>
      <c r="I51" s="358"/>
      <c r="J51" s="358"/>
      <c r="K51" s="358"/>
      <c r="L51" s="358"/>
      <c r="M51" s="358"/>
      <c r="N51" s="376"/>
      <c r="O51" s="374"/>
      <c r="P51" s="373"/>
      <c r="Q51" s="349"/>
      <c r="R51" s="373">
        <f>IF(NOT(ISERROR(MATCH(Q51,_xlfn.ANCHORARRAY(E62),0))),P64&amp;"Por favor no seleccionar los criterios de impacto",Q51)</f>
        <v>0</v>
      </c>
      <c r="S51" s="374"/>
      <c r="T51" s="373"/>
      <c r="U51" s="360"/>
      <c r="V51" s="214">
        <v>3</v>
      </c>
      <c r="W51" s="188"/>
      <c r="X51" s="189" t="str">
        <f>IF(OR(Y51="Preventivo",Y51="Detectivo"),"Probabilidad",IF(Y51="Correctivo","Impacto",""))</f>
        <v/>
      </c>
      <c r="Y51" s="190"/>
      <c r="Z51" s="190"/>
      <c r="AA51" s="191" t="str">
        <f t="shared" si="54"/>
        <v/>
      </c>
      <c r="AB51" s="190"/>
      <c r="AC51" s="190"/>
      <c r="AD51" s="190"/>
      <c r="AE51" s="192" t="str">
        <f>IFERROR(IF(AND(X50="Probabilidad",X51="Probabilidad"),(AG50-(+AG50*AA51)),IF(AND(X50="Impacto",X51="Probabilidad"),(AG49-(+AG49*AA51)),IF(X51="Impacto",AG50,""))),"")</f>
        <v/>
      </c>
      <c r="AF51" s="193" t="str">
        <f t="shared" si="2"/>
        <v/>
      </c>
      <c r="AG51" s="191" t="str">
        <f t="shared" si="55"/>
        <v/>
      </c>
      <c r="AH51" s="193" t="str">
        <f t="shared" si="4"/>
        <v/>
      </c>
      <c r="AI51" s="191" t="str">
        <f t="shared" ref="AI51" si="58">IFERROR(IF(AND(X50="Impacto",X51="Impacto"),(AI50-(+AI50*AA51)),IF(AND(X50="Probabilidad",X51="Impacto"),(AI49-(+AI49*AA51)),IF(X51="Probabilidad",AI50,""))),"")</f>
        <v/>
      </c>
      <c r="AJ51" s="194" t="str">
        <f t="shared" si="57"/>
        <v/>
      </c>
      <c r="AK51" s="195"/>
      <c r="AL51" s="186"/>
      <c r="AM51" s="196"/>
      <c r="AN51" s="196"/>
      <c r="AO51" s="197"/>
      <c r="AP51" s="376"/>
      <c r="AQ51" s="376"/>
      <c r="AR51" s="376"/>
    </row>
    <row r="52" spans="1:44" x14ac:dyDescent="0.2">
      <c r="A52" s="419"/>
      <c r="B52" s="383"/>
      <c r="C52" s="383"/>
      <c r="D52" s="422"/>
      <c r="E52" s="383"/>
      <c r="F52" s="383"/>
      <c r="G52" s="358"/>
      <c r="H52" s="358"/>
      <c r="I52" s="358"/>
      <c r="J52" s="358"/>
      <c r="K52" s="358"/>
      <c r="L52" s="358"/>
      <c r="M52" s="358"/>
      <c r="N52" s="376"/>
      <c r="O52" s="374"/>
      <c r="P52" s="373"/>
      <c r="Q52" s="349"/>
      <c r="R52" s="373">
        <f>IF(NOT(ISERROR(MATCH(Q52,_xlfn.ANCHORARRAY(E63),0))),P65&amp;"Por favor no seleccionar los criterios de impacto",Q52)</f>
        <v>0</v>
      </c>
      <c r="S52" s="374"/>
      <c r="T52" s="373"/>
      <c r="U52" s="360"/>
      <c r="V52" s="214">
        <v>4</v>
      </c>
      <c r="W52" s="187"/>
      <c r="X52" s="189" t="str">
        <f t="shared" ref="X52:X54" si="59">IF(OR(Y52="Preventivo",Y52="Detectivo"),"Probabilidad",IF(Y52="Correctivo","Impacto",""))</f>
        <v/>
      </c>
      <c r="Y52" s="190"/>
      <c r="Z52" s="190"/>
      <c r="AA52" s="191" t="str">
        <f t="shared" si="54"/>
        <v/>
      </c>
      <c r="AB52" s="190"/>
      <c r="AC52" s="190"/>
      <c r="AD52" s="190"/>
      <c r="AE52" s="192" t="str">
        <f t="shared" ref="AE52:AE54" si="60">IFERROR(IF(AND(X51="Probabilidad",X52="Probabilidad"),(AG51-(+AG51*AA52)),IF(AND(X51="Impacto",X52="Probabilidad"),(AG50-(+AG50*AA52)),IF(X52="Impacto",AG51,""))),"")</f>
        <v/>
      </c>
      <c r="AF52" s="193" t="str">
        <f t="shared" si="2"/>
        <v/>
      </c>
      <c r="AG52" s="191" t="str">
        <f t="shared" si="55"/>
        <v/>
      </c>
      <c r="AH52" s="193" t="str">
        <f t="shared" si="4"/>
        <v/>
      </c>
      <c r="AI52" s="191" t="str">
        <f t="shared" si="13"/>
        <v/>
      </c>
      <c r="AJ52" s="194" t="str">
        <f>IFERROR(IF(OR(AND(AF52="Muy Baja",AH52="Leve"),AND(AF52="Muy Baja",AH52="Menor"),AND(AF52="Baja",AH52="Leve")),"Bajo",IF(OR(AND(AF52="Muy baja",AH52="Moderado"),AND(AF52="Baja",AH52="Menor"),AND(AF52="Baja",AH52="Moderado"),AND(AF52="Media",AH52="Leve"),AND(AF52="Media",AH52="Menor"),AND(AF52="Media",AH52="Moderado"),AND(AF52="Alta",AH52="Leve"),AND(AF52="Alta",AH52="Menor")),"Moderado",IF(OR(AND(AF52="Muy Baja",AH52="Mayor"),AND(AF52="Baja",AH52="Mayor"),AND(AF52="Media",AH52="Mayor"),AND(AF52="Alta",AH52="Moderado"),AND(AF52="Alta",AH52="Mayor"),AND(AF52="Muy Alta",AH52="Leve"),AND(AF52="Muy Alta",AH52="Menor"),AND(AF52="Muy Alta",AH52="Moderado"),AND(AF52="Muy Alta",AH52="Mayor")),"Alto",IF(OR(AND(AF52="Muy Baja",AH52="Catastrófico"),AND(AF52="Baja",AH52="Catastrófico"),AND(AF52="Media",AH52="Catastrófico"),AND(AF52="Alta",AH52="Catastrófico"),AND(AF52="Muy Alta",AH52="Catastrófico")),"Extremo","")))),"")</f>
        <v/>
      </c>
      <c r="AK52" s="195"/>
      <c r="AL52" s="186"/>
      <c r="AM52" s="196"/>
      <c r="AN52" s="196"/>
      <c r="AO52" s="197"/>
      <c r="AP52" s="376"/>
      <c r="AQ52" s="376"/>
      <c r="AR52" s="376"/>
    </row>
    <row r="53" spans="1:44" x14ac:dyDescent="0.2">
      <c r="A53" s="419"/>
      <c r="B53" s="383"/>
      <c r="C53" s="383"/>
      <c r="D53" s="422"/>
      <c r="E53" s="383"/>
      <c r="F53" s="383"/>
      <c r="G53" s="358"/>
      <c r="H53" s="358"/>
      <c r="I53" s="358"/>
      <c r="J53" s="358"/>
      <c r="K53" s="358"/>
      <c r="L53" s="358"/>
      <c r="M53" s="358"/>
      <c r="N53" s="376"/>
      <c r="O53" s="374"/>
      <c r="P53" s="373"/>
      <c r="Q53" s="349"/>
      <c r="R53" s="373">
        <f>IF(NOT(ISERROR(MATCH(Q53,_xlfn.ANCHORARRAY(E64),0))),P66&amp;"Por favor no seleccionar los criterios de impacto",Q53)</f>
        <v>0</v>
      </c>
      <c r="S53" s="374"/>
      <c r="T53" s="373"/>
      <c r="U53" s="360"/>
      <c r="V53" s="214">
        <v>5</v>
      </c>
      <c r="W53" s="187"/>
      <c r="X53" s="189" t="str">
        <f t="shared" si="59"/>
        <v/>
      </c>
      <c r="Y53" s="190"/>
      <c r="Z53" s="190"/>
      <c r="AA53" s="191" t="str">
        <f t="shared" si="54"/>
        <v/>
      </c>
      <c r="AB53" s="190"/>
      <c r="AC53" s="190"/>
      <c r="AD53" s="190"/>
      <c r="AE53" s="192" t="str">
        <f t="shared" si="60"/>
        <v/>
      </c>
      <c r="AF53" s="193" t="str">
        <f t="shared" si="2"/>
        <v/>
      </c>
      <c r="AG53" s="191" t="str">
        <f t="shared" si="55"/>
        <v/>
      </c>
      <c r="AH53" s="193" t="str">
        <f t="shared" si="4"/>
        <v/>
      </c>
      <c r="AI53" s="191" t="str">
        <f t="shared" si="13"/>
        <v/>
      </c>
      <c r="AJ53" s="194" t="str">
        <f t="shared" ref="AJ53:AJ54" si="61">IFERROR(IF(OR(AND(AF53="Muy Baja",AH53="Leve"),AND(AF53="Muy Baja",AH53="Menor"),AND(AF53="Baja",AH53="Leve")),"Bajo",IF(OR(AND(AF53="Muy baja",AH53="Moderado"),AND(AF53="Baja",AH53="Menor"),AND(AF53="Baja",AH53="Moderado"),AND(AF53="Media",AH53="Leve"),AND(AF53="Media",AH53="Menor"),AND(AF53="Media",AH53="Moderado"),AND(AF53="Alta",AH53="Leve"),AND(AF53="Alta",AH53="Menor")),"Moderado",IF(OR(AND(AF53="Muy Baja",AH53="Mayor"),AND(AF53="Baja",AH53="Mayor"),AND(AF53="Media",AH53="Mayor"),AND(AF53="Alta",AH53="Moderado"),AND(AF53="Alta",AH53="Mayor"),AND(AF53="Muy Alta",AH53="Leve"),AND(AF53="Muy Alta",AH53="Menor"),AND(AF53="Muy Alta",AH53="Moderado"),AND(AF53="Muy Alta",AH53="Mayor")),"Alto",IF(OR(AND(AF53="Muy Baja",AH53="Catastrófico"),AND(AF53="Baja",AH53="Catastrófico"),AND(AF53="Media",AH53="Catastrófico"),AND(AF53="Alta",AH53="Catastrófico"),AND(AF53="Muy Alta",AH53="Catastrófico")),"Extremo","")))),"")</f>
        <v/>
      </c>
      <c r="AK53" s="195"/>
      <c r="AL53" s="186"/>
      <c r="AM53" s="196"/>
      <c r="AN53" s="196"/>
      <c r="AO53" s="197"/>
      <c r="AP53" s="376"/>
      <c r="AQ53" s="376"/>
      <c r="AR53" s="376"/>
    </row>
    <row r="54" spans="1:44" x14ac:dyDescent="0.2">
      <c r="A54" s="419"/>
      <c r="B54" s="383"/>
      <c r="C54" s="383"/>
      <c r="D54" s="422"/>
      <c r="E54" s="383"/>
      <c r="F54" s="383"/>
      <c r="G54" s="369"/>
      <c r="H54" s="369"/>
      <c r="I54" s="369"/>
      <c r="J54" s="369"/>
      <c r="K54" s="369"/>
      <c r="L54" s="369"/>
      <c r="M54" s="369"/>
      <c r="N54" s="376"/>
      <c r="O54" s="374"/>
      <c r="P54" s="373"/>
      <c r="Q54" s="349"/>
      <c r="R54" s="373">
        <f>IF(NOT(ISERROR(MATCH(Q54,_xlfn.ANCHORARRAY(E65),0))),P67&amp;"Por favor no seleccionar los criterios de impacto",Q54)</f>
        <v>0</v>
      </c>
      <c r="S54" s="374"/>
      <c r="T54" s="373"/>
      <c r="U54" s="360"/>
      <c r="V54" s="214">
        <v>6</v>
      </c>
      <c r="W54" s="187"/>
      <c r="X54" s="189" t="str">
        <f t="shared" si="59"/>
        <v/>
      </c>
      <c r="Y54" s="190"/>
      <c r="Z54" s="190"/>
      <c r="AA54" s="191" t="str">
        <f t="shared" si="54"/>
        <v/>
      </c>
      <c r="AB54" s="190"/>
      <c r="AC54" s="190"/>
      <c r="AD54" s="190"/>
      <c r="AE54" s="192" t="str">
        <f t="shared" si="60"/>
        <v/>
      </c>
      <c r="AF54" s="193" t="str">
        <f t="shared" si="2"/>
        <v/>
      </c>
      <c r="AG54" s="191" t="str">
        <f t="shared" si="55"/>
        <v/>
      </c>
      <c r="AH54" s="193" t="str">
        <f t="shared" si="4"/>
        <v/>
      </c>
      <c r="AI54" s="191" t="str">
        <f t="shared" si="13"/>
        <v/>
      </c>
      <c r="AJ54" s="194" t="str">
        <f t="shared" si="61"/>
        <v/>
      </c>
      <c r="AK54" s="195"/>
      <c r="AL54" s="186"/>
      <c r="AM54" s="196"/>
      <c r="AN54" s="196"/>
      <c r="AO54" s="197"/>
      <c r="AP54" s="376"/>
      <c r="AQ54" s="376"/>
      <c r="AR54" s="376"/>
    </row>
    <row r="55" spans="1:44" x14ac:dyDescent="0.2">
      <c r="A55" s="419">
        <v>8</v>
      </c>
      <c r="B55" s="383"/>
      <c r="C55" s="383"/>
      <c r="D55" s="383"/>
      <c r="E55" s="383"/>
      <c r="F55" s="383"/>
      <c r="G55" s="388"/>
      <c r="H55" s="388"/>
      <c r="I55" s="388"/>
      <c r="J55" s="388"/>
      <c r="K55" s="388"/>
      <c r="L55" s="388"/>
      <c r="M55" s="388"/>
      <c r="N55" s="376"/>
      <c r="O55" s="374" t="str">
        <f>IF(N55&lt;=0,"",IF(N55&lt;=2,"Muy Baja",IF(N55&lt;=24,"Baja",IF(N55&lt;=500,"Media",IF(N55&lt;=5000,"Alta","Muy Alta")))))</f>
        <v/>
      </c>
      <c r="P55" s="373" t="str">
        <f>IF(O55="","",IF(O55="Muy Baja",0.2,IF(O55="Baja",0.4,IF(O55="Media",0.6,IF(O55="Alta",0.8,IF(O55="Muy Alta",1,))))))</f>
        <v/>
      </c>
      <c r="Q55" s="349"/>
      <c r="R55" s="373">
        <f>IF(NOT(ISERROR(MATCH(Q55,'Tabla Impacto'!$B$222:$B$224,0))),'Tabla Impacto'!$F$224&amp;"Por favor no seleccionar los criterios de impacto(Afectación Económica o presupuestal y Pérdida Reputacional)",Q55)</f>
        <v>0</v>
      </c>
      <c r="S55" s="374" t="str">
        <f>IF(OR(R55='Tabla Impacto'!$C$12,R55='Tabla Impacto'!$D$12),"Leve",IF(OR(R55='Tabla Impacto'!$C$13,R55='Tabla Impacto'!$D$13),"Menor",IF(OR(R55='Tabla Impacto'!$C$14,R55='Tabla Impacto'!$D$14),"Moderado",IF(OR(R55='Tabla Impacto'!$C$15,R55='Tabla Impacto'!$D$15),"Mayor",IF(OR(R55='Tabla Impacto'!$C$16,R55='Tabla Impacto'!$D$16),"Catastrófico","")))))</f>
        <v/>
      </c>
      <c r="T55" s="373" t="str">
        <f>IF(S55="","",IF(S55="Leve",0.2,IF(S55="Menor",0.4,IF(S55="Moderado",0.6,IF(S55="Mayor",0.8,IF(S55="Catastrófico",1,))))))</f>
        <v/>
      </c>
      <c r="U55" s="360" t="str">
        <f>IF(OR(AND(O55="Muy Baja",S55="Leve"),AND(O55="Muy Baja",S55="Menor"),AND(O55="Baja",S55="Leve")),"Bajo",IF(OR(AND(O55="Muy baja",S55="Moderado"),AND(O55="Baja",S55="Menor"),AND(O55="Baja",S55="Moderado"),AND(O55="Media",S55="Leve"),AND(O55="Media",S55="Menor"),AND(O55="Media",S55="Moderado"),AND(O55="Alta",S55="Leve"),AND(O55="Alta",S55="Menor")),"Moderado",IF(OR(AND(O55="Muy Baja",S55="Mayor"),AND(O55="Baja",S55="Mayor"),AND(O55="Media",S55="Mayor"),AND(O55="Alta",S55="Moderado"),AND(O55="Alta",S55="Mayor"),AND(O55="Muy Alta",S55="Leve"),AND(O55="Muy Alta",S55="Menor"),AND(O55="Muy Alta",S55="Moderado"),AND(O55="Muy Alta",S55="Mayor")),"Alto",IF(OR(AND(O55="Muy Baja",S55="Catastrófico"),AND(O55="Baja",S55="Catastrófico"),AND(O55="Media",S55="Catastrófico"),AND(O55="Alta",S55="Catastrófico"),AND(O55="Muy Alta",S55="Catastrófico")),"Extremo",""))))</f>
        <v/>
      </c>
      <c r="V55" s="214">
        <v>1</v>
      </c>
      <c r="W55" s="187"/>
      <c r="X55" s="189" t="str">
        <f>IF(OR(Y55="Preventivo",Y55="Detectivo"),"Probabilidad",IF(Y55="Correctivo","Impacto",""))</f>
        <v/>
      </c>
      <c r="Y55" s="190"/>
      <c r="Z55" s="190"/>
      <c r="AA55" s="191" t="str">
        <f>IF(AND(Y55="Preventivo",Z55="Automático"),"50%",IF(AND(Y55="Preventivo",Z55="Manual"),"40%",IF(AND(Y55="Detectivo",Z55="Automático"),"40%",IF(AND(Y55="Detectivo",Z55="Manual"),"30%",IF(AND(Y55="Correctivo",Z55="Automático"),"35%",IF(AND(Y55="Correctivo",Z55="Manual"),"25%",""))))))</f>
        <v/>
      </c>
      <c r="AB55" s="190"/>
      <c r="AC55" s="190"/>
      <c r="AD55" s="190"/>
      <c r="AE55" s="192" t="str">
        <f>IFERROR(IF(X55="Probabilidad",(P55-(+P55*AA55)),IF(X55="Impacto",P55,"")),"")</f>
        <v/>
      </c>
      <c r="AF55" s="193" t="str">
        <f>IFERROR(IF(AE55="","",IF(AE55&lt;=0.2,"Muy Baja",IF(AE55&lt;=0.4,"Baja",IF(AE55&lt;=0.6,"Media",IF(AE55&lt;=0.8,"Alta","Muy Alta"))))),"")</f>
        <v/>
      </c>
      <c r="AG55" s="191" t="str">
        <f>+AE55</f>
        <v/>
      </c>
      <c r="AH55" s="193" t="str">
        <f>IFERROR(IF(AI55="","",IF(AI55&lt;=0.2,"Leve",IF(AI55&lt;=0.4,"Menor",IF(AI55&lt;=0.6,"Moderado",IF(AI55&lt;=0.8,"Mayor","Catastrófico"))))),"")</f>
        <v/>
      </c>
      <c r="AI55" s="191" t="str">
        <f t="shared" ref="AI55" si="62">IFERROR(IF(X55="Impacto",(T55-(+T55*AA55)),IF(X55="Probabilidad",T55,"")),"")</f>
        <v/>
      </c>
      <c r="AJ55" s="194" t="str">
        <f>IFERROR(IF(OR(AND(AF55="Muy Baja",AH55="Leve"),AND(AF55="Muy Baja",AH55="Menor"),AND(AF55="Baja",AH55="Leve")),"Bajo",IF(OR(AND(AF55="Muy baja",AH55="Moderado"),AND(AF55="Baja",AH55="Menor"),AND(AF55="Baja",AH55="Moderado"),AND(AF55="Media",AH55="Leve"),AND(AF55="Media",AH55="Menor"),AND(AF55="Media",AH55="Moderado"),AND(AF55="Alta",AH55="Leve"),AND(AF55="Alta",AH55="Menor")),"Moderado",IF(OR(AND(AF55="Muy Baja",AH55="Mayor"),AND(AF55="Baja",AH55="Mayor"),AND(AF55="Media",AH55="Mayor"),AND(AF55="Alta",AH55="Moderado"),AND(AF55="Alta",AH55="Mayor"),AND(AF55="Muy Alta",AH55="Leve"),AND(AF55="Muy Alta",AH55="Menor"),AND(AF55="Muy Alta",AH55="Moderado"),AND(AF55="Muy Alta",AH55="Mayor")),"Alto",IF(OR(AND(AF55="Muy Baja",AH55="Catastrófico"),AND(AF55="Baja",AH55="Catastrófico"),AND(AF55="Media",AH55="Catastrófico"),AND(AF55="Alta",AH55="Catastrófico"),AND(AF55="Muy Alta",AH55="Catastrófico")),"Extremo","")))),"")</f>
        <v/>
      </c>
      <c r="AK55" s="195"/>
      <c r="AL55" s="186"/>
      <c r="AM55" s="196"/>
      <c r="AN55" s="196"/>
      <c r="AO55" s="197"/>
      <c r="AP55" s="376"/>
      <c r="AQ55" s="376"/>
      <c r="AR55" s="376"/>
    </row>
    <row r="56" spans="1:44" x14ac:dyDescent="0.2">
      <c r="A56" s="419"/>
      <c r="B56" s="383"/>
      <c r="C56" s="383"/>
      <c r="D56" s="383"/>
      <c r="E56" s="383"/>
      <c r="F56" s="383"/>
      <c r="G56" s="358"/>
      <c r="H56" s="358"/>
      <c r="I56" s="358"/>
      <c r="J56" s="358"/>
      <c r="K56" s="358"/>
      <c r="L56" s="358"/>
      <c r="M56" s="358"/>
      <c r="N56" s="376"/>
      <c r="O56" s="374"/>
      <c r="P56" s="373"/>
      <c r="Q56" s="349"/>
      <c r="R56" s="373">
        <f>IF(NOT(ISERROR(MATCH(Q56,_xlfn.ANCHORARRAY(E67),0))),P69&amp;"Por favor no seleccionar los criterios de impacto",Q56)</f>
        <v>0</v>
      </c>
      <c r="S56" s="374"/>
      <c r="T56" s="373"/>
      <c r="U56" s="360"/>
      <c r="V56" s="214">
        <v>2</v>
      </c>
      <c r="W56" s="187"/>
      <c r="X56" s="189" t="str">
        <f>IF(OR(Y56="Preventivo",Y56="Detectivo"),"Probabilidad",IF(Y56="Correctivo","Impacto",""))</f>
        <v/>
      </c>
      <c r="Y56" s="190"/>
      <c r="Z56" s="190"/>
      <c r="AA56" s="191" t="str">
        <f t="shared" ref="AA56:AA60" si="63">IF(AND(Y56="Preventivo",Z56="Automático"),"50%",IF(AND(Y56="Preventivo",Z56="Manual"),"40%",IF(AND(Y56="Detectivo",Z56="Automático"),"40%",IF(AND(Y56="Detectivo",Z56="Manual"),"30%",IF(AND(Y56="Correctivo",Z56="Automático"),"35%",IF(AND(Y56="Correctivo",Z56="Manual"),"25%",""))))))</f>
        <v/>
      </c>
      <c r="AB56" s="190"/>
      <c r="AC56" s="190"/>
      <c r="AD56" s="190"/>
      <c r="AE56" s="192" t="str">
        <f>IFERROR(IF(AND(X55="Probabilidad",X56="Probabilidad"),(AG55-(+AG55*AA56)),IF(X56="Probabilidad",(P55-(+P55*AA56)),IF(X56="Impacto",AG55,""))),"")</f>
        <v/>
      </c>
      <c r="AF56" s="193" t="str">
        <f t="shared" si="2"/>
        <v/>
      </c>
      <c r="AG56" s="191" t="str">
        <f t="shared" ref="AG56:AG60" si="64">+AE56</f>
        <v/>
      </c>
      <c r="AH56" s="193" t="str">
        <f t="shared" si="4"/>
        <v/>
      </c>
      <c r="AI56" s="191" t="str">
        <f t="shared" ref="AI56" si="65">IFERROR(IF(AND(X55="Impacto",X56="Impacto"),(AI55-(+AI55*AA56)),IF(X56="Impacto",($T$13-(+$T$13*AA56)),IF(X56="Probabilidad",AI55,""))),"")</f>
        <v/>
      </c>
      <c r="AJ56" s="194" t="str">
        <f t="shared" ref="AJ56:AJ57" si="66">IFERROR(IF(OR(AND(AF56="Muy Baja",AH56="Leve"),AND(AF56="Muy Baja",AH56="Menor"),AND(AF56="Baja",AH56="Leve")),"Bajo",IF(OR(AND(AF56="Muy baja",AH56="Moderado"),AND(AF56="Baja",AH56="Menor"),AND(AF56="Baja",AH56="Moderado"),AND(AF56="Media",AH56="Leve"),AND(AF56="Media",AH56="Menor"),AND(AF56="Media",AH56="Moderado"),AND(AF56="Alta",AH56="Leve"),AND(AF56="Alta",AH56="Menor")),"Moderado",IF(OR(AND(AF56="Muy Baja",AH56="Mayor"),AND(AF56="Baja",AH56="Mayor"),AND(AF56="Media",AH56="Mayor"),AND(AF56="Alta",AH56="Moderado"),AND(AF56="Alta",AH56="Mayor"),AND(AF56="Muy Alta",AH56="Leve"),AND(AF56="Muy Alta",AH56="Menor"),AND(AF56="Muy Alta",AH56="Moderado"),AND(AF56="Muy Alta",AH56="Mayor")),"Alto",IF(OR(AND(AF56="Muy Baja",AH56="Catastrófico"),AND(AF56="Baja",AH56="Catastrófico"),AND(AF56="Media",AH56="Catastrófico"),AND(AF56="Alta",AH56="Catastrófico"),AND(AF56="Muy Alta",AH56="Catastrófico")),"Extremo","")))),"")</f>
        <v/>
      </c>
      <c r="AK56" s="195"/>
      <c r="AL56" s="186"/>
      <c r="AM56" s="196"/>
      <c r="AN56" s="196"/>
      <c r="AO56" s="197"/>
      <c r="AP56" s="376"/>
      <c r="AQ56" s="376"/>
      <c r="AR56" s="376"/>
    </row>
    <row r="57" spans="1:44" x14ac:dyDescent="0.2">
      <c r="A57" s="419"/>
      <c r="B57" s="383"/>
      <c r="C57" s="383"/>
      <c r="D57" s="383"/>
      <c r="E57" s="383"/>
      <c r="F57" s="383"/>
      <c r="G57" s="358"/>
      <c r="H57" s="358"/>
      <c r="I57" s="358"/>
      <c r="J57" s="358"/>
      <c r="K57" s="358"/>
      <c r="L57" s="358"/>
      <c r="M57" s="358"/>
      <c r="N57" s="376"/>
      <c r="O57" s="374"/>
      <c r="P57" s="373"/>
      <c r="Q57" s="349"/>
      <c r="R57" s="373">
        <f>IF(NOT(ISERROR(MATCH(Q57,_xlfn.ANCHORARRAY(E68),0))),P70&amp;"Por favor no seleccionar los criterios de impacto",Q57)</f>
        <v>0</v>
      </c>
      <c r="S57" s="374"/>
      <c r="T57" s="373"/>
      <c r="U57" s="360"/>
      <c r="V57" s="214">
        <v>3</v>
      </c>
      <c r="W57" s="188"/>
      <c r="X57" s="189" t="str">
        <f>IF(OR(Y57="Preventivo",Y57="Detectivo"),"Probabilidad",IF(Y57="Correctivo","Impacto",""))</f>
        <v/>
      </c>
      <c r="Y57" s="190"/>
      <c r="Z57" s="190"/>
      <c r="AA57" s="191" t="str">
        <f t="shared" si="63"/>
        <v/>
      </c>
      <c r="AB57" s="190"/>
      <c r="AC57" s="190"/>
      <c r="AD57" s="190"/>
      <c r="AE57" s="192" t="str">
        <f>IFERROR(IF(AND(X56="Probabilidad",X57="Probabilidad"),(AG56-(+AG56*AA57)),IF(AND(X56="Impacto",X57="Probabilidad"),(AG55-(+AG55*AA57)),IF(X57="Impacto",AG56,""))),"")</f>
        <v/>
      </c>
      <c r="AF57" s="193" t="str">
        <f t="shared" si="2"/>
        <v/>
      </c>
      <c r="AG57" s="191" t="str">
        <f t="shared" si="64"/>
        <v/>
      </c>
      <c r="AH57" s="193" t="str">
        <f t="shared" si="4"/>
        <v/>
      </c>
      <c r="AI57" s="191" t="str">
        <f t="shared" ref="AI57" si="67">IFERROR(IF(AND(X56="Impacto",X57="Impacto"),(AI56-(+AI56*AA57)),IF(AND(X56="Probabilidad",X57="Impacto"),(AI55-(+AI55*AA57)),IF(X57="Probabilidad",AI56,""))),"")</f>
        <v/>
      </c>
      <c r="AJ57" s="194" t="str">
        <f t="shared" si="66"/>
        <v/>
      </c>
      <c r="AK57" s="195"/>
      <c r="AL57" s="186"/>
      <c r="AM57" s="196"/>
      <c r="AN57" s="196"/>
      <c r="AO57" s="197"/>
      <c r="AP57" s="376"/>
      <c r="AQ57" s="376"/>
      <c r="AR57" s="376"/>
    </row>
    <row r="58" spans="1:44" x14ac:dyDescent="0.2">
      <c r="A58" s="419"/>
      <c r="B58" s="383"/>
      <c r="C58" s="383"/>
      <c r="D58" s="383"/>
      <c r="E58" s="383"/>
      <c r="F58" s="383"/>
      <c r="G58" s="358"/>
      <c r="H58" s="358"/>
      <c r="I58" s="358"/>
      <c r="J58" s="358"/>
      <c r="K58" s="358"/>
      <c r="L58" s="358"/>
      <c r="M58" s="358"/>
      <c r="N58" s="376"/>
      <c r="O58" s="374"/>
      <c r="P58" s="373"/>
      <c r="Q58" s="349"/>
      <c r="R58" s="373">
        <f>IF(NOT(ISERROR(MATCH(Q58,_xlfn.ANCHORARRAY(E69),0))),P71&amp;"Por favor no seleccionar los criterios de impacto",Q58)</f>
        <v>0</v>
      </c>
      <c r="S58" s="374"/>
      <c r="T58" s="373"/>
      <c r="U58" s="360"/>
      <c r="V58" s="214">
        <v>4</v>
      </c>
      <c r="W58" s="187"/>
      <c r="X58" s="189" t="str">
        <f t="shared" ref="X58:X60" si="68">IF(OR(Y58="Preventivo",Y58="Detectivo"),"Probabilidad",IF(Y58="Correctivo","Impacto",""))</f>
        <v/>
      </c>
      <c r="Y58" s="190"/>
      <c r="Z58" s="190"/>
      <c r="AA58" s="191" t="str">
        <f t="shared" si="63"/>
        <v/>
      </c>
      <c r="AB58" s="190"/>
      <c r="AC58" s="190"/>
      <c r="AD58" s="190"/>
      <c r="AE58" s="192" t="str">
        <f t="shared" ref="AE58:AE60" si="69">IFERROR(IF(AND(X57="Probabilidad",X58="Probabilidad"),(AG57-(+AG57*AA58)),IF(AND(X57="Impacto",X58="Probabilidad"),(AG56-(+AG56*AA58)),IF(X58="Impacto",AG57,""))),"")</f>
        <v/>
      </c>
      <c r="AF58" s="193" t="str">
        <f t="shared" si="2"/>
        <v/>
      </c>
      <c r="AG58" s="191" t="str">
        <f t="shared" si="64"/>
        <v/>
      </c>
      <c r="AH58" s="193" t="str">
        <f t="shared" si="4"/>
        <v/>
      </c>
      <c r="AI58" s="191" t="str">
        <f t="shared" si="13"/>
        <v/>
      </c>
      <c r="AJ58" s="194" t="str">
        <f>IFERROR(IF(OR(AND(AF58="Muy Baja",AH58="Leve"),AND(AF58="Muy Baja",AH58="Menor"),AND(AF58="Baja",AH58="Leve")),"Bajo",IF(OR(AND(AF58="Muy baja",AH58="Moderado"),AND(AF58="Baja",AH58="Menor"),AND(AF58="Baja",AH58="Moderado"),AND(AF58="Media",AH58="Leve"),AND(AF58="Media",AH58="Menor"),AND(AF58="Media",AH58="Moderado"),AND(AF58="Alta",AH58="Leve"),AND(AF58="Alta",AH58="Menor")),"Moderado",IF(OR(AND(AF58="Muy Baja",AH58="Mayor"),AND(AF58="Baja",AH58="Mayor"),AND(AF58="Media",AH58="Mayor"),AND(AF58="Alta",AH58="Moderado"),AND(AF58="Alta",AH58="Mayor"),AND(AF58="Muy Alta",AH58="Leve"),AND(AF58="Muy Alta",AH58="Menor"),AND(AF58="Muy Alta",AH58="Moderado"),AND(AF58="Muy Alta",AH58="Mayor")),"Alto",IF(OR(AND(AF58="Muy Baja",AH58="Catastrófico"),AND(AF58="Baja",AH58="Catastrófico"),AND(AF58="Media",AH58="Catastrófico"),AND(AF58="Alta",AH58="Catastrófico"),AND(AF58="Muy Alta",AH58="Catastrófico")),"Extremo","")))),"")</f>
        <v/>
      </c>
      <c r="AK58" s="195"/>
      <c r="AL58" s="186"/>
      <c r="AM58" s="196"/>
      <c r="AN58" s="196"/>
      <c r="AO58" s="197"/>
      <c r="AP58" s="376"/>
      <c r="AQ58" s="376"/>
      <c r="AR58" s="376"/>
    </row>
    <row r="59" spans="1:44" x14ac:dyDescent="0.2">
      <c r="A59" s="419"/>
      <c r="B59" s="383"/>
      <c r="C59" s="383"/>
      <c r="D59" s="383"/>
      <c r="E59" s="383"/>
      <c r="F59" s="383"/>
      <c r="G59" s="358"/>
      <c r="H59" s="358"/>
      <c r="I59" s="358"/>
      <c r="J59" s="358"/>
      <c r="K59" s="358"/>
      <c r="L59" s="358"/>
      <c r="M59" s="358"/>
      <c r="N59" s="376"/>
      <c r="O59" s="374"/>
      <c r="P59" s="373"/>
      <c r="Q59" s="349"/>
      <c r="R59" s="373">
        <f>IF(NOT(ISERROR(MATCH(Q59,_xlfn.ANCHORARRAY(E70),0))),P72&amp;"Por favor no seleccionar los criterios de impacto",Q59)</f>
        <v>0</v>
      </c>
      <c r="S59" s="374"/>
      <c r="T59" s="373"/>
      <c r="U59" s="360"/>
      <c r="V59" s="214">
        <v>5</v>
      </c>
      <c r="W59" s="187"/>
      <c r="X59" s="189" t="str">
        <f t="shared" si="68"/>
        <v/>
      </c>
      <c r="Y59" s="190"/>
      <c r="Z59" s="190"/>
      <c r="AA59" s="191" t="str">
        <f t="shared" si="63"/>
        <v/>
      </c>
      <c r="AB59" s="190"/>
      <c r="AC59" s="190"/>
      <c r="AD59" s="190"/>
      <c r="AE59" s="192" t="str">
        <f t="shared" si="69"/>
        <v/>
      </c>
      <c r="AF59" s="193" t="str">
        <f t="shared" si="2"/>
        <v/>
      </c>
      <c r="AG59" s="191" t="str">
        <f t="shared" si="64"/>
        <v/>
      </c>
      <c r="AH59" s="193" t="str">
        <f t="shared" si="4"/>
        <v/>
      </c>
      <c r="AI59" s="191" t="str">
        <f t="shared" si="13"/>
        <v/>
      </c>
      <c r="AJ59" s="194" t="str">
        <f t="shared" ref="AJ59:AJ60" si="70">IFERROR(IF(OR(AND(AF59="Muy Baja",AH59="Leve"),AND(AF59="Muy Baja",AH59="Menor"),AND(AF59="Baja",AH59="Leve")),"Bajo",IF(OR(AND(AF59="Muy baja",AH59="Moderado"),AND(AF59="Baja",AH59="Menor"),AND(AF59="Baja",AH59="Moderado"),AND(AF59="Media",AH59="Leve"),AND(AF59="Media",AH59="Menor"),AND(AF59="Media",AH59="Moderado"),AND(AF59="Alta",AH59="Leve"),AND(AF59="Alta",AH59="Menor")),"Moderado",IF(OR(AND(AF59="Muy Baja",AH59="Mayor"),AND(AF59="Baja",AH59="Mayor"),AND(AF59="Media",AH59="Mayor"),AND(AF59="Alta",AH59="Moderado"),AND(AF59="Alta",AH59="Mayor"),AND(AF59="Muy Alta",AH59="Leve"),AND(AF59="Muy Alta",AH59="Menor"),AND(AF59="Muy Alta",AH59="Moderado"),AND(AF59="Muy Alta",AH59="Mayor")),"Alto",IF(OR(AND(AF59="Muy Baja",AH59="Catastrófico"),AND(AF59="Baja",AH59="Catastrófico"),AND(AF59="Media",AH59="Catastrófico"),AND(AF59="Alta",AH59="Catastrófico"),AND(AF59="Muy Alta",AH59="Catastrófico")),"Extremo","")))),"")</f>
        <v/>
      </c>
      <c r="AK59" s="195"/>
      <c r="AL59" s="186"/>
      <c r="AM59" s="196"/>
      <c r="AN59" s="196"/>
      <c r="AO59" s="197"/>
      <c r="AP59" s="376"/>
      <c r="AQ59" s="376"/>
      <c r="AR59" s="376"/>
    </row>
    <row r="60" spans="1:44" x14ac:dyDescent="0.2">
      <c r="A60" s="419"/>
      <c r="B60" s="383"/>
      <c r="C60" s="383"/>
      <c r="D60" s="383"/>
      <c r="E60" s="383"/>
      <c r="F60" s="383"/>
      <c r="G60" s="369"/>
      <c r="H60" s="369"/>
      <c r="I60" s="369"/>
      <c r="J60" s="369"/>
      <c r="K60" s="369"/>
      <c r="L60" s="369"/>
      <c r="M60" s="369"/>
      <c r="N60" s="376"/>
      <c r="O60" s="374"/>
      <c r="P60" s="373"/>
      <c r="Q60" s="349"/>
      <c r="R60" s="373">
        <f>IF(NOT(ISERROR(MATCH(Q60,_xlfn.ANCHORARRAY(E71),0))),Q73&amp;"Por favor no seleccionar los criterios de impacto",Q60)</f>
        <v>0</v>
      </c>
      <c r="S60" s="374"/>
      <c r="T60" s="373"/>
      <c r="U60" s="360"/>
      <c r="V60" s="214">
        <v>6</v>
      </c>
      <c r="W60" s="187"/>
      <c r="X60" s="189" t="str">
        <f t="shared" si="68"/>
        <v/>
      </c>
      <c r="Y60" s="190"/>
      <c r="Z60" s="190"/>
      <c r="AA60" s="191" t="str">
        <f t="shared" si="63"/>
        <v/>
      </c>
      <c r="AB60" s="190"/>
      <c r="AC60" s="190"/>
      <c r="AD60" s="190"/>
      <c r="AE60" s="192" t="str">
        <f t="shared" si="69"/>
        <v/>
      </c>
      <c r="AF60" s="193" t="str">
        <f t="shared" si="2"/>
        <v/>
      </c>
      <c r="AG60" s="191" t="str">
        <f t="shared" si="64"/>
        <v/>
      </c>
      <c r="AH60" s="193" t="str">
        <f t="shared" si="4"/>
        <v/>
      </c>
      <c r="AI60" s="191" t="str">
        <f t="shared" si="13"/>
        <v/>
      </c>
      <c r="AJ60" s="194" t="str">
        <f t="shared" si="70"/>
        <v/>
      </c>
      <c r="AK60" s="195"/>
      <c r="AL60" s="186"/>
      <c r="AM60" s="196"/>
      <c r="AN60" s="196"/>
      <c r="AO60" s="197"/>
      <c r="AP60" s="376"/>
      <c r="AQ60" s="376"/>
      <c r="AR60" s="376"/>
    </row>
    <row r="61" spans="1:44" x14ac:dyDescent="0.2">
      <c r="A61" s="419">
        <v>9</v>
      </c>
      <c r="B61" s="383"/>
      <c r="C61" s="383"/>
      <c r="D61" s="383"/>
      <c r="E61" s="383"/>
      <c r="F61" s="383"/>
      <c r="G61" s="388"/>
      <c r="H61" s="388"/>
      <c r="I61" s="221"/>
      <c r="J61" s="221"/>
      <c r="K61" s="221"/>
      <c r="L61" s="388"/>
      <c r="M61" s="388"/>
      <c r="N61" s="376"/>
      <c r="O61" s="374" t="str">
        <f>IF(N61&lt;=0,"",IF(N61&lt;=2,"Muy Baja",IF(N61&lt;=24,"Baja",IF(N61&lt;=500,"Media",IF(N61&lt;=5000,"Alta","Muy Alta")))))</f>
        <v/>
      </c>
      <c r="P61" s="373" t="str">
        <f>IF(O61="","",IF(O61="Muy Baja",0.2,IF(O61="Baja",0.4,IF(O61="Media",0.6,IF(O61="Alta",0.8,IF(O61="Muy Alta",1,))))))</f>
        <v/>
      </c>
      <c r="Q61" s="349"/>
      <c r="R61" s="373">
        <f>IF(NOT(ISERROR(MATCH(Q61,'Tabla Impacto'!$B$222:$B$224,0))),'Tabla Impacto'!$F$224&amp;"Por favor no seleccionar los criterios de impacto(Afectación Económica o presupuestal y Pérdida Reputacional)",Q61)</f>
        <v>0</v>
      </c>
      <c r="S61" s="374" t="str">
        <f>IF(OR(R61='Tabla Impacto'!$C$12,R61='Tabla Impacto'!$D$12),"Leve",IF(OR(R61='Tabla Impacto'!$C$13,R61='Tabla Impacto'!$D$13),"Menor",IF(OR(R61='Tabla Impacto'!$C$14,R61='Tabla Impacto'!$D$14),"Moderado",IF(OR(R61='Tabla Impacto'!$C$15,R61='Tabla Impacto'!$D$15),"Mayor",IF(OR(R61='Tabla Impacto'!$C$16,R61='Tabla Impacto'!$D$16),"Catastrófico","")))))</f>
        <v/>
      </c>
      <c r="T61" s="373" t="str">
        <f>IF(S61="","",IF(S61="Leve",0.2,IF(S61="Menor",0.4,IF(S61="Moderado",0.6,IF(S61="Mayor",0.8,IF(S61="Catastrófico",1,))))))</f>
        <v/>
      </c>
      <c r="U61" s="360" t="str">
        <f>IF(OR(AND(O61="Muy Baja",S61="Leve"),AND(O61="Muy Baja",S61="Menor"),AND(O61="Baja",S61="Leve")),"Bajo",IF(OR(AND(O61="Muy baja",S61="Moderado"),AND(O61="Baja",S61="Menor"),AND(O61="Baja",S61="Moderado"),AND(O61="Media",S61="Leve"),AND(O61="Media",S61="Menor"),AND(O61="Media",S61="Moderado"),AND(O61="Alta",S61="Leve"),AND(O61="Alta",S61="Menor")),"Moderado",IF(OR(AND(O61="Muy Baja",S61="Mayor"),AND(O61="Baja",S61="Mayor"),AND(O61="Media",S61="Mayor"),AND(O61="Alta",S61="Moderado"),AND(O61="Alta",S61="Mayor"),AND(O61="Muy Alta",S61="Leve"),AND(O61="Muy Alta",S61="Menor"),AND(O61="Muy Alta",S61="Moderado"),AND(O61="Muy Alta",S61="Mayor")),"Alto",IF(OR(AND(O61="Muy Baja",S61="Catastrófico"),AND(O61="Baja",S61="Catastrófico"),AND(O61="Media",S61="Catastrófico"),AND(O61="Alta",S61="Catastrófico"),AND(O61="Muy Alta",S61="Catastrófico")),"Extremo",""))))</f>
        <v/>
      </c>
      <c r="V61" s="214">
        <v>1</v>
      </c>
      <c r="W61" s="187"/>
      <c r="X61" s="189" t="str">
        <f>IF(OR(Y61="Preventivo",Y61="Detectivo"),"Probabilidad",IF(Y61="Correctivo","Impacto",""))</f>
        <v/>
      </c>
      <c r="Y61" s="190"/>
      <c r="Z61" s="190"/>
      <c r="AA61" s="191" t="str">
        <f>IF(AND(Y61="Preventivo",Z61="Automático"),"50%",IF(AND(Y61="Preventivo",Z61="Manual"),"40%",IF(AND(Y61="Detectivo",Z61="Automático"),"40%",IF(AND(Y61="Detectivo",Z61="Manual"),"30%",IF(AND(Y61="Correctivo",Z61="Automático"),"35%",IF(AND(Y61="Correctivo",Z61="Manual"),"25%",""))))))</f>
        <v/>
      </c>
      <c r="AB61" s="190"/>
      <c r="AC61" s="190"/>
      <c r="AD61" s="190"/>
      <c r="AE61" s="192" t="str">
        <f>IFERROR(IF(X61="Probabilidad",(P61-(+P61*AA61)),IF(X61="Impacto",P61,"")),"")</f>
        <v/>
      </c>
      <c r="AF61" s="193" t="str">
        <f>IFERROR(IF(AE61="","",IF(AE61&lt;=0.2,"Muy Baja",IF(AE61&lt;=0.4,"Baja",IF(AE61&lt;=0.6,"Media",IF(AE61&lt;=0.8,"Alta","Muy Alta"))))),"")</f>
        <v/>
      </c>
      <c r="AG61" s="191" t="str">
        <f>+AE61</f>
        <v/>
      </c>
      <c r="AH61" s="193" t="str">
        <f>IFERROR(IF(AI61="","",IF(AI61&lt;=0.2,"Leve",IF(AI61&lt;=0.4,"Menor",IF(AI61&lt;=0.6,"Moderado",IF(AI61&lt;=0.8,"Mayor","Catastrófico"))))),"")</f>
        <v/>
      </c>
      <c r="AI61" s="191" t="str">
        <f t="shared" ref="AI61" si="71">IFERROR(IF(X61="Impacto",(T61-(+T61*AA61)),IF(X61="Probabilidad",T61,"")),"")</f>
        <v/>
      </c>
      <c r="AJ61" s="194" t="str">
        <f>IFERROR(IF(OR(AND(AF61="Muy Baja",AH61="Leve"),AND(AF61="Muy Baja",AH61="Menor"),AND(AF61="Baja",AH61="Leve")),"Bajo",IF(OR(AND(AF61="Muy baja",AH61="Moderado"),AND(AF61="Baja",AH61="Menor"),AND(AF61="Baja",AH61="Moderado"),AND(AF61="Media",AH61="Leve"),AND(AF61="Media",AH61="Menor"),AND(AF61="Media",AH61="Moderado"),AND(AF61="Alta",AH61="Leve"),AND(AF61="Alta",AH61="Menor")),"Moderado",IF(OR(AND(AF61="Muy Baja",AH61="Mayor"),AND(AF61="Baja",AH61="Mayor"),AND(AF61="Media",AH61="Mayor"),AND(AF61="Alta",AH61="Moderado"),AND(AF61="Alta",AH61="Mayor"),AND(AF61="Muy Alta",AH61="Leve"),AND(AF61="Muy Alta",AH61="Menor"),AND(AF61="Muy Alta",AH61="Moderado"),AND(AF61="Muy Alta",AH61="Mayor")),"Alto",IF(OR(AND(AF61="Muy Baja",AH61="Catastrófico"),AND(AF61="Baja",AH61="Catastrófico"),AND(AF61="Media",AH61="Catastrófico"),AND(AF61="Alta",AH61="Catastrófico"),AND(AF61="Muy Alta",AH61="Catastrófico")),"Extremo","")))),"")</f>
        <v/>
      </c>
      <c r="AK61" s="195"/>
      <c r="AL61" s="186"/>
      <c r="AM61" s="196"/>
      <c r="AN61" s="196"/>
      <c r="AO61" s="197"/>
      <c r="AP61" s="376"/>
      <c r="AQ61" s="376"/>
      <c r="AR61" s="376"/>
    </row>
    <row r="62" spans="1:44" x14ac:dyDescent="0.2">
      <c r="A62" s="419"/>
      <c r="B62" s="383"/>
      <c r="C62" s="383"/>
      <c r="D62" s="383"/>
      <c r="E62" s="383"/>
      <c r="F62" s="383"/>
      <c r="G62" s="358"/>
      <c r="H62" s="358"/>
      <c r="I62" s="222"/>
      <c r="J62" s="222"/>
      <c r="K62" s="222"/>
      <c r="L62" s="358"/>
      <c r="M62" s="358"/>
      <c r="N62" s="376"/>
      <c r="O62" s="374"/>
      <c r="P62" s="373"/>
      <c r="Q62" s="349"/>
      <c r="R62" s="373">
        <f>IF(NOT(ISERROR(MATCH(Q62,_xlfn.ANCHORARRAY(F73),0))),Q75&amp;"Por favor no seleccionar los criterios de impacto",Q62)</f>
        <v>0</v>
      </c>
      <c r="S62" s="374"/>
      <c r="T62" s="373"/>
      <c r="U62" s="360"/>
      <c r="V62" s="214">
        <v>2</v>
      </c>
      <c r="W62" s="187"/>
      <c r="X62" s="189" t="str">
        <f>IF(OR(Y62="Preventivo",Y62="Detectivo"),"Probabilidad",IF(Y62="Correctivo","Impacto",""))</f>
        <v/>
      </c>
      <c r="Y62" s="190"/>
      <c r="Z62" s="190"/>
      <c r="AA62" s="191" t="str">
        <f t="shared" ref="AA62:AA66" si="72">IF(AND(Y62="Preventivo",Z62="Automático"),"50%",IF(AND(Y62="Preventivo",Z62="Manual"),"40%",IF(AND(Y62="Detectivo",Z62="Automático"),"40%",IF(AND(Y62="Detectivo",Z62="Manual"),"30%",IF(AND(Y62="Correctivo",Z62="Automático"),"35%",IF(AND(Y62="Correctivo",Z62="Manual"),"25%",""))))))</f>
        <v/>
      </c>
      <c r="AB62" s="190"/>
      <c r="AC62" s="190"/>
      <c r="AD62" s="190"/>
      <c r="AE62" s="192" t="str">
        <f>IFERROR(IF(AND(X61="Probabilidad",X62="Probabilidad"),(AG61-(+AG61*AA62)),IF(X62="Probabilidad",(P61-(+P61*AA62)),IF(X62="Impacto",AG61,""))),"")</f>
        <v/>
      </c>
      <c r="AF62" s="193" t="str">
        <f t="shared" si="2"/>
        <v/>
      </c>
      <c r="AG62" s="191" t="str">
        <f t="shared" ref="AG62:AG66" si="73">+AE62</f>
        <v/>
      </c>
      <c r="AH62" s="193" t="str">
        <f t="shared" si="4"/>
        <v/>
      </c>
      <c r="AI62" s="191" t="str">
        <f t="shared" ref="AI62" si="74">IFERROR(IF(AND(X61="Impacto",X62="Impacto"),(AI61-(+AI61*AA62)),IF(X62="Impacto",($T$13-(+$T$13*AA62)),IF(X62="Probabilidad",AI61,""))),"")</f>
        <v/>
      </c>
      <c r="AJ62" s="194" t="str">
        <f t="shared" ref="AJ62:AJ63" si="75">IFERROR(IF(OR(AND(AF62="Muy Baja",AH62="Leve"),AND(AF62="Muy Baja",AH62="Menor"),AND(AF62="Baja",AH62="Leve")),"Bajo",IF(OR(AND(AF62="Muy baja",AH62="Moderado"),AND(AF62="Baja",AH62="Menor"),AND(AF62="Baja",AH62="Moderado"),AND(AF62="Media",AH62="Leve"),AND(AF62="Media",AH62="Menor"),AND(AF62="Media",AH62="Moderado"),AND(AF62="Alta",AH62="Leve"),AND(AF62="Alta",AH62="Menor")),"Moderado",IF(OR(AND(AF62="Muy Baja",AH62="Mayor"),AND(AF62="Baja",AH62="Mayor"),AND(AF62="Media",AH62="Mayor"),AND(AF62="Alta",AH62="Moderado"),AND(AF62="Alta",AH62="Mayor"),AND(AF62="Muy Alta",AH62="Leve"),AND(AF62="Muy Alta",AH62="Menor"),AND(AF62="Muy Alta",AH62="Moderado"),AND(AF62="Muy Alta",AH62="Mayor")),"Alto",IF(OR(AND(AF62="Muy Baja",AH62="Catastrófico"),AND(AF62="Baja",AH62="Catastrófico"),AND(AF62="Media",AH62="Catastrófico"),AND(AF62="Alta",AH62="Catastrófico"),AND(AF62="Muy Alta",AH62="Catastrófico")),"Extremo","")))),"")</f>
        <v/>
      </c>
      <c r="AK62" s="195"/>
      <c r="AL62" s="186"/>
      <c r="AM62" s="196"/>
      <c r="AN62" s="196"/>
      <c r="AO62" s="197"/>
      <c r="AP62" s="376"/>
      <c r="AQ62" s="376"/>
      <c r="AR62" s="376"/>
    </row>
    <row r="63" spans="1:44" x14ac:dyDescent="0.2">
      <c r="A63" s="419"/>
      <c r="B63" s="383"/>
      <c r="C63" s="383"/>
      <c r="D63" s="383"/>
      <c r="E63" s="383"/>
      <c r="F63" s="383"/>
      <c r="G63" s="358"/>
      <c r="H63" s="358"/>
      <c r="I63" s="222"/>
      <c r="J63" s="222"/>
      <c r="K63" s="222"/>
      <c r="L63" s="358"/>
      <c r="M63" s="358"/>
      <c r="N63" s="376"/>
      <c r="O63" s="374"/>
      <c r="P63" s="373"/>
      <c r="Q63" s="349"/>
      <c r="R63" s="373">
        <f>IF(NOT(ISERROR(MATCH(Q63,_xlfn.ANCHORARRAY(F74),0))),Q76&amp;"Por favor no seleccionar los criterios de impacto",Q63)</f>
        <v>0</v>
      </c>
      <c r="S63" s="374"/>
      <c r="T63" s="373"/>
      <c r="U63" s="360"/>
      <c r="V63" s="214">
        <v>3</v>
      </c>
      <c r="W63" s="187"/>
      <c r="X63" s="189" t="str">
        <f>IF(OR(Y63="Preventivo",Y63="Detectivo"),"Probabilidad",IF(Y63="Correctivo","Impacto",""))</f>
        <v/>
      </c>
      <c r="Y63" s="190"/>
      <c r="Z63" s="190"/>
      <c r="AA63" s="191" t="str">
        <f t="shared" si="72"/>
        <v/>
      </c>
      <c r="AB63" s="190"/>
      <c r="AC63" s="190"/>
      <c r="AD63" s="190"/>
      <c r="AE63" s="192" t="str">
        <f>IFERROR(IF(AND(X62="Probabilidad",X63="Probabilidad"),(AG62-(+AG62*AA63)),IF(AND(X62="Impacto",X63="Probabilidad"),(AG61-(+AG61*AA63)),IF(X63="Impacto",AG62,""))),"")</f>
        <v/>
      </c>
      <c r="AF63" s="193" t="str">
        <f t="shared" si="2"/>
        <v/>
      </c>
      <c r="AG63" s="191" t="str">
        <f t="shared" si="73"/>
        <v/>
      </c>
      <c r="AH63" s="193" t="str">
        <f t="shared" si="4"/>
        <v/>
      </c>
      <c r="AI63" s="191" t="str">
        <f t="shared" ref="AI63" si="76">IFERROR(IF(AND(X62="Impacto",X63="Impacto"),(AI62-(+AI62*AA63)),IF(AND(X62="Probabilidad",X63="Impacto"),(AI61-(+AI61*AA63)),IF(X63="Probabilidad",AI62,""))),"")</f>
        <v/>
      </c>
      <c r="AJ63" s="194" t="str">
        <f t="shared" si="75"/>
        <v/>
      </c>
      <c r="AK63" s="195"/>
      <c r="AL63" s="186"/>
      <c r="AM63" s="196"/>
      <c r="AN63" s="196"/>
      <c r="AO63" s="197"/>
      <c r="AP63" s="376"/>
      <c r="AQ63" s="376"/>
      <c r="AR63" s="376"/>
    </row>
    <row r="64" spans="1:44" x14ac:dyDescent="0.2">
      <c r="A64" s="419"/>
      <c r="B64" s="383"/>
      <c r="C64" s="383"/>
      <c r="D64" s="383"/>
      <c r="E64" s="383"/>
      <c r="F64" s="383"/>
      <c r="G64" s="358"/>
      <c r="H64" s="358"/>
      <c r="I64" s="222"/>
      <c r="J64" s="222"/>
      <c r="K64" s="222"/>
      <c r="L64" s="358"/>
      <c r="M64" s="358"/>
      <c r="N64" s="376"/>
      <c r="O64" s="374"/>
      <c r="P64" s="373"/>
      <c r="Q64" s="349"/>
      <c r="R64" s="373">
        <f>IF(NOT(ISERROR(MATCH(Q64,_xlfn.ANCHORARRAY(F75),0))),Q77&amp;"Por favor no seleccionar los criterios de impacto",Q64)</f>
        <v>0</v>
      </c>
      <c r="S64" s="374"/>
      <c r="T64" s="373"/>
      <c r="U64" s="360"/>
      <c r="V64" s="214">
        <v>4</v>
      </c>
      <c r="W64" s="187"/>
      <c r="X64" s="189" t="str">
        <f t="shared" ref="X64:X66" si="77">IF(OR(Y64="Preventivo",Y64="Detectivo"),"Probabilidad",IF(Y64="Correctivo","Impacto",""))</f>
        <v/>
      </c>
      <c r="Y64" s="190"/>
      <c r="Z64" s="190"/>
      <c r="AA64" s="191" t="str">
        <f t="shared" si="72"/>
        <v/>
      </c>
      <c r="AB64" s="190"/>
      <c r="AC64" s="190"/>
      <c r="AD64" s="190"/>
      <c r="AE64" s="192" t="str">
        <f t="shared" ref="AE64:AE66" si="78">IFERROR(IF(AND(X63="Probabilidad",X64="Probabilidad"),(AG63-(+AG63*AA64)),IF(AND(X63="Impacto",X64="Probabilidad"),(AG62-(+AG62*AA64)),IF(X64="Impacto",AG63,""))),"")</f>
        <v/>
      </c>
      <c r="AF64" s="193" t="str">
        <f t="shared" si="2"/>
        <v/>
      </c>
      <c r="AG64" s="191" t="str">
        <f t="shared" si="73"/>
        <v/>
      </c>
      <c r="AH64" s="193" t="str">
        <f t="shared" si="4"/>
        <v/>
      </c>
      <c r="AI64" s="191" t="str">
        <f t="shared" si="13"/>
        <v/>
      </c>
      <c r="AJ64" s="194" t="str">
        <f>IFERROR(IF(OR(AND(AF64="Muy Baja",AH64="Leve"),AND(AF64="Muy Baja",AH64="Menor"),AND(AF64="Baja",AH64="Leve")),"Bajo",IF(OR(AND(AF64="Muy baja",AH64="Moderado"),AND(AF64="Baja",AH64="Menor"),AND(AF64="Baja",AH64="Moderado"),AND(AF64="Media",AH64="Leve"),AND(AF64="Media",AH64="Menor"),AND(AF64="Media",AH64="Moderado"),AND(AF64="Alta",AH64="Leve"),AND(AF64="Alta",AH64="Menor")),"Moderado",IF(OR(AND(AF64="Muy Baja",AH64="Mayor"),AND(AF64="Baja",AH64="Mayor"),AND(AF64="Media",AH64="Mayor"),AND(AF64="Alta",AH64="Moderado"),AND(AF64="Alta",AH64="Mayor"),AND(AF64="Muy Alta",AH64="Leve"),AND(AF64="Muy Alta",AH64="Menor"),AND(AF64="Muy Alta",AH64="Moderado"),AND(AF64="Muy Alta",AH64="Mayor")),"Alto",IF(OR(AND(AF64="Muy Baja",AH64="Catastrófico"),AND(AF64="Baja",AH64="Catastrófico"),AND(AF64="Media",AH64="Catastrófico"),AND(AF64="Alta",AH64="Catastrófico"),AND(AF64="Muy Alta",AH64="Catastrófico")),"Extremo","")))),"")</f>
        <v/>
      </c>
      <c r="AK64" s="195"/>
      <c r="AL64" s="186"/>
      <c r="AM64" s="196"/>
      <c r="AN64" s="196"/>
      <c r="AO64" s="197"/>
      <c r="AP64" s="376"/>
      <c r="AQ64" s="376"/>
      <c r="AR64" s="376"/>
    </row>
    <row r="65" spans="1:44" x14ac:dyDescent="0.2">
      <c r="A65" s="419"/>
      <c r="B65" s="383"/>
      <c r="C65" s="383"/>
      <c r="D65" s="383"/>
      <c r="E65" s="383"/>
      <c r="F65" s="383"/>
      <c r="G65" s="358"/>
      <c r="H65" s="358"/>
      <c r="I65" s="222"/>
      <c r="J65" s="222"/>
      <c r="K65" s="222"/>
      <c r="L65" s="358"/>
      <c r="M65" s="358"/>
      <c r="N65" s="376"/>
      <c r="O65" s="374"/>
      <c r="P65" s="373"/>
      <c r="Q65" s="349"/>
      <c r="R65" s="373">
        <f>IF(NOT(ISERROR(MATCH(Q65,_xlfn.ANCHORARRAY(F76),0))),Q78&amp;"Por favor no seleccionar los criterios de impacto",Q65)</f>
        <v>0</v>
      </c>
      <c r="S65" s="374"/>
      <c r="T65" s="373"/>
      <c r="U65" s="360"/>
      <c r="V65" s="214">
        <v>5</v>
      </c>
      <c r="W65" s="187"/>
      <c r="X65" s="189" t="str">
        <f t="shared" si="77"/>
        <v/>
      </c>
      <c r="Y65" s="190"/>
      <c r="Z65" s="190"/>
      <c r="AA65" s="191" t="str">
        <f t="shared" si="72"/>
        <v/>
      </c>
      <c r="AB65" s="190"/>
      <c r="AC65" s="190"/>
      <c r="AD65" s="190"/>
      <c r="AE65" s="192" t="str">
        <f t="shared" si="78"/>
        <v/>
      </c>
      <c r="AF65" s="193" t="str">
        <f t="shared" si="2"/>
        <v/>
      </c>
      <c r="AG65" s="191" t="str">
        <f t="shared" si="73"/>
        <v/>
      </c>
      <c r="AH65" s="193" t="str">
        <f t="shared" si="4"/>
        <v/>
      </c>
      <c r="AI65" s="191" t="str">
        <f t="shared" si="13"/>
        <v/>
      </c>
      <c r="AJ65" s="194" t="str">
        <f t="shared" ref="AJ65:AJ66" si="79">IFERROR(IF(OR(AND(AF65="Muy Baja",AH65="Leve"),AND(AF65="Muy Baja",AH65="Menor"),AND(AF65="Baja",AH65="Leve")),"Bajo",IF(OR(AND(AF65="Muy baja",AH65="Moderado"),AND(AF65="Baja",AH65="Menor"),AND(AF65="Baja",AH65="Moderado"),AND(AF65="Media",AH65="Leve"),AND(AF65="Media",AH65="Menor"),AND(AF65="Media",AH65="Moderado"),AND(AF65="Alta",AH65="Leve"),AND(AF65="Alta",AH65="Menor")),"Moderado",IF(OR(AND(AF65="Muy Baja",AH65="Mayor"),AND(AF65="Baja",AH65="Mayor"),AND(AF65="Media",AH65="Mayor"),AND(AF65="Alta",AH65="Moderado"),AND(AF65="Alta",AH65="Mayor"),AND(AF65="Muy Alta",AH65="Leve"),AND(AF65="Muy Alta",AH65="Menor"),AND(AF65="Muy Alta",AH65="Moderado"),AND(AF65="Muy Alta",AH65="Mayor")),"Alto",IF(OR(AND(AF65="Muy Baja",AH65="Catastrófico"),AND(AF65="Baja",AH65="Catastrófico"),AND(AF65="Media",AH65="Catastrófico"),AND(AF65="Alta",AH65="Catastrófico"),AND(AF65="Muy Alta",AH65="Catastrófico")),"Extremo","")))),"")</f>
        <v/>
      </c>
      <c r="AK65" s="195"/>
      <c r="AL65" s="186"/>
      <c r="AM65" s="196"/>
      <c r="AN65" s="196"/>
      <c r="AO65" s="197"/>
      <c r="AP65" s="376"/>
      <c r="AQ65" s="376"/>
      <c r="AR65" s="376"/>
    </row>
    <row r="66" spans="1:44" x14ac:dyDescent="0.2">
      <c r="A66" s="419"/>
      <c r="B66" s="383"/>
      <c r="C66" s="383"/>
      <c r="D66" s="383"/>
      <c r="E66" s="383"/>
      <c r="F66" s="383"/>
      <c r="G66" s="369"/>
      <c r="H66" s="369"/>
      <c r="I66" s="223"/>
      <c r="J66" s="223"/>
      <c r="K66" s="223"/>
      <c r="L66" s="369"/>
      <c r="M66" s="369"/>
      <c r="N66" s="376"/>
      <c r="O66" s="374"/>
      <c r="P66" s="373"/>
      <c r="Q66" s="349"/>
      <c r="R66" s="373">
        <f>IF(NOT(ISERROR(MATCH(Q66,_xlfn.ANCHORARRAY(F77),0))),Q79&amp;"Por favor no seleccionar los criterios de impacto",Q66)</f>
        <v>0</v>
      </c>
      <c r="S66" s="374"/>
      <c r="T66" s="373"/>
      <c r="U66" s="360"/>
      <c r="V66" s="214">
        <v>6</v>
      </c>
      <c r="W66" s="187"/>
      <c r="X66" s="189" t="str">
        <f t="shared" si="77"/>
        <v/>
      </c>
      <c r="Y66" s="190"/>
      <c r="Z66" s="190"/>
      <c r="AA66" s="191" t="str">
        <f t="shared" si="72"/>
        <v/>
      </c>
      <c r="AB66" s="190"/>
      <c r="AC66" s="190"/>
      <c r="AD66" s="190"/>
      <c r="AE66" s="192" t="str">
        <f t="shared" si="78"/>
        <v/>
      </c>
      <c r="AF66" s="193" t="str">
        <f t="shared" si="2"/>
        <v/>
      </c>
      <c r="AG66" s="191" t="str">
        <f t="shared" si="73"/>
        <v/>
      </c>
      <c r="AH66" s="193" t="str">
        <f t="shared" si="4"/>
        <v/>
      </c>
      <c r="AI66" s="191" t="str">
        <f t="shared" si="13"/>
        <v/>
      </c>
      <c r="AJ66" s="194" t="str">
        <f t="shared" si="79"/>
        <v/>
      </c>
      <c r="AK66" s="195"/>
      <c r="AL66" s="186"/>
      <c r="AM66" s="196"/>
      <c r="AN66" s="196"/>
      <c r="AO66" s="197"/>
      <c r="AP66" s="376"/>
      <c r="AQ66" s="376"/>
      <c r="AR66" s="376"/>
    </row>
    <row r="67" spans="1:44" x14ac:dyDescent="0.2">
      <c r="A67" s="419">
        <v>10</v>
      </c>
      <c r="B67" s="383"/>
      <c r="C67" s="383"/>
      <c r="D67" s="383"/>
      <c r="E67" s="383"/>
      <c r="F67" s="383"/>
      <c r="G67" s="388"/>
      <c r="H67" s="388"/>
      <c r="I67" s="221"/>
      <c r="J67" s="221"/>
      <c r="K67" s="221"/>
      <c r="L67" s="388"/>
      <c r="M67" s="388"/>
      <c r="N67" s="376"/>
      <c r="O67" s="374" t="str">
        <f>IF(N67&lt;=0,"",IF(N67&lt;=2,"Muy Baja",IF(N67&lt;=24,"Baja",IF(N67&lt;=500,"Media",IF(N67&lt;=5000,"Alta","Muy Alta")))))</f>
        <v/>
      </c>
      <c r="P67" s="373" t="str">
        <f>IF(O67="","",IF(O67="Muy Baja",0.2,IF(O67="Baja",0.4,IF(O67="Media",0.6,IF(O67="Alta",0.8,IF(O67="Muy Alta",1,))))))</f>
        <v/>
      </c>
      <c r="Q67" s="349"/>
      <c r="R67" s="373">
        <f>IF(NOT(ISERROR(MATCH(Q67,'Tabla Impacto'!$B$222:$B$224,0))),'Tabla Impacto'!$F$224&amp;"Por favor no seleccionar los criterios de impacto(Afectación Económica o presupuestal y Pérdida Reputacional)",Q67)</f>
        <v>0</v>
      </c>
      <c r="S67" s="374" t="str">
        <f>IF(OR(R67='Tabla Impacto'!$C$12,R67='Tabla Impacto'!$D$12),"Leve",IF(OR(R67='Tabla Impacto'!$C$13,R67='Tabla Impacto'!$D$13),"Menor",IF(OR(R67='Tabla Impacto'!$C$14,R67='Tabla Impacto'!$D$14),"Moderado",IF(OR(R67='Tabla Impacto'!$C$15,R67='Tabla Impacto'!$D$15),"Mayor",IF(OR(R67='Tabla Impacto'!$C$16,R67='Tabla Impacto'!$D$16),"Catastrófico","")))))</f>
        <v/>
      </c>
      <c r="T67" s="373" t="str">
        <f>IF(S67="","",IF(S67="Leve",0.2,IF(S67="Menor",0.4,IF(S67="Moderado",0.6,IF(S67="Mayor",0.8,IF(S67="Catastrófico",1,))))))</f>
        <v/>
      </c>
      <c r="U67" s="360" t="str">
        <f>IF(OR(AND(O67="Muy Baja",S67="Leve"),AND(O67="Muy Baja",S67="Menor"),AND(O67="Baja",S67="Leve")),"Bajo",IF(OR(AND(O67="Muy baja",S67="Moderado"),AND(O67="Baja",S67="Menor"),AND(O67="Baja",S67="Moderado"),AND(O67="Media",S67="Leve"),AND(O67="Media",S67="Menor"),AND(O67="Media",S67="Moderado"),AND(O67="Alta",S67="Leve"),AND(O67="Alta",S67="Menor")),"Moderado",IF(OR(AND(O67="Muy Baja",S67="Mayor"),AND(O67="Baja",S67="Mayor"),AND(O67="Media",S67="Mayor"),AND(O67="Alta",S67="Moderado"),AND(O67="Alta",S67="Mayor"),AND(O67="Muy Alta",S67="Leve"),AND(O67="Muy Alta",S67="Menor"),AND(O67="Muy Alta",S67="Moderado"),AND(O67="Muy Alta",S67="Mayor")),"Alto",IF(OR(AND(O67="Muy Baja",S67="Catastrófico"),AND(O67="Baja",S67="Catastrófico"),AND(O67="Media",S67="Catastrófico"),AND(O67="Alta",S67="Catastrófico"),AND(O67="Muy Alta",S67="Catastrófico")),"Extremo",""))))</f>
        <v/>
      </c>
      <c r="V67" s="214">
        <v>1</v>
      </c>
      <c r="W67" s="187"/>
      <c r="X67" s="189" t="str">
        <f>IF(OR(Y67="Preventivo",Y67="Detectivo"),"Probabilidad",IF(Y67="Correctivo","Impacto",""))</f>
        <v/>
      </c>
      <c r="Y67" s="190"/>
      <c r="Z67" s="190"/>
      <c r="AA67" s="191" t="str">
        <f>IF(AND(Y67="Preventivo",Z67="Automático"),"50%",IF(AND(Y67="Preventivo",Z67="Manual"),"40%",IF(AND(Y67="Detectivo",Z67="Automático"),"40%",IF(AND(Y67="Detectivo",Z67="Manual"),"30%",IF(AND(Y67="Correctivo",Z67="Automático"),"35%",IF(AND(Y67="Correctivo",Z67="Manual"),"25%",""))))))</f>
        <v/>
      </c>
      <c r="AB67" s="190"/>
      <c r="AC67" s="190"/>
      <c r="AD67" s="190"/>
      <c r="AE67" s="192" t="str">
        <f>IFERROR(IF(X67="Probabilidad",(P67-(+P67*AA67)),IF(X67="Impacto",P67,"")),"")</f>
        <v/>
      </c>
      <c r="AF67" s="193" t="str">
        <f>IFERROR(IF(AE67="","",IF(AE67&lt;=0.2,"Muy Baja",IF(AE67&lt;=0.4,"Baja",IF(AE67&lt;=0.6,"Media",IF(AE67&lt;=0.8,"Alta","Muy Alta"))))),"")</f>
        <v/>
      </c>
      <c r="AG67" s="191" t="str">
        <f>+AE67</f>
        <v/>
      </c>
      <c r="AH67" s="193" t="str">
        <f>IFERROR(IF(AI67="","",IF(AI67&lt;=0.2,"Leve",IF(AI67&lt;=0.4,"Menor",IF(AI67&lt;=0.6,"Moderado",IF(AI67&lt;=0.8,"Mayor","Catastrófico"))))),"")</f>
        <v/>
      </c>
      <c r="AI67" s="191" t="str">
        <f t="shared" ref="AI67" si="80">IFERROR(IF(X67="Impacto",(T67-(+T67*AA67)),IF(X67="Probabilidad",T67,"")),"")</f>
        <v/>
      </c>
      <c r="AJ67" s="194" t="str">
        <f>IFERROR(IF(OR(AND(AF67="Muy Baja",AH67="Leve"),AND(AF67="Muy Baja",AH67="Menor"),AND(AF67="Baja",AH67="Leve")),"Bajo",IF(OR(AND(AF67="Muy baja",AH67="Moderado"),AND(AF67="Baja",AH67="Menor"),AND(AF67="Baja",AH67="Moderado"),AND(AF67="Media",AH67="Leve"),AND(AF67="Media",AH67="Menor"),AND(AF67="Media",AH67="Moderado"),AND(AF67="Alta",AH67="Leve"),AND(AF67="Alta",AH67="Menor")),"Moderado",IF(OR(AND(AF67="Muy Baja",AH67="Mayor"),AND(AF67="Baja",AH67="Mayor"),AND(AF67="Media",AH67="Mayor"),AND(AF67="Alta",AH67="Moderado"),AND(AF67="Alta",AH67="Mayor"),AND(AF67="Muy Alta",AH67="Leve"),AND(AF67="Muy Alta",AH67="Menor"),AND(AF67="Muy Alta",AH67="Moderado"),AND(AF67="Muy Alta",AH67="Mayor")),"Alto",IF(OR(AND(AF67="Muy Baja",AH67="Catastrófico"),AND(AF67="Baja",AH67="Catastrófico"),AND(AF67="Media",AH67="Catastrófico"),AND(AF67="Alta",AH67="Catastrófico"),AND(AF67="Muy Alta",AH67="Catastrófico")),"Extremo","")))),"")</f>
        <v/>
      </c>
      <c r="AK67" s="195"/>
      <c r="AL67" s="186"/>
      <c r="AM67" s="196"/>
      <c r="AN67" s="196"/>
      <c r="AO67" s="197"/>
      <c r="AP67" s="376"/>
      <c r="AQ67" s="376"/>
      <c r="AR67" s="376"/>
    </row>
    <row r="68" spans="1:44" x14ac:dyDescent="0.2">
      <c r="A68" s="419"/>
      <c r="B68" s="383"/>
      <c r="C68" s="383"/>
      <c r="D68" s="383"/>
      <c r="E68" s="383"/>
      <c r="F68" s="383"/>
      <c r="G68" s="358"/>
      <c r="H68" s="358"/>
      <c r="I68" s="222"/>
      <c r="J68" s="222"/>
      <c r="K68" s="222"/>
      <c r="L68" s="358"/>
      <c r="M68" s="358"/>
      <c r="N68" s="376"/>
      <c r="O68" s="374"/>
      <c r="P68" s="373"/>
      <c r="Q68" s="349"/>
      <c r="R68" s="373">
        <f>IF(NOT(ISERROR(MATCH(Q68,_xlfn.ANCHORARRAY(F79),0))),Q81&amp;"Por favor no seleccionar los criterios de impacto",Q68)</f>
        <v>0</v>
      </c>
      <c r="S68" s="374"/>
      <c r="T68" s="373"/>
      <c r="U68" s="360"/>
      <c r="V68" s="214">
        <v>2</v>
      </c>
      <c r="W68" s="187"/>
      <c r="X68" s="189" t="str">
        <f>IF(OR(Y68="Preventivo",Y68="Detectivo"),"Probabilidad",IF(Y68="Correctivo","Impacto",""))</f>
        <v/>
      </c>
      <c r="Y68" s="190"/>
      <c r="Z68" s="190"/>
      <c r="AA68" s="191" t="str">
        <f t="shared" ref="AA68:AA72" si="81">IF(AND(Y68="Preventivo",Z68="Automático"),"50%",IF(AND(Y68="Preventivo",Z68="Manual"),"40%",IF(AND(Y68="Detectivo",Z68="Automático"),"40%",IF(AND(Y68="Detectivo",Z68="Manual"),"30%",IF(AND(Y68="Correctivo",Z68="Automático"),"35%",IF(AND(Y68="Correctivo",Z68="Manual"),"25%",""))))))</f>
        <v/>
      </c>
      <c r="AB68" s="190"/>
      <c r="AC68" s="190"/>
      <c r="AD68" s="190"/>
      <c r="AE68" s="192" t="str">
        <f>IFERROR(IF(AND(X67="Probabilidad",X68="Probabilidad"),(AG67-(+AG67*AA68)),IF(X68="Probabilidad",(P67-(+P67*AA68)),IF(X68="Impacto",AG67,""))),"")</f>
        <v/>
      </c>
      <c r="AF68" s="193" t="str">
        <f t="shared" si="2"/>
        <v/>
      </c>
      <c r="AG68" s="191" t="str">
        <f t="shared" ref="AG68:AG72" si="82">+AE68</f>
        <v/>
      </c>
      <c r="AH68" s="193" t="str">
        <f t="shared" si="4"/>
        <v/>
      </c>
      <c r="AI68" s="191" t="str">
        <f t="shared" ref="AI68" si="83">IFERROR(IF(AND(X67="Impacto",X68="Impacto"),(AI67-(+AI67*AA68)),IF(X68="Impacto",($T$13-(+$T$13*AA68)),IF(X68="Probabilidad",AI67,""))),"")</f>
        <v/>
      </c>
      <c r="AJ68" s="194" t="str">
        <f t="shared" ref="AJ68:AJ69" si="84">IFERROR(IF(OR(AND(AF68="Muy Baja",AH68="Leve"),AND(AF68="Muy Baja",AH68="Menor"),AND(AF68="Baja",AH68="Leve")),"Bajo",IF(OR(AND(AF68="Muy baja",AH68="Moderado"),AND(AF68="Baja",AH68="Menor"),AND(AF68="Baja",AH68="Moderado"),AND(AF68="Media",AH68="Leve"),AND(AF68="Media",AH68="Menor"),AND(AF68="Media",AH68="Moderado"),AND(AF68="Alta",AH68="Leve"),AND(AF68="Alta",AH68="Menor")),"Moderado",IF(OR(AND(AF68="Muy Baja",AH68="Mayor"),AND(AF68="Baja",AH68="Mayor"),AND(AF68="Media",AH68="Mayor"),AND(AF68="Alta",AH68="Moderado"),AND(AF68="Alta",AH68="Mayor"),AND(AF68="Muy Alta",AH68="Leve"),AND(AF68="Muy Alta",AH68="Menor"),AND(AF68="Muy Alta",AH68="Moderado"),AND(AF68="Muy Alta",AH68="Mayor")),"Alto",IF(OR(AND(AF68="Muy Baja",AH68="Catastrófico"),AND(AF68="Baja",AH68="Catastrófico"),AND(AF68="Media",AH68="Catastrófico"),AND(AF68="Alta",AH68="Catastrófico"),AND(AF68="Muy Alta",AH68="Catastrófico")),"Extremo","")))),"")</f>
        <v/>
      </c>
      <c r="AK68" s="195"/>
      <c r="AL68" s="186"/>
      <c r="AM68" s="196"/>
      <c r="AN68" s="196"/>
      <c r="AO68" s="197"/>
      <c r="AP68" s="376"/>
      <c r="AQ68" s="376"/>
      <c r="AR68" s="376"/>
    </row>
    <row r="69" spans="1:44" x14ac:dyDescent="0.2">
      <c r="A69" s="419"/>
      <c r="B69" s="383"/>
      <c r="C69" s="383"/>
      <c r="D69" s="383"/>
      <c r="E69" s="383"/>
      <c r="F69" s="383"/>
      <c r="G69" s="358"/>
      <c r="H69" s="358"/>
      <c r="I69" s="222"/>
      <c r="J69" s="222"/>
      <c r="K69" s="222"/>
      <c r="L69" s="358"/>
      <c r="M69" s="358"/>
      <c r="N69" s="376"/>
      <c r="O69" s="374"/>
      <c r="P69" s="373"/>
      <c r="Q69" s="349"/>
      <c r="R69" s="373">
        <f>IF(NOT(ISERROR(MATCH(Q69,_xlfn.ANCHORARRAY(F80),0))),Q82&amp;"Por favor no seleccionar los criterios de impacto",Q69)</f>
        <v>0</v>
      </c>
      <c r="S69" s="374"/>
      <c r="T69" s="373"/>
      <c r="U69" s="360"/>
      <c r="V69" s="214">
        <v>3</v>
      </c>
      <c r="W69" s="187"/>
      <c r="X69" s="189" t="str">
        <f>IF(OR(Y69="Preventivo",Y69="Detectivo"),"Probabilidad",IF(Y69="Correctivo","Impacto",""))</f>
        <v/>
      </c>
      <c r="Y69" s="190"/>
      <c r="Z69" s="190"/>
      <c r="AA69" s="191" t="str">
        <f t="shared" si="81"/>
        <v/>
      </c>
      <c r="AB69" s="190"/>
      <c r="AC69" s="190"/>
      <c r="AD69" s="190"/>
      <c r="AE69" s="192" t="str">
        <f>IFERROR(IF(AND(X68="Probabilidad",X69="Probabilidad"),(AG68-(+AG68*AA69)),IF(AND(X68="Impacto",X69="Probabilidad"),(AG67-(+AG67*AA69)),IF(X69="Impacto",AG68,""))),"")</f>
        <v/>
      </c>
      <c r="AF69" s="193" t="str">
        <f t="shared" si="2"/>
        <v/>
      </c>
      <c r="AG69" s="191" t="str">
        <f t="shared" si="82"/>
        <v/>
      </c>
      <c r="AH69" s="193" t="str">
        <f t="shared" si="4"/>
        <v/>
      </c>
      <c r="AI69" s="191" t="str">
        <f t="shared" ref="AI69" si="85">IFERROR(IF(AND(X68="Impacto",X69="Impacto"),(AI68-(+AI68*AA69)),IF(AND(X68="Probabilidad",X69="Impacto"),(AI67-(+AI67*AA69)),IF(X69="Probabilidad",AI68,""))),"")</f>
        <v/>
      </c>
      <c r="AJ69" s="194" t="str">
        <f t="shared" si="84"/>
        <v/>
      </c>
      <c r="AK69" s="195"/>
      <c r="AL69" s="186"/>
      <c r="AM69" s="196"/>
      <c r="AN69" s="196"/>
      <c r="AO69" s="197"/>
      <c r="AP69" s="376"/>
      <c r="AQ69" s="376"/>
      <c r="AR69" s="376"/>
    </row>
    <row r="70" spans="1:44" x14ac:dyDescent="0.2">
      <c r="A70" s="419"/>
      <c r="B70" s="383"/>
      <c r="C70" s="383"/>
      <c r="D70" s="383"/>
      <c r="E70" s="383"/>
      <c r="F70" s="383"/>
      <c r="G70" s="358"/>
      <c r="H70" s="358"/>
      <c r="I70" s="222"/>
      <c r="J70" s="222"/>
      <c r="K70" s="222"/>
      <c r="L70" s="358"/>
      <c r="M70" s="358"/>
      <c r="N70" s="376"/>
      <c r="O70" s="374"/>
      <c r="P70" s="373"/>
      <c r="Q70" s="349"/>
      <c r="R70" s="373">
        <f>IF(NOT(ISERROR(MATCH(Q70,_xlfn.ANCHORARRAY(F81),0))),Q83&amp;"Por favor no seleccionar los criterios de impacto",Q70)</f>
        <v>0</v>
      </c>
      <c r="S70" s="374"/>
      <c r="T70" s="373"/>
      <c r="U70" s="360"/>
      <c r="V70" s="214">
        <v>4</v>
      </c>
      <c r="W70" s="187"/>
      <c r="X70" s="189" t="str">
        <f t="shared" ref="X70:X72" si="86">IF(OR(Y70="Preventivo",Y70="Detectivo"),"Probabilidad",IF(Y70="Correctivo","Impacto",""))</f>
        <v/>
      </c>
      <c r="Y70" s="190"/>
      <c r="Z70" s="190"/>
      <c r="AA70" s="191" t="str">
        <f t="shared" si="81"/>
        <v/>
      </c>
      <c r="AB70" s="190"/>
      <c r="AC70" s="190"/>
      <c r="AD70" s="190"/>
      <c r="AE70" s="192" t="str">
        <f t="shared" ref="AE70:AE72" si="87">IFERROR(IF(AND(X69="Probabilidad",X70="Probabilidad"),(AG69-(+AG69*AA70)),IF(AND(X69="Impacto",X70="Probabilidad"),(AG68-(+AG68*AA70)),IF(X70="Impacto",AG69,""))),"")</f>
        <v/>
      </c>
      <c r="AF70" s="193" t="str">
        <f t="shared" si="2"/>
        <v/>
      </c>
      <c r="AG70" s="191" t="str">
        <f t="shared" si="82"/>
        <v/>
      </c>
      <c r="AH70" s="193" t="str">
        <f t="shared" si="4"/>
        <v/>
      </c>
      <c r="AI70" s="191" t="str">
        <f t="shared" si="13"/>
        <v/>
      </c>
      <c r="AJ70" s="194" t="str">
        <f>IFERROR(IF(OR(AND(AF70="Muy Baja",AH70="Leve"),AND(AF70="Muy Baja",AH70="Menor"),AND(AF70="Baja",AH70="Leve")),"Bajo",IF(OR(AND(AF70="Muy baja",AH70="Moderado"),AND(AF70="Baja",AH70="Menor"),AND(AF70="Baja",AH70="Moderado"),AND(AF70="Media",AH70="Leve"),AND(AF70="Media",AH70="Menor"),AND(AF70="Media",AH70="Moderado"),AND(AF70="Alta",AH70="Leve"),AND(AF70="Alta",AH70="Menor")),"Moderado",IF(OR(AND(AF70="Muy Baja",AH70="Mayor"),AND(AF70="Baja",AH70="Mayor"),AND(AF70="Media",AH70="Mayor"),AND(AF70="Alta",AH70="Moderado"),AND(AF70="Alta",AH70="Mayor"),AND(AF70="Muy Alta",AH70="Leve"),AND(AF70="Muy Alta",AH70="Menor"),AND(AF70="Muy Alta",AH70="Moderado"),AND(AF70="Muy Alta",AH70="Mayor")),"Alto",IF(OR(AND(AF70="Muy Baja",AH70="Catastrófico"),AND(AF70="Baja",AH70="Catastrófico"),AND(AF70="Media",AH70="Catastrófico"),AND(AF70="Alta",AH70="Catastrófico"),AND(AF70="Muy Alta",AH70="Catastrófico")),"Extremo","")))),"")</f>
        <v/>
      </c>
      <c r="AK70" s="195"/>
      <c r="AL70" s="186"/>
      <c r="AM70" s="196"/>
      <c r="AN70" s="196"/>
      <c r="AO70" s="197"/>
      <c r="AP70" s="376"/>
      <c r="AQ70" s="376"/>
      <c r="AR70" s="376"/>
    </row>
    <row r="71" spans="1:44" x14ac:dyDescent="0.2">
      <c r="A71" s="419"/>
      <c r="B71" s="383"/>
      <c r="C71" s="383"/>
      <c r="D71" s="383"/>
      <c r="E71" s="383"/>
      <c r="F71" s="383"/>
      <c r="G71" s="358"/>
      <c r="H71" s="358"/>
      <c r="I71" s="222"/>
      <c r="J71" s="222"/>
      <c r="K71" s="222"/>
      <c r="L71" s="358"/>
      <c r="M71" s="358"/>
      <c r="N71" s="376"/>
      <c r="O71" s="374"/>
      <c r="P71" s="373"/>
      <c r="Q71" s="349"/>
      <c r="R71" s="373">
        <f>IF(NOT(ISERROR(MATCH(Q71,_xlfn.ANCHORARRAY(F82),0))),Q84&amp;"Por favor no seleccionar los criterios de impacto",Q71)</f>
        <v>0</v>
      </c>
      <c r="S71" s="374"/>
      <c r="T71" s="373"/>
      <c r="U71" s="360"/>
      <c r="V71" s="214">
        <v>5</v>
      </c>
      <c r="W71" s="187"/>
      <c r="X71" s="189" t="str">
        <f t="shared" si="86"/>
        <v/>
      </c>
      <c r="Y71" s="190"/>
      <c r="Z71" s="190"/>
      <c r="AA71" s="191" t="str">
        <f t="shared" si="81"/>
        <v/>
      </c>
      <c r="AB71" s="190"/>
      <c r="AC71" s="190"/>
      <c r="AD71" s="190"/>
      <c r="AE71" s="192" t="str">
        <f t="shared" si="87"/>
        <v/>
      </c>
      <c r="AF71" s="193" t="str">
        <f t="shared" si="2"/>
        <v/>
      </c>
      <c r="AG71" s="191" t="str">
        <f t="shared" si="82"/>
        <v/>
      </c>
      <c r="AH71" s="193" t="str">
        <f t="shared" si="4"/>
        <v/>
      </c>
      <c r="AI71" s="191" t="str">
        <f t="shared" si="13"/>
        <v/>
      </c>
      <c r="AJ71" s="194" t="str">
        <f t="shared" ref="AJ71:AJ72" si="88">IFERROR(IF(OR(AND(AF71="Muy Baja",AH71="Leve"),AND(AF71="Muy Baja",AH71="Menor"),AND(AF71="Baja",AH71="Leve")),"Bajo",IF(OR(AND(AF71="Muy baja",AH71="Moderado"),AND(AF71="Baja",AH71="Menor"),AND(AF71="Baja",AH71="Moderado"),AND(AF71="Media",AH71="Leve"),AND(AF71="Media",AH71="Menor"),AND(AF71="Media",AH71="Moderado"),AND(AF71="Alta",AH71="Leve"),AND(AF71="Alta",AH71="Menor")),"Moderado",IF(OR(AND(AF71="Muy Baja",AH71="Mayor"),AND(AF71="Baja",AH71="Mayor"),AND(AF71="Media",AH71="Mayor"),AND(AF71="Alta",AH71="Moderado"),AND(AF71="Alta",AH71="Mayor"),AND(AF71="Muy Alta",AH71="Leve"),AND(AF71="Muy Alta",AH71="Menor"),AND(AF71="Muy Alta",AH71="Moderado"),AND(AF71="Muy Alta",AH71="Mayor")),"Alto",IF(OR(AND(AF71="Muy Baja",AH71="Catastrófico"),AND(AF71="Baja",AH71="Catastrófico"),AND(AF71="Media",AH71="Catastrófico"),AND(AF71="Alta",AH71="Catastrófico"),AND(AF71="Muy Alta",AH71="Catastrófico")),"Extremo","")))),"")</f>
        <v/>
      </c>
      <c r="AK71" s="195"/>
      <c r="AL71" s="186"/>
      <c r="AM71" s="196"/>
      <c r="AN71" s="196"/>
      <c r="AO71" s="197"/>
      <c r="AP71" s="376"/>
      <c r="AQ71" s="376"/>
      <c r="AR71" s="376"/>
    </row>
    <row r="72" spans="1:44" x14ac:dyDescent="0.2">
      <c r="A72" s="419"/>
      <c r="B72" s="383"/>
      <c r="C72" s="383"/>
      <c r="D72" s="383"/>
      <c r="E72" s="383"/>
      <c r="F72" s="383"/>
      <c r="G72" s="369"/>
      <c r="H72" s="369"/>
      <c r="I72" s="223"/>
      <c r="J72" s="223"/>
      <c r="K72" s="223"/>
      <c r="L72" s="369"/>
      <c r="M72" s="369"/>
      <c r="N72" s="376"/>
      <c r="O72" s="374"/>
      <c r="P72" s="373"/>
      <c r="Q72" s="349"/>
      <c r="R72" s="373">
        <f>IF(NOT(ISERROR(MATCH(Q72,_xlfn.ANCHORARRAY(F83),0))),Q85&amp;"Por favor no seleccionar los criterios de impacto",Q72)</f>
        <v>0</v>
      </c>
      <c r="S72" s="374"/>
      <c r="T72" s="373"/>
      <c r="U72" s="360"/>
      <c r="V72" s="214">
        <v>6</v>
      </c>
      <c r="W72" s="187"/>
      <c r="X72" s="189" t="str">
        <f t="shared" si="86"/>
        <v/>
      </c>
      <c r="Y72" s="190"/>
      <c r="Z72" s="190"/>
      <c r="AA72" s="191" t="str">
        <f t="shared" si="81"/>
        <v/>
      </c>
      <c r="AB72" s="190"/>
      <c r="AC72" s="190"/>
      <c r="AD72" s="190"/>
      <c r="AE72" s="192" t="str">
        <f t="shared" si="87"/>
        <v/>
      </c>
      <c r="AF72" s="193" t="str">
        <f t="shared" si="2"/>
        <v/>
      </c>
      <c r="AG72" s="191" t="str">
        <f t="shared" si="82"/>
        <v/>
      </c>
      <c r="AH72" s="193" t="str">
        <f t="shared" si="4"/>
        <v/>
      </c>
      <c r="AI72" s="191" t="str">
        <f t="shared" si="13"/>
        <v/>
      </c>
      <c r="AJ72" s="194" t="str">
        <f t="shared" si="88"/>
        <v/>
      </c>
      <c r="AK72" s="195"/>
      <c r="AL72" s="186"/>
      <c r="AM72" s="196"/>
      <c r="AN72" s="196"/>
      <c r="AO72" s="197"/>
      <c r="AP72" s="376"/>
      <c r="AQ72" s="376"/>
      <c r="AR72" s="376"/>
    </row>
    <row r="73" spans="1:44" ht="49.5" customHeight="1" x14ac:dyDescent="0.2">
      <c r="A73" s="216"/>
      <c r="B73" s="423" t="s">
        <v>261</v>
      </c>
      <c r="C73" s="424"/>
      <c r="D73" s="424"/>
      <c r="E73" s="424"/>
      <c r="F73" s="424"/>
      <c r="G73" s="424"/>
      <c r="H73" s="424"/>
      <c r="I73" s="424"/>
      <c r="J73" s="424"/>
      <c r="K73" s="424"/>
      <c r="L73" s="424"/>
      <c r="M73" s="424"/>
      <c r="N73" s="424"/>
      <c r="O73" s="424"/>
      <c r="P73" s="424"/>
      <c r="Q73" s="424"/>
      <c r="R73" s="424"/>
      <c r="S73" s="424"/>
      <c r="T73" s="424"/>
      <c r="U73" s="424"/>
      <c r="V73" s="424"/>
      <c r="W73" s="424"/>
      <c r="X73" s="424"/>
      <c r="Y73" s="424"/>
      <c r="Z73" s="424"/>
      <c r="AA73" s="424"/>
      <c r="AB73" s="424"/>
      <c r="AC73" s="424"/>
      <c r="AD73" s="424"/>
      <c r="AE73" s="424"/>
      <c r="AF73" s="424"/>
      <c r="AG73" s="424"/>
      <c r="AH73" s="424"/>
      <c r="AI73" s="424"/>
      <c r="AJ73" s="424"/>
      <c r="AK73" s="424"/>
      <c r="AL73" s="424"/>
      <c r="AM73" s="424"/>
      <c r="AN73" s="424"/>
      <c r="AO73" s="424"/>
      <c r="AP73" s="424"/>
    </row>
    <row r="75" spans="1:44" ht="15.75" x14ac:dyDescent="0.2">
      <c r="A75" s="198"/>
      <c r="B75" s="206" t="s">
        <v>262</v>
      </c>
      <c r="C75" s="198"/>
      <c r="D75" s="198"/>
      <c r="E75" s="198"/>
      <c r="N75" s="198"/>
    </row>
  </sheetData>
  <dataConsolidate/>
  <mergeCells count="299">
    <mergeCell ref="A6:B6"/>
    <mergeCell ref="W6:Y6"/>
    <mergeCell ref="Z6:AR6"/>
    <mergeCell ref="A7:B7"/>
    <mergeCell ref="Z7:AR7"/>
    <mergeCell ref="A1:C4"/>
    <mergeCell ref="X1:AR2"/>
    <mergeCell ref="X3:AL3"/>
    <mergeCell ref="AM3:AR3"/>
    <mergeCell ref="X4:AR4"/>
    <mergeCell ref="D3:I3"/>
    <mergeCell ref="D1:T2"/>
    <mergeCell ref="J3:T3"/>
    <mergeCell ref="D4:T4"/>
    <mergeCell ref="C6:T6"/>
    <mergeCell ref="C7:T7"/>
    <mergeCell ref="A8:B8"/>
    <mergeCell ref="Z8:AR8"/>
    <mergeCell ref="A10:F10"/>
    <mergeCell ref="G10:K10"/>
    <mergeCell ref="P10:V10"/>
    <mergeCell ref="W10:AE10"/>
    <mergeCell ref="AF10:AJ10"/>
    <mergeCell ref="AK10:AO10"/>
    <mergeCell ref="AP10:AR10"/>
    <mergeCell ref="C8:T8"/>
    <mergeCell ref="A11:A12"/>
    <mergeCell ref="B11:B12"/>
    <mergeCell ref="C11:C12"/>
    <mergeCell ref="D11:D12"/>
    <mergeCell ref="E11:E12"/>
    <mergeCell ref="F11:F12"/>
    <mergeCell ref="G11:G12"/>
    <mergeCell ref="H11:H12"/>
    <mergeCell ref="I11:I12"/>
    <mergeCell ref="U13:U18"/>
    <mergeCell ref="AP13:AP18"/>
    <mergeCell ref="AQ13:AQ18"/>
    <mergeCell ref="AR11:AR12"/>
    <mergeCell ref="A13:A18"/>
    <mergeCell ref="B13:B18"/>
    <mergeCell ref="C13:C18"/>
    <mergeCell ref="D13:D18"/>
    <mergeCell ref="E13:E18"/>
    <mergeCell ref="F13:F18"/>
    <mergeCell ref="AI11:AI12"/>
    <mergeCell ref="AJ11:AJ12"/>
    <mergeCell ref="AK11:AK12"/>
    <mergeCell ref="AL11:AL12"/>
    <mergeCell ref="AM11:AM12"/>
    <mergeCell ref="AN11:AN12"/>
    <mergeCell ref="X11:X12"/>
    <mergeCell ref="Y11:AD11"/>
    <mergeCell ref="AE11:AE12"/>
    <mergeCell ref="AF11:AF12"/>
    <mergeCell ref="AG11:AG12"/>
    <mergeCell ref="AH11:AH12"/>
    <mergeCell ref="R11:R12"/>
    <mergeCell ref="S11:S12"/>
    <mergeCell ref="AO11:AO12"/>
    <mergeCell ref="AP11:AP12"/>
    <mergeCell ref="AQ11:AQ12"/>
    <mergeCell ref="W11:W12"/>
    <mergeCell ref="J11:J12"/>
    <mergeCell ref="K11:K12"/>
    <mergeCell ref="N11:N12"/>
    <mergeCell ref="O11:O12"/>
    <mergeCell ref="P11:P12"/>
    <mergeCell ref="Q11:Q12"/>
    <mergeCell ref="T11:T12"/>
    <mergeCell ref="U11:U12"/>
    <mergeCell ref="V11:V12"/>
    <mergeCell ref="AR13:AR18"/>
    <mergeCell ref="M13:M18"/>
    <mergeCell ref="N13:N18"/>
    <mergeCell ref="O13:O18"/>
    <mergeCell ref="P13:P18"/>
    <mergeCell ref="Q13:Q18"/>
    <mergeCell ref="R13:R18"/>
    <mergeCell ref="G19:G24"/>
    <mergeCell ref="H19:H24"/>
    <mergeCell ref="I19:I24"/>
    <mergeCell ref="J19:J24"/>
    <mergeCell ref="K19:K24"/>
    <mergeCell ref="L19:L24"/>
    <mergeCell ref="AP19:AP24"/>
    <mergeCell ref="AQ19:AQ24"/>
    <mergeCell ref="AR19:AR24"/>
    <mergeCell ref="G13:G18"/>
    <mergeCell ref="H13:H18"/>
    <mergeCell ref="I13:I18"/>
    <mergeCell ref="J13:J18"/>
    <mergeCell ref="K13:K18"/>
    <mergeCell ref="L13:L18"/>
    <mergeCell ref="S13:S18"/>
    <mergeCell ref="T13:T18"/>
    <mergeCell ref="A19:A24"/>
    <mergeCell ref="B19:B24"/>
    <mergeCell ref="C19:C24"/>
    <mergeCell ref="D19:D24"/>
    <mergeCell ref="E19:E24"/>
    <mergeCell ref="F19:F24"/>
    <mergeCell ref="S19:S24"/>
    <mergeCell ref="T19:T24"/>
    <mergeCell ref="U19:U24"/>
    <mergeCell ref="M19:M24"/>
    <mergeCell ref="N19:N24"/>
    <mergeCell ref="O19:O24"/>
    <mergeCell ref="P19:P24"/>
    <mergeCell ref="Q19:Q24"/>
    <mergeCell ref="R19:R24"/>
    <mergeCell ref="G25:G30"/>
    <mergeCell ref="H25:H30"/>
    <mergeCell ref="I25:I30"/>
    <mergeCell ref="J25:J30"/>
    <mergeCell ref="K25:K30"/>
    <mergeCell ref="L25:L30"/>
    <mergeCell ref="A25:A30"/>
    <mergeCell ref="B25:B30"/>
    <mergeCell ref="C25:C30"/>
    <mergeCell ref="D25:D30"/>
    <mergeCell ref="E25:E30"/>
    <mergeCell ref="F25:F30"/>
    <mergeCell ref="S25:S30"/>
    <mergeCell ref="T25:T30"/>
    <mergeCell ref="U25:U30"/>
    <mergeCell ref="AP25:AP30"/>
    <mergeCell ref="AQ25:AQ30"/>
    <mergeCell ref="AR25:AR30"/>
    <mergeCell ref="M25:M30"/>
    <mergeCell ref="N25:N30"/>
    <mergeCell ref="O25:O30"/>
    <mergeCell ref="P25:P30"/>
    <mergeCell ref="Q25:Q30"/>
    <mergeCell ref="R25:R30"/>
    <mergeCell ref="G31:G36"/>
    <mergeCell ref="H31:H36"/>
    <mergeCell ref="I31:I36"/>
    <mergeCell ref="J31:J36"/>
    <mergeCell ref="K31:K36"/>
    <mergeCell ref="L31:L36"/>
    <mergeCell ref="A31:A36"/>
    <mergeCell ref="B31:B36"/>
    <mergeCell ref="C31:C36"/>
    <mergeCell ref="D31:D36"/>
    <mergeCell ref="E31:E36"/>
    <mergeCell ref="F31:F36"/>
    <mergeCell ref="S31:S36"/>
    <mergeCell ref="T31:T36"/>
    <mergeCell ref="U31:U36"/>
    <mergeCell ref="AP31:AP36"/>
    <mergeCell ref="AQ31:AQ36"/>
    <mergeCell ref="AR31:AR36"/>
    <mergeCell ref="M31:M36"/>
    <mergeCell ref="N31:N36"/>
    <mergeCell ref="O31:O36"/>
    <mergeCell ref="P31:P36"/>
    <mergeCell ref="Q31:Q36"/>
    <mergeCell ref="R31:R36"/>
    <mergeCell ref="G37:G42"/>
    <mergeCell ref="H37:H42"/>
    <mergeCell ref="I37:I42"/>
    <mergeCell ref="J37:J42"/>
    <mergeCell ref="K37:K42"/>
    <mergeCell ref="L37:L42"/>
    <mergeCell ref="A37:A42"/>
    <mergeCell ref="B37:B42"/>
    <mergeCell ref="C37:C42"/>
    <mergeCell ref="D37:D42"/>
    <mergeCell ref="E37:E42"/>
    <mergeCell ref="F37:F42"/>
    <mergeCell ref="S37:S42"/>
    <mergeCell ref="T37:T42"/>
    <mergeCell ref="U37:U42"/>
    <mergeCell ref="AP37:AP42"/>
    <mergeCell ref="AQ37:AQ42"/>
    <mergeCell ref="AR37:AR42"/>
    <mergeCell ref="M37:M42"/>
    <mergeCell ref="N37:N42"/>
    <mergeCell ref="O37:O42"/>
    <mergeCell ref="P37:P42"/>
    <mergeCell ref="Q37:Q42"/>
    <mergeCell ref="R37:R42"/>
    <mergeCell ref="G43:G48"/>
    <mergeCell ref="H43:H48"/>
    <mergeCell ref="I43:I48"/>
    <mergeCell ref="J43:J48"/>
    <mergeCell ref="K43:K48"/>
    <mergeCell ref="L43:L48"/>
    <mergeCell ref="A43:A48"/>
    <mergeCell ref="B43:B48"/>
    <mergeCell ref="C43:C48"/>
    <mergeCell ref="D43:D48"/>
    <mergeCell ref="E43:E48"/>
    <mergeCell ref="F43:F48"/>
    <mergeCell ref="S43:S48"/>
    <mergeCell ref="T43:T48"/>
    <mergeCell ref="U43:U48"/>
    <mergeCell ref="AP43:AP48"/>
    <mergeCell ref="AQ43:AQ48"/>
    <mergeCell ref="AR43:AR48"/>
    <mergeCell ref="M43:M48"/>
    <mergeCell ref="N43:N48"/>
    <mergeCell ref="O43:O48"/>
    <mergeCell ref="P43:P48"/>
    <mergeCell ref="Q43:Q48"/>
    <mergeCell ref="R43:R48"/>
    <mergeCell ref="G49:G54"/>
    <mergeCell ref="H49:H54"/>
    <mergeCell ref="I49:I54"/>
    <mergeCell ref="J49:J54"/>
    <mergeCell ref="K49:K54"/>
    <mergeCell ref="L49:L54"/>
    <mergeCell ref="A49:A54"/>
    <mergeCell ref="B49:B54"/>
    <mergeCell ref="C49:C54"/>
    <mergeCell ref="D49:D54"/>
    <mergeCell ref="E49:E54"/>
    <mergeCell ref="F49:F54"/>
    <mergeCell ref="S49:S54"/>
    <mergeCell ref="T49:T54"/>
    <mergeCell ref="U49:U54"/>
    <mergeCell ref="AP49:AP54"/>
    <mergeCell ref="AQ49:AQ54"/>
    <mergeCell ref="AR49:AR54"/>
    <mergeCell ref="M49:M54"/>
    <mergeCell ref="N49:N54"/>
    <mergeCell ref="O49:O54"/>
    <mergeCell ref="P49:P54"/>
    <mergeCell ref="Q49:Q54"/>
    <mergeCell ref="R49:R54"/>
    <mergeCell ref="G55:G60"/>
    <mergeCell ref="H55:H60"/>
    <mergeCell ref="I55:I60"/>
    <mergeCell ref="J55:J60"/>
    <mergeCell ref="K55:K60"/>
    <mergeCell ref="L55:L60"/>
    <mergeCell ref="A55:A60"/>
    <mergeCell ref="B55:B60"/>
    <mergeCell ref="C55:C60"/>
    <mergeCell ref="D55:D60"/>
    <mergeCell ref="E55:E60"/>
    <mergeCell ref="F55:F60"/>
    <mergeCell ref="T55:T60"/>
    <mergeCell ref="U55:U60"/>
    <mergeCell ref="AP55:AP60"/>
    <mergeCell ref="AQ55:AQ60"/>
    <mergeCell ref="AR55:AR60"/>
    <mergeCell ref="M55:M60"/>
    <mergeCell ref="N55:N60"/>
    <mergeCell ref="O55:O60"/>
    <mergeCell ref="P55:P60"/>
    <mergeCell ref="Q55:Q60"/>
    <mergeCell ref="R55:R60"/>
    <mergeCell ref="A67:A72"/>
    <mergeCell ref="B67:B72"/>
    <mergeCell ref="C67:C72"/>
    <mergeCell ref="D67:D72"/>
    <mergeCell ref="E67:E72"/>
    <mergeCell ref="F67:F72"/>
    <mergeCell ref="G67:G72"/>
    <mergeCell ref="P61:P66"/>
    <mergeCell ref="Q61:Q66"/>
    <mergeCell ref="G61:G66"/>
    <mergeCell ref="H61:H66"/>
    <mergeCell ref="L61:L66"/>
    <mergeCell ref="M61:M66"/>
    <mergeCell ref="N61:N66"/>
    <mergeCell ref="O61:O66"/>
    <mergeCell ref="A61:A66"/>
    <mergeCell ref="B61:B66"/>
    <mergeCell ref="C61:C66"/>
    <mergeCell ref="D61:D66"/>
    <mergeCell ref="E61:E66"/>
    <mergeCell ref="F61:F66"/>
    <mergeCell ref="AQ67:AQ72"/>
    <mergeCell ref="AR67:AR72"/>
    <mergeCell ref="B73:AP73"/>
    <mergeCell ref="L10:M11"/>
    <mergeCell ref="Q67:Q72"/>
    <mergeCell ref="R67:R72"/>
    <mergeCell ref="S67:S72"/>
    <mergeCell ref="T67:T72"/>
    <mergeCell ref="U67:U72"/>
    <mergeCell ref="AP67:AP72"/>
    <mergeCell ref="H67:H72"/>
    <mergeCell ref="L67:L72"/>
    <mergeCell ref="M67:M72"/>
    <mergeCell ref="N67:N72"/>
    <mergeCell ref="O67:O72"/>
    <mergeCell ref="P67:P72"/>
    <mergeCell ref="AP61:AP66"/>
    <mergeCell ref="AQ61:AQ66"/>
    <mergeCell ref="AR61:AR66"/>
    <mergeCell ref="R61:R66"/>
    <mergeCell ref="S61:S66"/>
    <mergeCell ref="T61:T66"/>
    <mergeCell ref="U61:U66"/>
    <mergeCell ref="S55:S60"/>
  </mergeCells>
  <conditionalFormatting sqref="O13 O19">
    <cfRule type="cellIs" dxfId="238" priority="227" operator="equal">
      <formula>"Muy Alta"</formula>
    </cfRule>
    <cfRule type="cellIs" dxfId="237" priority="228" operator="equal">
      <formula>"Alta"</formula>
    </cfRule>
    <cfRule type="cellIs" dxfId="236" priority="229" operator="equal">
      <formula>"Media"</formula>
    </cfRule>
    <cfRule type="cellIs" dxfId="235" priority="230" operator="equal">
      <formula>"Baja"</formula>
    </cfRule>
    <cfRule type="cellIs" dxfId="234" priority="231" operator="equal">
      <formula>"Muy Baja"</formula>
    </cfRule>
  </conditionalFormatting>
  <conditionalFormatting sqref="S13 S19 S25 S31 S37 S43 S49 S55 S61 S67">
    <cfRule type="cellIs" dxfId="233" priority="222" operator="equal">
      <formula>"Catastrófico"</formula>
    </cfRule>
    <cfRule type="cellIs" dxfId="232" priority="223" operator="equal">
      <formula>"Mayor"</formula>
    </cfRule>
    <cfRule type="cellIs" dxfId="231" priority="224" operator="equal">
      <formula>"Moderado"</formula>
    </cfRule>
    <cfRule type="cellIs" dxfId="230" priority="225" operator="equal">
      <formula>"Menor"</formula>
    </cfRule>
    <cfRule type="cellIs" dxfId="229" priority="226" operator="equal">
      <formula>"Leve"</formula>
    </cfRule>
  </conditionalFormatting>
  <conditionalFormatting sqref="U13">
    <cfRule type="cellIs" dxfId="228" priority="218" operator="equal">
      <formula>"Extremo"</formula>
    </cfRule>
    <cfRule type="cellIs" dxfId="227" priority="219" operator="equal">
      <formula>"Alto"</formula>
    </cfRule>
    <cfRule type="cellIs" dxfId="226" priority="220" operator="equal">
      <formula>"Moderado"</formula>
    </cfRule>
    <cfRule type="cellIs" dxfId="225" priority="221" operator="equal">
      <formula>"Bajo"</formula>
    </cfRule>
  </conditionalFormatting>
  <conditionalFormatting sqref="AF13:AF18">
    <cfRule type="cellIs" dxfId="224" priority="213" operator="equal">
      <formula>"Muy Alta"</formula>
    </cfRule>
    <cfRule type="cellIs" dxfId="223" priority="214" operator="equal">
      <formula>"Alta"</formula>
    </cfRule>
    <cfRule type="cellIs" dxfId="222" priority="215" operator="equal">
      <formula>"Media"</formula>
    </cfRule>
    <cfRule type="cellIs" dxfId="221" priority="216" operator="equal">
      <formula>"Baja"</formula>
    </cfRule>
    <cfRule type="cellIs" dxfId="220" priority="217" operator="equal">
      <formula>"Muy Baja"</formula>
    </cfRule>
  </conditionalFormatting>
  <conditionalFormatting sqref="AH13:AH18">
    <cfRule type="cellIs" dxfId="219" priority="208" operator="equal">
      <formula>"Catastrófico"</formula>
    </cfRule>
    <cfRule type="cellIs" dxfId="218" priority="209" operator="equal">
      <formula>"Mayor"</formula>
    </cfRule>
    <cfRule type="cellIs" dxfId="217" priority="210" operator="equal">
      <formula>"Moderado"</formula>
    </cfRule>
    <cfRule type="cellIs" dxfId="216" priority="211" operator="equal">
      <formula>"Menor"</formula>
    </cfRule>
    <cfRule type="cellIs" dxfId="215" priority="212" operator="equal">
      <formula>"Leve"</formula>
    </cfRule>
  </conditionalFormatting>
  <conditionalFormatting sqref="AJ13:AJ18">
    <cfRule type="cellIs" dxfId="214" priority="204" operator="equal">
      <formula>"Extremo"</formula>
    </cfRule>
    <cfRule type="cellIs" dxfId="213" priority="205" operator="equal">
      <formula>"Alto"</formula>
    </cfRule>
    <cfRule type="cellIs" dxfId="212" priority="206" operator="equal">
      <formula>"Moderado"</formula>
    </cfRule>
    <cfRule type="cellIs" dxfId="211" priority="207" operator="equal">
      <formula>"Bajo"</formula>
    </cfRule>
  </conditionalFormatting>
  <conditionalFormatting sqref="O61">
    <cfRule type="cellIs" dxfId="210" priority="48" operator="equal">
      <formula>"Muy Alta"</formula>
    </cfRule>
    <cfRule type="cellIs" dxfId="209" priority="49" operator="equal">
      <formula>"Alta"</formula>
    </cfRule>
    <cfRule type="cellIs" dxfId="208" priority="50" operator="equal">
      <formula>"Media"</formula>
    </cfRule>
    <cfRule type="cellIs" dxfId="207" priority="51" operator="equal">
      <formula>"Baja"</formula>
    </cfRule>
    <cfRule type="cellIs" dxfId="206" priority="52" operator="equal">
      <formula>"Muy Baja"</formula>
    </cfRule>
  </conditionalFormatting>
  <conditionalFormatting sqref="U19">
    <cfRule type="cellIs" dxfId="205" priority="200" operator="equal">
      <formula>"Extremo"</formula>
    </cfRule>
    <cfRule type="cellIs" dxfId="204" priority="201" operator="equal">
      <formula>"Alto"</formula>
    </cfRule>
    <cfRule type="cellIs" dxfId="203" priority="202" operator="equal">
      <formula>"Moderado"</formula>
    </cfRule>
    <cfRule type="cellIs" dxfId="202" priority="203" operator="equal">
      <formula>"Bajo"</formula>
    </cfRule>
  </conditionalFormatting>
  <conditionalFormatting sqref="AF19:AF24">
    <cfRule type="cellIs" dxfId="201" priority="195" operator="equal">
      <formula>"Muy Alta"</formula>
    </cfRule>
    <cfRule type="cellIs" dxfId="200" priority="196" operator="equal">
      <formula>"Alta"</formula>
    </cfRule>
    <cfRule type="cellIs" dxfId="199" priority="197" operator="equal">
      <formula>"Media"</formula>
    </cfRule>
    <cfRule type="cellIs" dxfId="198" priority="198" operator="equal">
      <formula>"Baja"</formula>
    </cfRule>
    <cfRule type="cellIs" dxfId="197" priority="199" operator="equal">
      <formula>"Muy Baja"</formula>
    </cfRule>
  </conditionalFormatting>
  <conditionalFormatting sqref="AH19:AH24">
    <cfRule type="cellIs" dxfId="196" priority="190" operator="equal">
      <formula>"Catastrófico"</formula>
    </cfRule>
    <cfRule type="cellIs" dxfId="195" priority="191" operator="equal">
      <formula>"Mayor"</formula>
    </cfRule>
    <cfRule type="cellIs" dxfId="194" priority="192" operator="equal">
      <formula>"Moderado"</formula>
    </cfRule>
    <cfRule type="cellIs" dxfId="193" priority="193" operator="equal">
      <formula>"Menor"</formula>
    </cfRule>
    <cfRule type="cellIs" dxfId="192" priority="194" operator="equal">
      <formula>"Leve"</formula>
    </cfRule>
  </conditionalFormatting>
  <conditionalFormatting sqref="AJ19:AJ24">
    <cfRule type="cellIs" dxfId="191" priority="186" operator="equal">
      <formula>"Extremo"</formula>
    </cfRule>
    <cfRule type="cellIs" dxfId="190" priority="187" operator="equal">
      <formula>"Alto"</formula>
    </cfRule>
    <cfRule type="cellIs" dxfId="189" priority="188" operator="equal">
      <formula>"Moderado"</formula>
    </cfRule>
    <cfRule type="cellIs" dxfId="188" priority="189" operator="equal">
      <formula>"Bajo"</formula>
    </cfRule>
  </conditionalFormatting>
  <conditionalFormatting sqref="O25">
    <cfRule type="cellIs" dxfId="187" priority="181" operator="equal">
      <formula>"Muy Alta"</formula>
    </cfRule>
    <cfRule type="cellIs" dxfId="186" priority="182" operator="equal">
      <formula>"Alta"</formula>
    </cfRule>
    <cfRule type="cellIs" dxfId="185" priority="183" operator="equal">
      <formula>"Media"</formula>
    </cfRule>
    <cfRule type="cellIs" dxfId="184" priority="184" operator="equal">
      <formula>"Baja"</formula>
    </cfRule>
    <cfRule type="cellIs" dxfId="183" priority="185" operator="equal">
      <formula>"Muy Baja"</formula>
    </cfRule>
  </conditionalFormatting>
  <conditionalFormatting sqref="U25">
    <cfRule type="cellIs" dxfId="182" priority="177" operator="equal">
      <formula>"Extremo"</formula>
    </cfRule>
    <cfRule type="cellIs" dxfId="181" priority="178" operator="equal">
      <formula>"Alto"</formula>
    </cfRule>
    <cfRule type="cellIs" dxfId="180" priority="179" operator="equal">
      <formula>"Moderado"</formula>
    </cfRule>
    <cfRule type="cellIs" dxfId="179" priority="180" operator="equal">
      <formula>"Bajo"</formula>
    </cfRule>
  </conditionalFormatting>
  <conditionalFormatting sqref="AF25:AF30">
    <cfRule type="cellIs" dxfId="178" priority="172" operator="equal">
      <formula>"Muy Alta"</formula>
    </cfRule>
    <cfRule type="cellIs" dxfId="177" priority="173" operator="equal">
      <formula>"Alta"</formula>
    </cfRule>
    <cfRule type="cellIs" dxfId="176" priority="174" operator="equal">
      <formula>"Media"</formula>
    </cfRule>
    <cfRule type="cellIs" dxfId="175" priority="175" operator="equal">
      <formula>"Baja"</formula>
    </cfRule>
    <cfRule type="cellIs" dxfId="174" priority="176" operator="equal">
      <formula>"Muy Baja"</formula>
    </cfRule>
  </conditionalFormatting>
  <conditionalFormatting sqref="AH25:AH30">
    <cfRule type="cellIs" dxfId="173" priority="167" operator="equal">
      <formula>"Catastrófico"</formula>
    </cfRule>
    <cfRule type="cellIs" dxfId="172" priority="168" operator="equal">
      <formula>"Mayor"</formula>
    </cfRule>
    <cfRule type="cellIs" dxfId="171" priority="169" operator="equal">
      <formula>"Moderado"</formula>
    </cfRule>
    <cfRule type="cellIs" dxfId="170" priority="170" operator="equal">
      <formula>"Menor"</formula>
    </cfRule>
    <cfRule type="cellIs" dxfId="169" priority="171" operator="equal">
      <formula>"Leve"</formula>
    </cfRule>
  </conditionalFormatting>
  <conditionalFormatting sqref="AJ25:AJ30">
    <cfRule type="cellIs" dxfId="168" priority="163" operator="equal">
      <formula>"Extremo"</formula>
    </cfRule>
    <cfRule type="cellIs" dxfId="167" priority="164" operator="equal">
      <formula>"Alto"</formula>
    </cfRule>
    <cfRule type="cellIs" dxfId="166" priority="165" operator="equal">
      <formula>"Moderado"</formula>
    </cfRule>
    <cfRule type="cellIs" dxfId="165" priority="166" operator="equal">
      <formula>"Bajo"</formula>
    </cfRule>
  </conditionalFormatting>
  <conditionalFormatting sqref="O31">
    <cfRule type="cellIs" dxfId="164" priority="158" operator="equal">
      <formula>"Muy Alta"</formula>
    </cfRule>
    <cfRule type="cellIs" dxfId="163" priority="159" operator="equal">
      <formula>"Alta"</formula>
    </cfRule>
    <cfRule type="cellIs" dxfId="162" priority="160" operator="equal">
      <formula>"Media"</formula>
    </cfRule>
    <cfRule type="cellIs" dxfId="161" priority="161" operator="equal">
      <formula>"Baja"</formula>
    </cfRule>
    <cfRule type="cellIs" dxfId="160" priority="162" operator="equal">
      <formula>"Muy Baja"</formula>
    </cfRule>
  </conditionalFormatting>
  <conditionalFormatting sqref="U31">
    <cfRule type="cellIs" dxfId="159" priority="154" operator="equal">
      <formula>"Extremo"</formula>
    </cfRule>
    <cfRule type="cellIs" dxfId="158" priority="155" operator="equal">
      <formula>"Alto"</formula>
    </cfRule>
    <cfRule type="cellIs" dxfId="157" priority="156" operator="equal">
      <formula>"Moderado"</formula>
    </cfRule>
    <cfRule type="cellIs" dxfId="156" priority="157" operator="equal">
      <formula>"Bajo"</formula>
    </cfRule>
  </conditionalFormatting>
  <conditionalFormatting sqref="AF31:AF36">
    <cfRule type="cellIs" dxfId="155" priority="149" operator="equal">
      <formula>"Muy Alta"</formula>
    </cfRule>
    <cfRule type="cellIs" dxfId="154" priority="150" operator="equal">
      <formula>"Alta"</formula>
    </cfRule>
    <cfRule type="cellIs" dxfId="153" priority="151" operator="equal">
      <formula>"Media"</formula>
    </cfRule>
    <cfRule type="cellIs" dxfId="152" priority="152" operator="equal">
      <formula>"Baja"</formula>
    </cfRule>
    <cfRule type="cellIs" dxfId="151" priority="153" operator="equal">
      <formula>"Muy Baja"</formula>
    </cfRule>
  </conditionalFormatting>
  <conditionalFormatting sqref="AH31:AH36">
    <cfRule type="cellIs" dxfId="150" priority="144" operator="equal">
      <formula>"Catastrófico"</formula>
    </cfRule>
    <cfRule type="cellIs" dxfId="149" priority="145" operator="equal">
      <formula>"Mayor"</formula>
    </cfRule>
    <cfRule type="cellIs" dxfId="148" priority="146" operator="equal">
      <formula>"Moderado"</formula>
    </cfRule>
    <cfRule type="cellIs" dxfId="147" priority="147" operator="equal">
      <formula>"Menor"</formula>
    </cfRule>
    <cfRule type="cellIs" dxfId="146" priority="148" operator="equal">
      <formula>"Leve"</formula>
    </cfRule>
  </conditionalFormatting>
  <conditionalFormatting sqref="AJ31:AJ36">
    <cfRule type="cellIs" dxfId="145" priority="140" operator="equal">
      <formula>"Extremo"</formula>
    </cfRule>
    <cfRule type="cellIs" dxfId="144" priority="141" operator="equal">
      <formula>"Alto"</formula>
    </cfRule>
    <cfRule type="cellIs" dxfId="143" priority="142" operator="equal">
      <formula>"Moderado"</formula>
    </cfRule>
    <cfRule type="cellIs" dxfId="142" priority="143" operator="equal">
      <formula>"Bajo"</formula>
    </cfRule>
  </conditionalFormatting>
  <conditionalFormatting sqref="O37">
    <cfRule type="cellIs" dxfId="141" priority="135" operator="equal">
      <formula>"Muy Alta"</formula>
    </cfRule>
    <cfRule type="cellIs" dxfId="140" priority="136" operator="equal">
      <formula>"Alta"</formula>
    </cfRule>
    <cfRule type="cellIs" dxfId="139" priority="137" operator="equal">
      <formula>"Media"</formula>
    </cfRule>
    <cfRule type="cellIs" dxfId="138" priority="138" operator="equal">
      <formula>"Baja"</formula>
    </cfRule>
    <cfRule type="cellIs" dxfId="137" priority="139" operator="equal">
      <formula>"Muy Baja"</formula>
    </cfRule>
  </conditionalFormatting>
  <conditionalFormatting sqref="U37">
    <cfRule type="cellIs" dxfId="136" priority="131" operator="equal">
      <formula>"Extremo"</formula>
    </cfRule>
    <cfRule type="cellIs" dxfId="135" priority="132" operator="equal">
      <formula>"Alto"</formula>
    </cfRule>
    <cfRule type="cellIs" dxfId="134" priority="133" operator="equal">
      <formula>"Moderado"</formula>
    </cfRule>
    <cfRule type="cellIs" dxfId="133" priority="134" operator="equal">
      <formula>"Bajo"</formula>
    </cfRule>
  </conditionalFormatting>
  <conditionalFormatting sqref="AF37:AF42">
    <cfRule type="cellIs" dxfId="132" priority="126" operator="equal">
      <formula>"Muy Alta"</formula>
    </cfRule>
    <cfRule type="cellIs" dxfId="131" priority="127" operator="equal">
      <formula>"Alta"</formula>
    </cfRule>
    <cfRule type="cellIs" dxfId="130" priority="128" operator="equal">
      <formula>"Media"</formula>
    </cfRule>
    <cfRule type="cellIs" dxfId="129" priority="129" operator="equal">
      <formula>"Baja"</formula>
    </cfRule>
    <cfRule type="cellIs" dxfId="128" priority="130" operator="equal">
      <formula>"Muy Baja"</formula>
    </cfRule>
  </conditionalFormatting>
  <conditionalFormatting sqref="AH37:AH42">
    <cfRule type="cellIs" dxfId="127" priority="121" operator="equal">
      <formula>"Catastrófico"</formula>
    </cfRule>
    <cfRule type="cellIs" dxfId="126" priority="122" operator="equal">
      <formula>"Mayor"</formula>
    </cfRule>
    <cfRule type="cellIs" dxfId="125" priority="123" operator="equal">
      <formula>"Moderado"</formula>
    </cfRule>
    <cfRule type="cellIs" dxfId="124" priority="124" operator="equal">
      <formula>"Menor"</formula>
    </cfRule>
    <cfRule type="cellIs" dxfId="123" priority="125" operator="equal">
      <formula>"Leve"</formula>
    </cfRule>
  </conditionalFormatting>
  <conditionalFormatting sqref="AJ37:AJ42">
    <cfRule type="cellIs" dxfId="122" priority="117" operator="equal">
      <formula>"Extremo"</formula>
    </cfRule>
    <cfRule type="cellIs" dxfId="121" priority="118" operator="equal">
      <formula>"Alto"</formula>
    </cfRule>
    <cfRule type="cellIs" dxfId="120" priority="119" operator="equal">
      <formula>"Moderado"</formula>
    </cfRule>
    <cfRule type="cellIs" dxfId="119" priority="120" operator="equal">
      <formula>"Bajo"</formula>
    </cfRule>
  </conditionalFormatting>
  <conditionalFormatting sqref="O43">
    <cfRule type="cellIs" dxfId="118" priority="112" operator="equal">
      <formula>"Muy Alta"</formula>
    </cfRule>
    <cfRule type="cellIs" dxfId="117" priority="113" operator="equal">
      <formula>"Alta"</formula>
    </cfRule>
    <cfRule type="cellIs" dxfId="116" priority="114" operator="equal">
      <formula>"Media"</formula>
    </cfRule>
    <cfRule type="cellIs" dxfId="115" priority="115" operator="equal">
      <formula>"Baja"</formula>
    </cfRule>
    <cfRule type="cellIs" dxfId="114" priority="116" operator="equal">
      <formula>"Muy Baja"</formula>
    </cfRule>
  </conditionalFormatting>
  <conditionalFormatting sqref="U43">
    <cfRule type="cellIs" dxfId="113" priority="108" operator="equal">
      <formula>"Extremo"</formula>
    </cfRule>
    <cfRule type="cellIs" dxfId="112" priority="109" operator="equal">
      <formula>"Alto"</formula>
    </cfRule>
    <cfRule type="cellIs" dxfId="111" priority="110" operator="equal">
      <formula>"Moderado"</formula>
    </cfRule>
    <cfRule type="cellIs" dxfId="110" priority="111" operator="equal">
      <formula>"Bajo"</formula>
    </cfRule>
  </conditionalFormatting>
  <conditionalFormatting sqref="AF43:AF48">
    <cfRule type="cellIs" dxfId="109" priority="103" operator="equal">
      <formula>"Muy Alta"</formula>
    </cfRule>
    <cfRule type="cellIs" dxfId="108" priority="104" operator="equal">
      <formula>"Alta"</formula>
    </cfRule>
    <cfRule type="cellIs" dxfId="107" priority="105" operator="equal">
      <formula>"Media"</formula>
    </cfRule>
    <cfRule type="cellIs" dxfId="106" priority="106" operator="equal">
      <formula>"Baja"</formula>
    </cfRule>
    <cfRule type="cellIs" dxfId="105" priority="107" operator="equal">
      <formula>"Muy Baja"</formula>
    </cfRule>
  </conditionalFormatting>
  <conditionalFormatting sqref="AH43:AH48">
    <cfRule type="cellIs" dxfId="104" priority="98" operator="equal">
      <formula>"Catastrófico"</formula>
    </cfRule>
    <cfRule type="cellIs" dxfId="103" priority="99" operator="equal">
      <formula>"Mayor"</formula>
    </cfRule>
    <cfRule type="cellIs" dxfId="102" priority="100" operator="equal">
      <formula>"Moderado"</formula>
    </cfRule>
    <cfRule type="cellIs" dxfId="101" priority="101" operator="equal">
      <formula>"Menor"</formula>
    </cfRule>
    <cfRule type="cellIs" dxfId="100" priority="102" operator="equal">
      <formula>"Leve"</formula>
    </cfRule>
  </conditionalFormatting>
  <conditionalFormatting sqref="AJ43:AJ48">
    <cfRule type="cellIs" dxfId="99" priority="94" operator="equal">
      <formula>"Extremo"</formula>
    </cfRule>
    <cfRule type="cellIs" dxfId="98" priority="95" operator="equal">
      <formula>"Alto"</formula>
    </cfRule>
    <cfRule type="cellIs" dxfId="97" priority="96" operator="equal">
      <formula>"Moderado"</formula>
    </cfRule>
    <cfRule type="cellIs" dxfId="96" priority="97" operator="equal">
      <formula>"Bajo"</formula>
    </cfRule>
  </conditionalFormatting>
  <conditionalFormatting sqref="O49">
    <cfRule type="cellIs" dxfId="95" priority="89" operator="equal">
      <formula>"Muy Alta"</formula>
    </cfRule>
    <cfRule type="cellIs" dxfId="94" priority="90" operator="equal">
      <formula>"Alta"</formula>
    </cfRule>
    <cfRule type="cellIs" dxfId="93" priority="91" operator="equal">
      <formula>"Media"</formula>
    </cfRule>
    <cfRule type="cellIs" dxfId="92" priority="92" operator="equal">
      <formula>"Baja"</formula>
    </cfRule>
    <cfRule type="cellIs" dxfId="91" priority="93" operator="equal">
      <formula>"Muy Baja"</formula>
    </cfRule>
  </conditionalFormatting>
  <conditionalFormatting sqref="U49">
    <cfRule type="cellIs" dxfId="90" priority="85" operator="equal">
      <formula>"Extremo"</formula>
    </cfRule>
    <cfRule type="cellIs" dxfId="89" priority="86" operator="equal">
      <formula>"Alto"</formula>
    </cfRule>
    <cfRule type="cellIs" dxfId="88" priority="87" operator="equal">
      <formula>"Moderado"</formula>
    </cfRule>
    <cfRule type="cellIs" dxfId="87" priority="88" operator="equal">
      <formula>"Bajo"</formula>
    </cfRule>
  </conditionalFormatting>
  <conditionalFormatting sqref="AF49:AF54">
    <cfRule type="cellIs" dxfId="86" priority="80" operator="equal">
      <formula>"Muy Alta"</formula>
    </cfRule>
    <cfRule type="cellIs" dxfId="85" priority="81" operator="equal">
      <formula>"Alta"</formula>
    </cfRule>
    <cfRule type="cellIs" dxfId="84" priority="82" operator="equal">
      <formula>"Media"</formula>
    </cfRule>
    <cfRule type="cellIs" dxfId="83" priority="83" operator="equal">
      <formula>"Baja"</formula>
    </cfRule>
    <cfRule type="cellIs" dxfId="82" priority="84" operator="equal">
      <formula>"Muy Baja"</formula>
    </cfRule>
  </conditionalFormatting>
  <conditionalFormatting sqref="AH49:AH54">
    <cfRule type="cellIs" dxfId="81" priority="75" operator="equal">
      <formula>"Catastrófico"</formula>
    </cfRule>
    <cfRule type="cellIs" dxfId="80" priority="76" operator="equal">
      <formula>"Mayor"</formula>
    </cfRule>
    <cfRule type="cellIs" dxfId="79" priority="77" operator="equal">
      <formula>"Moderado"</formula>
    </cfRule>
    <cfRule type="cellIs" dxfId="78" priority="78" operator="equal">
      <formula>"Menor"</formula>
    </cfRule>
    <cfRule type="cellIs" dxfId="77" priority="79" operator="equal">
      <formula>"Leve"</formula>
    </cfRule>
  </conditionalFormatting>
  <conditionalFormatting sqref="AJ49:AJ54">
    <cfRule type="cellIs" dxfId="76" priority="71" operator="equal">
      <formula>"Extremo"</formula>
    </cfRule>
    <cfRule type="cellIs" dxfId="75" priority="72" operator="equal">
      <formula>"Alto"</formula>
    </cfRule>
    <cfRule type="cellIs" dxfId="74" priority="73" operator="equal">
      <formula>"Moderado"</formula>
    </cfRule>
    <cfRule type="cellIs" dxfId="73" priority="74" operator="equal">
      <formula>"Bajo"</formula>
    </cfRule>
  </conditionalFormatting>
  <conditionalFormatting sqref="U55">
    <cfRule type="cellIs" dxfId="72" priority="67" operator="equal">
      <formula>"Extremo"</formula>
    </cfRule>
    <cfRule type="cellIs" dxfId="71" priority="68" operator="equal">
      <formula>"Alto"</formula>
    </cfRule>
    <cfRule type="cellIs" dxfId="70" priority="69" operator="equal">
      <formula>"Moderado"</formula>
    </cfRule>
    <cfRule type="cellIs" dxfId="69" priority="70" operator="equal">
      <formula>"Bajo"</formula>
    </cfRule>
  </conditionalFormatting>
  <conditionalFormatting sqref="AF55:AF60">
    <cfRule type="cellIs" dxfId="68" priority="62" operator="equal">
      <formula>"Muy Alta"</formula>
    </cfRule>
    <cfRule type="cellIs" dxfId="67" priority="63" operator="equal">
      <formula>"Alta"</formula>
    </cfRule>
    <cfRule type="cellIs" dxfId="66" priority="64" operator="equal">
      <formula>"Media"</formula>
    </cfRule>
    <cfRule type="cellIs" dxfId="65" priority="65" operator="equal">
      <formula>"Baja"</formula>
    </cfRule>
    <cfRule type="cellIs" dxfId="64" priority="66" operator="equal">
      <formula>"Muy Baja"</formula>
    </cfRule>
  </conditionalFormatting>
  <conditionalFormatting sqref="AH55:AH60">
    <cfRule type="cellIs" dxfId="63" priority="57" operator="equal">
      <formula>"Catastrófico"</formula>
    </cfRule>
    <cfRule type="cellIs" dxfId="62" priority="58" operator="equal">
      <formula>"Mayor"</formula>
    </cfRule>
    <cfRule type="cellIs" dxfId="61" priority="59" operator="equal">
      <formula>"Moderado"</formula>
    </cfRule>
    <cfRule type="cellIs" dxfId="60" priority="60" operator="equal">
      <formula>"Menor"</formula>
    </cfRule>
    <cfRule type="cellIs" dxfId="59" priority="61" operator="equal">
      <formula>"Leve"</formula>
    </cfRule>
  </conditionalFormatting>
  <conditionalFormatting sqref="AJ55:AJ60">
    <cfRule type="cellIs" dxfId="58" priority="53" operator="equal">
      <formula>"Extremo"</formula>
    </cfRule>
    <cfRule type="cellIs" dxfId="57" priority="54" operator="equal">
      <formula>"Alto"</formula>
    </cfRule>
    <cfRule type="cellIs" dxfId="56" priority="55" operator="equal">
      <formula>"Moderado"</formula>
    </cfRule>
    <cfRule type="cellIs" dxfId="55" priority="56" operator="equal">
      <formula>"Bajo"</formula>
    </cfRule>
  </conditionalFormatting>
  <conditionalFormatting sqref="U61">
    <cfRule type="cellIs" dxfId="54" priority="44" operator="equal">
      <formula>"Extremo"</formula>
    </cfRule>
    <cfRule type="cellIs" dxfId="53" priority="45" operator="equal">
      <formula>"Alto"</formula>
    </cfRule>
    <cfRule type="cellIs" dxfId="52" priority="46" operator="equal">
      <formula>"Moderado"</formula>
    </cfRule>
    <cfRule type="cellIs" dxfId="51" priority="47" operator="equal">
      <formula>"Bajo"</formula>
    </cfRule>
  </conditionalFormatting>
  <conditionalFormatting sqref="AF61:AF66">
    <cfRule type="cellIs" dxfId="50" priority="39" operator="equal">
      <formula>"Muy Alta"</formula>
    </cfRule>
    <cfRule type="cellIs" dxfId="49" priority="40" operator="equal">
      <formula>"Alta"</formula>
    </cfRule>
    <cfRule type="cellIs" dxfId="48" priority="41" operator="equal">
      <formula>"Media"</formula>
    </cfRule>
    <cfRule type="cellIs" dxfId="47" priority="42" operator="equal">
      <formula>"Baja"</formula>
    </cfRule>
    <cfRule type="cellIs" dxfId="46" priority="43" operator="equal">
      <formula>"Muy Baja"</formula>
    </cfRule>
  </conditionalFormatting>
  <conditionalFormatting sqref="AH61:AH66">
    <cfRule type="cellIs" dxfId="45" priority="34" operator="equal">
      <formula>"Catastrófico"</formula>
    </cfRule>
    <cfRule type="cellIs" dxfId="44" priority="35" operator="equal">
      <formula>"Mayor"</formula>
    </cfRule>
    <cfRule type="cellIs" dxfId="43" priority="36" operator="equal">
      <formula>"Moderado"</formula>
    </cfRule>
    <cfRule type="cellIs" dxfId="42" priority="37" operator="equal">
      <formula>"Menor"</formula>
    </cfRule>
    <cfRule type="cellIs" dxfId="41" priority="38" operator="equal">
      <formula>"Leve"</formula>
    </cfRule>
  </conditionalFormatting>
  <conditionalFormatting sqref="AJ61:AJ66">
    <cfRule type="cellIs" dxfId="40" priority="30" operator="equal">
      <formula>"Extremo"</formula>
    </cfRule>
    <cfRule type="cellIs" dxfId="39" priority="31" operator="equal">
      <formula>"Alto"</formula>
    </cfRule>
    <cfRule type="cellIs" dxfId="38" priority="32" operator="equal">
      <formula>"Moderado"</formula>
    </cfRule>
    <cfRule type="cellIs" dxfId="37" priority="33" operator="equal">
      <formula>"Bajo"</formula>
    </cfRule>
  </conditionalFormatting>
  <conditionalFormatting sqref="O67">
    <cfRule type="cellIs" dxfId="36" priority="25" operator="equal">
      <formula>"Muy Alta"</formula>
    </cfRule>
    <cfRule type="cellIs" dxfId="35" priority="26" operator="equal">
      <formula>"Alta"</formula>
    </cfRule>
    <cfRule type="cellIs" dxfId="34" priority="27" operator="equal">
      <formula>"Media"</formula>
    </cfRule>
    <cfRule type="cellIs" dxfId="33" priority="28" operator="equal">
      <formula>"Baja"</formula>
    </cfRule>
    <cfRule type="cellIs" dxfId="32" priority="29" operator="equal">
      <formula>"Muy Baja"</formula>
    </cfRule>
  </conditionalFormatting>
  <conditionalFormatting sqref="U67">
    <cfRule type="cellIs" dxfId="31" priority="21" operator="equal">
      <formula>"Extremo"</formula>
    </cfRule>
    <cfRule type="cellIs" dxfId="30" priority="22" operator="equal">
      <formula>"Alto"</formula>
    </cfRule>
    <cfRule type="cellIs" dxfId="29" priority="23" operator="equal">
      <formula>"Moderado"</formula>
    </cfRule>
    <cfRule type="cellIs" dxfId="28" priority="24" operator="equal">
      <formula>"Bajo"</formula>
    </cfRule>
  </conditionalFormatting>
  <conditionalFormatting sqref="AF67:AF72">
    <cfRule type="cellIs" dxfId="27" priority="16" operator="equal">
      <formula>"Muy Alta"</formula>
    </cfRule>
    <cfRule type="cellIs" dxfId="26" priority="17" operator="equal">
      <formula>"Alta"</formula>
    </cfRule>
    <cfRule type="cellIs" dxfId="25" priority="18" operator="equal">
      <formula>"Media"</formula>
    </cfRule>
    <cfRule type="cellIs" dxfId="24" priority="19" operator="equal">
      <formula>"Baja"</formula>
    </cfRule>
    <cfRule type="cellIs" dxfId="23" priority="20" operator="equal">
      <formula>"Muy Baja"</formula>
    </cfRule>
  </conditionalFormatting>
  <conditionalFormatting sqref="AH67:AH72">
    <cfRule type="cellIs" dxfId="22" priority="11" operator="equal">
      <formula>"Catastrófico"</formula>
    </cfRule>
    <cfRule type="cellIs" dxfId="21" priority="12" operator="equal">
      <formula>"Mayor"</formula>
    </cfRule>
    <cfRule type="cellIs" dxfId="20" priority="13" operator="equal">
      <formula>"Moderado"</formula>
    </cfRule>
    <cfRule type="cellIs" dxfId="19" priority="14" operator="equal">
      <formula>"Menor"</formula>
    </cfRule>
    <cfRule type="cellIs" dxfId="18" priority="15" operator="equal">
      <formula>"Leve"</formula>
    </cfRule>
  </conditionalFormatting>
  <conditionalFormatting sqref="AJ67:AJ72">
    <cfRule type="cellIs" dxfId="17" priority="7" operator="equal">
      <formula>"Extremo"</formula>
    </cfRule>
    <cfRule type="cellIs" dxfId="16" priority="8" operator="equal">
      <formula>"Alto"</formula>
    </cfRule>
    <cfRule type="cellIs" dxfId="15" priority="9" operator="equal">
      <formula>"Moderado"</formula>
    </cfRule>
    <cfRule type="cellIs" dxfId="14" priority="10" operator="equal">
      <formula>"Bajo"</formula>
    </cfRule>
  </conditionalFormatting>
  <conditionalFormatting sqref="R13:R72">
    <cfRule type="containsText" dxfId="13" priority="6" operator="containsText" text="❌">
      <formula>NOT(ISERROR(SEARCH("❌",R13)))</formula>
    </cfRule>
  </conditionalFormatting>
  <conditionalFormatting sqref="O55">
    <cfRule type="cellIs" dxfId="12" priority="1" operator="equal">
      <formula>"Muy Alta"</formula>
    </cfRule>
    <cfRule type="cellIs" dxfId="11" priority="2" operator="equal">
      <formula>"Alta"</formula>
    </cfRule>
    <cfRule type="cellIs" dxfId="10" priority="3" operator="equal">
      <formula>"Media"</formula>
    </cfRule>
    <cfRule type="cellIs" dxfId="9" priority="4" operator="equal">
      <formula>"Baja"</formula>
    </cfRule>
    <cfRule type="cellIs" dxfId="8"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&amp;LAvenida Calle 26 No. 69-76,Edificio Elemento ,   Torre Aire , Piso 3, CP-111071
PBX:(+57) 601-3779555 - Información: Línea 195
Sede Operativa - Atención al Ciudadano: Calle 22D No. 120-40 
www.umv.gov.co&amp;CDESI-FM-018
Página &amp;P de &amp;N</oddFooter>
  </headerFooter>
  <rowBreaks count="1" manualBreakCount="1">
    <brk id="30" max="43" man="1"/>
  </rowBreaks>
  <colBreaks count="1" manualBreakCount="1">
    <brk id="20" min="3" max="65" man="1"/>
  </col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600-000000000000}">
          <x14:formula1>
            <xm:f>Listas!$H$14:$H$18</xm:f>
          </x14:formula1>
          <xm:sqref>M13:M72</xm:sqref>
        </x14:dataValidation>
        <x14:dataValidation type="list" allowBlank="1" showInputMessage="1" showErrorMessage="1" xr:uid="{00000000-0002-0000-0600-000001000000}">
          <x14:formula1>
            <xm:f>Listas!$H$8:$H$12</xm:f>
          </x14:formula1>
          <xm:sqref>L13:L72</xm:sqref>
        </x14:dataValidation>
        <x14:dataValidation type="list" allowBlank="1" showInputMessage="1" showErrorMessage="1" xr:uid="{00000000-0002-0000-0600-000002000000}">
          <x14:formula1>
            <xm:f>Intructivo!$C$300:$C$316</xm:f>
          </x14:formula1>
          <xm:sqref>C6 T6:V6</xm:sqref>
        </x14:dataValidation>
        <x14:dataValidation type="list" allowBlank="1" showInputMessage="1" showErrorMessage="1" xr:uid="{00000000-0002-0000-0600-000003000000}">
          <x14:formula1>
            <xm:f>Listas!$F$8:$F$9</xm:f>
          </x14:formula1>
          <xm:sqref>G13:G72</xm:sqref>
        </x14:dataValidation>
        <x14:dataValidation type="list" allowBlank="1" showInputMessage="1" showErrorMessage="1" xr:uid="{00000000-0002-0000-0600-000004000000}">
          <x14:formula1>
            <xm:f>Listas!$B$17:$B$19</xm:f>
          </x14:formula1>
          <xm:sqref>F13:F72</xm:sqref>
        </x14:dataValidation>
        <x14:dataValidation type="custom" allowBlank="1" showInputMessage="1" showErrorMessage="1" error="Recuerde que las acciones se generan bajo la medida de mitigar el riesgo" xr:uid="{00000000-0002-0000-0600-000005000000}">
          <x14:formula1>
            <xm:f>IF(OR(#REF!=Listas!$B$2,#REF!=Listas!$B$3,#REF!=Listas!$B$4),ISBLANK(#REF!),ISTEXT(#REF!))</xm:f>
          </x14:formula1>
          <xm:sqref>AP19:AR19 AP67:AR67 AP61:AR61 AP55:AR55 AP49:AR49 AP43:AR43 AP37:AR37 AP31:AR31 AP25:AR25</xm:sqref>
        </x14:dataValidation>
        <x14:dataValidation type="list" allowBlank="1" showInputMessage="1" showErrorMessage="1" xr:uid="{00000000-0002-0000-0600-000006000000}">
          <x14:formula1>
            <xm:f>Listas!$B$2:$B$5</xm:f>
          </x14:formula1>
          <xm:sqref>AK13:AK72</xm:sqref>
        </x14:dataValidation>
        <x14:dataValidation type="list" allowBlank="1" showInputMessage="1" showErrorMessage="1" xr:uid="{00000000-0002-0000-0600-000007000000}">
          <x14:formula1>
            <xm:f>Listas!$E$2:$E$4</xm:f>
          </x14:formula1>
          <xm:sqref>B13:B72</xm:sqref>
        </x14:dataValidation>
        <x14:dataValidation type="list" allowBlank="1" showInputMessage="1" showErrorMessage="1" xr:uid="{00000000-0002-0000-0600-000008000000}">
          <x14:formula1>
            <xm:f>'Tabla Valoración controles'!$D$13:$D$14</xm:f>
          </x14:formula1>
          <xm:sqref>AD13:AD72</xm:sqref>
        </x14:dataValidation>
        <x14:dataValidation type="list" allowBlank="1" showInputMessage="1" showErrorMessage="1" xr:uid="{00000000-0002-0000-0600-000009000000}">
          <x14:formula1>
            <xm:f>'Tabla Valoración controles'!$D$11:$D$12</xm:f>
          </x14:formula1>
          <xm:sqref>AC13:AC72</xm:sqref>
        </x14:dataValidation>
        <x14:dataValidation type="list" allowBlank="1" showInputMessage="1" showErrorMessage="1" xr:uid="{00000000-0002-0000-0600-00000A000000}">
          <x14:formula1>
            <xm:f>'Tabla Valoración controles'!$D$9:$D$10</xm:f>
          </x14:formula1>
          <xm:sqref>AB13:AB72</xm:sqref>
        </x14:dataValidation>
        <x14:dataValidation type="list" allowBlank="1" showInputMessage="1" showErrorMessage="1" xr:uid="{00000000-0002-0000-0600-00000B000000}">
          <x14:formula1>
            <xm:f>'Tabla Valoración controles'!$D$7:$D$8</xm:f>
          </x14:formula1>
          <xm:sqref>Z13:Z72</xm:sqref>
        </x14:dataValidation>
        <x14:dataValidation type="list" allowBlank="1" showInputMessage="1" showErrorMessage="1" xr:uid="{00000000-0002-0000-0600-00000C000000}">
          <x14:formula1>
            <xm:f>'Tabla Valoración controles'!$D$4:$D$6</xm:f>
          </x14:formula1>
          <xm:sqref>Y13:Y72</xm:sqref>
        </x14:dataValidation>
        <x14:dataValidation type="list" allowBlank="1" showInputMessage="1" showErrorMessage="1" xr:uid="{00000000-0002-0000-0600-00000D000000}">
          <x14:formula1>
            <xm:f>'Tabla Impacto'!$F$220:$F$222</xm:f>
          </x14:formula1>
          <xm:sqref>Q13:Q72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JP75"/>
  <sheetViews>
    <sheetView zoomScale="70" zoomScaleNormal="70" zoomScaleSheetLayoutView="50" zoomScalePageLayoutView="60" workbookViewId="0">
      <selection activeCell="Z13" sqref="A13:XFD72"/>
    </sheetView>
  </sheetViews>
  <sheetFormatPr baseColWidth="10" defaultColWidth="11.42578125" defaultRowHeight="15" x14ac:dyDescent="0.2"/>
  <cols>
    <col min="1" max="1" width="6.5703125" style="218" customWidth="1"/>
    <col min="2" max="2" width="16" style="218" customWidth="1"/>
    <col min="3" max="3" width="19.140625" style="218" customWidth="1"/>
    <col min="4" max="4" width="25.28515625" style="218" customWidth="1"/>
    <col min="5" max="5" width="40.140625" style="218" customWidth="1"/>
    <col min="6" max="10" width="17.7109375" style="198" customWidth="1"/>
    <col min="11" max="11" width="16" style="198" customWidth="1"/>
    <col min="12" max="12" width="24.28515625" style="198" customWidth="1"/>
    <col min="13" max="14" width="29.42578125" style="198" customWidth="1"/>
    <col min="15" max="15" width="24.28515625" style="198" customWidth="1"/>
    <col min="16" max="16" width="19.42578125" style="198" customWidth="1"/>
    <col min="17" max="17" width="20.5703125" style="198" customWidth="1"/>
    <col min="18" max="18" width="16.7109375" style="219" customWidth="1"/>
    <col min="19" max="19" width="16.7109375" style="198" customWidth="1"/>
    <col min="20" max="20" width="20.42578125" style="198" customWidth="1"/>
    <col min="21" max="21" width="12.85546875" style="198" customWidth="1"/>
    <col min="22" max="22" width="35.85546875" style="198" hidden="1" customWidth="1"/>
    <col min="23" max="23" width="30.5703125" style="198" hidden="1" customWidth="1"/>
    <col min="24" max="24" width="17.5703125" style="198" customWidth="1"/>
    <col min="25" max="25" width="15" style="198" customWidth="1"/>
    <col min="26" max="26" width="16" style="198" customWidth="1"/>
    <col min="27" max="27" width="32.7109375" style="198" customWidth="1"/>
    <col min="28" max="28" width="26.85546875" style="198" hidden="1" customWidth="1"/>
    <col min="29" max="29" width="5.85546875" style="198" customWidth="1"/>
    <col min="30" max="30" width="6.85546875" style="198" customWidth="1"/>
    <col min="31" max="31" width="5" style="198" hidden="1" customWidth="1"/>
    <col min="32" max="32" width="5.5703125" style="198" customWidth="1"/>
    <col min="33" max="33" width="7.140625" style="198" customWidth="1"/>
    <col min="34" max="34" width="6.7109375" style="198" customWidth="1"/>
    <col min="35" max="35" width="7.5703125" style="198" hidden="1" customWidth="1"/>
    <col min="36" max="36" width="8.5703125" style="198" customWidth="1"/>
    <col min="37" max="41" width="10.85546875" style="198" customWidth="1"/>
    <col min="42" max="42" width="10.85546875" style="217" customWidth="1"/>
    <col min="43" max="43" width="23" style="198" customWidth="1"/>
    <col min="44" max="44" width="18.85546875" style="198" customWidth="1"/>
    <col min="45" max="45" width="21.5703125" style="198" customWidth="1"/>
    <col min="46" max="46" width="22.42578125" style="198" customWidth="1"/>
    <col min="47" max="47" width="16.42578125" style="198" customWidth="1"/>
    <col min="48" max="48" width="20.5703125" style="198" customWidth="1"/>
    <col min="49" max="16384" width="11.42578125" style="198"/>
  </cols>
  <sheetData>
    <row r="1" spans="1:276" s="201" customFormat="1" ht="20.25" x14ac:dyDescent="0.3">
      <c r="A1" s="456"/>
      <c r="B1" s="457"/>
      <c r="C1" s="458"/>
      <c r="D1" s="446" t="s">
        <v>208</v>
      </c>
      <c r="E1" s="447"/>
      <c r="F1" s="447"/>
      <c r="G1" s="447"/>
      <c r="H1" s="447"/>
      <c r="I1" s="447"/>
      <c r="J1" s="447"/>
      <c r="K1" s="447"/>
      <c r="L1" s="447"/>
      <c r="M1" s="447"/>
      <c r="N1" s="447"/>
      <c r="O1" s="447"/>
      <c r="P1" s="447"/>
      <c r="Q1" s="447"/>
      <c r="R1" s="447"/>
      <c r="S1" s="447"/>
      <c r="T1" s="448"/>
      <c r="U1" s="252"/>
      <c r="V1" s="252"/>
      <c r="W1" s="252"/>
      <c r="X1" s="426"/>
      <c r="Y1" s="426"/>
      <c r="Z1" s="426"/>
      <c r="AA1" s="426"/>
      <c r="AB1" s="426"/>
      <c r="AC1" s="426"/>
      <c r="AD1" s="426"/>
      <c r="AE1" s="426"/>
      <c r="AF1" s="426"/>
      <c r="AG1" s="426"/>
      <c r="AH1" s="426"/>
      <c r="AI1" s="426"/>
      <c r="AJ1" s="426"/>
      <c r="AK1" s="426"/>
      <c r="AL1" s="426"/>
      <c r="AM1" s="426"/>
      <c r="AN1" s="426"/>
      <c r="AO1" s="426"/>
      <c r="AP1" s="426"/>
      <c r="AQ1" s="426"/>
      <c r="AR1" s="426"/>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row>
    <row r="2" spans="1:276" s="201" customFormat="1" ht="21" thickBot="1" x14ac:dyDescent="0.35">
      <c r="A2" s="459"/>
      <c r="B2" s="460"/>
      <c r="C2" s="461"/>
      <c r="D2" s="449"/>
      <c r="E2" s="450"/>
      <c r="F2" s="450"/>
      <c r="G2" s="450"/>
      <c r="H2" s="450"/>
      <c r="I2" s="450"/>
      <c r="J2" s="450"/>
      <c r="K2" s="450"/>
      <c r="L2" s="450"/>
      <c r="M2" s="450"/>
      <c r="N2" s="450"/>
      <c r="O2" s="450"/>
      <c r="P2" s="450"/>
      <c r="Q2" s="450"/>
      <c r="R2" s="450"/>
      <c r="S2" s="450"/>
      <c r="T2" s="451"/>
      <c r="U2" s="252"/>
      <c r="V2" s="252"/>
      <c r="W2" s="252"/>
      <c r="X2" s="426"/>
      <c r="Y2" s="426"/>
      <c r="Z2" s="426"/>
      <c r="AA2" s="426"/>
      <c r="AB2" s="426"/>
      <c r="AC2" s="426"/>
      <c r="AD2" s="426"/>
      <c r="AE2" s="426"/>
      <c r="AF2" s="426"/>
      <c r="AG2" s="426"/>
      <c r="AH2" s="426"/>
      <c r="AI2" s="426"/>
      <c r="AJ2" s="426"/>
      <c r="AK2" s="426"/>
      <c r="AL2" s="426"/>
      <c r="AM2" s="426"/>
      <c r="AN2" s="426"/>
      <c r="AO2" s="426"/>
      <c r="AP2" s="426"/>
      <c r="AQ2" s="426"/>
      <c r="AR2" s="426"/>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row>
    <row r="3" spans="1:276" s="201" customFormat="1" ht="27.75" customHeight="1" thickBot="1" x14ac:dyDescent="0.35">
      <c r="A3" s="459"/>
      <c r="B3" s="460"/>
      <c r="C3" s="461"/>
      <c r="D3" s="452" t="s">
        <v>209</v>
      </c>
      <c r="E3" s="453"/>
      <c r="F3" s="453"/>
      <c r="G3" s="453"/>
      <c r="H3" s="453"/>
      <c r="I3" s="454"/>
      <c r="J3" s="452"/>
      <c r="K3" s="453"/>
      <c r="L3" s="453"/>
      <c r="M3" s="453"/>
      <c r="N3" s="453"/>
      <c r="O3" s="453"/>
      <c r="P3" s="453"/>
      <c r="Q3" s="453"/>
      <c r="R3" s="453"/>
      <c r="S3" s="453" t="s">
        <v>210</v>
      </c>
      <c r="T3" s="454"/>
      <c r="U3" s="253"/>
      <c r="V3" s="253"/>
      <c r="W3" s="252"/>
      <c r="X3" s="427"/>
      <c r="Y3" s="427"/>
      <c r="Z3" s="427"/>
      <c r="AA3" s="427"/>
      <c r="AB3" s="427"/>
      <c r="AC3" s="427"/>
      <c r="AD3" s="427"/>
      <c r="AE3" s="427"/>
      <c r="AF3" s="427"/>
      <c r="AG3" s="427"/>
      <c r="AH3" s="427"/>
      <c r="AI3" s="427"/>
      <c r="AJ3" s="427"/>
      <c r="AK3" s="427"/>
      <c r="AL3" s="427"/>
      <c r="AM3" s="427"/>
      <c r="AN3" s="427"/>
      <c r="AO3" s="427"/>
      <c r="AP3" s="427"/>
      <c r="AQ3" s="427"/>
      <c r="AR3" s="427"/>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row>
    <row r="4" spans="1:276" s="201" customFormat="1" ht="27.75" customHeight="1" thickBot="1" x14ac:dyDescent="0.35">
      <c r="A4" s="462"/>
      <c r="B4" s="463"/>
      <c r="C4" s="464"/>
      <c r="D4" s="452" t="s">
        <v>422</v>
      </c>
      <c r="E4" s="453"/>
      <c r="F4" s="453"/>
      <c r="G4" s="453"/>
      <c r="H4" s="453"/>
      <c r="I4" s="453"/>
      <c r="J4" s="453"/>
      <c r="K4" s="453"/>
      <c r="L4" s="453"/>
      <c r="M4" s="453"/>
      <c r="N4" s="453"/>
      <c r="O4" s="453"/>
      <c r="P4" s="453"/>
      <c r="Q4" s="453"/>
      <c r="R4" s="453"/>
      <c r="S4" s="453"/>
      <c r="T4" s="454"/>
      <c r="U4" s="252"/>
      <c r="V4" s="252"/>
      <c r="W4" s="252"/>
      <c r="X4" s="427"/>
      <c r="Y4" s="427"/>
      <c r="Z4" s="427"/>
      <c r="AA4" s="427"/>
      <c r="AB4" s="427"/>
      <c r="AC4" s="427"/>
      <c r="AD4" s="427"/>
      <c r="AE4" s="427"/>
      <c r="AF4" s="427"/>
      <c r="AG4" s="427"/>
      <c r="AH4" s="427"/>
      <c r="AI4" s="427"/>
      <c r="AJ4" s="427"/>
      <c r="AK4" s="427"/>
      <c r="AL4" s="427"/>
      <c r="AM4" s="427"/>
      <c r="AN4" s="427"/>
      <c r="AO4" s="427"/>
      <c r="AP4" s="427"/>
      <c r="AQ4" s="427"/>
      <c r="AR4" s="427"/>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row>
    <row r="5" spans="1:276" ht="15.75" thickBot="1" x14ac:dyDescent="0.25">
      <c r="A5" s="202"/>
      <c r="B5" s="203"/>
      <c r="C5" s="202"/>
      <c r="D5" s="202"/>
      <c r="E5" s="202"/>
      <c r="F5" s="204"/>
      <c r="G5" s="204"/>
      <c r="H5" s="204"/>
      <c r="I5" s="204"/>
      <c r="J5" s="204"/>
      <c r="K5" s="204"/>
      <c r="L5" s="204"/>
      <c r="M5" s="204"/>
      <c r="N5" s="205"/>
      <c r="O5" s="204"/>
      <c r="P5" s="204"/>
      <c r="Q5" s="204"/>
      <c r="R5" s="204"/>
      <c r="S5" s="204"/>
      <c r="T5" s="204"/>
      <c r="U5" s="204"/>
      <c r="V5" s="204"/>
      <c r="W5" s="204"/>
      <c r="X5" s="204"/>
      <c r="Y5" s="204"/>
      <c r="Z5" s="204"/>
      <c r="AA5" s="204"/>
      <c r="AB5" s="204"/>
      <c r="AC5" s="204"/>
      <c r="AD5" s="204"/>
      <c r="AE5" s="204"/>
      <c r="AF5" s="204"/>
      <c r="AG5" s="204"/>
      <c r="AH5" s="204"/>
      <c r="AI5" s="204"/>
      <c r="AJ5" s="204"/>
      <c r="AK5" s="204"/>
      <c r="AL5" s="25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row>
    <row r="6" spans="1:276" ht="27" customHeight="1" thickBot="1" x14ac:dyDescent="0.25">
      <c r="A6" s="428" t="s">
        <v>211</v>
      </c>
      <c r="B6" s="429"/>
      <c r="C6" s="435"/>
      <c r="D6" s="436"/>
      <c r="E6" s="436"/>
      <c r="F6" s="436"/>
      <c r="G6" s="436"/>
      <c r="H6" s="436"/>
      <c r="I6" s="436"/>
      <c r="J6" s="436"/>
      <c r="K6" s="436"/>
      <c r="L6" s="436"/>
      <c r="M6" s="436"/>
      <c r="N6" s="436"/>
      <c r="O6" s="436"/>
      <c r="P6" s="436"/>
      <c r="Q6" s="436"/>
      <c r="R6" s="436"/>
      <c r="S6" s="436"/>
      <c r="T6" s="437"/>
      <c r="U6" s="255"/>
      <c r="V6" s="255"/>
      <c r="W6" s="434"/>
      <c r="X6" s="434"/>
      <c r="Y6" s="434"/>
      <c r="Z6" s="425"/>
      <c r="AA6" s="425"/>
      <c r="AB6" s="425"/>
      <c r="AC6" s="425"/>
      <c r="AD6" s="425"/>
      <c r="AE6" s="425"/>
      <c r="AF6" s="425"/>
      <c r="AG6" s="425"/>
      <c r="AH6" s="425"/>
      <c r="AI6" s="425"/>
      <c r="AJ6" s="425"/>
      <c r="AK6" s="425"/>
      <c r="AL6" s="425"/>
      <c r="AM6" s="425"/>
      <c r="AN6" s="425"/>
      <c r="AO6" s="425"/>
      <c r="AP6" s="425"/>
      <c r="AQ6" s="425"/>
      <c r="AR6" s="425"/>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row>
    <row r="7" spans="1:276" ht="27" customHeight="1" thickBot="1" x14ac:dyDescent="0.3">
      <c r="A7" s="430" t="s">
        <v>212</v>
      </c>
      <c r="B7" s="431"/>
      <c r="C7" s="618"/>
      <c r="D7" s="619"/>
      <c r="E7" s="619"/>
      <c r="F7" s="619"/>
      <c r="G7" s="619"/>
      <c r="H7" s="619"/>
      <c r="I7" s="619"/>
      <c r="J7" s="619"/>
      <c r="K7" s="619"/>
      <c r="L7" s="619"/>
      <c r="M7" s="619"/>
      <c r="N7" s="619"/>
      <c r="O7" s="619"/>
      <c r="P7" s="619"/>
      <c r="Q7" s="619"/>
      <c r="R7" s="619"/>
      <c r="S7" s="619"/>
      <c r="T7" s="620"/>
      <c r="U7" s="256"/>
      <c r="V7" s="256"/>
      <c r="W7" s="257"/>
      <c r="X7" s="257"/>
      <c r="Y7" s="257"/>
      <c r="Z7" s="425"/>
      <c r="AA7" s="425"/>
      <c r="AB7" s="425"/>
      <c r="AC7" s="425"/>
      <c r="AD7" s="425"/>
      <c r="AE7" s="425"/>
      <c r="AF7" s="425"/>
      <c r="AG7" s="425"/>
      <c r="AH7" s="425"/>
      <c r="AI7" s="425"/>
      <c r="AJ7" s="425"/>
      <c r="AK7" s="425"/>
      <c r="AL7" s="425"/>
      <c r="AM7" s="425"/>
      <c r="AN7" s="425"/>
      <c r="AO7" s="425"/>
      <c r="AP7" s="425"/>
      <c r="AQ7" s="425"/>
      <c r="AR7" s="425"/>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row>
    <row r="8" spans="1:276" ht="27" customHeight="1" thickBot="1" x14ac:dyDescent="0.3">
      <c r="A8" s="432" t="s">
        <v>213</v>
      </c>
      <c r="B8" s="433"/>
      <c r="C8" s="618"/>
      <c r="D8" s="619"/>
      <c r="E8" s="619"/>
      <c r="F8" s="619"/>
      <c r="G8" s="619"/>
      <c r="H8" s="619"/>
      <c r="I8" s="619"/>
      <c r="J8" s="619"/>
      <c r="K8" s="619"/>
      <c r="L8" s="619"/>
      <c r="M8" s="619"/>
      <c r="N8" s="619"/>
      <c r="O8" s="619"/>
      <c r="P8" s="619"/>
      <c r="Q8" s="619"/>
      <c r="R8" s="619"/>
      <c r="S8" s="619"/>
      <c r="T8" s="620"/>
      <c r="U8" s="256"/>
      <c r="V8" s="256"/>
      <c r="W8" s="257"/>
      <c r="X8" s="257"/>
      <c r="Y8" s="257"/>
      <c r="Z8" s="425"/>
      <c r="AA8" s="425"/>
      <c r="AB8" s="425"/>
      <c r="AC8" s="425"/>
      <c r="AD8" s="425"/>
      <c r="AE8" s="425"/>
      <c r="AF8" s="425"/>
      <c r="AG8" s="425"/>
      <c r="AH8" s="425"/>
      <c r="AI8" s="425"/>
      <c r="AJ8" s="425"/>
      <c r="AK8" s="425"/>
      <c r="AL8" s="425"/>
      <c r="AM8" s="425"/>
      <c r="AN8" s="425"/>
      <c r="AO8" s="425"/>
      <c r="AP8" s="425"/>
      <c r="AQ8" s="425"/>
      <c r="AR8" s="425"/>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row>
    <row r="9" spans="1:276" ht="15.75" x14ac:dyDescent="0.25">
      <c r="A9" s="206"/>
      <c r="B9" s="206"/>
      <c r="C9" s="207"/>
      <c r="D9" s="207"/>
      <c r="E9" s="207"/>
      <c r="F9" s="207"/>
      <c r="G9" s="207"/>
      <c r="H9" s="207"/>
      <c r="I9" s="207"/>
      <c r="J9" s="207"/>
      <c r="K9" s="207"/>
      <c r="L9" s="207"/>
      <c r="M9" s="207"/>
      <c r="N9" s="207"/>
      <c r="O9" s="207"/>
      <c r="P9" s="207"/>
      <c r="Q9" s="207"/>
      <c r="R9" s="207"/>
      <c r="S9" s="207"/>
      <c r="T9" s="207"/>
      <c r="U9" s="207"/>
      <c r="V9" s="207"/>
      <c r="W9" s="208"/>
      <c r="X9" s="208"/>
      <c r="Y9" s="208"/>
      <c r="Z9" s="209"/>
      <c r="AA9" s="209"/>
      <c r="AB9" s="209"/>
      <c r="AC9" s="209"/>
      <c r="AD9" s="209"/>
      <c r="AE9" s="209"/>
      <c r="AF9" s="209"/>
      <c r="AG9" s="209"/>
      <c r="AH9" s="209"/>
      <c r="AI9" s="209"/>
      <c r="AJ9" s="209"/>
      <c r="AK9" s="209"/>
      <c r="AL9" s="209"/>
      <c r="AM9" s="209"/>
      <c r="AN9" s="209"/>
      <c r="AO9" s="209"/>
      <c r="AP9" s="209"/>
      <c r="AQ9" s="209"/>
      <c r="AR9" s="209"/>
    </row>
    <row r="10" spans="1:276" ht="39" customHeight="1" x14ac:dyDescent="0.2">
      <c r="A10" s="601" t="s">
        <v>214</v>
      </c>
      <c r="B10" s="602"/>
      <c r="C10" s="602"/>
      <c r="D10" s="602"/>
      <c r="E10" s="602"/>
      <c r="F10" s="602"/>
      <c r="G10" s="602"/>
      <c r="H10" s="602"/>
      <c r="I10" s="602"/>
      <c r="J10" s="603"/>
      <c r="K10" s="607" t="s">
        <v>215</v>
      </c>
      <c r="L10" s="608"/>
      <c r="M10" s="608"/>
      <c r="N10" s="608"/>
      <c r="O10" s="609"/>
      <c r="P10" s="610" t="s">
        <v>216</v>
      </c>
      <c r="Q10" s="611"/>
      <c r="R10" s="224"/>
      <c r="S10" s="224"/>
      <c r="T10" s="612" t="s">
        <v>217</v>
      </c>
      <c r="U10" s="612"/>
      <c r="V10" s="612"/>
      <c r="W10" s="612"/>
      <c r="X10" s="612"/>
      <c r="Y10" s="612"/>
      <c r="Z10" s="612"/>
      <c r="AA10" s="612" t="s">
        <v>218</v>
      </c>
      <c r="AB10" s="612"/>
      <c r="AC10" s="612"/>
      <c r="AD10" s="612"/>
      <c r="AE10" s="612"/>
      <c r="AF10" s="612"/>
      <c r="AG10" s="612"/>
      <c r="AH10" s="612"/>
      <c r="AI10" s="612"/>
      <c r="AJ10" s="613" t="s">
        <v>219</v>
      </c>
      <c r="AK10" s="614"/>
      <c r="AL10" s="614"/>
      <c r="AM10" s="614"/>
      <c r="AN10" s="615"/>
      <c r="AO10" s="613" t="s">
        <v>220</v>
      </c>
      <c r="AP10" s="614"/>
      <c r="AQ10" s="614"/>
      <c r="AR10" s="614"/>
      <c r="AS10" s="615"/>
      <c r="AT10" s="613" t="s">
        <v>221</v>
      </c>
      <c r="AU10" s="614"/>
      <c r="AV10" s="615"/>
      <c r="AW10" s="204"/>
      <c r="AX10" s="204"/>
      <c r="AY10" s="204"/>
      <c r="AZ10" s="204"/>
      <c r="BA10" s="204"/>
      <c r="BB10" s="204"/>
      <c r="BC10" s="204"/>
      <c r="BD10" s="204"/>
      <c r="BE10" s="204"/>
      <c r="BF10" s="204"/>
      <c r="BG10" s="204"/>
      <c r="BH10" s="204"/>
      <c r="BI10" s="204"/>
      <c r="BJ10" s="204"/>
      <c r="BK10" s="204"/>
      <c r="BL10" s="204"/>
      <c r="BM10" s="204"/>
      <c r="BN10" s="204"/>
      <c r="BO10" s="204"/>
      <c r="BP10" s="204"/>
      <c r="BQ10" s="204"/>
      <c r="BR10" s="204"/>
      <c r="BS10" s="204"/>
      <c r="BT10" s="204"/>
    </row>
    <row r="11" spans="1:276" ht="26.25" customHeight="1" x14ac:dyDescent="0.2">
      <c r="A11" s="616" t="s">
        <v>222</v>
      </c>
      <c r="B11" s="412" t="s">
        <v>15</v>
      </c>
      <c r="C11" s="414" t="s">
        <v>17</v>
      </c>
      <c r="D11" s="414" t="s">
        <v>19</v>
      </c>
      <c r="E11" s="412" t="s">
        <v>21</v>
      </c>
      <c r="F11" s="414" t="s">
        <v>23</v>
      </c>
      <c r="G11" s="604" t="s">
        <v>309</v>
      </c>
      <c r="H11" s="606" t="s">
        <v>310</v>
      </c>
      <c r="I11" s="606" t="s">
        <v>311</v>
      </c>
      <c r="J11" s="606" t="s">
        <v>312</v>
      </c>
      <c r="K11" s="417" t="s">
        <v>124</v>
      </c>
      <c r="L11" s="417" t="s">
        <v>280</v>
      </c>
      <c r="M11" s="417" t="s">
        <v>224</v>
      </c>
      <c r="N11" s="417" t="s">
        <v>225</v>
      </c>
      <c r="O11" s="417" t="s">
        <v>226</v>
      </c>
      <c r="P11" s="251"/>
      <c r="Q11" s="251"/>
      <c r="R11" s="347" t="s">
        <v>227</v>
      </c>
      <c r="S11" s="347" t="s">
        <v>228</v>
      </c>
      <c r="T11" s="393" t="s">
        <v>229</v>
      </c>
      <c r="U11" s="347" t="s">
        <v>230</v>
      </c>
      <c r="V11" s="347" t="s">
        <v>231</v>
      </c>
      <c r="W11" s="347" t="s">
        <v>232</v>
      </c>
      <c r="X11" s="393" t="s">
        <v>229</v>
      </c>
      <c r="Y11" s="347" t="s">
        <v>29</v>
      </c>
      <c r="Z11" s="367" t="s">
        <v>233</v>
      </c>
      <c r="AA11" s="347" t="s">
        <v>31</v>
      </c>
      <c r="AB11" s="347" t="s">
        <v>33</v>
      </c>
      <c r="AC11" s="347" t="s">
        <v>234</v>
      </c>
      <c r="AD11" s="347"/>
      <c r="AE11" s="347"/>
      <c r="AF11" s="347"/>
      <c r="AG11" s="347"/>
      <c r="AH11" s="347"/>
      <c r="AI11" s="367" t="s">
        <v>235</v>
      </c>
      <c r="AJ11" s="367" t="s">
        <v>236</v>
      </c>
      <c r="AK11" s="367" t="s">
        <v>229</v>
      </c>
      <c r="AL11" s="367" t="s">
        <v>237</v>
      </c>
      <c r="AM11" s="367" t="s">
        <v>229</v>
      </c>
      <c r="AN11" s="367" t="s">
        <v>238</v>
      </c>
      <c r="AO11" s="367" t="s">
        <v>49</v>
      </c>
      <c r="AP11" s="347" t="s">
        <v>239</v>
      </c>
      <c r="AQ11" s="347" t="s">
        <v>240</v>
      </c>
      <c r="AR11" s="347" t="s">
        <v>241</v>
      </c>
      <c r="AS11" s="347" t="s">
        <v>242</v>
      </c>
      <c r="AT11" s="347" t="s">
        <v>243</v>
      </c>
      <c r="AU11" s="347" t="s">
        <v>244</v>
      </c>
      <c r="AV11" s="347" t="s">
        <v>245</v>
      </c>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row>
    <row r="12" spans="1:276" s="213" customFormat="1" ht="73.5" customHeight="1" x14ac:dyDescent="0.25">
      <c r="A12" s="616"/>
      <c r="B12" s="412"/>
      <c r="C12" s="414"/>
      <c r="D12" s="414"/>
      <c r="E12" s="412"/>
      <c r="F12" s="414"/>
      <c r="G12" s="605"/>
      <c r="H12" s="606"/>
      <c r="I12" s="606"/>
      <c r="J12" s="606"/>
      <c r="K12" s="617"/>
      <c r="L12" s="617"/>
      <c r="M12" s="617"/>
      <c r="N12" s="617"/>
      <c r="O12" s="617"/>
      <c r="P12" s="250" t="s">
        <v>425</v>
      </c>
      <c r="Q12" s="250" t="s">
        <v>246</v>
      </c>
      <c r="R12" s="347"/>
      <c r="S12" s="347"/>
      <c r="T12" s="393"/>
      <c r="U12" s="347"/>
      <c r="V12" s="347"/>
      <c r="W12" s="393"/>
      <c r="X12" s="393"/>
      <c r="Y12" s="347"/>
      <c r="Z12" s="367"/>
      <c r="AA12" s="347"/>
      <c r="AB12" s="347"/>
      <c r="AC12" s="210" t="s">
        <v>247</v>
      </c>
      <c r="AD12" s="210" t="s">
        <v>248</v>
      </c>
      <c r="AE12" s="210" t="s">
        <v>249</v>
      </c>
      <c r="AF12" s="210" t="s">
        <v>250</v>
      </c>
      <c r="AG12" s="210" t="s">
        <v>251</v>
      </c>
      <c r="AH12" s="210" t="s">
        <v>252</v>
      </c>
      <c r="AI12" s="367"/>
      <c r="AJ12" s="367"/>
      <c r="AK12" s="367"/>
      <c r="AL12" s="367"/>
      <c r="AM12" s="367"/>
      <c r="AN12" s="367"/>
      <c r="AO12" s="367"/>
      <c r="AP12" s="347"/>
      <c r="AQ12" s="347"/>
      <c r="AR12" s="347"/>
      <c r="AS12" s="347"/>
      <c r="AT12" s="347"/>
      <c r="AU12" s="347"/>
      <c r="AV12" s="347"/>
      <c r="AW12" s="211"/>
      <c r="AX12" s="211"/>
      <c r="AY12" s="211"/>
      <c r="AZ12" s="211"/>
      <c r="BA12" s="211"/>
      <c r="BB12" s="211"/>
      <c r="BC12" s="211"/>
      <c r="BD12" s="211"/>
      <c r="BE12" s="211"/>
      <c r="BF12" s="211"/>
      <c r="BG12" s="211"/>
      <c r="BH12" s="211"/>
      <c r="BI12" s="211"/>
      <c r="BJ12" s="211"/>
      <c r="BK12" s="211"/>
      <c r="BL12" s="211"/>
      <c r="BM12" s="211"/>
      <c r="BN12" s="211"/>
      <c r="BO12" s="211"/>
      <c r="BP12" s="211"/>
      <c r="BQ12" s="211"/>
      <c r="BR12" s="211"/>
      <c r="BS12" s="211"/>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c r="FU12" s="212"/>
      <c r="FV12" s="212"/>
      <c r="FW12" s="212"/>
      <c r="FX12" s="212"/>
      <c r="FY12" s="212"/>
      <c r="FZ12" s="212"/>
      <c r="GA12" s="212"/>
      <c r="GB12" s="212"/>
      <c r="GC12" s="212"/>
      <c r="GD12" s="212"/>
      <c r="GE12" s="212"/>
      <c r="GF12" s="212"/>
      <c r="GG12" s="212"/>
      <c r="GH12" s="212"/>
      <c r="GI12" s="212"/>
      <c r="GJ12" s="212"/>
      <c r="GK12" s="212"/>
      <c r="GL12" s="212"/>
      <c r="GM12" s="212"/>
      <c r="GN12" s="212"/>
      <c r="GO12" s="212"/>
      <c r="GP12" s="212"/>
      <c r="GQ12" s="212"/>
      <c r="GR12" s="212"/>
      <c r="GS12" s="212"/>
      <c r="GT12" s="212"/>
      <c r="GU12" s="212"/>
      <c r="GV12" s="212"/>
      <c r="GW12" s="212"/>
      <c r="GX12" s="212"/>
      <c r="GY12" s="212"/>
      <c r="GZ12" s="212"/>
      <c r="HA12" s="212"/>
      <c r="HB12" s="212"/>
      <c r="HC12" s="212"/>
      <c r="HD12" s="212"/>
      <c r="HE12" s="212"/>
      <c r="HF12" s="212"/>
      <c r="HG12" s="212"/>
      <c r="HH12" s="212"/>
      <c r="HI12" s="212"/>
      <c r="HJ12" s="212"/>
      <c r="HK12" s="212"/>
      <c r="HL12" s="212"/>
      <c r="HM12" s="212"/>
      <c r="HN12" s="212"/>
      <c r="HO12" s="212"/>
      <c r="HP12" s="212"/>
      <c r="HQ12" s="212"/>
      <c r="HR12" s="212"/>
      <c r="HS12" s="212"/>
      <c r="HT12" s="212"/>
      <c r="HU12" s="212"/>
      <c r="HV12" s="212"/>
      <c r="HW12" s="212"/>
      <c r="HX12" s="212"/>
      <c r="HY12" s="212"/>
      <c r="HZ12" s="212"/>
      <c r="IA12" s="212"/>
      <c r="IB12" s="212"/>
      <c r="IC12" s="212"/>
      <c r="ID12" s="212"/>
      <c r="IE12" s="212"/>
      <c r="IF12" s="212"/>
      <c r="IG12" s="212"/>
      <c r="IH12" s="212"/>
      <c r="II12" s="212"/>
      <c r="IJ12" s="212"/>
      <c r="IK12" s="212"/>
      <c r="IL12" s="212"/>
      <c r="IM12" s="212"/>
      <c r="IN12" s="212"/>
      <c r="IO12" s="212"/>
      <c r="IP12" s="212"/>
      <c r="IQ12" s="212"/>
      <c r="IR12" s="212"/>
      <c r="IS12" s="212"/>
      <c r="IT12" s="212"/>
      <c r="IU12" s="212"/>
      <c r="IV12" s="212"/>
      <c r="IW12" s="212"/>
      <c r="IX12" s="212"/>
      <c r="IY12" s="212"/>
      <c r="IZ12" s="212"/>
      <c r="JA12" s="212"/>
      <c r="JB12" s="212"/>
      <c r="JC12" s="212"/>
      <c r="JD12" s="212"/>
      <c r="JE12" s="212"/>
      <c r="JF12" s="212"/>
      <c r="JG12" s="212"/>
      <c r="JH12" s="212"/>
      <c r="JI12" s="212"/>
      <c r="JJ12" s="212"/>
      <c r="JK12" s="212"/>
      <c r="JL12" s="212"/>
      <c r="JM12" s="212"/>
      <c r="JN12" s="212"/>
      <c r="JO12" s="212"/>
      <c r="JP12" s="212"/>
    </row>
    <row r="13" spans="1:276" s="215" customFormat="1" x14ac:dyDescent="0.25">
      <c r="A13" s="419">
        <v>1</v>
      </c>
      <c r="B13" s="383"/>
      <c r="C13" s="383"/>
      <c r="D13" s="383"/>
      <c r="E13" s="386"/>
      <c r="F13" s="383"/>
      <c r="G13" s="388"/>
      <c r="H13" s="388"/>
      <c r="I13" s="388"/>
      <c r="J13" s="388"/>
      <c r="K13" s="388"/>
      <c r="L13" s="388"/>
      <c r="M13" s="388"/>
      <c r="N13" s="388"/>
      <c r="O13" s="388"/>
      <c r="P13" s="388"/>
      <c r="Q13" s="388"/>
      <c r="R13" s="376"/>
      <c r="S13" s="374" t="str">
        <f>IF(R13&lt;=0,"",IF(R13&lt;=2,"Muy Baja",IF(R13&lt;=24,"Baja",IF(R13&lt;=500,"Media",IF(R13&lt;=5000,"Alta","Muy Alta")))))</f>
        <v/>
      </c>
      <c r="T13" s="373" t="str">
        <f>IF(S13="","",IF(S13="Muy Baja",0.2,IF(S13="Baja",0.4,IF(S13="Media",0.6,IF(S13="Alta",0.8,IF(S13="Muy Alta",1,))))))</f>
        <v/>
      </c>
      <c r="U13" s="349"/>
      <c r="V13" s="373">
        <f>IF(NOT(ISERROR(MATCH(U13,'Tabla Impacto'!$B$222:$B$224,0))),'Tabla Impacto'!$F$224&amp;"Por favor no seleccionar los criterios de impacto(Afectación Económica o presupuestal y Pérdida Reputacional)",U13)</f>
        <v>0</v>
      </c>
      <c r="W13" s="374" t="str">
        <f>IF(OR(V13='Tabla Impacto'!$C$12,V13='Tabla Impacto'!$D$12),"Leve",IF(OR(V13='Tabla Impacto'!$C$13,V13='Tabla Impacto'!$D$13),"Menor",IF(OR(V13='Tabla Impacto'!$C$14,V13='Tabla Impacto'!$D$14),"Moderado",IF(OR(V13='Tabla Impacto'!$C$15,V13='Tabla Impacto'!$D$15),"Mayor",IF(OR(V13='Tabla Impacto'!$C$16,V13='Tabla Impacto'!$D$16),"Catastrófico","")))))</f>
        <v/>
      </c>
      <c r="X13" s="373" t="str">
        <f>IF(W13="","",IF(W13="Leve",0.2,IF(W13="Menor",0.4,IF(W13="Moderado",0.6,IF(W13="Mayor",0.8,IF(W13="Catastrófico",1,))))))</f>
        <v/>
      </c>
      <c r="Y13" s="360" t="str">
        <f>IF(OR(AND(S13="Muy Baja",W13="Leve"),AND(S13="Muy Baja",W13="Menor"),AND(S13="Baja",W13="Leve")),"Bajo",IF(OR(AND(S13="Muy baja",W13="Moderado"),AND(S13="Baja",W13="Menor"),AND(S13="Baja",W13="Moderado"),AND(S13="Media",W13="Leve"),AND(S13="Media",W13="Menor"),AND(S13="Media",W13="Moderado"),AND(S13="Alta",W13="Leve"),AND(S13="Alta",W13="Menor")),"Moderado",IF(OR(AND(S13="Muy Baja",W13="Mayor"),AND(S13="Baja",W13="Mayor"),AND(S13="Media",W13="Mayor"),AND(S13="Alta",W13="Moderado"),AND(S13="Alta",W13="Mayor"),AND(S13="Muy Alta",W13="Leve"),AND(S13="Muy Alta",W13="Menor"),AND(S13="Muy Alta",W13="Moderado"),AND(S13="Muy Alta",W13="Mayor")),"Alto",IF(OR(AND(S13="Muy Baja",W13="Catastrófico"),AND(S13="Baja",W13="Catastrófico"),AND(S13="Media",W13="Catastrófico"),AND(S13="Alta",W13="Catastrófico"),AND(S13="Muy Alta",W13="Catastrófico")),"Extremo",""))))</f>
        <v/>
      </c>
      <c r="Z13" s="214">
        <v>1</v>
      </c>
      <c r="AA13" s="240"/>
      <c r="AB13" s="189" t="str">
        <f t="shared" ref="AB13:AB18" si="0">IF(OR(AC13="Preventivo",AC13="Detectivo"),"Probabilidad",IF(AC13="Correctivo","Impacto",""))</f>
        <v/>
      </c>
      <c r="AC13" s="190"/>
      <c r="AD13" s="190"/>
      <c r="AE13" s="191" t="str">
        <f>IF(AND(AC13="Preventivo",AD13="Automático"),"50%",IF(AND(AC13="Preventivo",AD13="Manual"),"40%",IF(AND(AC13="Detectivo",AD13="Automático"),"40%",IF(AND(AC13="Detectivo",AD13="Manual"),"30%",IF(AND(AC13="Correctivo",AD13="Automático"),"35%",IF(AND(AC13="Correctivo",AD13="Manual"),"25%",""))))))</f>
        <v/>
      </c>
      <c r="AF13" s="190"/>
      <c r="AG13" s="190"/>
      <c r="AH13" s="190"/>
      <c r="AI13" s="192" t="str">
        <f>IFERROR(IF(AB13="Probabilidad",(T13-(+T13*AE13)),IF(AB13="Impacto",T13,"")),"")</f>
        <v/>
      </c>
      <c r="AJ13" s="193" t="str">
        <f>IFERROR(IF(AI13="","",IF(AI13&lt;=0.2,"Muy Baja",IF(AI13&lt;=0.4,"Baja",IF(AI13&lt;=0.6,"Media",IF(AI13&lt;=0.8,"Alta","Muy Alta"))))),"")</f>
        <v/>
      </c>
      <c r="AK13" s="191" t="str">
        <f>+AI13</f>
        <v/>
      </c>
      <c r="AL13" s="193" t="str">
        <f>IFERROR(IF(AM13="","",IF(AM13&lt;=0.2,"Leve",IF(AM13&lt;=0.4,"Menor",IF(AM13&lt;=0.6,"Moderado",IF(AM13&lt;=0.8,"Mayor","Catastrófico"))))),"")</f>
        <v/>
      </c>
      <c r="AM13" s="191" t="str">
        <f>IFERROR(IF(AB13="Impacto",(X13-(+X13*AE13)),IF(AB13="Probabilidad",X13,"")),"")</f>
        <v/>
      </c>
      <c r="AN13" s="194" t="str">
        <f>IFERROR(IF(OR(AND(AJ13="Muy Baja",AL13="Leve"),AND(AJ13="Muy Baja",AL13="Menor"),AND(AJ13="Baja",AL13="Leve")),"Bajo",IF(OR(AND(AJ13="Muy baja",AL13="Moderado"),AND(AJ13="Baja",AL13="Menor"),AND(AJ13="Baja",AL13="Moderado"),AND(AJ13="Media",AL13="Leve"),AND(AJ13="Media",AL13="Menor"),AND(AJ13="Media",AL13="Moderado"),AND(AJ13="Alta",AL13="Leve"),AND(AJ13="Alta",AL13="Menor")),"Moderado",IF(OR(AND(AJ13="Muy Baja",AL13="Mayor"),AND(AJ13="Baja",AL13="Mayor"),AND(AJ13="Media",AL13="Mayor"),AND(AJ13="Alta",AL13="Moderado"),AND(AJ13="Alta",AL13="Mayor"),AND(AJ13="Muy Alta",AL13="Leve"),AND(AJ13="Muy Alta",AL13="Menor"),AND(AJ13="Muy Alta",AL13="Moderado"),AND(AJ13="Muy Alta",AL13="Mayor")),"Alto",IF(OR(AND(AJ13="Muy Baja",AL13="Catastrófico"),AND(AJ13="Baja",AL13="Catastrófico"),AND(AJ13="Media",AL13="Catastrófico"),AND(AJ13="Alta",AL13="Catastrófico"),AND(AJ13="Muy Alta",AL13="Catastrófico")),"Extremo","")))),"")</f>
        <v/>
      </c>
      <c r="AO13" s="195"/>
      <c r="AP13" s="186"/>
      <c r="AQ13" s="196"/>
      <c r="AR13" s="196"/>
      <c r="AS13" s="197"/>
      <c r="AT13" s="383"/>
      <c r="AU13" s="383"/>
      <c r="AV13" s="383"/>
    </row>
    <row r="14" spans="1:276" x14ac:dyDescent="0.2">
      <c r="A14" s="419"/>
      <c r="B14" s="383"/>
      <c r="C14" s="383"/>
      <c r="D14" s="383"/>
      <c r="E14" s="386"/>
      <c r="F14" s="383"/>
      <c r="G14" s="358"/>
      <c r="H14" s="358"/>
      <c r="I14" s="358"/>
      <c r="J14" s="358"/>
      <c r="K14" s="358"/>
      <c r="L14" s="358"/>
      <c r="M14" s="358"/>
      <c r="N14" s="358"/>
      <c r="O14" s="358"/>
      <c r="P14" s="358"/>
      <c r="Q14" s="358"/>
      <c r="R14" s="376"/>
      <c r="S14" s="374"/>
      <c r="T14" s="373"/>
      <c r="U14" s="349"/>
      <c r="V14" s="373">
        <f>IF(NOT(ISERROR(MATCH(U14,_xlfn.ANCHORARRAY(E25),0))),T27&amp;"Por favor no seleccionar los criterios de impacto",U14)</f>
        <v>0</v>
      </c>
      <c r="W14" s="374"/>
      <c r="X14" s="373"/>
      <c r="Y14" s="360"/>
      <c r="Z14" s="214">
        <v>2</v>
      </c>
      <c r="AA14" s="240"/>
      <c r="AB14" s="189" t="str">
        <f t="shared" si="0"/>
        <v/>
      </c>
      <c r="AC14" s="190"/>
      <c r="AD14" s="190"/>
      <c r="AE14" s="191" t="str">
        <f t="shared" ref="AE14:AE18" si="1">IF(AND(AC14="Preventivo",AD14="Automático"),"50%",IF(AND(AC14="Preventivo",AD14="Manual"),"40%",IF(AND(AC14="Detectivo",AD14="Automático"),"40%",IF(AND(AC14="Detectivo",AD14="Manual"),"30%",IF(AND(AC14="Correctivo",AD14="Automático"),"35%",IF(AND(AC14="Correctivo",AD14="Manual"),"25%",""))))))</f>
        <v/>
      </c>
      <c r="AF14" s="190"/>
      <c r="AG14" s="190"/>
      <c r="AH14" s="190"/>
      <c r="AI14" s="192" t="str">
        <f>IFERROR(IF(AND(AB13="Probabilidad",AB14="Probabilidad"),(AK13-(+AK13*AE14)),IF(AB14="Probabilidad",(T13-(+T13*AE14)),IF(AB14="Impacto",AK13,""))),"")</f>
        <v/>
      </c>
      <c r="AJ14" s="193" t="str">
        <f t="shared" ref="AJ14:AJ72" si="2">IFERROR(IF(AI14="","",IF(AI14&lt;=0.2,"Muy Baja",IF(AI14&lt;=0.4,"Baja",IF(AI14&lt;=0.6,"Media",IF(AI14&lt;=0.8,"Alta","Muy Alta"))))),"")</f>
        <v/>
      </c>
      <c r="AK14" s="191" t="str">
        <f t="shared" ref="AK14:AK18" si="3">+AI14</f>
        <v/>
      </c>
      <c r="AL14" s="193" t="str">
        <f t="shared" ref="AL14:AL72" si="4">IFERROR(IF(AM14="","",IF(AM14&lt;=0.2,"Leve",IF(AM14&lt;=0.4,"Menor",IF(AM14&lt;=0.6,"Moderado",IF(AM14&lt;=0.8,"Mayor","Catastrófico"))))),"")</f>
        <v/>
      </c>
      <c r="AM14" s="191" t="str">
        <f>IFERROR(IF(AND(AB13="Impacto",AB14="Impacto"),(AM13-(+AM13*AE14)),IF(AB14="Impacto",($X$13-(+$X$13*AE14)),IF(AB14="Probabilidad",AM13,""))),"")</f>
        <v/>
      </c>
      <c r="AN14" s="194" t="str">
        <f t="shared" ref="AN14:AN18" si="5">IFERROR(IF(OR(AND(AJ14="Muy Baja",AL14="Leve"),AND(AJ14="Muy Baja",AL14="Menor"),AND(AJ14="Baja",AL14="Leve")),"Bajo",IF(OR(AND(AJ14="Muy baja",AL14="Moderado"),AND(AJ14="Baja",AL14="Menor"),AND(AJ14="Baja",AL14="Moderado"),AND(AJ14="Media",AL14="Leve"),AND(AJ14="Media",AL14="Menor"),AND(AJ14="Media",AL14="Moderado"),AND(AJ14="Alta",AL14="Leve"),AND(AJ14="Alta",AL14="Menor")),"Moderado",IF(OR(AND(AJ14="Muy Baja",AL14="Mayor"),AND(AJ14="Baja",AL14="Mayor"),AND(AJ14="Media",AL14="Mayor"),AND(AJ14="Alta",AL14="Moderado"),AND(AJ14="Alta",AL14="Mayor"),AND(AJ14="Muy Alta",AL14="Leve"),AND(AJ14="Muy Alta",AL14="Menor"),AND(AJ14="Muy Alta",AL14="Moderado"),AND(AJ14="Muy Alta",AL14="Mayor")),"Alto",IF(OR(AND(AJ14="Muy Baja",AL14="Catastrófico"),AND(AJ14="Baja",AL14="Catastrófico"),AND(AJ14="Media",AL14="Catastrófico"),AND(AJ14="Alta",AL14="Catastrófico"),AND(AJ14="Muy Alta",AL14="Catastrófico")),"Extremo","")))),"")</f>
        <v/>
      </c>
      <c r="AO14" s="195"/>
      <c r="AP14" s="186"/>
      <c r="AQ14" s="196"/>
      <c r="AR14" s="186"/>
      <c r="AS14" s="197"/>
      <c r="AT14" s="383"/>
      <c r="AU14" s="383"/>
      <c r="AV14" s="383"/>
    </row>
    <row r="15" spans="1:276" x14ac:dyDescent="0.2">
      <c r="A15" s="419"/>
      <c r="B15" s="383"/>
      <c r="C15" s="383"/>
      <c r="D15" s="383"/>
      <c r="E15" s="386"/>
      <c r="F15" s="383"/>
      <c r="G15" s="358"/>
      <c r="H15" s="358"/>
      <c r="I15" s="358"/>
      <c r="J15" s="358"/>
      <c r="K15" s="358"/>
      <c r="L15" s="358"/>
      <c r="M15" s="358"/>
      <c r="N15" s="358"/>
      <c r="O15" s="358"/>
      <c r="P15" s="358"/>
      <c r="Q15" s="358"/>
      <c r="R15" s="376"/>
      <c r="S15" s="374"/>
      <c r="T15" s="373"/>
      <c r="U15" s="349"/>
      <c r="V15" s="373">
        <f>IF(NOT(ISERROR(MATCH(U15,_xlfn.ANCHORARRAY(E26),0))),T28&amp;"Por favor no seleccionar los criterios de impacto",U15)</f>
        <v>0</v>
      </c>
      <c r="W15" s="374"/>
      <c r="X15" s="373"/>
      <c r="Y15" s="360"/>
      <c r="Z15" s="214">
        <v>3</v>
      </c>
      <c r="AA15" s="188"/>
      <c r="AB15" s="189" t="str">
        <f t="shared" si="0"/>
        <v/>
      </c>
      <c r="AC15" s="190"/>
      <c r="AD15" s="190"/>
      <c r="AE15" s="191" t="str">
        <f t="shared" si="1"/>
        <v/>
      </c>
      <c r="AF15" s="190"/>
      <c r="AG15" s="190"/>
      <c r="AH15" s="190"/>
      <c r="AI15" s="192" t="str">
        <f>IFERROR(IF(AND(AB14="Probabilidad",AB15="Probabilidad"),(AK14-(+AK14*AE15)),IF(AND(AB14="Impacto",AB15="Probabilidad"),(AK13-(+AK13*AE15)),IF(AB15="Impacto",AK14,""))),"")</f>
        <v/>
      </c>
      <c r="AJ15" s="193" t="str">
        <f t="shared" si="2"/>
        <v/>
      </c>
      <c r="AK15" s="191" t="str">
        <f t="shared" si="3"/>
        <v/>
      </c>
      <c r="AL15" s="193" t="str">
        <f t="shared" si="4"/>
        <v/>
      </c>
      <c r="AM15" s="191" t="str">
        <f>IFERROR(IF(AND(AB14="Impacto",AB15="Impacto"),(AM14-(+AM14*AE15)),IF(AND(AB14="Probabilidad",AB15="Impacto"),(AM13-(+AM13*AE15)),IF(AB15="Probabilidad",AM14,""))),"")</f>
        <v/>
      </c>
      <c r="AN15" s="194" t="str">
        <f t="shared" si="5"/>
        <v/>
      </c>
      <c r="AO15" s="195"/>
      <c r="AP15" s="186"/>
      <c r="AQ15" s="196"/>
      <c r="AR15" s="196"/>
      <c r="AS15" s="197"/>
      <c r="AT15" s="383"/>
      <c r="AU15" s="383"/>
      <c r="AV15" s="383"/>
    </row>
    <row r="16" spans="1:276" x14ac:dyDescent="0.2">
      <c r="A16" s="419"/>
      <c r="B16" s="383"/>
      <c r="C16" s="383"/>
      <c r="D16" s="383"/>
      <c r="E16" s="386"/>
      <c r="F16" s="383"/>
      <c r="G16" s="358"/>
      <c r="H16" s="358"/>
      <c r="I16" s="358"/>
      <c r="J16" s="358"/>
      <c r="K16" s="358"/>
      <c r="L16" s="358"/>
      <c r="M16" s="358"/>
      <c r="N16" s="358"/>
      <c r="O16" s="358"/>
      <c r="P16" s="358"/>
      <c r="Q16" s="358"/>
      <c r="R16" s="376"/>
      <c r="S16" s="374"/>
      <c r="T16" s="373"/>
      <c r="U16" s="349"/>
      <c r="V16" s="373">
        <f>IF(NOT(ISERROR(MATCH(U16,_xlfn.ANCHORARRAY(E27),0))),T29&amp;"Por favor no seleccionar los criterios de impacto",U16)</f>
        <v>0</v>
      </c>
      <c r="W16" s="374"/>
      <c r="X16" s="373"/>
      <c r="Y16" s="360"/>
      <c r="Z16" s="214">
        <v>4</v>
      </c>
      <c r="AA16" s="187"/>
      <c r="AB16" s="189" t="str">
        <f t="shared" si="0"/>
        <v/>
      </c>
      <c r="AC16" s="190"/>
      <c r="AD16" s="190"/>
      <c r="AE16" s="191" t="str">
        <f t="shared" si="1"/>
        <v/>
      </c>
      <c r="AF16" s="190"/>
      <c r="AG16" s="190"/>
      <c r="AH16" s="190"/>
      <c r="AI16" s="192" t="str">
        <f t="shared" ref="AI16:AI18" si="6">IFERROR(IF(AND(AB15="Probabilidad",AB16="Probabilidad"),(AK15-(+AK15*AE16)),IF(AND(AB15="Impacto",AB16="Probabilidad"),(AK14-(+AK14*AE16)),IF(AB16="Impacto",AK15,""))),"")</f>
        <v/>
      </c>
      <c r="AJ16" s="193" t="str">
        <f t="shared" si="2"/>
        <v/>
      </c>
      <c r="AK16" s="191" t="str">
        <f t="shared" si="3"/>
        <v/>
      </c>
      <c r="AL16" s="193" t="str">
        <f t="shared" si="4"/>
        <v/>
      </c>
      <c r="AM16" s="191" t="str">
        <f t="shared" ref="AM16:AM18" si="7">IFERROR(IF(AND(AB15="Impacto",AB16="Impacto"),(AM15-(+AM15*AE16)),IF(AND(AB15="Probabilidad",AB16="Impacto"),(AM14-(+AM14*AE16)),IF(AB16="Probabilidad",AM15,""))),"")</f>
        <v/>
      </c>
      <c r="AN16" s="194" t="str">
        <f>IFERROR(IF(OR(AND(AJ16="Muy Baja",AL16="Leve"),AND(AJ16="Muy Baja",AL16="Menor"),AND(AJ16="Baja",AL16="Leve")),"Bajo",IF(OR(AND(AJ16="Muy baja",AL16="Moderado"),AND(AJ16="Baja",AL16="Menor"),AND(AJ16="Baja",AL16="Moderado"),AND(AJ16="Media",AL16="Leve"),AND(AJ16="Media",AL16="Menor"),AND(AJ16="Media",AL16="Moderado"),AND(AJ16="Alta",AL16="Leve"),AND(AJ16="Alta",AL16="Menor")),"Moderado",IF(OR(AND(AJ16="Muy Baja",AL16="Mayor"),AND(AJ16="Baja",AL16="Mayor"),AND(AJ16="Media",AL16="Mayor"),AND(AJ16="Alta",AL16="Moderado"),AND(AJ16="Alta",AL16="Mayor"),AND(AJ16="Muy Alta",AL16="Leve"),AND(AJ16="Muy Alta",AL16="Menor"),AND(AJ16="Muy Alta",AL16="Moderado"),AND(AJ16="Muy Alta",AL16="Mayor")),"Alto",IF(OR(AND(AJ16="Muy Baja",AL16="Catastrófico"),AND(AJ16="Baja",AL16="Catastrófico"),AND(AJ16="Media",AL16="Catastrófico"),AND(AJ16="Alta",AL16="Catastrófico"),AND(AJ16="Muy Alta",AL16="Catastrófico")),"Extremo","")))),"")</f>
        <v/>
      </c>
      <c r="AO16" s="195"/>
      <c r="AP16" s="186"/>
      <c r="AQ16" s="196"/>
      <c r="AR16" s="196"/>
      <c r="AS16" s="197"/>
      <c r="AT16" s="383"/>
      <c r="AU16" s="383"/>
      <c r="AV16" s="383"/>
    </row>
    <row r="17" spans="1:48" x14ac:dyDescent="0.2">
      <c r="A17" s="419"/>
      <c r="B17" s="383"/>
      <c r="C17" s="383"/>
      <c r="D17" s="383"/>
      <c r="E17" s="386"/>
      <c r="F17" s="383"/>
      <c r="G17" s="358"/>
      <c r="H17" s="358"/>
      <c r="I17" s="358"/>
      <c r="J17" s="358"/>
      <c r="K17" s="358"/>
      <c r="L17" s="358"/>
      <c r="M17" s="358"/>
      <c r="N17" s="358"/>
      <c r="O17" s="358"/>
      <c r="P17" s="358"/>
      <c r="Q17" s="358"/>
      <c r="R17" s="376"/>
      <c r="S17" s="374"/>
      <c r="T17" s="373"/>
      <c r="U17" s="349"/>
      <c r="V17" s="373">
        <f>IF(NOT(ISERROR(MATCH(U17,_xlfn.ANCHORARRAY(E28),0))),T30&amp;"Por favor no seleccionar los criterios de impacto",U17)</f>
        <v>0</v>
      </c>
      <c r="W17" s="374"/>
      <c r="X17" s="373"/>
      <c r="Y17" s="360"/>
      <c r="Z17" s="214">
        <v>5</v>
      </c>
      <c r="AA17" s="187"/>
      <c r="AB17" s="189" t="str">
        <f t="shared" si="0"/>
        <v/>
      </c>
      <c r="AC17" s="190"/>
      <c r="AD17" s="190"/>
      <c r="AE17" s="191" t="str">
        <f t="shared" si="1"/>
        <v/>
      </c>
      <c r="AF17" s="190"/>
      <c r="AG17" s="190"/>
      <c r="AH17" s="190"/>
      <c r="AI17" s="192" t="str">
        <f t="shared" si="6"/>
        <v/>
      </c>
      <c r="AJ17" s="193" t="str">
        <f t="shared" si="2"/>
        <v/>
      </c>
      <c r="AK17" s="191" t="str">
        <f t="shared" si="3"/>
        <v/>
      </c>
      <c r="AL17" s="193" t="str">
        <f t="shared" si="4"/>
        <v/>
      </c>
      <c r="AM17" s="191" t="str">
        <f t="shared" si="7"/>
        <v/>
      </c>
      <c r="AN17" s="194" t="str">
        <f t="shared" si="5"/>
        <v/>
      </c>
      <c r="AO17" s="195"/>
      <c r="AP17" s="186"/>
      <c r="AQ17" s="196"/>
      <c r="AR17" s="196"/>
      <c r="AS17" s="197"/>
      <c r="AT17" s="383"/>
      <c r="AU17" s="383"/>
      <c r="AV17" s="383"/>
    </row>
    <row r="18" spans="1:48" x14ac:dyDescent="0.2">
      <c r="A18" s="419"/>
      <c r="B18" s="383"/>
      <c r="C18" s="383"/>
      <c r="D18" s="383"/>
      <c r="E18" s="386"/>
      <c r="F18" s="383"/>
      <c r="G18" s="369"/>
      <c r="H18" s="369"/>
      <c r="I18" s="369"/>
      <c r="J18" s="369"/>
      <c r="K18" s="369"/>
      <c r="L18" s="369"/>
      <c r="M18" s="369"/>
      <c r="N18" s="369"/>
      <c r="O18" s="369"/>
      <c r="P18" s="369"/>
      <c r="Q18" s="369"/>
      <c r="R18" s="376"/>
      <c r="S18" s="374"/>
      <c r="T18" s="373"/>
      <c r="U18" s="349"/>
      <c r="V18" s="373">
        <f>IF(NOT(ISERROR(MATCH(U18,_xlfn.ANCHORARRAY(E29),0))),T31&amp;"Por favor no seleccionar los criterios de impacto",U18)</f>
        <v>0</v>
      </c>
      <c r="W18" s="374"/>
      <c r="X18" s="373"/>
      <c r="Y18" s="360"/>
      <c r="Z18" s="214">
        <v>6</v>
      </c>
      <c r="AA18" s="187"/>
      <c r="AB18" s="189" t="str">
        <f t="shared" si="0"/>
        <v/>
      </c>
      <c r="AC18" s="190"/>
      <c r="AD18" s="190"/>
      <c r="AE18" s="191" t="str">
        <f t="shared" si="1"/>
        <v/>
      </c>
      <c r="AF18" s="190"/>
      <c r="AG18" s="190"/>
      <c r="AH18" s="190"/>
      <c r="AI18" s="192" t="str">
        <f t="shared" si="6"/>
        <v/>
      </c>
      <c r="AJ18" s="193" t="str">
        <f t="shared" si="2"/>
        <v/>
      </c>
      <c r="AK18" s="191" t="str">
        <f t="shared" si="3"/>
        <v/>
      </c>
      <c r="AL18" s="193" t="str">
        <f t="shared" si="4"/>
        <v/>
      </c>
      <c r="AM18" s="191" t="str">
        <f t="shared" si="7"/>
        <v/>
      </c>
      <c r="AN18" s="194" t="str">
        <f t="shared" si="5"/>
        <v/>
      </c>
      <c r="AO18" s="195"/>
      <c r="AP18" s="186"/>
      <c r="AQ18" s="196"/>
      <c r="AR18" s="196"/>
      <c r="AS18" s="197"/>
      <c r="AT18" s="383"/>
      <c r="AU18" s="383"/>
      <c r="AV18" s="383"/>
    </row>
    <row r="19" spans="1:48" x14ac:dyDescent="0.2">
      <c r="A19" s="419">
        <v>2</v>
      </c>
      <c r="B19" s="383"/>
      <c r="C19" s="383"/>
      <c r="D19" s="383"/>
      <c r="E19" s="386"/>
      <c r="F19" s="383"/>
      <c r="G19" s="388"/>
      <c r="H19" s="388"/>
      <c r="I19" s="388"/>
      <c r="J19" s="388"/>
      <c r="K19" s="388"/>
      <c r="L19" s="388"/>
      <c r="M19" s="388"/>
      <c r="N19" s="388"/>
      <c r="O19" s="388"/>
      <c r="P19" s="388"/>
      <c r="Q19" s="388"/>
      <c r="R19" s="376"/>
      <c r="S19" s="374" t="str">
        <f>IF(R19&lt;=0,"",IF(R19&lt;=2,"Muy Baja",IF(R19&lt;=24,"Baja",IF(R19&lt;=500,"Media",IF(R19&lt;=5000,"Alta","Muy Alta")))))</f>
        <v/>
      </c>
      <c r="T19" s="373" t="str">
        <f>IF(S19="","",IF(S19="Muy Baja",0.2,IF(S19="Baja",0.4,IF(S19="Media",0.6,IF(S19="Alta",0.8,IF(S19="Muy Alta",1,))))))</f>
        <v/>
      </c>
      <c r="U19" s="349"/>
      <c r="V19" s="373">
        <f>IF(NOT(ISERROR(MATCH(U19,'Tabla Impacto'!$B$222:$B$224,0))),'Tabla Impacto'!$F$224&amp;"Por favor no seleccionar los criterios de impacto(Afectación Económica o presupuestal y Pérdida Reputacional)",U19)</f>
        <v>0</v>
      </c>
      <c r="W19" s="374" t="str">
        <f>IF(OR(V19='Tabla Impacto'!$C$12,V19='Tabla Impacto'!$D$12),"Leve",IF(OR(V19='Tabla Impacto'!$C$13,V19='Tabla Impacto'!$D$13),"Menor",IF(OR(V19='Tabla Impacto'!$C$14,V19='Tabla Impacto'!$D$14),"Moderado",IF(OR(V19='Tabla Impacto'!$C$15,V19='Tabla Impacto'!$D$15),"Mayor",IF(OR(V19='Tabla Impacto'!$C$16,V19='Tabla Impacto'!$D$16),"Catastrófico","")))))</f>
        <v/>
      </c>
      <c r="X19" s="373" t="str">
        <f>IF(W19="","",IF(W19="Leve",0.2,IF(W19="Menor",0.4,IF(W19="Moderado",0.6,IF(W19="Mayor",0.8,IF(W19="Catastrófico",1,))))))</f>
        <v/>
      </c>
      <c r="Y19" s="360" t="str">
        <f>IF(OR(AND(S19="Muy Baja",W19="Leve"),AND(S19="Muy Baja",W19="Menor"),AND(S19="Baja",W19="Leve")),"Bajo",IF(OR(AND(S19="Muy baja",W19="Moderado"),AND(S19="Baja",W19="Menor"),AND(S19="Baja",W19="Moderado"),AND(S19="Media",W19="Leve"),AND(S19="Media",W19="Menor"),AND(S19="Media",W19="Moderado"),AND(S19="Alta",W19="Leve"),AND(S19="Alta",W19="Menor")),"Moderado",IF(OR(AND(S19="Muy Baja",W19="Mayor"),AND(S19="Baja",W19="Mayor"),AND(S19="Media",W19="Mayor"),AND(S19="Alta",W19="Moderado"),AND(S19="Alta",W19="Mayor"),AND(S19="Muy Alta",W19="Leve"),AND(S19="Muy Alta",W19="Menor"),AND(S19="Muy Alta",W19="Moderado"),AND(S19="Muy Alta",W19="Mayor")),"Alto",IF(OR(AND(S19="Muy Baja",W19="Catastrófico"),AND(S19="Baja",W19="Catastrófico"),AND(S19="Media",W19="Catastrófico"),AND(S19="Alta",W19="Catastrófico"),AND(S19="Muy Alta",W19="Catastrófico")),"Extremo",""))))</f>
        <v/>
      </c>
      <c r="Z19" s="214">
        <v>1</v>
      </c>
      <c r="AA19" s="187"/>
      <c r="AB19" s="189" t="str">
        <f>IF(OR(AC19="Preventivo",AC19="Detectivo"),"Probabilidad",IF(AC19="Correctivo","Impacto",""))</f>
        <v/>
      </c>
      <c r="AC19" s="190"/>
      <c r="AD19" s="190"/>
      <c r="AE19" s="191" t="str">
        <f>IF(AND(AC19="Preventivo",AD19="Automático"),"50%",IF(AND(AC19="Preventivo",AD19="Manual"),"40%",IF(AND(AC19="Detectivo",AD19="Automático"),"40%",IF(AND(AC19="Detectivo",AD19="Manual"),"30%",IF(AND(AC19="Correctivo",AD19="Automático"),"35%",IF(AND(AC19="Correctivo",AD19="Manual"),"25%",""))))))</f>
        <v/>
      </c>
      <c r="AF19" s="190"/>
      <c r="AG19" s="190"/>
      <c r="AH19" s="190"/>
      <c r="AI19" s="192" t="str">
        <f>IFERROR(IF(AB19="Probabilidad",(T19-(+T19*AE19)),IF(AB19="Impacto",T19,"")),"")</f>
        <v/>
      </c>
      <c r="AJ19" s="193" t="str">
        <f>IFERROR(IF(AI19="","",IF(AI19&lt;=0.2,"Muy Baja",IF(AI19&lt;=0.4,"Baja",IF(AI19&lt;=0.6,"Media",IF(AI19&lt;=0.8,"Alta","Muy Alta"))))),"")</f>
        <v/>
      </c>
      <c r="AK19" s="191" t="str">
        <f>+AI19</f>
        <v/>
      </c>
      <c r="AL19" s="193" t="str">
        <f>IFERROR(IF(AM19="","",IF(AM19&lt;=0.2,"Leve",IF(AM19&lt;=0.4,"Menor",IF(AM19&lt;=0.6,"Moderado",IF(AM19&lt;=0.8,"Mayor","Catastrófico"))))),"")</f>
        <v/>
      </c>
      <c r="AM19" s="191" t="str">
        <f t="shared" ref="AM19" si="8">IFERROR(IF(AB19="Impacto",(X19-(+X19*AE19)),IF(AB19="Probabilidad",X19,"")),"")</f>
        <v/>
      </c>
      <c r="AN19" s="194" t="str">
        <f>IFERROR(IF(OR(AND(AJ19="Muy Baja",AL19="Leve"),AND(AJ19="Muy Baja",AL19="Menor"),AND(AJ19="Baja",AL19="Leve")),"Bajo",IF(OR(AND(AJ19="Muy baja",AL19="Moderado"),AND(AJ19="Baja",AL19="Menor"),AND(AJ19="Baja",AL19="Moderado"),AND(AJ19="Media",AL19="Leve"),AND(AJ19="Media",AL19="Menor"),AND(AJ19="Media",AL19="Moderado"),AND(AJ19="Alta",AL19="Leve"),AND(AJ19="Alta",AL19="Menor")),"Moderado",IF(OR(AND(AJ19="Muy Baja",AL19="Mayor"),AND(AJ19="Baja",AL19="Mayor"),AND(AJ19="Media",AL19="Mayor"),AND(AJ19="Alta",AL19="Moderado"),AND(AJ19="Alta",AL19="Mayor"),AND(AJ19="Muy Alta",AL19="Leve"),AND(AJ19="Muy Alta",AL19="Menor"),AND(AJ19="Muy Alta",AL19="Moderado"),AND(AJ19="Muy Alta",AL19="Mayor")),"Alto",IF(OR(AND(AJ19="Muy Baja",AL19="Catastrófico"),AND(AJ19="Baja",AL19="Catastrófico"),AND(AJ19="Media",AL19="Catastrófico"),AND(AJ19="Alta",AL19="Catastrófico"),AND(AJ19="Muy Alta",AL19="Catastrófico")),"Extremo","")))),"")</f>
        <v/>
      </c>
      <c r="AO19" s="195"/>
      <c r="AP19" s="186"/>
      <c r="AQ19" s="196"/>
      <c r="AR19" s="196"/>
      <c r="AS19" s="197"/>
      <c r="AT19" s="376"/>
      <c r="AU19" s="376"/>
      <c r="AV19" s="376"/>
    </row>
    <row r="20" spans="1:48" x14ac:dyDescent="0.2">
      <c r="A20" s="419"/>
      <c r="B20" s="383"/>
      <c r="C20" s="383"/>
      <c r="D20" s="383"/>
      <c r="E20" s="386"/>
      <c r="F20" s="383"/>
      <c r="G20" s="358"/>
      <c r="H20" s="358"/>
      <c r="I20" s="358"/>
      <c r="J20" s="358"/>
      <c r="K20" s="358"/>
      <c r="L20" s="358"/>
      <c r="M20" s="358"/>
      <c r="N20" s="358"/>
      <c r="O20" s="358"/>
      <c r="P20" s="358"/>
      <c r="Q20" s="358"/>
      <c r="R20" s="376"/>
      <c r="S20" s="374"/>
      <c r="T20" s="373"/>
      <c r="U20" s="349"/>
      <c r="V20" s="373">
        <f>IF(NOT(ISERROR(MATCH(U20,_xlfn.ANCHORARRAY(E31),0))),T33&amp;"Por favor no seleccionar los criterios de impacto",U20)</f>
        <v>0</v>
      </c>
      <c r="W20" s="374"/>
      <c r="X20" s="373"/>
      <c r="Y20" s="360"/>
      <c r="Z20" s="214">
        <v>2</v>
      </c>
      <c r="AA20" s="187"/>
      <c r="AB20" s="189" t="str">
        <f>IF(OR(AC20="Preventivo",AC20="Detectivo"),"Probabilidad",IF(AC20="Correctivo","Impacto",""))</f>
        <v/>
      </c>
      <c r="AC20" s="190"/>
      <c r="AD20" s="190"/>
      <c r="AE20" s="191" t="str">
        <f t="shared" ref="AE20:AE24" si="9">IF(AND(AC20="Preventivo",AD20="Automático"),"50%",IF(AND(AC20="Preventivo",AD20="Manual"),"40%",IF(AND(AC20="Detectivo",AD20="Automático"),"40%",IF(AND(AC20="Detectivo",AD20="Manual"),"30%",IF(AND(AC20="Correctivo",AD20="Automático"),"35%",IF(AND(AC20="Correctivo",AD20="Manual"),"25%",""))))))</f>
        <v/>
      </c>
      <c r="AF20" s="190"/>
      <c r="AG20" s="190"/>
      <c r="AH20" s="190"/>
      <c r="AI20" s="192" t="str">
        <f>IFERROR(IF(AND(AB19="Probabilidad",AB20="Probabilidad"),(AK19-(+AK19*AE20)),IF(AB20="Probabilidad",(T19-(+T19*AE20)),IF(AB20="Impacto",AK19,""))),"")</f>
        <v/>
      </c>
      <c r="AJ20" s="193" t="str">
        <f t="shared" si="2"/>
        <v/>
      </c>
      <c r="AK20" s="191" t="str">
        <f t="shared" ref="AK20:AK24" si="10">+AI20</f>
        <v/>
      </c>
      <c r="AL20" s="193" t="str">
        <f t="shared" si="4"/>
        <v/>
      </c>
      <c r="AM20" s="191" t="str">
        <f t="shared" ref="AM20" si="11">IFERROR(IF(AND(AB19="Impacto",AB20="Impacto"),(AM19-(+AM19*AE20)),IF(AB20="Impacto",($X$13-(+$X$13*AE20)),IF(AB20="Probabilidad",AM19,""))),"")</f>
        <v/>
      </c>
      <c r="AN20" s="194" t="str">
        <f t="shared" ref="AN20:AN21" si="12">IFERROR(IF(OR(AND(AJ20="Muy Baja",AL20="Leve"),AND(AJ20="Muy Baja",AL20="Menor"),AND(AJ20="Baja",AL20="Leve")),"Bajo",IF(OR(AND(AJ20="Muy baja",AL20="Moderado"),AND(AJ20="Baja",AL20="Menor"),AND(AJ20="Baja",AL20="Moderado"),AND(AJ20="Media",AL20="Leve"),AND(AJ20="Media",AL20="Menor"),AND(AJ20="Media",AL20="Moderado"),AND(AJ20="Alta",AL20="Leve"),AND(AJ20="Alta",AL20="Menor")),"Moderado",IF(OR(AND(AJ20="Muy Baja",AL20="Mayor"),AND(AJ20="Baja",AL20="Mayor"),AND(AJ20="Media",AL20="Mayor"),AND(AJ20="Alta",AL20="Moderado"),AND(AJ20="Alta",AL20="Mayor"),AND(AJ20="Muy Alta",AL20="Leve"),AND(AJ20="Muy Alta",AL20="Menor"),AND(AJ20="Muy Alta",AL20="Moderado"),AND(AJ20="Muy Alta",AL20="Mayor")),"Alto",IF(OR(AND(AJ20="Muy Baja",AL20="Catastrófico"),AND(AJ20="Baja",AL20="Catastrófico"),AND(AJ20="Media",AL20="Catastrófico"),AND(AJ20="Alta",AL20="Catastrófico"),AND(AJ20="Muy Alta",AL20="Catastrófico")),"Extremo","")))),"")</f>
        <v/>
      </c>
      <c r="AO20" s="195"/>
      <c r="AP20" s="186"/>
      <c r="AQ20" s="196"/>
      <c r="AR20" s="186"/>
      <c r="AS20" s="197"/>
      <c r="AT20" s="376"/>
      <c r="AU20" s="376"/>
      <c r="AV20" s="376"/>
    </row>
    <row r="21" spans="1:48" x14ac:dyDescent="0.2">
      <c r="A21" s="419"/>
      <c r="B21" s="383"/>
      <c r="C21" s="383"/>
      <c r="D21" s="383"/>
      <c r="E21" s="386"/>
      <c r="F21" s="383"/>
      <c r="G21" s="358"/>
      <c r="H21" s="358"/>
      <c r="I21" s="358"/>
      <c r="J21" s="358"/>
      <c r="K21" s="358"/>
      <c r="L21" s="358"/>
      <c r="M21" s="358"/>
      <c r="N21" s="358"/>
      <c r="O21" s="358"/>
      <c r="P21" s="358"/>
      <c r="Q21" s="358"/>
      <c r="R21" s="376"/>
      <c r="S21" s="374"/>
      <c r="T21" s="373"/>
      <c r="U21" s="349"/>
      <c r="V21" s="373">
        <f>IF(NOT(ISERROR(MATCH(U21,_xlfn.ANCHORARRAY(E32),0))),T34&amp;"Por favor no seleccionar los criterios de impacto",U21)</f>
        <v>0</v>
      </c>
      <c r="W21" s="374"/>
      <c r="X21" s="373"/>
      <c r="Y21" s="360"/>
      <c r="Z21" s="214">
        <v>3</v>
      </c>
      <c r="AA21" s="188"/>
      <c r="AB21" s="189" t="str">
        <f>IF(OR(AC21="Preventivo",AC21="Detectivo"),"Probabilidad",IF(AC21="Correctivo","Impacto",""))</f>
        <v/>
      </c>
      <c r="AC21" s="190"/>
      <c r="AD21" s="190"/>
      <c r="AE21" s="191" t="str">
        <f t="shared" si="9"/>
        <v/>
      </c>
      <c r="AF21" s="190"/>
      <c r="AG21" s="190"/>
      <c r="AH21" s="190"/>
      <c r="AI21" s="192" t="str">
        <f>IFERROR(IF(AND(AB20="Probabilidad",AB21="Probabilidad"),(AK20-(+AK20*AE21)),IF(AND(AB20="Impacto",AB21="Probabilidad"),(AK19-(+AK19*AE21)),IF(AB21="Impacto",AK20,""))),"")</f>
        <v/>
      </c>
      <c r="AJ21" s="193" t="str">
        <f t="shared" si="2"/>
        <v/>
      </c>
      <c r="AK21" s="191" t="str">
        <f t="shared" si="10"/>
        <v/>
      </c>
      <c r="AL21" s="193" t="str">
        <f t="shared" si="4"/>
        <v/>
      </c>
      <c r="AM21" s="191" t="str">
        <f t="shared" ref="AM21:AM72" si="13">IFERROR(IF(AND(AB20="Impacto",AB21="Impacto"),(AM20-(+AM20*AE21)),IF(AND(AB20="Probabilidad",AB21="Impacto"),(AM19-(+AM19*AE21)),IF(AB21="Probabilidad",AM20,""))),"")</f>
        <v/>
      </c>
      <c r="AN21" s="194" t="str">
        <f t="shared" si="12"/>
        <v/>
      </c>
      <c r="AO21" s="195"/>
      <c r="AP21" s="186"/>
      <c r="AQ21" s="196"/>
      <c r="AR21" s="196"/>
      <c r="AS21" s="197"/>
      <c r="AT21" s="376"/>
      <c r="AU21" s="376"/>
      <c r="AV21" s="376"/>
    </row>
    <row r="22" spans="1:48" x14ac:dyDescent="0.2">
      <c r="A22" s="419"/>
      <c r="B22" s="383"/>
      <c r="C22" s="383"/>
      <c r="D22" s="383"/>
      <c r="E22" s="386"/>
      <c r="F22" s="383"/>
      <c r="G22" s="358"/>
      <c r="H22" s="358"/>
      <c r="I22" s="358"/>
      <c r="J22" s="358"/>
      <c r="K22" s="358"/>
      <c r="L22" s="358"/>
      <c r="M22" s="358"/>
      <c r="N22" s="358"/>
      <c r="O22" s="358"/>
      <c r="P22" s="358"/>
      <c r="Q22" s="358"/>
      <c r="R22" s="376"/>
      <c r="S22" s="374"/>
      <c r="T22" s="373"/>
      <c r="U22" s="349"/>
      <c r="V22" s="373">
        <f>IF(NOT(ISERROR(MATCH(U22,_xlfn.ANCHORARRAY(E33),0))),T35&amp;"Por favor no seleccionar los criterios de impacto",U22)</f>
        <v>0</v>
      </c>
      <c r="W22" s="374"/>
      <c r="X22" s="373"/>
      <c r="Y22" s="360"/>
      <c r="Z22" s="214">
        <v>4</v>
      </c>
      <c r="AA22" s="187"/>
      <c r="AB22" s="189" t="str">
        <f t="shared" ref="AB22:AB24" si="14">IF(OR(AC22="Preventivo",AC22="Detectivo"),"Probabilidad",IF(AC22="Correctivo","Impacto",""))</f>
        <v/>
      </c>
      <c r="AC22" s="190"/>
      <c r="AD22" s="190"/>
      <c r="AE22" s="191" t="str">
        <f t="shared" si="9"/>
        <v/>
      </c>
      <c r="AF22" s="190"/>
      <c r="AG22" s="190"/>
      <c r="AH22" s="190"/>
      <c r="AI22" s="192" t="str">
        <f t="shared" ref="AI22:AI24" si="15">IFERROR(IF(AND(AB21="Probabilidad",AB22="Probabilidad"),(AK21-(+AK21*AE22)),IF(AND(AB21="Impacto",AB22="Probabilidad"),(AK20-(+AK20*AE22)),IF(AB22="Impacto",AK21,""))),"")</f>
        <v/>
      </c>
      <c r="AJ22" s="193" t="str">
        <f t="shared" si="2"/>
        <v/>
      </c>
      <c r="AK22" s="191" t="str">
        <f t="shared" si="10"/>
        <v/>
      </c>
      <c r="AL22" s="193" t="str">
        <f t="shared" si="4"/>
        <v/>
      </c>
      <c r="AM22" s="191" t="str">
        <f t="shared" si="13"/>
        <v/>
      </c>
      <c r="AN22" s="194" t="str">
        <f>IFERROR(IF(OR(AND(AJ22="Muy Baja",AL22="Leve"),AND(AJ22="Muy Baja",AL22="Menor"),AND(AJ22="Baja",AL22="Leve")),"Bajo",IF(OR(AND(AJ22="Muy baja",AL22="Moderado"),AND(AJ22="Baja",AL22="Menor"),AND(AJ22="Baja",AL22="Moderado"),AND(AJ22="Media",AL22="Leve"),AND(AJ22="Media",AL22="Menor"),AND(AJ22="Media",AL22="Moderado"),AND(AJ22="Alta",AL22="Leve"),AND(AJ22="Alta",AL22="Menor")),"Moderado",IF(OR(AND(AJ22="Muy Baja",AL22="Mayor"),AND(AJ22="Baja",AL22="Mayor"),AND(AJ22="Media",AL22="Mayor"),AND(AJ22="Alta",AL22="Moderado"),AND(AJ22="Alta",AL22="Mayor"),AND(AJ22="Muy Alta",AL22="Leve"),AND(AJ22="Muy Alta",AL22="Menor"),AND(AJ22="Muy Alta",AL22="Moderado"),AND(AJ22="Muy Alta",AL22="Mayor")),"Alto",IF(OR(AND(AJ22="Muy Baja",AL22="Catastrófico"),AND(AJ22="Baja",AL22="Catastrófico"),AND(AJ22="Media",AL22="Catastrófico"),AND(AJ22="Alta",AL22="Catastrófico"),AND(AJ22="Muy Alta",AL22="Catastrófico")),"Extremo","")))),"")</f>
        <v/>
      </c>
      <c r="AO22" s="195"/>
      <c r="AP22" s="186"/>
      <c r="AQ22" s="196"/>
      <c r="AR22" s="196"/>
      <c r="AS22" s="197"/>
      <c r="AT22" s="376"/>
      <c r="AU22" s="376"/>
      <c r="AV22" s="376"/>
    </row>
    <row r="23" spans="1:48" x14ac:dyDescent="0.2">
      <c r="A23" s="419"/>
      <c r="B23" s="383"/>
      <c r="C23" s="383"/>
      <c r="D23" s="383"/>
      <c r="E23" s="386"/>
      <c r="F23" s="383"/>
      <c r="G23" s="358"/>
      <c r="H23" s="358"/>
      <c r="I23" s="358"/>
      <c r="J23" s="358"/>
      <c r="K23" s="358"/>
      <c r="L23" s="358"/>
      <c r="M23" s="358"/>
      <c r="N23" s="358"/>
      <c r="O23" s="358"/>
      <c r="P23" s="358"/>
      <c r="Q23" s="358"/>
      <c r="R23" s="376"/>
      <c r="S23" s="374"/>
      <c r="T23" s="373"/>
      <c r="U23" s="349"/>
      <c r="V23" s="373">
        <f>IF(NOT(ISERROR(MATCH(U23,_xlfn.ANCHORARRAY(E34),0))),T36&amp;"Por favor no seleccionar los criterios de impacto",U23)</f>
        <v>0</v>
      </c>
      <c r="W23" s="374"/>
      <c r="X23" s="373"/>
      <c r="Y23" s="360"/>
      <c r="Z23" s="214">
        <v>5</v>
      </c>
      <c r="AA23" s="187"/>
      <c r="AB23" s="189" t="str">
        <f t="shared" si="14"/>
        <v/>
      </c>
      <c r="AC23" s="190"/>
      <c r="AD23" s="190"/>
      <c r="AE23" s="191" t="str">
        <f t="shared" si="9"/>
        <v/>
      </c>
      <c r="AF23" s="190"/>
      <c r="AG23" s="190"/>
      <c r="AH23" s="190"/>
      <c r="AI23" s="192" t="str">
        <f t="shared" si="15"/>
        <v/>
      </c>
      <c r="AJ23" s="193" t="str">
        <f t="shared" si="2"/>
        <v/>
      </c>
      <c r="AK23" s="191" t="str">
        <f t="shared" si="10"/>
        <v/>
      </c>
      <c r="AL23" s="193" t="str">
        <f t="shared" si="4"/>
        <v/>
      </c>
      <c r="AM23" s="191" t="str">
        <f t="shared" si="13"/>
        <v/>
      </c>
      <c r="AN23" s="194" t="str">
        <f t="shared" ref="AN23:AN24" si="16">IFERROR(IF(OR(AND(AJ23="Muy Baja",AL23="Leve"),AND(AJ23="Muy Baja",AL23="Menor"),AND(AJ23="Baja",AL23="Leve")),"Bajo",IF(OR(AND(AJ23="Muy baja",AL23="Moderado"),AND(AJ23="Baja",AL23="Menor"),AND(AJ23="Baja",AL23="Moderado"),AND(AJ23="Media",AL23="Leve"),AND(AJ23="Media",AL23="Menor"),AND(AJ23="Media",AL23="Moderado"),AND(AJ23="Alta",AL23="Leve"),AND(AJ23="Alta",AL23="Menor")),"Moderado",IF(OR(AND(AJ23="Muy Baja",AL23="Mayor"),AND(AJ23="Baja",AL23="Mayor"),AND(AJ23="Media",AL23="Mayor"),AND(AJ23="Alta",AL23="Moderado"),AND(AJ23="Alta",AL23="Mayor"),AND(AJ23="Muy Alta",AL23="Leve"),AND(AJ23="Muy Alta",AL23="Menor"),AND(AJ23="Muy Alta",AL23="Moderado"),AND(AJ23="Muy Alta",AL23="Mayor")),"Alto",IF(OR(AND(AJ23="Muy Baja",AL23="Catastrófico"),AND(AJ23="Baja",AL23="Catastrófico"),AND(AJ23="Media",AL23="Catastrófico"),AND(AJ23="Alta",AL23="Catastrófico"),AND(AJ23="Muy Alta",AL23="Catastrófico")),"Extremo","")))),"")</f>
        <v/>
      </c>
      <c r="AO23" s="195"/>
      <c r="AP23" s="186"/>
      <c r="AQ23" s="196"/>
      <c r="AR23" s="196"/>
      <c r="AS23" s="197"/>
      <c r="AT23" s="376"/>
      <c r="AU23" s="376"/>
      <c r="AV23" s="376"/>
    </row>
    <row r="24" spans="1:48" x14ac:dyDescent="0.2">
      <c r="A24" s="419"/>
      <c r="B24" s="383"/>
      <c r="C24" s="383"/>
      <c r="D24" s="383"/>
      <c r="E24" s="386"/>
      <c r="F24" s="383"/>
      <c r="G24" s="369"/>
      <c r="H24" s="369"/>
      <c r="I24" s="369"/>
      <c r="J24" s="369"/>
      <c r="K24" s="369"/>
      <c r="L24" s="369"/>
      <c r="M24" s="369"/>
      <c r="N24" s="369"/>
      <c r="O24" s="369"/>
      <c r="P24" s="369"/>
      <c r="Q24" s="369"/>
      <c r="R24" s="376"/>
      <c r="S24" s="374"/>
      <c r="T24" s="373"/>
      <c r="U24" s="349"/>
      <c r="V24" s="373">
        <f>IF(NOT(ISERROR(MATCH(U24,_xlfn.ANCHORARRAY(E35),0))),T37&amp;"Por favor no seleccionar los criterios de impacto",U24)</f>
        <v>0</v>
      </c>
      <c r="W24" s="374"/>
      <c r="X24" s="373"/>
      <c r="Y24" s="360"/>
      <c r="Z24" s="214">
        <v>6</v>
      </c>
      <c r="AA24" s="187"/>
      <c r="AB24" s="189" t="str">
        <f t="shared" si="14"/>
        <v/>
      </c>
      <c r="AC24" s="190"/>
      <c r="AD24" s="190"/>
      <c r="AE24" s="191" t="str">
        <f t="shared" si="9"/>
        <v/>
      </c>
      <c r="AF24" s="190"/>
      <c r="AG24" s="190"/>
      <c r="AH24" s="190"/>
      <c r="AI24" s="192" t="str">
        <f t="shared" si="15"/>
        <v/>
      </c>
      <c r="AJ24" s="193" t="str">
        <f t="shared" si="2"/>
        <v/>
      </c>
      <c r="AK24" s="191" t="str">
        <f t="shared" si="10"/>
        <v/>
      </c>
      <c r="AL24" s="193" t="str">
        <f t="shared" si="4"/>
        <v/>
      </c>
      <c r="AM24" s="191" t="str">
        <f t="shared" si="13"/>
        <v/>
      </c>
      <c r="AN24" s="194" t="str">
        <f t="shared" si="16"/>
        <v/>
      </c>
      <c r="AO24" s="195"/>
      <c r="AP24" s="186"/>
      <c r="AQ24" s="196"/>
      <c r="AR24" s="196"/>
      <c r="AS24" s="197"/>
      <c r="AT24" s="376"/>
      <c r="AU24" s="376"/>
      <c r="AV24" s="376"/>
    </row>
    <row r="25" spans="1:48" x14ac:dyDescent="0.2">
      <c r="A25" s="419">
        <v>3</v>
      </c>
      <c r="B25" s="383"/>
      <c r="C25" s="383"/>
      <c r="D25" s="383"/>
      <c r="E25" s="386"/>
      <c r="F25" s="383"/>
      <c r="G25" s="388"/>
      <c r="H25" s="388"/>
      <c r="I25" s="388"/>
      <c r="J25" s="388"/>
      <c r="K25" s="388"/>
      <c r="L25" s="388"/>
      <c r="M25" s="388"/>
      <c r="N25" s="388"/>
      <c r="O25" s="388"/>
      <c r="P25" s="388"/>
      <c r="Q25" s="388"/>
      <c r="R25" s="376"/>
      <c r="S25" s="374" t="str">
        <f>IF(R25&lt;=0,"",IF(R25&lt;=2,"Muy Baja",IF(R25&lt;=24,"Baja",IF(R25&lt;=500,"Media",IF(R25&lt;=5000,"Alta","Muy Alta")))))</f>
        <v/>
      </c>
      <c r="T25" s="373" t="str">
        <f>IF(S25="","",IF(S25="Muy Baja",0.2,IF(S25="Baja",0.4,IF(S25="Media",0.6,IF(S25="Alta",0.8,IF(S25="Muy Alta",1,))))))</f>
        <v/>
      </c>
      <c r="U25" s="349"/>
      <c r="V25" s="373">
        <f>IF(NOT(ISERROR(MATCH(U25,'Tabla Impacto'!$B$222:$B$224,0))),'Tabla Impacto'!$F$224&amp;"Por favor no seleccionar los criterios de impacto(Afectación Económica o presupuestal y Pérdida Reputacional)",U25)</f>
        <v>0</v>
      </c>
      <c r="W25" s="374" t="str">
        <f>IF(OR(V25='Tabla Impacto'!$C$12,V25='Tabla Impacto'!$D$12),"Leve",IF(OR(V25='Tabla Impacto'!$C$13,V25='Tabla Impacto'!$D$13),"Menor",IF(OR(V25='Tabla Impacto'!$C$14,V25='Tabla Impacto'!$D$14),"Moderado",IF(OR(V25='Tabla Impacto'!$C$15,V25='Tabla Impacto'!$D$15),"Mayor",IF(OR(V25='Tabla Impacto'!$C$16,V25='Tabla Impacto'!$D$16),"Catastrófico","")))))</f>
        <v/>
      </c>
      <c r="X25" s="373" t="str">
        <f>IF(W25="","",IF(W25="Leve",0.2,IF(W25="Menor",0.4,IF(W25="Moderado",0.6,IF(W25="Mayor",0.8,IF(W25="Catastrófico",1,))))))</f>
        <v/>
      </c>
      <c r="Y25" s="360" t="str">
        <f>IF(OR(AND(S25="Muy Baja",W25="Leve"),AND(S25="Muy Baja",W25="Menor"),AND(S25="Baja",W25="Leve")),"Bajo",IF(OR(AND(S25="Muy baja",W25="Moderado"),AND(S25="Baja",W25="Menor"),AND(S25="Baja",W25="Moderado"),AND(S25="Media",W25="Leve"),AND(S25="Media",W25="Menor"),AND(S25="Media",W25="Moderado"),AND(S25="Alta",W25="Leve"),AND(S25="Alta",W25="Menor")),"Moderado",IF(OR(AND(S25="Muy Baja",W25="Mayor"),AND(S25="Baja",W25="Mayor"),AND(S25="Media",W25="Mayor"),AND(S25="Alta",W25="Moderado"),AND(S25="Alta",W25="Mayor"),AND(S25="Muy Alta",W25="Leve"),AND(S25="Muy Alta",W25="Menor"),AND(S25="Muy Alta",W25="Moderado"),AND(S25="Muy Alta",W25="Mayor")),"Alto",IF(OR(AND(S25="Muy Baja",W25="Catastrófico"),AND(S25="Baja",W25="Catastrófico"),AND(S25="Media",W25="Catastrófico"),AND(S25="Alta",W25="Catastrófico"),AND(S25="Muy Alta",W25="Catastrófico")),"Extremo",""))))</f>
        <v/>
      </c>
      <c r="Z25" s="214">
        <v>1</v>
      </c>
      <c r="AA25" s="187"/>
      <c r="AB25" s="189" t="str">
        <f>IF(OR(AC25="Preventivo",AC25="Detectivo"),"Probabilidad",IF(AC25="Correctivo","Impacto",""))</f>
        <v/>
      </c>
      <c r="AC25" s="190"/>
      <c r="AD25" s="190"/>
      <c r="AE25" s="191" t="str">
        <f>IF(AND(AC25="Preventivo",AD25="Automático"),"50%",IF(AND(AC25="Preventivo",AD25="Manual"),"40%",IF(AND(AC25="Detectivo",AD25="Automático"),"40%",IF(AND(AC25="Detectivo",AD25="Manual"),"30%",IF(AND(AC25="Correctivo",AD25="Automático"),"35%",IF(AND(AC25="Correctivo",AD25="Manual"),"25%",""))))))</f>
        <v/>
      </c>
      <c r="AF25" s="190"/>
      <c r="AG25" s="190"/>
      <c r="AH25" s="190"/>
      <c r="AI25" s="192" t="str">
        <f>IFERROR(IF(AB25="Probabilidad",(T25-(+T25*AE25)),IF(AB25="Impacto",T25,"")),"")</f>
        <v/>
      </c>
      <c r="AJ25" s="193" t="str">
        <f>IFERROR(IF(AI25="","",IF(AI25&lt;=0.2,"Muy Baja",IF(AI25&lt;=0.4,"Baja",IF(AI25&lt;=0.6,"Media",IF(AI25&lt;=0.8,"Alta","Muy Alta"))))),"")</f>
        <v/>
      </c>
      <c r="AK25" s="191" t="str">
        <f>+AI25</f>
        <v/>
      </c>
      <c r="AL25" s="193" t="str">
        <f>IFERROR(IF(AM25="","",IF(AM25&lt;=0.2,"Leve",IF(AM25&lt;=0.4,"Menor",IF(AM25&lt;=0.6,"Moderado",IF(AM25&lt;=0.8,"Mayor","Catastrófico"))))),"")</f>
        <v/>
      </c>
      <c r="AM25" s="191" t="str">
        <f t="shared" ref="AM25" si="17">IFERROR(IF(AB25="Impacto",(X25-(+X25*AE25)),IF(AB25="Probabilidad",X25,"")),"")</f>
        <v/>
      </c>
      <c r="AN25" s="194" t="str">
        <f>IFERROR(IF(OR(AND(AJ25="Muy Baja",AL25="Leve"),AND(AJ25="Muy Baja",AL25="Menor"),AND(AJ25="Baja",AL25="Leve")),"Bajo",IF(OR(AND(AJ25="Muy baja",AL25="Moderado"),AND(AJ25="Baja",AL25="Menor"),AND(AJ25="Baja",AL25="Moderado"),AND(AJ25="Media",AL25="Leve"),AND(AJ25="Media",AL25="Menor"),AND(AJ25="Media",AL25="Moderado"),AND(AJ25="Alta",AL25="Leve"),AND(AJ25="Alta",AL25="Menor")),"Moderado",IF(OR(AND(AJ25="Muy Baja",AL25="Mayor"),AND(AJ25="Baja",AL25="Mayor"),AND(AJ25="Media",AL25="Mayor"),AND(AJ25="Alta",AL25="Moderado"),AND(AJ25="Alta",AL25="Mayor"),AND(AJ25="Muy Alta",AL25="Leve"),AND(AJ25="Muy Alta",AL25="Menor"),AND(AJ25="Muy Alta",AL25="Moderado"),AND(AJ25="Muy Alta",AL25="Mayor")),"Alto",IF(OR(AND(AJ25="Muy Baja",AL25="Catastrófico"),AND(AJ25="Baja",AL25="Catastrófico"),AND(AJ25="Media",AL25="Catastrófico"),AND(AJ25="Alta",AL25="Catastrófico"),AND(AJ25="Muy Alta",AL25="Catastrófico")),"Extremo","")))),"")</f>
        <v/>
      </c>
      <c r="AO25" s="195"/>
      <c r="AP25" s="186"/>
      <c r="AQ25" s="196"/>
      <c r="AR25" s="196"/>
      <c r="AS25" s="197"/>
      <c r="AT25" s="376"/>
      <c r="AU25" s="376"/>
      <c r="AV25" s="376"/>
    </row>
    <row r="26" spans="1:48" x14ac:dyDescent="0.2">
      <c r="A26" s="419"/>
      <c r="B26" s="383"/>
      <c r="C26" s="383"/>
      <c r="D26" s="383"/>
      <c r="E26" s="386"/>
      <c r="F26" s="383"/>
      <c r="G26" s="358"/>
      <c r="H26" s="358"/>
      <c r="I26" s="358"/>
      <c r="J26" s="358"/>
      <c r="K26" s="358"/>
      <c r="L26" s="358"/>
      <c r="M26" s="358"/>
      <c r="N26" s="358"/>
      <c r="O26" s="358"/>
      <c r="P26" s="358"/>
      <c r="Q26" s="358"/>
      <c r="R26" s="376"/>
      <c r="S26" s="374"/>
      <c r="T26" s="373"/>
      <c r="U26" s="349"/>
      <c r="V26" s="373">
        <f>IF(NOT(ISERROR(MATCH(U26,_xlfn.ANCHORARRAY(E37),0))),T39&amp;"Por favor no seleccionar los criterios de impacto",U26)</f>
        <v>0</v>
      </c>
      <c r="W26" s="374"/>
      <c r="X26" s="373"/>
      <c r="Y26" s="360"/>
      <c r="Z26" s="214">
        <v>2</v>
      </c>
      <c r="AA26" s="187"/>
      <c r="AB26" s="189" t="str">
        <f>IF(OR(AC26="Preventivo",AC26="Detectivo"),"Probabilidad",IF(AC26="Correctivo","Impacto",""))</f>
        <v/>
      </c>
      <c r="AC26" s="190"/>
      <c r="AD26" s="190"/>
      <c r="AE26" s="191" t="str">
        <f t="shared" ref="AE26:AE30" si="18">IF(AND(AC26="Preventivo",AD26="Automático"),"50%",IF(AND(AC26="Preventivo",AD26="Manual"),"40%",IF(AND(AC26="Detectivo",AD26="Automático"),"40%",IF(AND(AC26="Detectivo",AD26="Manual"),"30%",IF(AND(AC26="Correctivo",AD26="Automático"),"35%",IF(AND(AC26="Correctivo",AD26="Manual"),"25%",""))))))</f>
        <v/>
      </c>
      <c r="AF26" s="190"/>
      <c r="AG26" s="190"/>
      <c r="AH26" s="190"/>
      <c r="AI26" s="192" t="str">
        <f>IFERROR(IF(AND(AB25="Probabilidad",AB26="Probabilidad"),(AK25-(+AK25*AE26)),IF(AB26="Probabilidad",(T25-(+T25*AE26)),IF(AB26="Impacto",AK25,""))),"")</f>
        <v/>
      </c>
      <c r="AJ26" s="193" t="str">
        <f t="shared" si="2"/>
        <v/>
      </c>
      <c r="AK26" s="191" t="str">
        <f t="shared" ref="AK26:AK30" si="19">+AI26</f>
        <v/>
      </c>
      <c r="AL26" s="193" t="str">
        <f t="shared" si="4"/>
        <v/>
      </c>
      <c r="AM26" s="191" t="str">
        <f t="shared" ref="AM26" si="20">IFERROR(IF(AND(AB25="Impacto",AB26="Impacto"),(AM25-(+AM25*AE26)),IF(AB26="Impacto",($X$13-(+$X$13*AE26)),IF(AB26="Probabilidad",AM25,""))),"")</f>
        <v/>
      </c>
      <c r="AN26" s="194" t="str">
        <f t="shared" ref="AN26:AN27" si="21">IFERROR(IF(OR(AND(AJ26="Muy Baja",AL26="Leve"),AND(AJ26="Muy Baja",AL26="Menor"),AND(AJ26="Baja",AL26="Leve")),"Bajo",IF(OR(AND(AJ26="Muy baja",AL26="Moderado"),AND(AJ26="Baja",AL26="Menor"),AND(AJ26="Baja",AL26="Moderado"),AND(AJ26="Media",AL26="Leve"),AND(AJ26="Media",AL26="Menor"),AND(AJ26="Media",AL26="Moderado"),AND(AJ26="Alta",AL26="Leve"),AND(AJ26="Alta",AL26="Menor")),"Moderado",IF(OR(AND(AJ26="Muy Baja",AL26="Mayor"),AND(AJ26="Baja",AL26="Mayor"),AND(AJ26="Media",AL26="Mayor"),AND(AJ26="Alta",AL26="Moderado"),AND(AJ26="Alta",AL26="Mayor"),AND(AJ26="Muy Alta",AL26="Leve"),AND(AJ26="Muy Alta",AL26="Menor"),AND(AJ26="Muy Alta",AL26="Moderado"),AND(AJ26="Muy Alta",AL26="Mayor")),"Alto",IF(OR(AND(AJ26="Muy Baja",AL26="Catastrófico"),AND(AJ26="Baja",AL26="Catastrófico"),AND(AJ26="Media",AL26="Catastrófico"),AND(AJ26="Alta",AL26="Catastrófico"),AND(AJ26="Muy Alta",AL26="Catastrófico")),"Extremo","")))),"")</f>
        <v/>
      </c>
      <c r="AO26" s="195"/>
      <c r="AP26" s="186"/>
      <c r="AQ26" s="196"/>
      <c r="AR26" s="196"/>
      <c r="AS26" s="197"/>
      <c r="AT26" s="376"/>
      <c r="AU26" s="376"/>
      <c r="AV26" s="376"/>
    </row>
    <row r="27" spans="1:48" x14ac:dyDescent="0.2">
      <c r="A27" s="419"/>
      <c r="B27" s="383"/>
      <c r="C27" s="383"/>
      <c r="D27" s="383"/>
      <c r="E27" s="386"/>
      <c r="F27" s="383"/>
      <c r="G27" s="358"/>
      <c r="H27" s="358"/>
      <c r="I27" s="358"/>
      <c r="J27" s="358"/>
      <c r="K27" s="358"/>
      <c r="L27" s="358"/>
      <c r="M27" s="358"/>
      <c r="N27" s="358"/>
      <c r="O27" s="358"/>
      <c r="P27" s="358"/>
      <c r="Q27" s="358"/>
      <c r="R27" s="376"/>
      <c r="S27" s="374"/>
      <c r="T27" s="373"/>
      <c r="U27" s="349"/>
      <c r="V27" s="373">
        <f>IF(NOT(ISERROR(MATCH(U27,_xlfn.ANCHORARRAY(E38),0))),T40&amp;"Por favor no seleccionar los criterios de impacto",U27)</f>
        <v>0</v>
      </c>
      <c r="W27" s="374"/>
      <c r="X27" s="373"/>
      <c r="Y27" s="360"/>
      <c r="Z27" s="214">
        <v>3</v>
      </c>
      <c r="AA27" s="187"/>
      <c r="AB27" s="189" t="str">
        <f>IF(OR(AC27="Preventivo",AC27="Detectivo"),"Probabilidad",IF(AC27="Correctivo","Impacto",""))</f>
        <v/>
      </c>
      <c r="AC27" s="190"/>
      <c r="AD27" s="190"/>
      <c r="AE27" s="191" t="str">
        <f t="shared" si="18"/>
        <v/>
      </c>
      <c r="AF27" s="190"/>
      <c r="AG27" s="190"/>
      <c r="AH27" s="190"/>
      <c r="AI27" s="192" t="str">
        <f>IFERROR(IF(AND(AB26="Probabilidad",AB27="Probabilidad"),(AK26-(+AK26*AE27)),IF(AND(AB26="Impacto",AB27="Probabilidad"),(AK25-(+AK25*AE27)),IF(AB27="Impacto",AK26,""))),"")</f>
        <v/>
      </c>
      <c r="AJ27" s="193" t="str">
        <f t="shared" si="2"/>
        <v/>
      </c>
      <c r="AK27" s="191" t="str">
        <f t="shared" si="19"/>
        <v/>
      </c>
      <c r="AL27" s="193" t="str">
        <f t="shared" si="4"/>
        <v/>
      </c>
      <c r="AM27" s="191" t="str">
        <f t="shared" ref="AM27" si="22">IFERROR(IF(AND(AB26="Impacto",AB27="Impacto"),(AM26-(+AM26*AE27)),IF(AND(AB26="Probabilidad",AB27="Impacto"),(AM25-(+AM25*AE27)),IF(AB27="Probabilidad",AM26,""))),"")</f>
        <v/>
      </c>
      <c r="AN27" s="194" t="str">
        <f t="shared" si="21"/>
        <v/>
      </c>
      <c r="AO27" s="195"/>
      <c r="AP27" s="186"/>
      <c r="AQ27" s="196"/>
      <c r="AR27" s="196"/>
      <c r="AS27" s="197"/>
      <c r="AT27" s="376"/>
      <c r="AU27" s="376"/>
      <c r="AV27" s="376"/>
    </row>
    <row r="28" spans="1:48" x14ac:dyDescent="0.2">
      <c r="A28" s="419"/>
      <c r="B28" s="383"/>
      <c r="C28" s="383"/>
      <c r="D28" s="383"/>
      <c r="E28" s="386"/>
      <c r="F28" s="383"/>
      <c r="G28" s="358"/>
      <c r="H28" s="358"/>
      <c r="I28" s="358"/>
      <c r="J28" s="358"/>
      <c r="K28" s="358"/>
      <c r="L28" s="358"/>
      <c r="M28" s="358"/>
      <c r="N28" s="358"/>
      <c r="O28" s="358"/>
      <c r="P28" s="358"/>
      <c r="Q28" s="358"/>
      <c r="R28" s="376"/>
      <c r="S28" s="374"/>
      <c r="T28" s="373"/>
      <c r="U28" s="349"/>
      <c r="V28" s="373">
        <f>IF(NOT(ISERROR(MATCH(U28,_xlfn.ANCHORARRAY(E39),0))),T41&amp;"Por favor no seleccionar los criterios de impacto",U28)</f>
        <v>0</v>
      </c>
      <c r="W28" s="374"/>
      <c r="X28" s="373"/>
      <c r="Y28" s="360"/>
      <c r="Z28" s="214">
        <v>4</v>
      </c>
      <c r="AA28" s="187"/>
      <c r="AB28" s="189" t="str">
        <f t="shared" ref="AB28:AB30" si="23">IF(OR(AC28="Preventivo",AC28="Detectivo"),"Probabilidad",IF(AC28="Correctivo","Impacto",""))</f>
        <v/>
      </c>
      <c r="AC28" s="190"/>
      <c r="AD28" s="190"/>
      <c r="AE28" s="191" t="str">
        <f t="shared" si="18"/>
        <v/>
      </c>
      <c r="AF28" s="190"/>
      <c r="AG28" s="190"/>
      <c r="AH28" s="190"/>
      <c r="AI28" s="192" t="str">
        <f t="shared" ref="AI28:AI30" si="24">IFERROR(IF(AND(AB27="Probabilidad",AB28="Probabilidad"),(AK27-(+AK27*AE28)),IF(AND(AB27="Impacto",AB28="Probabilidad"),(AK26-(+AK26*AE28)),IF(AB28="Impacto",AK27,""))),"")</f>
        <v/>
      </c>
      <c r="AJ28" s="193" t="str">
        <f t="shared" si="2"/>
        <v/>
      </c>
      <c r="AK28" s="191" t="str">
        <f t="shared" si="19"/>
        <v/>
      </c>
      <c r="AL28" s="193" t="str">
        <f t="shared" si="4"/>
        <v/>
      </c>
      <c r="AM28" s="191" t="str">
        <f t="shared" si="13"/>
        <v/>
      </c>
      <c r="AN28" s="194" t="str">
        <f>IFERROR(IF(OR(AND(AJ28="Muy Baja",AL28="Leve"),AND(AJ28="Muy Baja",AL28="Menor"),AND(AJ28="Baja",AL28="Leve")),"Bajo",IF(OR(AND(AJ28="Muy baja",AL28="Moderado"),AND(AJ28="Baja",AL28="Menor"),AND(AJ28="Baja",AL28="Moderado"),AND(AJ28="Media",AL28="Leve"),AND(AJ28="Media",AL28="Menor"),AND(AJ28="Media",AL28="Moderado"),AND(AJ28="Alta",AL28="Leve"),AND(AJ28="Alta",AL28="Menor")),"Moderado",IF(OR(AND(AJ28="Muy Baja",AL28="Mayor"),AND(AJ28="Baja",AL28="Mayor"),AND(AJ28="Media",AL28="Mayor"),AND(AJ28="Alta",AL28="Moderado"),AND(AJ28="Alta",AL28="Mayor"),AND(AJ28="Muy Alta",AL28="Leve"),AND(AJ28="Muy Alta",AL28="Menor"),AND(AJ28="Muy Alta",AL28="Moderado"),AND(AJ28="Muy Alta",AL28="Mayor")),"Alto",IF(OR(AND(AJ28="Muy Baja",AL28="Catastrófico"),AND(AJ28="Baja",AL28="Catastrófico"),AND(AJ28="Media",AL28="Catastrófico"),AND(AJ28="Alta",AL28="Catastrófico"),AND(AJ28="Muy Alta",AL28="Catastrófico")),"Extremo","")))),"")</f>
        <v/>
      </c>
      <c r="AO28" s="195"/>
      <c r="AP28" s="186"/>
      <c r="AQ28" s="196"/>
      <c r="AR28" s="196"/>
      <c r="AS28" s="197"/>
      <c r="AT28" s="376"/>
      <c r="AU28" s="376"/>
      <c r="AV28" s="376"/>
    </row>
    <row r="29" spans="1:48" x14ac:dyDescent="0.2">
      <c r="A29" s="419"/>
      <c r="B29" s="383"/>
      <c r="C29" s="383"/>
      <c r="D29" s="383"/>
      <c r="E29" s="386"/>
      <c r="F29" s="383"/>
      <c r="G29" s="358"/>
      <c r="H29" s="358"/>
      <c r="I29" s="358"/>
      <c r="J29" s="358"/>
      <c r="K29" s="358"/>
      <c r="L29" s="358"/>
      <c r="M29" s="358"/>
      <c r="N29" s="358"/>
      <c r="O29" s="358"/>
      <c r="P29" s="358"/>
      <c r="Q29" s="358"/>
      <c r="R29" s="376"/>
      <c r="S29" s="374"/>
      <c r="T29" s="373"/>
      <c r="U29" s="349"/>
      <c r="V29" s="373">
        <f>IF(NOT(ISERROR(MATCH(U29,_xlfn.ANCHORARRAY(E40),0))),T42&amp;"Por favor no seleccionar los criterios de impacto",U29)</f>
        <v>0</v>
      </c>
      <c r="W29" s="374"/>
      <c r="X29" s="373"/>
      <c r="Y29" s="360"/>
      <c r="Z29" s="214">
        <v>5</v>
      </c>
      <c r="AA29" s="187"/>
      <c r="AB29" s="189" t="str">
        <f t="shared" si="23"/>
        <v/>
      </c>
      <c r="AC29" s="190"/>
      <c r="AD29" s="190"/>
      <c r="AE29" s="191" t="str">
        <f t="shared" si="18"/>
        <v/>
      </c>
      <c r="AF29" s="190"/>
      <c r="AG29" s="190"/>
      <c r="AH29" s="190"/>
      <c r="AI29" s="192" t="str">
        <f t="shared" si="24"/>
        <v/>
      </c>
      <c r="AJ29" s="193" t="str">
        <f t="shared" si="2"/>
        <v/>
      </c>
      <c r="AK29" s="191" t="str">
        <f t="shared" si="19"/>
        <v/>
      </c>
      <c r="AL29" s="193" t="str">
        <f t="shared" si="4"/>
        <v/>
      </c>
      <c r="AM29" s="191" t="str">
        <f t="shared" si="13"/>
        <v/>
      </c>
      <c r="AN29" s="194" t="str">
        <f t="shared" ref="AN29:AN30" si="25">IFERROR(IF(OR(AND(AJ29="Muy Baja",AL29="Leve"),AND(AJ29="Muy Baja",AL29="Menor"),AND(AJ29="Baja",AL29="Leve")),"Bajo",IF(OR(AND(AJ29="Muy baja",AL29="Moderado"),AND(AJ29="Baja",AL29="Menor"),AND(AJ29="Baja",AL29="Moderado"),AND(AJ29="Media",AL29="Leve"),AND(AJ29="Media",AL29="Menor"),AND(AJ29="Media",AL29="Moderado"),AND(AJ29="Alta",AL29="Leve"),AND(AJ29="Alta",AL29="Menor")),"Moderado",IF(OR(AND(AJ29="Muy Baja",AL29="Mayor"),AND(AJ29="Baja",AL29="Mayor"),AND(AJ29="Media",AL29="Mayor"),AND(AJ29="Alta",AL29="Moderado"),AND(AJ29="Alta",AL29="Mayor"),AND(AJ29="Muy Alta",AL29="Leve"),AND(AJ29="Muy Alta",AL29="Menor"),AND(AJ29="Muy Alta",AL29="Moderado"),AND(AJ29="Muy Alta",AL29="Mayor")),"Alto",IF(OR(AND(AJ29="Muy Baja",AL29="Catastrófico"),AND(AJ29="Baja",AL29="Catastrófico"),AND(AJ29="Media",AL29="Catastrófico"),AND(AJ29="Alta",AL29="Catastrófico"),AND(AJ29="Muy Alta",AL29="Catastrófico")),"Extremo","")))),"")</f>
        <v/>
      </c>
      <c r="AO29" s="195"/>
      <c r="AP29" s="186"/>
      <c r="AQ29" s="196"/>
      <c r="AR29" s="196"/>
      <c r="AS29" s="197"/>
      <c r="AT29" s="376"/>
      <c r="AU29" s="376"/>
      <c r="AV29" s="376"/>
    </row>
    <row r="30" spans="1:48" x14ac:dyDescent="0.2">
      <c r="A30" s="419"/>
      <c r="B30" s="383"/>
      <c r="C30" s="383"/>
      <c r="D30" s="383"/>
      <c r="E30" s="386"/>
      <c r="F30" s="383"/>
      <c r="G30" s="369"/>
      <c r="H30" s="369"/>
      <c r="I30" s="369"/>
      <c r="J30" s="369"/>
      <c r="K30" s="369"/>
      <c r="L30" s="369"/>
      <c r="M30" s="369"/>
      <c r="N30" s="369"/>
      <c r="O30" s="369"/>
      <c r="P30" s="369"/>
      <c r="Q30" s="369"/>
      <c r="R30" s="376"/>
      <c r="S30" s="374"/>
      <c r="T30" s="373"/>
      <c r="U30" s="349"/>
      <c r="V30" s="373">
        <f>IF(NOT(ISERROR(MATCH(U30,_xlfn.ANCHORARRAY(E41),0))),T43&amp;"Por favor no seleccionar los criterios de impacto",U30)</f>
        <v>0</v>
      </c>
      <c r="W30" s="374"/>
      <c r="X30" s="373"/>
      <c r="Y30" s="360"/>
      <c r="Z30" s="214">
        <v>6</v>
      </c>
      <c r="AA30" s="187"/>
      <c r="AB30" s="189" t="str">
        <f t="shared" si="23"/>
        <v/>
      </c>
      <c r="AC30" s="190"/>
      <c r="AD30" s="190"/>
      <c r="AE30" s="191" t="str">
        <f t="shared" si="18"/>
        <v/>
      </c>
      <c r="AF30" s="190"/>
      <c r="AG30" s="190"/>
      <c r="AH30" s="190"/>
      <c r="AI30" s="192" t="str">
        <f t="shared" si="24"/>
        <v/>
      </c>
      <c r="AJ30" s="193" t="str">
        <f t="shared" si="2"/>
        <v/>
      </c>
      <c r="AK30" s="191" t="str">
        <f t="shared" si="19"/>
        <v/>
      </c>
      <c r="AL30" s="193" t="str">
        <f t="shared" si="4"/>
        <v/>
      </c>
      <c r="AM30" s="191" t="str">
        <f t="shared" si="13"/>
        <v/>
      </c>
      <c r="AN30" s="194" t="str">
        <f t="shared" si="25"/>
        <v/>
      </c>
      <c r="AO30" s="195"/>
      <c r="AP30" s="186"/>
      <c r="AQ30" s="196"/>
      <c r="AR30" s="196"/>
      <c r="AS30" s="197"/>
      <c r="AT30" s="376"/>
      <c r="AU30" s="376"/>
      <c r="AV30" s="376"/>
    </row>
    <row r="31" spans="1:48" x14ac:dyDescent="0.2">
      <c r="A31" s="419">
        <v>4</v>
      </c>
      <c r="B31" s="383"/>
      <c r="C31" s="383"/>
      <c r="D31" s="383"/>
      <c r="E31" s="383"/>
      <c r="F31" s="383"/>
      <c r="G31" s="388"/>
      <c r="H31" s="388"/>
      <c r="I31" s="388"/>
      <c r="J31" s="388"/>
      <c r="K31" s="388"/>
      <c r="L31" s="388"/>
      <c r="M31" s="388"/>
      <c r="N31" s="388"/>
      <c r="O31" s="388"/>
      <c r="P31" s="388"/>
      <c r="Q31" s="388"/>
      <c r="R31" s="376"/>
      <c r="S31" s="374" t="str">
        <f>IF(R31&lt;=0,"",IF(R31&lt;=2,"Muy Baja",IF(R31&lt;=24,"Baja",IF(R31&lt;=500,"Media",IF(R31&lt;=5000,"Alta","Muy Alta")))))</f>
        <v/>
      </c>
      <c r="T31" s="373" t="str">
        <f>IF(S31="","",IF(S31="Muy Baja",0.2,IF(S31="Baja",0.4,IF(S31="Media",0.6,IF(S31="Alta",0.8,IF(S31="Muy Alta",1,))))))</f>
        <v/>
      </c>
      <c r="U31" s="349"/>
      <c r="V31" s="373">
        <f>IF(NOT(ISERROR(MATCH(U31,'Tabla Impacto'!$B$222:$B$224,0))),'Tabla Impacto'!$F$224&amp;"Por favor no seleccionar los criterios de impacto(Afectación Económica o presupuestal y Pérdida Reputacional)",U31)</f>
        <v>0</v>
      </c>
      <c r="W31" s="374" t="str">
        <f>IF(OR(V31='Tabla Impacto'!$C$12,V31='Tabla Impacto'!$D$12),"Leve",IF(OR(V31='Tabla Impacto'!$C$13,V31='Tabla Impacto'!$D$13),"Menor",IF(OR(V31='Tabla Impacto'!$C$14,V31='Tabla Impacto'!$D$14),"Moderado",IF(OR(V31='Tabla Impacto'!$C$15,V31='Tabla Impacto'!$D$15),"Mayor",IF(OR(V31='Tabla Impacto'!$C$16,V31='Tabla Impacto'!$D$16),"Catastrófico","")))))</f>
        <v/>
      </c>
      <c r="X31" s="373" t="str">
        <f>IF(W31="","",IF(W31="Leve",0.2,IF(W31="Menor",0.4,IF(W31="Moderado",0.6,IF(W31="Mayor",0.8,IF(W31="Catastrófico",1,))))))</f>
        <v/>
      </c>
      <c r="Y31" s="360" t="str">
        <f>IF(OR(AND(S31="Muy Baja",W31="Leve"),AND(S31="Muy Baja",W31="Menor"),AND(S31="Baja",W31="Leve")),"Bajo",IF(OR(AND(S31="Muy baja",W31="Moderado"),AND(S31="Baja",W31="Menor"),AND(S31="Baja",W31="Moderado"),AND(S31="Media",W31="Leve"),AND(S31="Media",W31="Menor"),AND(S31="Media",W31="Moderado"),AND(S31="Alta",W31="Leve"),AND(S31="Alta",W31="Menor")),"Moderado",IF(OR(AND(S31="Muy Baja",W31="Mayor"),AND(S31="Baja",W31="Mayor"),AND(S31="Media",W31="Mayor"),AND(S31="Alta",W31="Moderado"),AND(S31="Alta",W31="Mayor"),AND(S31="Muy Alta",W31="Leve"),AND(S31="Muy Alta",W31="Menor"),AND(S31="Muy Alta",W31="Moderado"),AND(S31="Muy Alta",W31="Mayor")),"Alto",IF(OR(AND(S31="Muy Baja",W31="Catastrófico"),AND(S31="Baja",W31="Catastrófico"),AND(S31="Media",W31="Catastrófico"),AND(S31="Alta",W31="Catastrófico"),AND(S31="Muy Alta",W31="Catastrófico")),"Extremo",""))))</f>
        <v/>
      </c>
      <c r="Z31" s="214">
        <v>1</v>
      </c>
      <c r="AA31" s="187"/>
      <c r="AB31" s="189" t="str">
        <f>IF(OR(AC31="Preventivo",AC31="Detectivo"),"Probabilidad",IF(AC31="Correctivo","Impacto",""))</f>
        <v/>
      </c>
      <c r="AC31" s="190"/>
      <c r="AD31" s="190"/>
      <c r="AE31" s="191" t="str">
        <f>IF(AND(AC31="Preventivo",AD31="Automático"),"50%",IF(AND(AC31="Preventivo",AD31="Manual"),"40%",IF(AND(AC31="Detectivo",AD31="Automático"),"40%",IF(AND(AC31="Detectivo",AD31="Manual"),"30%",IF(AND(AC31="Correctivo",AD31="Automático"),"35%",IF(AND(AC31="Correctivo",AD31="Manual"),"25%",""))))))</f>
        <v/>
      </c>
      <c r="AF31" s="190"/>
      <c r="AG31" s="190"/>
      <c r="AH31" s="190"/>
      <c r="AI31" s="192" t="str">
        <f>IFERROR(IF(AB31="Probabilidad",(T31-(+T31*AE31)),IF(AB31="Impacto",T31,"")),"")</f>
        <v/>
      </c>
      <c r="AJ31" s="193" t="str">
        <f>IFERROR(IF(AI31="","",IF(AI31&lt;=0.2,"Muy Baja",IF(AI31&lt;=0.4,"Baja",IF(AI31&lt;=0.6,"Media",IF(AI31&lt;=0.8,"Alta","Muy Alta"))))),"")</f>
        <v/>
      </c>
      <c r="AK31" s="191" t="str">
        <f>+AI31</f>
        <v/>
      </c>
      <c r="AL31" s="193" t="str">
        <f>IFERROR(IF(AM31="","",IF(AM31&lt;=0.2,"Leve",IF(AM31&lt;=0.4,"Menor",IF(AM31&lt;=0.6,"Moderado",IF(AM31&lt;=0.8,"Mayor","Catastrófico"))))),"")</f>
        <v/>
      </c>
      <c r="AM31" s="191" t="str">
        <f t="shared" ref="AM31" si="26">IFERROR(IF(AB31="Impacto",(X31-(+X31*AE31)),IF(AB31="Probabilidad",X31,"")),"")</f>
        <v/>
      </c>
      <c r="AN31" s="194" t="str">
        <f>IFERROR(IF(OR(AND(AJ31="Muy Baja",AL31="Leve"),AND(AJ31="Muy Baja",AL31="Menor"),AND(AJ31="Baja",AL31="Leve")),"Bajo",IF(OR(AND(AJ31="Muy baja",AL31="Moderado"),AND(AJ31="Baja",AL31="Menor"),AND(AJ31="Baja",AL31="Moderado"),AND(AJ31="Media",AL31="Leve"),AND(AJ31="Media",AL31="Menor"),AND(AJ31="Media",AL31="Moderado"),AND(AJ31="Alta",AL31="Leve"),AND(AJ31="Alta",AL31="Menor")),"Moderado",IF(OR(AND(AJ31="Muy Baja",AL31="Mayor"),AND(AJ31="Baja",AL31="Mayor"),AND(AJ31="Media",AL31="Mayor"),AND(AJ31="Alta",AL31="Moderado"),AND(AJ31="Alta",AL31="Mayor"),AND(AJ31="Muy Alta",AL31="Leve"),AND(AJ31="Muy Alta",AL31="Menor"),AND(AJ31="Muy Alta",AL31="Moderado"),AND(AJ31="Muy Alta",AL31="Mayor")),"Alto",IF(OR(AND(AJ31="Muy Baja",AL31="Catastrófico"),AND(AJ31="Baja",AL31="Catastrófico"),AND(AJ31="Media",AL31="Catastrófico"),AND(AJ31="Alta",AL31="Catastrófico"),AND(AJ31="Muy Alta",AL31="Catastrófico")),"Extremo","")))),"")</f>
        <v/>
      </c>
      <c r="AO31" s="195"/>
      <c r="AP31" s="186"/>
      <c r="AQ31" s="196"/>
      <c r="AR31" s="196"/>
      <c r="AS31" s="197"/>
      <c r="AT31" s="376"/>
      <c r="AU31" s="376"/>
      <c r="AV31" s="376"/>
    </row>
    <row r="32" spans="1:48" x14ac:dyDescent="0.2">
      <c r="A32" s="419"/>
      <c r="B32" s="383"/>
      <c r="C32" s="383"/>
      <c r="D32" s="383"/>
      <c r="E32" s="383"/>
      <c r="F32" s="383"/>
      <c r="G32" s="358"/>
      <c r="H32" s="358"/>
      <c r="I32" s="358"/>
      <c r="J32" s="358"/>
      <c r="K32" s="358"/>
      <c r="L32" s="358"/>
      <c r="M32" s="358"/>
      <c r="N32" s="358"/>
      <c r="O32" s="358"/>
      <c r="P32" s="358"/>
      <c r="Q32" s="358"/>
      <c r="R32" s="376"/>
      <c r="S32" s="374"/>
      <c r="T32" s="373"/>
      <c r="U32" s="349"/>
      <c r="V32" s="373">
        <f>IF(NOT(ISERROR(MATCH(U32,_xlfn.ANCHORARRAY(E43),0))),T45&amp;"Por favor no seleccionar los criterios de impacto",U32)</f>
        <v>0</v>
      </c>
      <c r="W32" s="374"/>
      <c r="X32" s="373"/>
      <c r="Y32" s="360"/>
      <c r="Z32" s="214">
        <v>2</v>
      </c>
      <c r="AA32" s="187"/>
      <c r="AB32" s="189" t="str">
        <f>IF(OR(AC32="Preventivo",AC32="Detectivo"),"Probabilidad",IF(AC32="Correctivo","Impacto",""))</f>
        <v/>
      </c>
      <c r="AC32" s="190"/>
      <c r="AD32" s="190"/>
      <c r="AE32" s="191" t="str">
        <f t="shared" ref="AE32:AE36" si="27">IF(AND(AC32="Preventivo",AD32="Automático"),"50%",IF(AND(AC32="Preventivo",AD32="Manual"),"40%",IF(AND(AC32="Detectivo",AD32="Automático"),"40%",IF(AND(AC32="Detectivo",AD32="Manual"),"30%",IF(AND(AC32="Correctivo",AD32="Automático"),"35%",IF(AND(AC32="Correctivo",AD32="Manual"),"25%",""))))))</f>
        <v/>
      </c>
      <c r="AF32" s="190"/>
      <c r="AG32" s="190"/>
      <c r="AH32" s="190"/>
      <c r="AI32" s="192" t="str">
        <f>IFERROR(IF(AND(AB31="Probabilidad",AB32="Probabilidad"),(AK31-(+AK31*AE32)),IF(AB32="Probabilidad",(T31-(+T31*AE32)),IF(AB32="Impacto",AK31,""))),"")</f>
        <v/>
      </c>
      <c r="AJ32" s="193" t="str">
        <f t="shared" si="2"/>
        <v/>
      </c>
      <c r="AK32" s="191" t="str">
        <f t="shared" ref="AK32:AK36" si="28">+AI32</f>
        <v/>
      </c>
      <c r="AL32" s="193" t="str">
        <f t="shared" si="4"/>
        <v/>
      </c>
      <c r="AM32" s="191" t="str">
        <f t="shared" ref="AM32" si="29">IFERROR(IF(AND(AB31="Impacto",AB32="Impacto"),(AM31-(+AM31*AE32)),IF(AB32="Impacto",($X$13-(+$X$13*AE32)),IF(AB32="Probabilidad",AM31,""))),"")</f>
        <v/>
      </c>
      <c r="AN32" s="194" t="str">
        <f t="shared" ref="AN32:AN33" si="30">IFERROR(IF(OR(AND(AJ32="Muy Baja",AL32="Leve"),AND(AJ32="Muy Baja",AL32="Menor"),AND(AJ32="Baja",AL32="Leve")),"Bajo",IF(OR(AND(AJ32="Muy baja",AL32="Moderado"),AND(AJ32="Baja",AL32="Menor"),AND(AJ32="Baja",AL32="Moderado"),AND(AJ32="Media",AL32="Leve"),AND(AJ32="Media",AL32="Menor"),AND(AJ32="Media",AL32="Moderado"),AND(AJ32="Alta",AL32="Leve"),AND(AJ32="Alta",AL32="Menor")),"Moderado",IF(OR(AND(AJ32="Muy Baja",AL32="Mayor"),AND(AJ32="Baja",AL32="Mayor"),AND(AJ32="Media",AL32="Mayor"),AND(AJ32="Alta",AL32="Moderado"),AND(AJ32="Alta",AL32="Mayor"),AND(AJ32="Muy Alta",AL32="Leve"),AND(AJ32="Muy Alta",AL32="Menor"),AND(AJ32="Muy Alta",AL32="Moderado"),AND(AJ32="Muy Alta",AL32="Mayor")),"Alto",IF(OR(AND(AJ32="Muy Baja",AL32="Catastrófico"),AND(AJ32="Baja",AL32="Catastrófico"),AND(AJ32="Media",AL32="Catastrófico"),AND(AJ32="Alta",AL32="Catastrófico"),AND(AJ32="Muy Alta",AL32="Catastrófico")),"Extremo","")))),"")</f>
        <v/>
      </c>
      <c r="AO32" s="195"/>
      <c r="AP32" s="186"/>
      <c r="AQ32" s="196"/>
      <c r="AR32" s="196"/>
      <c r="AS32" s="197"/>
      <c r="AT32" s="376"/>
      <c r="AU32" s="376"/>
      <c r="AV32" s="376"/>
    </row>
    <row r="33" spans="1:48" x14ac:dyDescent="0.2">
      <c r="A33" s="419"/>
      <c r="B33" s="383"/>
      <c r="C33" s="383"/>
      <c r="D33" s="383"/>
      <c r="E33" s="383"/>
      <c r="F33" s="383"/>
      <c r="G33" s="358"/>
      <c r="H33" s="358"/>
      <c r="I33" s="358"/>
      <c r="J33" s="358"/>
      <c r="K33" s="358"/>
      <c r="L33" s="358"/>
      <c r="M33" s="358"/>
      <c r="N33" s="358"/>
      <c r="O33" s="358"/>
      <c r="P33" s="358"/>
      <c r="Q33" s="358"/>
      <c r="R33" s="376"/>
      <c r="S33" s="374"/>
      <c r="T33" s="373"/>
      <c r="U33" s="349"/>
      <c r="V33" s="373">
        <f>IF(NOT(ISERROR(MATCH(U33,_xlfn.ANCHORARRAY(E44),0))),T46&amp;"Por favor no seleccionar los criterios de impacto",U33)</f>
        <v>0</v>
      </c>
      <c r="W33" s="374"/>
      <c r="X33" s="373"/>
      <c r="Y33" s="360"/>
      <c r="Z33" s="214">
        <v>3</v>
      </c>
      <c r="AA33" s="188"/>
      <c r="AB33" s="189" t="str">
        <f>IF(OR(AC33="Preventivo",AC33="Detectivo"),"Probabilidad",IF(AC33="Correctivo","Impacto",""))</f>
        <v/>
      </c>
      <c r="AC33" s="190"/>
      <c r="AD33" s="190"/>
      <c r="AE33" s="191" t="str">
        <f t="shared" si="27"/>
        <v/>
      </c>
      <c r="AF33" s="190"/>
      <c r="AG33" s="190"/>
      <c r="AH33" s="190"/>
      <c r="AI33" s="192" t="str">
        <f>IFERROR(IF(AND(AB32="Probabilidad",AB33="Probabilidad"),(AK32-(+AK32*AE33)),IF(AND(AB32="Impacto",AB33="Probabilidad"),(AK31-(+AK31*AE33)),IF(AB33="Impacto",AK32,""))),"")</f>
        <v/>
      </c>
      <c r="AJ33" s="193" t="str">
        <f t="shared" si="2"/>
        <v/>
      </c>
      <c r="AK33" s="191" t="str">
        <f t="shared" si="28"/>
        <v/>
      </c>
      <c r="AL33" s="193" t="str">
        <f t="shared" si="4"/>
        <v/>
      </c>
      <c r="AM33" s="191" t="str">
        <f t="shared" ref="AM33" si="31">IFERROR(IF(AND(AB32="Impacto",AB33="Impacto"),(AM32-(+AM32*AE33)),IF(AND(AB32="Probabilidad",AB33="Impacto"),(AM31-(+AM31*AE33)),IF(AB33="Probabilidad",AM32,""))),"")</f>
        <v/>
      </c>
      <c r="AN33" s="194" t="str">
        <f t="shared" si="30"/>
        <v/>
      </c>
      <c r="AO33" s="195"/>
      <c r="AP33" s="186"/>
      <c r="AQ33" s="196"/>
      <c r="AR33" s="196"/>
      <c r="AS33" s="197"/>
      <c r="AT33" s="376"/>
      <c r="AU33" s="376"/>
      <c r="AV33" s="376"/>
    </row>
    <row r="34" spans="1:48" x14ac:dyDescent="0.2">
      <c r="A34" s="419"/>
      <c r="B34" s="383"/>
      <c r="C34" s="383"/>
      <c r="D34" s="383"/>
      <c r="E34" s="383"/>
      <c r="F34" s="383"/>
      <c r="G34" s="358"/>
      <c r="H34" s="358"/>
      <c r="I34" s="358"/>
      <c r="J34" s="358"/>
      <c r="K34" s="358"/>
      <c r="L34" s="358"/>
      <c r="M34" s="358"/>
      <c r="N34" s="358"/>
      <c r="O34" s="358"/>
      <c r="P34" s="358"/>
      <c r="Q34" s="358"/>
      <c r="R34" s="376"/>
      <c r="S34" s="374"/>
      <c r="T34" s="373"/>
      <c r="U34" s="349"/>
      <c r="V34" s="373">
        <f>IF(NOT(ISERROR(MATCH(U34,_xlfn.ANCHORARRAY(E45),0))),T47&amp;"Por favor no seleccionar los criterios de impacto",U34)</f>
        <v>0</v>
      </c>
      <c r="W34" s="374"/>
      <c r="X34" s="373"/>
      <c r="Y34" s="360"/>
      <c r="Z34" s="214">
        <v>4</v>
      </c>
      <c r="AA34" s="187"/>
      <c r="AB34" s="189" t="str">
        <f t="shared" ref="AB34:AB36" si="32">IF(OR(AC34="Preventivo",AC34="Detectivo"),"Probabilidad",IF(AC34="Correctivo","Impacto",""))</f>
        <v/>
      </c>
      <c r="AC34" s="190"/>
      <c r="AD34" s="190"/>
      <c r="AE34" s="191" t="str">
        <f t="shared" si="27"/>
        <v/>
      </c>
      <c r="AF34" s="190"/>
      <c r="AG34" s="190"/>
      <c r="AH34" s="190"/>
      <c r="AI34" s="192" t="str">
        <f t="shared" ref="AI34:AI36" si="33">IFERROR(IF(AND(AB33="Probabilidad",AB34="Probabilidad"),(AK33-(+AK33*AE34)),IF(AND(AB33="Impacto",AB34="Probabilidad"),(AK32-(+AK32*AE34)),IF(AB34="Impacto",AK33,""))),"")</f>
        <v/>
      </c>
      <c r="AJ34" s="193" t="str">
        <f t="shared" si="2"/>
        <v/>
      </c>
      <c r="AK34" s="191" t="str">
        <f t="shared" si="28"/>
        <v/>
      </c>
      <c r="AL34" s="193" t="str">
        <f t="shared" si="4"/>
        <v/>
      </c>
      <c r="AM34" s="191" t="str">
        <f t="shared" si="13"/>
        <v/>
      </c>
      <c r="AN34" s="194" t="str">
        <f>IFERROR(IF(OR(AND(AJ34="Muy Baja",AL34="Leve"),AND(AJ34="Muy Baja",AL34="Menor"),AND(AJ34="Baja",AL34="Leve")),"Bajo",IF(OR(AND(AJ34="Muy baja",AL34="Moderado"),AND(AJ34="Baja",AL34="Menor"),AND(AJ34="Baja",AL34="Moderado"),AND(AJ34="Media",AL34="Leve"),AND(AJ34="Media",AL34="Menor"),AND(AJ34="Media",AL34="Moderado"),AND(AJ34="Alta",AL34="Leve"),AND(AJ34="Alta",AL34="Menor")),"Moderado",IF(OR(AND(AJ34="Muy Baja",AL34="Mayor"),AND(AJ34="Baja",AL34="Mayor"),AND(AJ34="Media",AL34="Mayor"),AND(AJ34="Alta",AL34="Moderado"),AND(AJ34="Alta",AL34="Mayor"),AND(AJ34="Muy Alta",AL34="Leve"),AND(AJ34="Muy Alta",AL34="Menor"),AND(AJ34="Muy Alta",AL34="Moderado"),AND(AJ34="Muy Alta",AL34="Mayor")),"Alto",IF(OR(AND(AJ34="Muy Baja",AL34="Catastrófico"),AND(AJ34="Baja",AL34="Catastrófico"),AND(AJ34="Media",AL34="Catastrófico"),AND(AJ34="Alta",AL34="Catastrófico"),AND(AJ34="Muy Alta",AL34="Catastrófico")),"Extremo","")))),"")</f>
        <v/>
      </c>
      <c r="AO34" s="195"/>
      <c r="AP34" s="186"/>
      <c r="AQ34" s="196"/>
      <c r="AR34" s="196"/>
      <c r="AS34" s="197"/>
      <c r="AT34" s="376"/>
      <c r="AU34" s="376"/>
      <c r="AV34" s="376"/>
    </row>
    <row r="35" spans="1:48" x14ac:dyDescent="0.2">
      <c r="A35" s="419"/>
      <c r="B35" s="383"/>
      <c r="C35" s="383"/>
      <c r="D35" s="383"/>
      <c r="E35" s="383"/>
      <c r="F35" s="383"/>
      <c r="G35" s="358"/>
      <c r="H35" s="358"/>
      <c r="I35" s="358"/>
      <c r="J35" s="358"/>
      <c r="K35" s="358"/>
      <c r="L35" s="358"/>
      <c r="M35" s="358"/>
      <c r="N35" s="358"/>
      <c r="O35" s="358"/>
      <c r="P35" s="358"/>
      <c r="Q35" s="358"/>
      <c r="R35" s="376"/>
      <c r="S35" s="374"/>
      <c r="T35" s="373"/>
      <c r="U35" s="349"/>
      <c r="V35" s="373">
        <f>IF(NOT(ISERROR(MATCH(U35,_xlfn.ANCHORARRAY(E46),0))),T48&amp;"Por favor no seleccionar los criterios de impacto",U35)</f>
        <v>0</v>
      </c>
      <c r="W35" s="374"/>
      <c r="X35" s="373"/>
      <c r="Y35" s="360"/>
      <c r="Z35" s="214">
        <v>5</v>
      </c>
      <c r="AA35" s="187"/>
      <c r="AB35" s="189" t="str">
        <f t="shared" si="32"/>
        <v/>
      </c>
      <c r="AC35" s="190"/>
      <c r="AD35" s="190"/>
      <c r="AE35" s="191" t="str">
        <f t="shared" si="27"/>
        <v/>
      </c>
      <c r="AF35" s="190"/>
      <c r="AG35" s="190"/>
      <c r="AH35" s="190"/>
      <c r="AI35" s="192" t="str">
        <f t="shared" si="33"/>
        <v/>
      </c>
      <c r="AJ35" s="193" t="str">
        <f>IFERROR(IF(AI35="","",IF(AI35&lt;=0.2,"Muy Baja",IF(AI35&lt;=0.4,"Baja",IF(AI35&lt;=0.6,"Media",IF(AI35&lt;=0.8,"Alta","Muy Alta"))))),"")</f>
        <v/>
      </c>
      <c r="AK35" s="191" t="str">
        <f t="shared" si="28"/>
        <v/>
      </c>
      <c r="AL35" s="193" t="str">
        <f t="shared" si="4"/>
        <v/>
      </c>
      <c r="AM35" s="191" t="str">
        <f t="shared" si="13"/>
        <v/>
      </c>
      <c r="AN35" s="194" t="str">
        <f t="shared" ref="AN35:AN36" si="34">IFERROR(IF(OR(AND(AJ35="Muy Baja",AL35="Leve"),AND(AJ35="Muy Baja",AL35="Menor"),AND(AJ35="Baja",AL35="Leve")),"Bajo",IF(OR(AND(AJ35="Muy baja",AL35="Moderado"),AND(AJ35="Baja",AL35="Menor"),AND(AJ35="Baja",AL35="Moderado"),AND(AJ35="Media",AL35="Leve"),AND(AJ35="Media",AL35="Menor"),AND(AJ35="Media",AL35="Moderado"),AND(AJ35="Alta",AL35="Leve"),AND(AJ35="Alta",AL35="Menor")),"Moderado",IF(OR(AND(AJ35="Muy Baja",AL35="Mayor"),AND(AJ35="Baja",AL35="Mayor"),AND(AJ35="Media",AL35="Mayor"),AND(AJ35="Alta",AL35="Moderado"),AND(AJ35="Alta",AL35="Mayor"),AND(AJ35="Muy Alta",AL35="Leve"),AND(AJ35="Muy Alta",AL35="Menor"),AND(AJ35="Muy Alta",AL35="Moderado"),AND(AJ35="Muy Alta",AL35="Mayor")),"Alto",IF(OR(AND(AJ35="Muy Baja",AL35="Catastrófico"),AND(AJ35="Baja",AL35="Catastrófico"),AND(AJ35="Media",AL35="Catastrófico"),AND(AJ35="Alta",AL35="Catastrófico"),AND(AJ35="Muy Alta",AL35="Catastrófico")),"Extremo","")))),"")</f>
        <v/>
      </c>
      <c r="AO35" s="195"/>
      <c r="AP35" s="186"/>
      <c r="AQ35" s="196"/>
      <c r="AR35" s="196"/>
      <c r="AS35" s="197"/>
      <c r="AT35" s="376"/>
      <c r="AU35" s="376"/>
      <c r="AV35" s="376"/>
    </row>
    <row r="36" spans="1:48" x14ac:dyDescent="0.2">
      <c r="A36" s="419"/>
      <c r="B36" s="383"/>
      <c r="C36" s="383"/>
      <c r="D36" s="383"/>
      <c r="E36" s="383"/>
      <c r="F36" s="383"/>
      <c r="G36" s="369"/>
      <c r="H36" s="369"/>
      <c r="I36" s="369"/>
      <c r="J36" s="369"/>
      <c r="K36" s="369"/>
      <c r="L36" s="369"/>
      <c r="M36" s="369"/>
      <c r="N36" s="369"/>
      <c r="O36" s="369"/>
      <c r="P36" s="369"/>
      <c r="Q36" s="369"/>
      <c r="R36" s="376"/>
      <c r="S36" s="374"/>
      <c r="T36" s="373"/>
      <c r="U36" s="349"/>
      <c r="V36" s="373">
        <f>IF(NOT(ISERROR(MATCH(U36,_xlfn.ANCHORARRAY(E47),0))),T49&amp;"Por favor no seleccionar los criterios de impacto",U36)</f>
        <v>0</v>
      </c>
      <c r="W36" s="374"/>
      <c r="X36" s="373"/>
      <c r="Y36" s="360"/>
      <c r="Z36" s="214">
        <v>6</v>
      </c>
      <c r="AA36" s="187"/>
      <c r="AB36" s="189" t="str">
        <f t="shared" si="32"/>
        <v/>
      </c>
      <c r="AC36" s="190"/>
      <c r="AD36" s="190"/>
      <c r="AE36" s="191" t="str">
        <f t="shared" si="27"/>
        <v/>
      </c>
      <c r="AF36" s="190"/>
      <c r="AG36" s="190"/>
      <c r="AH36" s="190"/>
      <c r="AI36" s="192" t="str">
        <f t="shared" si="33"/>
        <v/>
      </c>
      <c r="AJ36" s="193" t="str">
        <f t="shared" si="2"/>
        <v/>
      </c>
      <c r="AK36" s="191" t="str">
        <f t="shared" si="28"/>
        <v/>
      </c>
      <c r="AL36" s="193" t="str">
        <f t="shared" si="4"/>
        <v/>
      </c>
      <c r="AM36" s="191" t="str">
        <f t="shared" si="13"/>
        <v/>
      </c>
      <c r="AN36" s="194" t="str">
        <f t="shared" si="34"/>
        <v/>
      </c>
      <c r="AO36" s="195"/>
      <c r="AP36" s="186"/>
      <c r="AQ36" s="196"/>
      <c r="AR36" s="196"/>
      <c r="AS36" s="197"/>
      <c r="AT36" s="376"/>
      <c r="AU36" s="376"/>
      <c r="AV36" s="376"/>
    </row>
    <row r="37" spans="1:48" x14ac:dyDescent="0.2">
      <c r="A37" s="419">
        <v>5</v>
      </c>
      <c r="B37" s="383"/>
      <c r="C37" s="383"/>
      <c r="D37" s="383"/>
      <c r="E37" s="383"/>
      <c r="F37" s="383"/>
      <c r="G37" s="388"/>
      <c r="H37" s="388"/>
      <c r="I37" s="388"/>
      <c r="J37" s="388"/>
      <c r="K37" s="388"/>
      <c r="L37" s="388"/>
      <c r="M37" s="388"/>
      <c r="N37" s="388"/>
      <c r="O37" s="388"/>
      <c r="P37" s="388"/>
      <c r="Q37" s="388"/>
      <c r="R37" s="376"/>
      <c r="S37" s="374" t="str">
        <f>IF(R37&lt;=0,"",IF(R37&lt;=2,"Muy Baja",IF(R37&lt;=24,"Baja",IF(R37&lt;=500,"Media",IF(R37&lt;=5000,"Alta","Muy Alta")))))</f>
        <v/>
      </c>
      <c r="T37" s="373" t="str">
        <f>IF(S37="","",IF(S37="Muy Baja",0.2,IF(S37="Baja",0.4,IF(S37="Media",0.6,IF(S37="Alta",0.8,IF(S37="Muy Alta",1,))))))</f>
        <v/>
      </c>
      <c r="U37" s="349"/>
      <c r="V37" s="373">
        <f>IF(NOT(ISERROR(MATCH(U37,'Tabla Impacto'!$B$222:$B$224,0))),'Tabla Impacto'!$F$224&amp;"Por favor no seleccionar los criterios de impacto(Afectación Económica o presupuestal y Pérdida Reputacional)",U37)</f>
        <v>0</v>
      </c>
      <c r="W37" s="374" t="str">
        <f>IF(OR(V37='Tabla Impacto'!$C$12,V37='Tabla Impacto'!$D$12),"Leve",IF(OR(V37='Tabla Impacto'!$C$13,V37='Tabla Impacto'!$D$13),"Menor",IF(OR(V37='Tabla Impacto'!$C$14,V37='Tabla Impacto'!$D$14),"Moderado",IF(OR(V37='Tabla Impacto'!$C$15,V37='Tabla Impacto'!$D$15),"Mayor",IF(OR(V37='Tabla Impacto'!$C$16,V37='Tabla Impacto'!$D$16),"Catastrófico","")))))</f>
        <v/>
      </c>
      <c r="X37" s="373" t="str">
        <f>IF(W37="","",IF(W37="Leve",0.2,IF(W37="Menor",0.4,IF(W37="Moderado",0.6,IF(W37="Mayor",0.8,IF(W37="Catastrófico",1,))))))</f>
        <v/>
      </c>
      <c r="Y37" s="360" t="str">
        <f>IF(OR(AND(S37="Muy Baja",W37="Leve"),AND(S37="Muy Baja",W37="Menor"),AND(S37="Baja",W37="Leve")),"Bajo",IF(OR(AND(S37="Muy baja",W37="Moderado"),AND(S37="Baja",W37="Menor"),AND(S37="Baja",W37="Moderado"),AND(S37="Media",W37="Leve"),AND(S37="Media",W37="Menor"),AND(S37="Media",W37="Moderado"),AND(S37="Alta",W37="Leve"),AND(S37="Alta",W37="Menor")),"Moderado",IF(OR(AND(S37="Muy Baja",W37="Mayor"),AND(S37="Baja",W37="Mayor"),AND(S37="Media",W37="Mayor"),AND(S37="Alta",W37="Moderado"),AND(S37="Alta",W37="Mayor"),AND(S37="Muy Alta",W37="Leve"),AND(S37="Muy Alta",W37="Menor"),AND(S37="Muy Alta",W37="Moderado"),AND(S37="Muy Alta",W37="Mayor")),"Alto",IF(OR(AND(S37="Muy Baja",W37="Catastrófico"),AND(S37="Baja",W37="Catastrófico"),AND(S37="Media",W37="Catastrófico"),AND(S37="Alta",W37="Catastrófico"),AND(S37="Muy Alta",W37="Catastrófico")),"Extremo",""))))</f>
        <v/>
      </c>
      <c r="Z37" s="214">
        <v>1</v>
      </c>
      <c r="AA37" s="187"/>
      <c r="AB37" s="189" t="str">
        <f>IF(OR(AC37="Preventivo",AC37="Detectivo"),"Probabilidad",IF(AC37="Correctivo","Impacto",""))</f>
        <v/>
      </c>
      <c r="AC37" s="190"/>
      <c r="AD37" s="190"/>
      <c r="AE37" s="191" t="str">
        <f>IF(AND(AC37="Preventivo",AD37="Automático"),"50%",IF(AND(AC37="Preventivo",AD37="Manual"),"40%",IF(AND(AC37="Detectivo",AD37="Automático"),"40%",IF(AND(AC37="Detectivo",AD37="Manual"),"30%",IF(AND(AC37="Correctivo",AD37="Automático"),"35%",IF(AND(AC37="Correctivo",AD37="Manual"),"25%",""))))))</f>
        <v/>
      </c>
      <c r="AF37" s="190"/>
      <c r="AG37" s="190"/>
      <c r="AH37" s="190"/>
      <c r="AI37" s="192" t="str">
        <f>IFERROR(IF(AB37="Probabilidad",(T37-(+T37*AE37)),IF(AB37="Impacto",T37,"")),"")</f>
        <v/>
      </c>
      <c r="AJ37" s="193" t="str">
        <f>IFERROR(IF(AI37="","",IF(AI37&lt;=0.2,"Muy Baja",IF(AI37&lt;=0.4,"Baja",IF(AI37&lt;=0.6,"Media",IF(AI37&lt;=0.8,"Alta","Muy Alta"))))),"")</f>
        <v/>
      </c>
      <c r="AK37" s="191" t="str">
        <f>+AI37</f>
        <v/>
      </c>
      <c r="AL37" s="193" t="str">
        <f>IFERROR(IF(AM37="","",IF(AM37&lt;=0.2,"Leve",IF(AM37&lt;=0.4,"Menor",IF(AM37&lt;=0.6,"Moderado",IF(AM37&lt;=0.8,"Mayor","Catastrófico"))))),"")</f>
        <v/>
      </c>
      <c r="AM37" s="191" t="str">
        <f t="shared" ref="AM37" si="35">IFERROR(IF(AB37="Impacto",(X37-(+X37*AE37)),IF(AB37="Probabilidad",X37,"")),"")</f>
        <v/>
      </c>
      <c r="AN37" s="194" t="str">
        <f>IFERROR(IF(OR(AND(AJ37="Muy Baja",AL37="Leve"),AND(AJ37="Muy Baja",AL37="Menor"),AND(AJ37="Baja",AL37="Leve")),"Bajo",IF(OR(AND(AJ37="Muy baja",AL37="Moderado"),AND(AJ37="Baja",AL37="Menor"),AND(AJ37="Baja",AL37="Moderado"),AND(AJ37="Media",AL37="Leve"),AND(AJ37="Media",AL37="Menor"),AND(AJ37="Media",AL37="Moderado"),AND(AJ37="Alta",AL37="Leve"),AND(AJ37="Alta",AL37="Menor")),"Moderado",IF(OR(AND(AJ37="Muy Baja",AL37="Mayor"),AND(AJ37="Baja",AL37="Mayor"),AND(AJ37="Media",AL37="Mayor"),AND(AJ37="Alta",AL37="Moderado"),AND(AJ37="Alta",AL37="Mayor"),AND(AJ37="Muy Alta",AL37="Leve"),AND(AJ37="Muy Alta",AL37="Menor"),AND(AJ37="Muy Alta",AL37="Moderado"),AND(AJ37="Muy Alta",AL37="Mayor")),"Alto",IF(OR(AND(AJ37="Muy Baja",AL37="Catastrófico"),AND(AJ37="Baja",AL37="Catastrófico"),AND(AJ37="Media",AL37="Catastrófico"),AND(AJ37="Alta",AL37="Catastrófico"),AND(AJ37="Muy Alta",AL37="Catastrófico")),"Extremo","")))),"")</f>
        <v/>
      </c>
      <c r="AO37" s="195"/>
      <c r="AP37" s="186"/>
      <c r="AQ37" s="196"/>
      <c r="AR37" s="196"/>
      <c r="AS37" s="197"/>
      <c r="AT37" s="376"/>
      <c r="AU37" s="376"/>
      <c r="AV37" s="376"/>
    </row>
    <row r="38" spans="1:48" x14ac:dyDescent="0.2">
      <c r="A38" s="419"/>
      <c r="B38" s="383"/>
      <c r="C38" s="383"/>
      <c r="D38" s="383"/>
      <c r="E38" s="383"/>
      <c r="F38" s="383"/>
      <c r="G38" s="358"/>
      <c r="H38" s="358"/>
      <c r="I38" s="358"/>
      <c r="J38" s="358"/>
      <c r="K38" s="358"/>
      <c r="L38" s="358"/>
      <c r="M38" s="358"/>
      <c r="N38" s="358"/>
      <c r="O38" s="358"/>
      <c r="P38" s="358"/>
      <c r="Q38" s="358"/>
      <c r="R38" s="376"/>
      <c r="S38" s="374"/>
      <c r="T38" s="373"/>
      <c r="U38" s="349"/>
      <c r="V38" s="373">
        <f>IF(NOT(ISERROR(MATCH(U38,_xlfn.ANCHORARRAY(E49),0))),T51&amp;"Por favor no seleccionar los criterios de impacto",U38)</f>
        <v>0</v>
      </c>
      <c r="W38" s="374"/>
      <c r="X38" s="373"/>
      <c r="Y38" s="360"/>
      <c r="Z38" s="214">
        <v>2</v>
      </c>
      <c r="AA38" s="187"/>
      <c r="AB38" s="189" t="str">
        <f>IF(OR(AC38="Preventivo",AC38="Detectivo"),"Probabilidad",IF(AC38="Correctivo","Impacto",""))</f>
        <v/>
      </c>
      <c r="AC38" s="190"/>
      <c r="AD38" s="190"/>
      <c r="AE38" s="191" t="str">
        <f t="shared" ref="AE38:AE42" si="36">IF(AND(AC38="Preventivo",AD38="Automático"),"50%",IF(AND(AC38="Preventivo",AD38="Manual"),"40%",IF(AND(AC38="Detectivo",AD38="Automático"),"40%",IF(AND(AC38="Detectivo",AD38="Manual"),"30%",IF(AND(AC38="Correctivo",AD38="Automático"),"35%",IF(AND(AC38="Correctivo",AD38="Manual"),"25%",""))))))</f>
        <v/>
      </c>
      <c r="AF38" s="190"/>
      <c r="AG38" s="190"/>
      <c r="AH38" s="190"/>
      <c r="AI38" s="192" t="str">
        <f>IFERROR(IF(AND(AB37="Probabilidad",AB38="Probabilidad"),(AK37-(+AK37*AE38)),IF(AB38="Probabilidad",(T37-(+T37*AE38)),IF(AB38="Impacto",AK37,""))),"")</f>
        <v/>
      </c>
      <c r="AJ38" s="193" t="str">
        <f t="shared" si="2"/>
        <v/>
      </c>
      <c r="AK38" s="191" t="str">
        <f t="shared" ref="AK38:AK42" si="37">+AI38</f>
        <v/>
      </c>
      <c r="AL38" s="193" t="str">
        <f t="shared" si="4"/>
        <v/>
      </c>
      <c r="AM38" s="191" t="str">
        <f t="shared" ref="AM38" si="38">IFERROR(IF(AND(AB37="Impacto",AB38="Impacto"),(AM37-(+AM37*AE38)),IF(AB38="Impacto",($X$13-(+$X$13*AE38)),IF(AB38="Probabilidad",AM37,""))),"")</f>
        <v/>
      </c>
      <c r="AN38" s="194" t="str">
        <f t="shared" ref="AN38:AN39" si="39">IFERROR(IF(OR(AND(AJ38="Muy Baja",AL38="Leve"),AND(AJ38="Muy Baja",AL38="Menor"),AND(AJ38="Baja",AL38="Leve")),"Bajo",IF(OR(AND(AJ38="Muy baja",AL38="Moderado"),AND(AJ38="Baja",AL38="Menor"),AND(AJ38="Baja",AL38="Moderado"),AND(AJ38="Media",AL38="Leve"),AND(AJ38="Media",AL38="Menor"),AND(AJ38="Media",AL38="Moderado"),AND(AJ38="Alta",AL38="Leve"),AND(AJ38="Alta",AL38="Menor")),"Moderado",IF(OR(AND(AJ38="Muy Baja",AL38="Mayor"),AND(AJ38="Baja",AL38="Mayor"),AND(AJ38="Media",AL38="Mayor"),AND(AJ38="Alta",AL38="Moderado"),AND(AJ38="Alta",AL38="Mayor"),AND(AJ38="Muy Alta",AL38="Leve"),AND(AJ38="Muy Alta",AL38="Menor"),AND(AJ38="Muy Alta",AL38="Moderado"),AND(AJ38="Muy Alta",AL38="Mayor")),"Alto",IF(OR(AND(AJ38="Muy Baja",AL38="Catastrófico"),AND(AJ38="Baja",AL38="Catastrófico"),AND(AJ38="Media",AL38="Catastrófico"),AND(AJ38="Alta",AL38="Catastrófico"),AND(AJ38="Muy Alta",AL38="Catastrófico")),"Extremo","")))),"")</f>
        <v/>
      </c>
      <c r="AO38" s="195"/>
      <c r="AP38" s="186"/>
      <c r="AQ38" s="196"/>
      <c r="AR38" s="196"/>
      <c r="AS38" s="197"/>
      <c r="AT38" s="376"/>
      <c r="AU38" s="376"/>
      <c r="AV38" s="376"/>
    </row>
    <row r="39" spans="1:48" x14ac:dyDescent="0.2">
      <c r="A39" s="419"/>
      <c r="B39" s="383"/>
      <c r="C39" s="383"/>
      <c r="D39" s="383"/>
      <c r="E39" s="383"/>
      <c r="F39" s="383"/>
      <c r="G39" s="358"/>
      <c r="H39" s="358"/>
      <c r="I39" s="358"/>
      <c r="J39" s="358"/>
      <c r="K39" s="358"/>
      <c r="L39" s="358"/>
      <c r="M39" s="358"/>
      <c r="N39" s="358"/>
      <c r="O39" s="358"/>
      <c r="P39" s="358"/>
      <c r="Q39" s="358"/>
      <c r="R39" s="376"/>
      <c r="S39" s="374"/>
      <c r="T39" s="373"/>
      <c r="U39" s="349"/>
      <c r="V39" s="373">
        <f>IF(NOT(ISERROR(MATCH(U39,_xlfn.ANCHORARRAY(E50),0))),T52&amp;"Por favor no seleccionar los criterios de impacto",U39)</f>
        <v>0</v>
      </c>
      <c r="W39" s="374"/>
      <c r="X39" s="373"/>
      <c r="Y39" s="360"/>
      <c r="Z39" s="214">
        <v>3</v>
      </c>
      <c r="AA39" s="188"/>
      <c r="AB39" s="189" t="str">
        <f>IF(OR(AC39="Preventivo",AC39="Detectivo"),"Probabilidad",IF(AC39="Correctivo","Impacto",""))</f>
        <v/>
      </c>
      <c r="AC39" s="190"/>
      <c r="AD39" s="190"/>
      <c r="AE39" s="191" t="str">
        <f t="shared" si="36"/>
        <v/>
      </c>
      <c r="AF39" s="190"/>
      <c r="AG39" s="190"/>
      <c r="AH39" s="190"/>
      <c r="AI39" s="192" t="str">
        <f>IFERROR(IF(AND(AB38="Probabilidad",AB39="Probabilidad"),(AK38-(+AK38*AE39)),IF(AND(AB38="Impacto",AB39="Probabilidad"),(AK37-(+AK37*AE39)),IF(AB39="Impacto",AK38,""))),"")</f>
        <v/>
      </c>
      <c r="AJ39" s="193" t="str">
        <f t="shared" si="2"/>
        <v/>
      </c>
      <c r="AK39" s="191" t="str">
        <f t="shared" si="37"/>
        <v/>
      </c>
      <c r="AL39" s="193" t="str">
        <f t="shared" si="4"/>
        <v/>
      </c>
      <c r="AM39" s="191" t="str">
        <f t="shared" ref="AM39" si="40">IFERROR(IF(AND(AB38="Impacto",AB39="Impacto"),(AM38-(+AM38*AE39)),IF(AND(AB38="Probabilidad",AB39="Impacto"),(AM37-(+AM37*AE39)),IF(AB39="Probabilidad",AM38,""))),"")</f>
        <v/>
      </c>
      <c r="AN39" s="194" t="str">
        <f t="shared" si="39"/>
        <v/>
      </c>
      <c r="AO39" s="195"/>
      <c r="AP39" s="186"/>
      <c r="AQ39" s="196"/>
      <c r="AR39" s="196"/>
      <c r="AS39" s="197"/>
      <c r="AT39" s="376"/>
      <c r="AU39" s="376"/>
      <c r="AV39" s="376"/>
    </row>
    <row r="40" spans="1:48" x14ac:dyDescent="0.2">
      <c r="A40" s="419"/>
      <c r="B40" s="383"/>
      <c r="C40" s="383"/>
      <c r="D40" s="383"/>
      <c r="E40" s="383"/>
      <c r="F40" s="383"/>
      <c r="G40" s="358"/>
      <c r="H40" s="358"/>
      <c r="I40" s="358"/>
      <c r="J40" s="358"/>
      <c r="K40" s="358"/>
      <c r="L40" s="358"/>
      <c r="M40" s="358"/>
      <c r="N40" s="358"/>
      <c r="O40" s="358"/>
      <c r="P40" s="358"/>
      <c r="Q40" s="358"/>
      <c r="R40" s="376"/>
      <c r="S40" s="374"/>
      <c r="T40" s="373"/>
      <c r="U40" s="349"/>
      <c r="V40" s="373">
        <f>IF(NOT(ISERROR(MATCH(U40,_xlfn.ANCHORARRAY(E51),0))),T53&amp;"Por favor no seleccionar los criterios de impacto",U40)</f>
        <v>0</v>
      </c>
      <c r="W40" s="374"/>
      <c r="X40" s="373"/>
      <c r="Y40" s="360"/>
      <c r="Z40" s="214">
        <v>4</v>
      </c>
      <c r="AA40" s="187"/>
      <c r="AB40" s="189" t="str">
        <f t="shared" ref="AB40:AB42" si="41">IF(OR(AC40="Preventivo",AC40="Detectivo"),"Probabilidad",IF(AC40="Correctivo","Impacto",""))</f>
        <v/>
      </c>
      <c r="AC40" s="190"/>
      <c r="AD40" s="190"/>
      <c r="AE40" s="191" t="str">
        <f t="shared" si="36"/>
        <v/>
      </c>
      <c r="AF40" s="190"/>
      <c r="AG40" s="190"/>
      <c r="AH40" s="190"/>
      <c r="AI40" s="192" t="str">
        <f t="shared" ref="AI40:AI42" si="42">IFERROR(IF(AND(AB39="Probabilidad",AB40="Probabilidad"),(AK39-(+AK39*AE40)),IF(AND(AB39="Impacto",AB40="Probabilidad"),(AK38-(+AK38*AE40)),IF(AB40="Impacto",AK39,""))),"")</f>
        <v/>
      </c>
      <c r="AJ40" s="193" t="str">
        <f t="shared" si="2"/>
        <v/>
      </c>
      <c r="AK40" s="191" t="str">
        <f t="shared" si="37"/>
        <v/>
      </c>
      <c r="AL40" s="193" t="str">
        <f t="shared" si="4"/>
        <v/>
      </c>
      <c r="AM40" s="191" t="str">
        <f t="shared" si="13"/>
        <v/>
      </c>
      <c r="AN40" s="194" t="str">
        <f>IFERROR(IF(OR(AND(AJ40="Muy Baja",AL40="Leve"),AND(AJ40="Muy Baja",AL40="Menor"),AND(AJ40="Baja",AL40="Leve")),"Bajo",IF(OR(AND(AJ40="Muy baja",AL40="Moderado"),AND(AJ40="Baja",AL40="Menor"),AND(AJ40="Baja",AL40="Moderado"),AND(AJ40="Media",AL40="Leve"),AND(AJ40="Media",AL40="Menor"),AND(AJ40="Media",AL40="Moderado"),AND(AJ40="Alta",AL40="Leve"),AND(AJ40="Alta",AL40="Menor")),"Moderado",IF(OR(AND(AJ40="Muy Baja",AL40="Mayor"),AND(AJ40="Baja",AL40="Mayor"),AND(AJ40="Media",AL40="Mayor"),AND(AJ40="Alta",AL40="Moderado"),AND(AJ40="Alta",AL40="Mayor"),AND(AJ40="Muy Alta",AL40="Leve"),AND(AJ40="Muy Alta",AL40="Menor"),AND(AJ40="Muy Alta",AL40="Moderado"),AND(AJ40="Muy Alta",AL40="Mayor")),"Alto",IF(OR(AND(AJ40="Muy Baja",AL40="Catastrófico"),AND(AJ40="Baja",AL40="Catastrófico"),AND(AJ40="Media",AL40="Catastrófico"),AND(AJ40="Alta",AL40="Catastrófico"),AND(AJ40="Muy Alta",AL40="Catastrófico")),"Extremo","")))),"")</f>
        <v/>
      </c>
      <c r="AO40" s="195"/>
      <c r="AP40" s="186"/>
      <c r="AQ40" s="196"/>
      <c r="AR40" s="196"/>
      <c r="AS40" s="197"/>
      <c r="AT40" s="376"/>
      <c r="AU40" s="376"/>
      <c r="AV40" s="376"/>
    </row>
    <row r="41" spans="1:48" x14ac:dyDescent="0.2">
      <c r="A41" s="419"/>
      <c r="B41" s="383"/>
      <c r="C41" s="383"/>
      <c r="D41" s="383"/>
      <c r="E41" s="383"/>
      <c r="F41" s="383"/>
      <c r="G41" s="358"/>
      <c r="H41" s="358"/>
      <c r="I41" s="358"/>
      <c r="J41" s="358"/>
      <c r="K41" s="358"/>
      <c r="L41" s="358"/>
      <c r="M41" s="358"/>
      <c r="N41" s="358"/>
      <c r="O41" s="358"/>
      <c r="P41" s="358"/>
      <c r="Q41" s="358"/>
      <c r="R41" s="376"/>
      <c r="S41" s="374"/>
      <c r="T41" s="373"/>
      <c r="U41" s="349"/>
      <c r="V41" s="373">
        <f>IF(NOT(ISERROR(MATCH(U41,_xlfn.ANCHORARRAY(E52),0))),T54&amp;"Por favor no seleccionar los criterios de impacto",U41)</f>
        <v>0</v>
      </c>
      <c r="W41" s="374"/>
      <c r="X41" s="373"/>
      <c r="Y41" s="360"/>
      <c r="Z41" s="214">
        <v>5</v>
      </c>
      <c r="AA41" s="187"/>
      <c r="AB41" s="189" t="str">
        <f t="shared" si="41"/>
        <v/>
      </c>
      <c r="AC41" s="190"/>
      <c r="AD41" s="190"/>
      <c r="AE41" s="191" t="str">
        <f t="shared" si="36"/>
        <v/>
      </c>
      <c r="AF41" s="190"/>
      <c r="AG41" s="190"/>
      <c r="AH41" s="190"/>
      <c r="AI41" s="192" t="str">
        <f t="shared" si="42"/>
        <v/>
      </c>
      <c r="AJ41" s="193" t="str">
        <f t="shared" si="2"/>
        <v/>
      </c>
      <c r="AK41" s="191" t="str">
        <f t="shared" si="37"/>
        <v/>
      </c>
      <c r="AL41" s="193" t="str">
        <f t="shared" si="4"/>
        <v/>
      </c>
      <c r="AM41" s="191" t="str">
        <f t="shared" si="13"/>
        <v/>
      </c>
      <c r="AN41" s="194" t="str">
        <f t="shared" ref="AN41:AN42" si="43">IFERROR(IF(OR(AND(AJ41="Muy Baja",AL41="Leve"),AND(AJ41="Muy Baja",AL41="Menor"),AND(AJ41="Baja",AL41="Leve")),"Bajo",IF(OR(AND(AJ41="Muy baja",AL41="Moderado"),AND(AJ41="Baja",AL41="Menor"),AND(AJ41="Baja",AL41="Moderado"),AND(AJ41="Media",AL41="Leve"),AND(AJ41="Media",AL41="Menor"),AND(AJ41="Media",AL41="Moderado"),AND(AJ41="Alta",AL41="Leve"),AND(AJ41="Alta",AL41="Menor")),"Moderado",IF(OR(AND(AJ41="Muy Baja",AL41="Mayor"),AND(AJ41="Baja",AL41="Mayor"),AND(AJ41="Media",AL41="Mayor"),AND(AJ41="Alta",AL41="Moderado"),AND(AJ41="Alta",AL41="Mayor"),AND(AJ41="Muy Alta",AL41="Leve"),AND(AJ41="Muy Alta",AL41="Menor"),AND(AJ41="Muy Alta",AL41="Moderado"),AND(AJ41="Muy Alta",AL41="Mayor")),"Alto",IF(OR(AND(AJ41="Muy Baja",AL41="Catastrófico"),AND(AJ41="Baja",AL41="Catastrófico"),AND(AJ41="Media",AL41="Catastrófico"),AND(AJ41="Alta",AL41="Catastrófico"),AND(AJ41="Muy Alta",AL41="Catastrófico")),"Extremo","")))),"")</f>
        <v/>
      </c>
      <c r="AO41" s="195"/>
      <c r="AP41" s="186"/>
      <c r="AQ41" s="196"/>
      <c r="AR41" s="196"/>
      <c r="AS41" s="197"/>
      <c r="AT41" s="376"/>
      <c r="AU41" s="376"/>
      <c r="AV41" s="376"/>
    </row>
    <row r="42" spans="1:48" x14ac:dyDescent="0.2">
      <c r="A42" s="419"/>
      <c r="B42" s="383"/>
      <c r="C42" s="383"/>
      <c r="D42" s="383"/>
      <c r="E42" s="383"/>
      <c r="F42" s="383"/>
      <c r="G42" s="369"/>
      <c r="H42" s="369"/>
      <c r="I42" s="369"/>
      <c r="J42" s="369"/>
      <c r="K42" s="369"/>
      <c r="L42" s="369"/>
      <c r="M42" s="369"/>
      <c r="N42" s="369"/>
      <c r="O42" s="369"/>
      <c r="P42" s="369"/>
      <c r="Q42" s="369"/>
      <c r="R42" s="376"/>
      <c r="S42" s="374"/>
      <c r="T42" s="373"/>
      <c r="U42" s="349"/>
      <c r="V42" s="373">
        <f>IF(NOT(ISERROR(MATCH(U42,_xlfn.ANCHORARRAY(E53),0))),T55&amp;"Por favor no seleccionar los criterios de impacto",U42)</f>
        <v>0</v>
      </c>
      <c r="W42" s="374"/>
      <c r="X42" s="373"/>
      <c r="Y42" s="360"/>
      <c r="Z42" s="214">
        <v>6</v>
      </c>
      <c r="AA42" s="187"/>
      <c r="AB42" s="189" t="str">
        <f t="shared" si="41"/>
        <v/>
      </c>
      <c r="AC42" s="190"/>
      <c r="AD42" s="190"/>
      <c r="AE42" s="191" t="str">
        <f t="shared" si="36"/>
        <v/>
      </c>
      <c r="AF42" s="190"/>
      <c r="AG42" s="190"/>
      <c r="AH42" s="190"/>
      <c r="AI42" s="192" t="str">
        <f t="shared" si="42"/>
        <v/>
      </c>
      <c r="AJ42" s="193" t="str">
        <f t="shared" si="2"/>
        <v/>
      </c>
      <c r="AK42" s="191" t="str">
        <f t="shared" si="37"/>
        <v/>
      </c>
      <c r="AL42" s="193" t="str">
        <f t="shared" si="4"/>
        <v/>
      </c>
      <c r="AM42" s="191" t="str">
        <f t="shared" si="13"/>
        <v/>
      </c>
      <c r="AN42" s="194" t="str">
        <f t="shared" si="43"/>
        <v/>
      </c>
      <c r="AO42" s="195"/>
      <c r="AP42" s="186"/>
      <c r="AQ42" s="196"/>
      <c r="AR42" s="196"/>
      <c r="AS42" s="197"/>
      <c r="AT42" s="376"/>
      <c r="AU42" s="376"/>
      <c r="AV42" s="376"/>
    </row>
    <row r="43" spans="1:48" x14ac:dyDescent="0.2">
      <c r="A43" s="419">
        <v>6</v>
      </c>
      <c r="B43" s="383"/>
      <c r="C43" s="383"/>
      <c r="D43" s="383"/>
      <c r="E43" s="388"/>
      <c r="F43" s="383"/>
      <c r="G43" s="388"/>
      <c r="H43" s="388"/>
      <c r="I43" s="388"/>
      <c r="J43" s="388"/>
      <c r="K43" s="388"/>
      <c r="L43" s="388"/>
      <c r="M43" s="388"/>
      <c r="N43" s="388"/>
      <c r="O43" s="388"/>
      <c r="P43" s="388"/>
      <c r="Q43" s="388"/>
      <c r="R43" s="376"/>
      <c r="S43" s="374" t="str">
        <f>IF(R43&lt;=0,"",IF(R43&lt;=2,"Muy Baja",IF(R43&lt;=24,"Baja",IF(R43&lt;=500,"Media",IF(R43&lt;=5000,"Alta","Muy Alta")))))</f>
        <v/>
      </c>
      <c r="T43" s="373" t="str">
        <f>IF(S43="","",IF(S43="Muy Baja",0.2,IF(S43="Baja",0.4,IF(S43="Media",0.6,IF(S43="Alta",0.8,IF(S43="Muy Alta",1,))))))</f>
        <v/>
      </c>
      <c r="U43" s="349"/>
      <c r="V43" s="373">
        <f>IF(NOT(ISERROR(MATCH(U43,'Tabla Impacto'!$B$222:$B$224,0))),'Tabla Impacto'!$F$224&amp;"Por favor no seleccionar los criterios de impacto(Afectación Económica o presupuestal y Pérdida Reputacional)",U43)</f>
        <v>0</v>
      </c>
      <c r="W43" s="374" t="str">
        <f>IF(OR(V43='Tabla Impacto'!$C$12,V43='Tabla Impacto'!$D$12),"Leve",IF(OR(V43='Tabla Impacto'!$C$13,V43='Tabla Impacto'!$D$13),"Menor",IF(OR(V43='Tabla Impacto'!$C$14,V43='Tabla Impacto'!$D$14),"Moderado",IF(OR(V43='Tabla Impacto'!$C$15,V43='Tabla Impacto'!$D$15),"Mayor",IF(OR(V43='Tabla Impacto'!$C$16,V43='Tabla Impacto'!$D$16),"Catastrófico","")))))</f>
        <v/>
      </c>
      <c r="X43" s="373" t="str">
        <f>IF(W43="","",IF(W43="Leve",0.2,IF(W43="Menor",0.4,IF(W43="Moderado",0.6,IF(W43="Mayor",0.8,IF(W43="Catastrófico",1,))))))</f>
        <v/>
      </c>
      <c r="Y43" s="360" t="str">
        <f>IF(OR(AND(S43="Muy Baja",W43="Leve"),AND(S43="Muy Baja",W43="Menor"),AND(S43="Baja",W43="Leve")),"Bajo",IF(OR(AND(S43="Muy baja",W43="Moderado"),AND(S43="Baja",W43="Menor"),AND(S43="Baja",W43="Moderado"),AND(S43="Media",W43="Leve"),AND(S43="Media",W43="Menor"),AND(S43="Media",W43="Moderado"),AND(S43="Alta",W43="Leve"),AND(S43="Alta",W43="Menor")),"Moderado",IF(OR(AND(S43="Muy Baja",W43="Mayor"),AND(S43="Baja",W43="Mayor"),AND(S43="Media",W43="Mayor"),AND(S43="Alta",W43="Moderado"),AND(S43="Alta",W43="Mayor"),AND(S43="Muy Alta",W43="Leve"),AND(S43="Muy Alta",W43="Menor"),AND(S43="Muy Alta",W43="Moderado"),AND(S43="Muy Alta",W43="Mayor")),"Alto",IF(OR(AND(S43="Muy Baja",W43="Catastrófico"),AND(S43="Baja",W43="Catastrófico"),AND(S43="Media",W43="Catastrófico"),AND(S43="Alta",W43="Catastrófico"),AND(S43="Muy Alta",W43="Catastrófico")),"Extremo",""))))</f>
        <v/>
      </c>
      <c r="Z43" s="214">
        <v>1</v>
      </c>
      <c r="AA43" s="187"/>
      <c r="AB43" s="189" t="str">
        <f>IF(OR(AC43="Preventivo",AC43="Detectivo"),"Probabilidad",IF(AC43="Correctivo","Impacto",""))</f>
        <v/>
      </c>
      <c r="AC43" s="190"/>
      <c r="AD43" s="190"/>
      <c r="AE43" s="191" t="str">
        <f>IF(AND(AC43="Preventivo",AD43="Automático"),"50%",IF(AND(AC43="Preventivo",AD43="Manual"),"40%",IF(AND(AC43="Detectivo",AD43="Automático"),"40%",IF(AND(AC43="Detectivo",AD43="Manual"),"30%",IF(AND(AC43="Correctivo",AD43="Automático"),"35%",IF(AND(AC43="Correctivo",AD43="Manual"),"25%",""))))))</f>
        <v/>
      </c>
      <c r="AF43" s="190"/>
      <c r="AG43" s="190"/>
      <c r="AH43" s="190"/>
      <c r="AI43" s="192" t="str">
        <f>IFERROR(IF(AB43="Probabilidad",(T43-(+T43*AE43)),IF(AB43="Impacto",T43,"")),"")</f>
        <v/>
      </c>
      <c r="AJ43" s="193" t="str">
        <f>IFERROR(IF(AI43="","",IF(AI43&lt;=0.2,"Muy Baja",IF(AI43&lt;=0.4,"Baja",IF(AI43&lt;=0.6,"Media",IF(AI43&lt;=0.8,"Alta","Muy Alta"))))),"")</f>
        <v/>
      </c>
      <c r="AK43" s="191" t="str">
        <f>+AI43</f>
        <v/>
      </c>
      <c r="AL43" s="193" t="str">
        <f>IFERROR(IF(AM43="","",IF(AM43&lt;=0.2,"Leve",IF(AM43&lt;=0.4,"Menor",IF(AM43&lt;=0.6,"Moderado",IF(AM43&lt;=0.8,"Mayor","Catastrófico"))))),"")</f>
        <v/>
      </c>
      <c r="AM43" s="191" t="str">
        <f t="shared" ref="AM43" si="44">IFERROR(IF(AB43="Impacto",(X43-(+X43*AE43)),IF(AB43="Probabilidad",X43,"")),"")</f>
        <v/>
      </c>
      <c r="AN43" s="194" t="str">
        <f>IFERROR(IF(OR(AND(AJ43="Muy Baja",AL43="Leve"),AND(AJ43="Muy Baja",AL43="Menor"),AND(AJ43="Baja",AL43="Leve")),"Bajo",IF(OR(AND(AJ43="Muy baja",AL43="Moderado"),AND(AJ43="Baja",AL43="Menor"),AND(AJ43="Baja",AL43="Moderado"),AND(AJ43="Media",AL43="Leve"),AND(AJ43="Media",AL43="Menor"),AND(AJ43="Media",AL43="Moderado"),AND(AJ43="Alta",AL43="Leve"),AND(AJ43="Alta",AL43="Menor")),"Moderado",IF(OR(AND(AJ43="Muy Baja",AL43="Mayor"),AND(AJ43="Baja",AL43="Mayor"),AND(AJ43="Media",AL43="Mayor"),AND(AJ43="Alta",AL43="Moderado"),AND(AJ43="Alta",AL43="Mayor"),AND(AJ43="Muy Alta",AL43="Leve"),AND(AJ43="Muy Alta",AL43="Menor"),AND(AJ43="Muy Alta",AL43="Moderado"),AND(AJ43="Muy Alta",AL43="Mayor")),"Alto",IF(OR(AND(AJ43="Muy Baja",AL43="Catastrófico"),AND(AJ43="Baja",AL43="Catastrófico"),AND(AJ43="Media",AL43="Catastrófico"),AND(AJ43="Alta",AL43="Catastrófico"),AND(AJ43="Muy Alta",AL43="Catastrófico")),"Extremo","")))),"")</f>
        <v/>
      </c>
      <c r="AO43" s="190"/>
      <c r="AP43" s="186"/>
      <c r="AQ43" s="196"/>
      <c r="AR43" s="196"/>
      <c r="AS43" s="197"/>
      <c r="AT43" s="376"/>
      <c r="AU43" s="376"/>
      <c r="AV43" s="376"/>
    </row>
    <row r="44" spans="1:48" x14ac:dyDescent="0.2">
      <c r="A44" s="419"/>
      <c r="B44" s="383"/>
      <c r="C44" s="383"/>
      <c r="D44" s="383"/>
      <c r="E44" s="358"/>
      <c r="F44" s="383"/>
      <c r="G44" s="358"/>
      <c r="H44" s="358"/>
      <c r="I44" s="358"/>
      <c r="J44" s="358"/>
      <c r="K44" s="358"/>
      <c r="L44" s="358"/>
      <c r="M44" s="358"/>
      <c r="N44" s="358"/>
      <c r="O44" s="358"/>
      <c r="P44" s="358"/>
      <c r="Q44" s="358"/>
      <c r="R44" s="376"/>
      <c r="S44" s="374"/>
      <c r="T44" s="373"/>
      <c r="U44" s="349"/>
      <c r="V44" s="373">
        <f>IF(NOT(ISERROR(MATCH(U44,_xlfn.ANCHORARRAY(E55),0))),T57&amp;"Por favor no seleccionar los criterios de impacto",U44)</f>
        <v>0</v>
      </c>
      <c r="W44" s="374"/>
      <c r="X44" s="373"/>
      <c r="Y44" s="360"/>
      <c r="Z44" s="214">
        <v>2</v>
      </c>
      <c r="AA44" s="187"/>
      <c r="AB44" s="189" t="str">
        <f>IF(OR(AC44="Preventivo",AC44="Detectivo"),"Probabilidad",IF(AC44="Correctivo","Impacto",""))</f>
        <v/>
      </c>
      <c r="AC44" s="190"/>
      <c r="AD44" s="190"/>
      <c r="AE44" s="191" t="str">
        <f t="shared" ref="AE44:AE48" si="45">IF(AND(AC44="Preventivo",AD44="Automático"),"50%",IF(AND(AC44="Preventivo",AD44="Manual"),"40%",IF(AND(AC44="Detectivo",AD44="Automático"),"40%",IF(AND(AC44="Detectivo",AD44="Manual"),"30%",IF(AND(AC44="Correctivo",AD44="Automático"),"35%",IF(AND(AC44="Correctivo",AD44="Manual"),"25%",""))))))</f>
        <v/>
      </c>
      <c r="AF44" s="190"/>
      <c r="AG44" s="190"/>
      <c r="AH44" s="190"/>
      <c r="AI44" s="192" t="str">
        <f>IFERROR(IF(AND(AB43="Probabilidad",AB44="Probabilidad"),(AK43-(+AK43*AE44)),IF(AB44="Probabilidad",(T43-(+T43*AE44)),IF(AB44="Impacto",AK43,""))),"")</f>
        <v/>
      </c>
      <c r="AJ44" s="193" t="str">
        <f t="shared" si="2"/>
        <v/>
      </c>
      <c r="AK44" s="191" t="str">
        <f t="shared" ref="AK44:AK48" si="46">+AI44</f>
        <v/>
      </c>
      <c r="AL44" s="193" t="str">
        <f t="shared" si="4"/>
        <v/>
      </c>
      <c r="AM44" s="191" t="str">
        <f t="shared" ref="AM44" si="47">IFERROR(IF(AND(AB43="Impacto",AB44="Impacto"),(AM43-(+AM43*AE44)),IF(AB44="Impacto",($X$13-(+$X$13*AE44)),IF(AB44="Probabilidad",AM43,""))),"")</f>
        <v/>
      </c>
      <c r="AN44" s="194" t="str">
        <f t="shared" ref="AN44:AN45" si="48">IFERROR(IF(OR(AND(AJ44="Muy Baja",AL44="Leve"),AND(AJ44="Muy Baja",AL44="Menor"),AND(AJ44="Baja",AL44="Leve")),"Bajo",IF(OR(AND(AJ44="Muy baja",AL44="Moderado"),AND(AJ44="Baja",AL44="Menor"),AND(AJ44="Baja",AL44="Moderado"),AND(AJ44="Media",AL44="Leve"),AND(AJ44="Media",AL44="Menor"),AND(AJ44="Media",AL44="Moderado"),AND(AJ44="Alta",AL44="Leve"),AND(AJ44="Alta",AL44="Menor")),"Moderado",IF(OR(AND(AJ44="Muy Baja",AL44="Mayor"),AND(AJ44="Baja",AL44="Mayor"),AND(AJ44="Media",AL44="Mayor"),AND(AJ44="Alta",AL44="Moderado"),AND(AJ44="Alta",AL44="Mayor"),AND(AJ44="Muy Alta",AL44="Leve"),AND(AJ44="Muy Alta",AL44="Menor"),AND(AJ44="Muy Alta",AL44="Moderado"),AND(AJ44="Muy Alta",AL44="Mayor")),"Alto",IF(OR(AND(AJ44="Muy Baja",AL44="Catastrófico"),AND(AJ44="Baja",AL44="Catastrófico"),AND(AJ44="Media",AL44="Catastrófico"),AND(AJ44="Alta",AL44="Catastrófico"),AND(AJ44="Muy Alta",AL44="Catastrófico")),"Extremo","")))),"")</f>
        <v/>
      </c>
      <c r="AO44" s="195"/>
      <c r="AP44" s="186"/>
      <c r="AQ44" s="196"/>
      <c r="AR44" s="196"/>
      <c r="AS44" s="197"/>
      <c r="AT44" s="376"/>
      <c r="AU44" s="376"/>
      <c r="AV44" s="376"/>
    </row>
    <row r="45" spans="1:48" x14ac:dyDescent="0.2">
      <c r="A45" s="419"/>
      <c r="B45" s="383"/>
      <c r="C45" s="383"/>
      <c r="D45" s="383"/>
      <c r="E45" s="358"/>
      <c r="F45" s="383"/>
      <c r="G45" s="358"/>
      <c r="H45" s="358"/>
      <c r="I45" s="358"/>
      <c r="J45" s="358"/>
      <c r="K45" s="358"/>
      <c r="L45" s="358"/>
      <c r="M45" s="358"/>
      <c r="N45" s="358"/>
      <c r="O45" s="358"/>
      <c r="P45" s="358"/>
      <c r="Q45" s="358"/>
      <c r="R45" s="376"/>
      <c r="S45" s="374"/>
      <c r="T45" s="373"/>
      <c r="U45" s="349"/>
      <c r="V45" s="373">
        <f>IF(NOT(ISERROR(MATCH(U45,_xlfn.ANCHORARRAY(E56),0))),T58&amp;"Por favor no seleccionar los criterios de impacto",U45)</f>
        <v>0</v>
      </c>
      <c r="W45" s="374"/>
      <c r="X45" s="373"/>
      <c r="Y45" s="360"/>
      <c r="Z45" s="214">
        <v>3</v>
      </c>
      <c r="AA45" s="188"/>
      <c r="AB45" s="189" t="str">
        <f>IF(OR(AC45="Preventivo",AC45="Detectivo"),"Probabilidad",IF(AC45="Correctivo","Impacto",""))</f>
        <v/>
      </c>
      <c r="AC45" s="190"/>
      <c r="AD45" s="190"/>
      <c r="AE45" s="191" t="str">
        <f t="shared" si="45"/>
        <v/>
      </c>
      <c r="AF45" s="190"/>
      <c r="AG45" s="190"/>
      <c r="AH45" s="190"/>
      <c r="AI45" s="192" t="str">
        <f>IFERROR(IF(AND(AB44="Probabilidad",AB45="Probabilidad"),(AK44-(+AK44*AE45)),IF(AND(AB44="Impacto",AB45="Probabilidad"),(AK43-(+AK43*AE45)),IF(AB45="Impacto",AK44,""))),"")</f>
        <v/>
      </c>
      <c r="AJ45" s="193" t="str">
        <f t="shared" si="2"/>
        <v/>
      </c>
      <c r="AK45" s="191" t="str">
        <f t="shared" si="46"/>
        <v/>
      </c>
      <c r="AL45" s="193" t="str">
        <f t="shared" si="4"/>
        <v/>
      </c>
      <c r="AM45" s="191" t="str">
        <f t="shared" ref="AM45" si="49">IFERROR(IF(AND(AB44="Impacto",AB45="Impacto"),(AM44-(+AM44*AE45)),IF(AND(AB44="Probabilidad",AB45="Impacto"),(AM43-(+AM43*AE45)),IF(AB45="Probabilidad",AM44,""))),"")</f>
        <v/>
      </c>
      <c r="AN45" s="194" t="str">
        <f t="shared" si="48"/>
        <v/>
      </c>
      <c r="AO45" s="195"/>
      <c r="AP45" s="186"/>
      <c r="AQ45" s="196"/>
      <c r="AR45" s="196"/>
      <c r="AS45" s="197"/>
      <c r="AT45" s="376"/>
      <c r="AU45" s="376"/>
      <c r="AV45" s="376"/>
    </row>
    <row r="46" spans="1:48" x14ac:dyDescent="0.2">
      <c r="A46" s="419"/>
      <c r="B46" s="383"/>
      <c r="C46" s="383"/>
      <c r="D46" s="383"/>
      <c r="E46" s="358"/>
      <c r="F46" s="383"/>
      <c r="G46" s="358"/>
      <c r="H46" s="358"/>
      <c r="I46" s="358"/>
      <c r="J46" s="358"/>
      <c r="K46" s="358"/>
      <c r="L46" s="358"/>
      <c r="M46" s="358"/>
      <c r="N46" s="358"/>
      <c r="O46" s="358"/>
      <c r="P46" s="358"/>
      <c r="Q46" s="358"/>
      <c r="R46" s="376"/>
      <c r="S46" s="374"/>
      <c r="T46" s="373"/>
      <c r="U46" s="349"/>
      <c r="V46" s="373">
        <f>IF(NOT(ISERROR(MATCH(U46,_xlfn.ANCHORARRAY(E57),0))),T59&amp;"Por favor no seleccionar los criterios de impacto",U46)</f>
        <v>0</v>
      </c>
      <c r="W46" s="374"/>
      <c r="X46" s="373"/>
      <c r="Y46" s="360"/>
      <c r="Z46" s="214">
        <v>4</v>
      </c>
      <c r="AA46" s="187"/>
      <c r="AB46" s="189" t="str">
        <f t="shared" ref="AB46:AB48" si="50">IF(OR(AC46="Preventivo",AC46="Detectivo"),"Probabilidad",IF(AC46="Correctivo","Impacto",""))</f>
        <v/>
      </c>
      <c r="AC46" s="190"/>
      <c r="AD46" s="190"/>
      <c r="AE46" s="191" t="str">
        <f t="shared" si="45"/>
        <v/>
      </c>
      <c r="AF46" s="190"/>
      <c r="AG46" s="190"/>
      <c r="AH46" s="190"/>
      <c r="AI46" s="192" t="str">
        <f t="shared" ref="AI46:AI48" si="51">IFERROR(IF(AND(AB45="Probabilidad",AB46="Probabilidad"),(AK45-(+AK45*AE46)),IF(AND(AB45="Impacto",AB46="Probabilidad"),(AK44-(+AK44*AE46)),IF(AB46="Impacto",AK45,""))),"")</f>
        <v/>
      </c>
      <c r="AJ46" s="193" t="str">
        <f t="shared" si="2"/>
        <v/>
      </c>
      <c r="AK46" s="191" t="str">
        <f t="shared" si="46"/>
        <v/>
      </c>
      <c r="AL46" s="193" t="str">
        <f t="shared" si="4"/>
        <v/>
      </c>
      <c r="AM46" s="191" t="str">
        <f t="shared" si="13"/>
        <v/>
      </c>
      <c r="AN46" s="194" t="str">
        <f>IFERROR(IF(OR(AND(AJ46="Muy Baja",AL46="Leve"),AND(AJ46="Muy Baja",AL46="Menor"),AND(AJ46="Baja",AL46="Leve")),"Bajo",IF(OR(AND(AJ46="Muy baja",AL46="Moderado"),AND(AJ46="Baja",AL46="Menor"),AND(AJ46="Baja",AL46="Moderado"),AND(AJ46="Media",AL46="Leve"),AND(AJ46="Media",AL46="Menor"),AND(AJ46="Media",AL46="Moderado"),AND(AJ46="Alta",AL46="Leve"),AND(AJ46="Alta",AL46="Menor")),"Moderado",IF(OR(AND(AJ46="Muy Baja",AL46="Mayor"),AND(AJ46="Baja",AL46="Mayor"),AND(AJ46="Media",AL46="Mayor"),AND(AJ46="Alta",AL46="Moderado"),AND(AJ46="Alta",AL46="Mayor"),AND(AJ46="Muy Alta",AL46="Leve"),AND(AJ46="Muy Alta",AL46="Menor"),AND(AJ46="Muy Alta",AL46="Moderado"),AND(AJ46="Muy Alta",AL46="Mayor")),"Alto",IF(OR(AND(AJ46="Muy Baja",AL46="Catastrófico"),AND(AJ46="Baja",AL46="Catastrófico"),AND(AJ46="Media",AL46="Catastrófico"),AND(AJ46="Alta",AL46="Catastrófico"),AND(AJ46="Muy Alta",AL46="Catastrófico")),"Extremo","")))),"")</f>
        <v/>
      </c>
      <c r="AO46" s="195"/>
      <c r="AP46" s="186"/>
      <c r="AQ46" s="196"/>
      <c r="AR46" s="196"/>
      <c r="AS46" s="197"/>
      <c r="AT46" s="376"/>
      <c r="AU46" s="376"/>
      <c r="AV46" s="376"/>
    </row>
    <row r="47" spans="1:48" x14ac:dyDescent="0.2">
      <c r="A47" s="419"/>
      <c r="B47" s="383"/>
      <c r="C47" s="383"/>
      <c r="D47" s="383"/>
      <c r="E47" s="358"/>
      <c r="F47" s="383"/>
      <c r="G47" s="358"/>
      <c r="H47" s="358"/>
      <c r="I47" s="358"/>
      <c r="J47" s="358"/>
      <c r="K47" s="358"/>
      <c r="L47" s="358"/>
      <c r="M47" s="358"/>
      <c r="N47" s="358"/>
      <c r="O47" s="358"/>
      <c r="P47" s="358"/>
      <c r="Q47" s="358"/>
      <c r="R47" s="376"/>
      <c r="S47" s="374"/>
      <c r="T47" s="373"/>
      <c r="U47" s="349"/>
      <c r="V47" s="373">
        <f>IF(NOT(ISERROR(MATCH(U47,_xlfn.ANCHORARRAY(E58),0))),T60&amp;"Por favor no seleccionar los criterios de impacto",U47)</f>
        <v>0</v>
      </c>
      <c r="W47" s="374"/>
      <c r="X47" s="373"/>
      <c r="Y47" s="360"/>
      <c r="Z47" s="214">
        <v>5</v>
      </c>
      <c r="AA47" s="187"/>
      <c r="AB47" s="189" t="str">
        <f t="shared" si="50"/>
        <v/>
      </c>
      <c r="AC47" s="190"/>
      <c r="AD47" s="190"/>
      <c r="AE47" s="191" t="str">
        <f t="shared" si="45"/>
        <v/>
      </c>
      <c r="AF47" s="190"/>
      <c r="AG47" s="190"/>
      <c r="AH47" s="190"/>
      <c r="AI47" s="192" t="str">
        <f t="shared" si="51"/>
        <v/>
      </c>
      <c r="AJ47" s="193" t="str">
        <f t="shared" si="2"/>
        <v/>
      </c>
      <c r="AK47" s="191" t="str">
        <f t="shared" si="46"/>
        <v/>
      </c>
      <c r="AL47" s="193" t="str">
        <f t="shared" si="4"/>
        <v/>
      </c>
      <c r="AM47" s="191" t="str">
        <f t="shared" si="13"/>
        <v/>
      </c>
      <c r="AN47" s="194" t="str">
        <f t="shared" ref="AN47" si="52">IFERROR(IF(OR(AND(AJ47="Muy Baja",AL47="Leve"),AND(AJ47="Muy Baja",AL47="Menor"),AND(AJ47="Baja",AL47="Leve")),"Bajo",IF(OR(AND(AJ47="Muy baja",AL47="Moderado"),AND(AJ47="Baja",AL47="Menor"),AND(AJ47="Baja",AL47="Moderado"),AND(AJ47="Media",AL47="Leve"),AND(AJ47="Media",AL47="Menor"),AND(AJ47="Media",AL47="Moderado"),AND(AJ47="Alta",AL47="Leve"),AND(AJ47="Alta",AL47="Menor")),"Moderado",IF(OR(AND(AJ47="Muy Baja",AL47="Mayor"),AND(AJ47="Baja",AL47="Mayor"),AND(AJ47="Media",AL47="Mayor"),AND(AJ47="Alta",AL47="Moderado"),AND(AJ47="Alta",AL47="Mayor"),AND(AJ47="Muy Alta",AL47="Leve"),AND(AJ47="Muy Alta",AL47="Menor"),AND(AJ47="Muy Alta",AL47="Moderado"),AND(AJ47="Muy Alta",AL47="Mayor")),"Alto",IF(OR(AND(AJ47="Muy Baja",AL47="Catastrófico"),AND(AJ47="Baja",AL47="Catastrófico"),AND(AJ47="Media",AL47="Catastrófico"),AND(AJ47="Alta",AL47="Catastrófico"),AND(AJ47="Muy Alta",AL47="Catastrófico")),"Extremo","")))),"")</f>
        <v/>
      </c>
      <c r="AO47" s="195"/>
      <c r="AP47" s="186"/>
      <c r="AQ47" s="196"/>
      <c r="AR47" s="196"/>
      <c r="AS47" s="197"/>
      <c r="AT47" s="376"/>
      <c r="AU47" s="376"/>
      <c r="AV47" s="376"/>
    </row>
    <row r="48" spans="1:48" x14ac:dyDescent="0.2">
      <c r="A48" s="419"/>
      <c r="B48" s="383"/>
      <c r="C48" s="383"/>
      <c r="D48" s="383"/>
      <c r="E48" s="369"/>
      <c r="F48" s="383"/>
      <c r="G48" s="369"/>
      <c r="H48" s="369"/>
      <c r="I48" s="369"/>
      <c r="J48" s="369"/>
      <c r="K48" s="369"/>
      <c r="L48" s="369"/>
      <c r="M48" s="369"/>
      <c r="N48" s="369"/>
      <c r="O48" s="369"/>
      <c r="P48" s="369"/>
      <c r="Q48" s="369"/>
      <c r="R48" s="376"/>
      <c r="S48" s="374"/>
      <c r="T48" s="373"/>
      <c r="U48" s="349"/>
      <c r="V48" s="373">
        <f>IF(NOT(ISERROR(MATCH(U48,_xlfn.ANCHORARRAY(E59),0))),T61&amp;"Por favor no seleccionar los criterios de impacto",U48)</f>
        <v>0</v>
      </c>
      <c r="W48" s="374"/>
      <c r="X48" s="373"/>
      <c r="Y48" s="360"/>
      <c r="Z48" s="214">
        <v>6</v>
      </c>
      <c r="AA48" s="187"/>
      <c r="AB48" s="189" t="str">
        <f t="shared" si="50"/>
        <v/>
      </c>
      <c r="AC48" s="190"/>
      <c r="AD48" s="190"/>
      <c r="AE48" s="191" t="str">
        <f t="shared" si="45"/>
        <v/>
      </c>
      <c r="AF48" s="190"/>
      <c r="AG48" s="190"/>
      <c r="AH48" s="190"/>
      <c r="AI48" s="192" t="str">
        <f t="shared" si="51"/>
        <v/>
      </c>
      <c r="AJ48" s="193" t="str">
        <f t="shared" si="2"/>
        <v/>
      </c>
      <c r="AK48" s="191" t="str">
        <f t="shared" si="46"/>
        <v/>
      </c>
      <c r="AL48" s="193" t="str">
        <f>IFERROR(IF(AM48="","",IF(AM48&lt;=0.2,"Leve",IF(AM48&lt;=0.4,"Menor",IF(AM48&lt;=0.6,"Moderado",IF(AM48&lt;=0.8,"Mayor","Catastrófico"))))),"")</f>
        <v/>
      </c>
      <c r="AM48" s="191" t="str">
        <f t="shared" si="13"/>
        <v/>
      </c>
      <c r="AN48" s="194" t="str">
        <f>IFERROR(IF(OR(AND(AJ48="Muy Baja",AL48="Leve"),AND(AJ48="Muy Baja",AL48="Menor"),AND(AJ48="Baja",AL48="Leve")),"Bajo",IF(OR(AND(AJ48="Muy baja",AL48="Moderado"),AND(AJ48="Baja",AL48="Menor"),AND(AJ48="Baja",AL48="Moderado"),AND(AJ48="Media",AL48="Leve"),AND(AJ48="Media",AL48="Menor"),AND(AJ48="Media",AL48="Moderado"),AND(AJ48="Alta",AL48="Leve"),AND(AJ48="Alta",AL48="Menor")),"Moderado",IF(OR(AND(AJ48="Muy Baja",AL48="Mayor"),AND(AJ48="Baja",AL48="Mayor"),AND(AJ48="Media",AL48="Mayor"),AND(AJ48="Alta",AL48="Moderado"),AND(AJ48="Alta",AL48="Mayor"),AND(AJ48="Muy Alta",AL48="Leve"),AND(AJ48="Muy Alta",AL48="Menor"),AND(AJ48="Muy Alta",AL48="Moderado"),AND(AJ48="Muy Alta",AL48="Mayor")),"Alto",IF(OR(AND(AJ48="Muy Baja",AL48="Catastrófico"),AND(AJ48="Baja",AL48="Catastrófico"),AND(AJ48="Media",AL48="Catastrófico"),AND(AJ48="Alta",AL48="Catastrófico"),AND(AJ48="Muy Alta",AL48="Catastrófico")),"Extremo","")))),"")</f>
        <v/>
      </c>
      <c r="AO48" s="195"/>
      <c r="AP48" s="186"/>
      <c r="AQ48" s="196"/>
      <c r="AR48" s="196"/>
      <c r="AS48" s="197"/>
      <c r="AT48" s="376"/>
      <c r="AU48" s="376"/>
      <c r="AV48" s="376"/>
    </row>
    <row r="49" spans="1:48" x14ac:dyDescent="0.2">
      <c r="A49" s="419">
        <v>7</v>
      </c>
      <c r="B49" s="383"/>
      <c r="C49" s="383"/>
      <c r="D49" s="422"/>
      <c r="E49" s="383"/>
      <c r="F49" s="383"/>
      <c r="G49" s="388"/>
      <c r="H49" s="388"/>
      <c r="I49" s="388"/>
      <c r="J49" s="388"/>
      <c r="K49" s="388"/>
      <c r="L49" s="388"/>
      <c r="M49" s="388"/>
      <c r="N49" s="388"/>
      <c r="O49" s="388"/>
      <c r="P49" s="388"/>
      <c r="Q49" s="388"/>
      <c r="R49" s="376"/>
      <c r="S49" s="374" t="str">
        <f>IF(R49&lt;=0,"",IF(R49&lt;=2,"Muy Baja",IF(R49&lt;=24,"Baja",IF(R49&lt;=500,"Media",IF(R49&lt;=5000,"Alta","Muy Alta")))))</f>
        <v/>
      </c>
      <c r="T49" s="373" t="str">
        <f>IF(S49="","",IF(S49="Muy Baja",0.2,IF(S49="Baja",0.4,IF(S49="Media",0.6,IF(S49="Alta",0.8,IF(S49="Muy Alta",1,))))))</f>
        <v/>
      </c>
      <c r="U49" s="349"/>
      <c r="V49" s="373">
        <f>IF(NOT(ISERROR(MATCH(U49,'Tabla Impacto'!$B$222:$B$224,0))),'Tabla Impacto'!$F$224&amp;"Por favor no seleccionar los criterios de impacto(Afectación Económica o presupuestal y Pérdida Reputacional)",U49)</f>
        <v>0</v>
      </c>
      <c r="W49" s="374" t="str">
        <f>IF(OR(V49='Tabla Impacto'!$C$12,V49='Tabla Impacto'!$D$12),"Leve",IF(OR(V49='Tabla Impacto'!$C$13,V49='Tabla Impacto'!$D$13),"Menor",IF(OR(V49='Tabla Impacto'!$C$14,V49='Tabla Impacto'!$D$14),"Moderado",IF(OR(V49='Tabla Impacto'!$C$15,V49='Tabla Impacto'!$D$15),"Mayor",IF(OR(V49='Tabla Impacto'!$C$16,V49='Tabla Impacto'!$D$16),"Catastrófico","")))))</f>
        <v/>
      </c>
      <c r="X49" s="373" t="str">
        <f>IF(W49="","",IF(W49="Leve",0.2,IF(W49="Menor",0.4,IF(W49="Moderado",0.6,IF(W49="Mayor",0.8,IF(W49="Catastrófico",1,))))))</f>
        <v/>
      </c>
      <c r="Y49" s="360" t="str">
        <f>IF(OR(AND(S49="Muy Baja",W49="Leve"),AND(S49="Muy Baja",W49="Menor"),AND(S49="Baja",W49="Leve")),"Bajo",IF(OR(AND(S49="Muy baja",W49="Moderado"),AND(S49="Baja",W49="Menor"),AND(S49="Baja",W49="Moderado"),AND(S49="Media",W49="Leve"),AND(S49="Media",W49="Menor"),AND(S49="Media",W49="Moderado"),AND(S49="Alta",W49="Leve"),AND(S49="Alta",W49="Menor")),"Moderado",IF(OR(AND(S49="Muy Baja",W49="Mayor"),AND(S49="Baja",W49="Mayor"),AND(S49="Media",W49="Mayor"),AND(S49="Alta",W49="Moderado"),AND(S49="Alta",W49="Mayor"),AND(S49="Muy Alta",W49="Leve"),AND(S49="Muy Alta",W49="Menor"),AND(S49="Muy Alta",W49="Moderado"),AND(S49="Muy Alta",W49="Mayor")),"Alto",IF(OR(AND(S49="Muy Baja",W49="Catastrófico"),AND(S49="Baja",W49="Catastrófico"),AND(S49="Media",W49="Catastrófico"),AND(S49="Alta",W49="Catastrófico"),AND(S49="Muy Alta",W49="Catastrófico")),"Extremo",""))))</f>
        <v/>
      </c>
      <c r="Z49" s="214">
        <v>1</v>
      </c>
      <c r="AA49" s="199"/>
      <c r="AB49" s="189" t="str">
        <f>IF(OR(AC49="Preventivo",AC49="Detectivo"),"Probabilidad",IF(AC49="Correctivo","Impacto",""))</f>
        <v/>
      </c>
      <c r="AC49" s="190"/>
      <c r="AD49" s="190"/>
      <c r="AE49" s="191" t="str">
        <f>IF(AND(AC49="Preventivo",AD49="Automático"),"50%",IF(AND(AC49="Preventivo",AD49="Manual"),"40%",IF(AND(AC49="Detectivo",AD49="Automático"),"40%",IF(AND(AC49="Detectivo",AD49="Manual"),"30%",IF(AND(AC49="Correctivo",AD49="Automático"),"35%",IF(AND(AC49="Correctivo",AD49="Manual"),"25%",""))))))</f>
        <v/>
      </c>
      <c r="AF49" s="190"/>
      <c r="AG49" s="190"/>
      <c r="AH49" s="190"/>
      <c r="AI49" s="192" t="str">
        <f>IFERROR(IF(AB49="Probabilidad",(T49-(+T49*AE49)),IF(AB49="Impacto",T49,"")),"")</f>
        <v/>
      </c>
      <c r="AJ49" s="193" t="str">
        <f>IFERROR(IF(AI49="","",IF(AI49&lt;=0.2,"Muy Baja",IF(AI49&lt;=0.4,"Baja",IF(AI49&lt;=0.6,"Media",IF(AI49&lt;=0.8,"Alta","Muy Alta"))))),"")</f>
        <v/>
      </c>
      <c r="AK49" s="191" t="str">
        <f>+AI49</f>
        <v/>
      </c>
      <c r="AL49" s="193" t="str">
        <f>IFERROR(IF(AM49="","",IF(AM49&lt;=0.2,"Leve",IF(AM49&lt;=0.4,"Menor",IF(AM49&lt;=0.6,"Moderado",IF(AM49&lt;=0.8,"Mayor","Catastrófico"))))),"")</f>
        <v/>
      </c>
      <c r="AM49" s="191" t="str">
        <f t="shared" ref="AM49" si="53">IFERROR(IF(AB49="Impacto",(X49-(+X49*AE49)),IF(AB49="Probabilidad",X49,"")),"")</f>
        <v/>
      </c>
      <c r="AN49" s="194" t="str">
        <f>IFERROR(IF(OR(AND(AJ49="Muy Baja",AL49="Leve"),AND(AJ49="Muy Baja",AL49="Menor"),AND(AJ49="Baja",AL49="Leve")),"Bajo",IF(OR(AND(AJ49="Muy baja",AL49="Moderado"),AND(AJ49="Baja",AL49="Menor"),AND(AJ49="Baja",AL49="Moderado"),AND(AJ49="Media",AL49="Leve"),AND(AJ49="Media",AL49="Menor"),AND(AJ49="Media",AL49="Moderado"),AND(AJ49="Alta",AL49="Leve"),AND(AJ49="Alta",AL49="Menor")),"Moderado",IF(OR(AND(AJ49="Muy Baja",AL49="Mayor"),AND(AJ49="Baja",AL49="Mayor"),AND(AJ49="Media",AL49="Mayor"),AND(AJ49="Alta",AL49="Moderado"),AND(AJ49="Alta",AL49="Mayor"),AND(AJ49="Muy Alta",AL49="Leve"),AND(AJ49="Muy Alta",AL49="Menor"),AND(AJ49="Muy Alta",AL49="Moderado"),AND(AJ49="Muy Alta",AL49="Mayor")),"Alto",IF(OR(AND(AJ49="Muy Baja",AL49="Catastrófico"),AND(AJ49="Baja",AL49="Catastrófico"),AND(AJ49="Media",AL49="Catastrófico"),AND(AJ49="Alta",AL49="Catastrófico"),AND(AJ49="Muy Alta",AL49="Catastrófico")),"Extremo","")))),"")</f>
        <v/>
      </c>
      <c r="AO49" s="195"/>
      <c r="AP49" s="186"/>
      <c r="AQ49" s="196"/>
      <c r="AR49" s="196"/>
      <c r="AS49" s="197"/>
      <c r="AT49" s="376"/>
      <c r="AU49" s="376"/>
      <c r="AV49" s="376"/>
    </row>
    <row r="50" spans="1:48" x14ac:dyDescent="0.2">
      <c r="A50" s="419"/>
      <c r="B50" s="383"/>
      <c r="C50" s="383"/>
      <c r="D50" s="422"/>
      <c r="E50" s="383"/>
      <c r="F50" s="383"/>
      <c r="G50" s="358"/>
      <c r="H50" s="358"/>
      <c r="I50" s="358"/>
      <c r="J50" s="358"/>
      <c r="K50" s="358"/>
      <c r="L50" s="358"/>
      <c r="M50" s="358"/>
      <c r="N50" s="358"/>
      <c r="O50" s="358"/>
      <c r="P50" s="358"/>
      <c r="Q50" s="358"/>
      <c r="R50" s="376"/>
      <c r="S50" s="374"/>
      <c r="T50" s="373"/>
      <c r="U50" s="349"/>
      <c r="V50" s="373">
        <f>IF(NOT(ISERROR(MATCH(U50,_xlfn.ANCHORARRAY(E61),0))),T63&amp;"Por favor no seleccionar los criterios de impacto",U50)</f>
        <v>0</v>
      </c>
      <c r="W50" s="374"/>
      <c r="X50" s="373"/>
      <c r="Y50" s="360"/>
      <c r="Z50" s="214">
        <v>2</v>
      </c>
      <c r="AA50" s="187"/>
      <c r="AB50" s="189" t="str">
        <f>IF(OR(AC50="Preventivo",AC50="Detectivo"),"Probabilidad",IF(AC50="Correctivo","Impacto",""))</f>
        <v/>
      </c>
      <c r="AC50" s="190"/>
      <c r="AD50" s="190"/>
      <c r="AE50" s="191" t="str">
        <f t="shared" ref="AE50:AE54" si="54">IF(AND(AC50="Preventivo",AD50="Automático"),"50%",IF(AND(AC50="Preventivo",AD50="Manual"),"40%",IF(AND(AC50="Detectivo",AD50="Automático"),"40%",IF(AND(AC50="Detectivo",AD50="Manual"),"30%",IF(AND(AC50="Correctivo",AD50="Automático"),"35%",IF(AND(AC50="Correctivo",AD50="Manual"),"25%",""))))))</f>
        <v/>
      </c>
      <c r="AF50" s="190"/>
      <c r="AG50" s="190"/>
      <c r="AH50" s="190"/>
      <c r="AI50" s="192" t="str">
        <f>IFERROR(IF(AND(AB49="Probabilidad",AB50="Probabilidad"),(AK49-(+AK49*AE50)),IF(AB50="Probabilidad",(T49-(+T49*AE50)),IF(AB50="Impacto",AK49,""))),"")</f>
        <v/>
      </c>
      <c r="AJ50" s="193" t="str">
        <f t="shared" si="2"/>
        <v/>
      </c>
      <c r="AK50" s="191" t="str">
        <f t="shared" ref="AK50:AK54" si="55">+AI50</f>
        <v/>
      </c>
      <c r="AL50" s="193" t="str">
        <f t="shared" si="4"/>
        <v/>
      </c>
      <c r="AM50" s="191" t="str">
        <f t="shared" ref="AM50" si="56">IFERROR(IF(AND(AB49="Impacto",AB50="Impacto"),(AM49-(+AM49*AE50)),IF(AB50="Impacto",($X$13-(+$X$13*AE50)),IF(AB50="Probabilidad",AM49,""))),"")</f>
        <v/>
      </c>
      <c r="AN50" s="194" t="str">
        <f t="shared" ref="AN50:AN51" si="57">IFERROR(IF(OR(AND(AJ50="Muy Baja",AL50="Leve"),AND(AJ50="Muy Baja",AL50="Menor"),AND(AJ50="Baja",AL50="Leve")),"Bajo",IF(OR(AND(AJ50="Muy baja",AL50="Moderado"),AND(AJ50="Baja",AL50="Menor"),AND(AJ50="Baja",AL50="Moderado"),AND(AJ50="Media",AL50="Leve"),AND(AJ50="Media",AL50="Menor"),AND(AJ50="Media",AL50="Moderado"),AND(AJ50="Alta",AL50="Leve"),AND(AJ50="Alta",AL50="Menor")),"Moderado",IF(OR(AND(AJ50="Muy Baja",AL50="Mayor"),AND(AJ50="Baja",AL50="Mayor"),AND(AJ50="Media",AL50="Mayor"),AND(AJ50="Alta",AL50="Moderado"),AND(AJ50="Alta",AL50="Mayor"),AND(AJ50="Muy Alta",AL50="Leve"),AND(AJ50="Muy Alta",AL50="Menor"),AND(AJ50="Muy Alta",AL50="Moderado"),AND(AJ50="Muy Alta",AL50="Mayor")),"Alto",IF(OR(AND(AJ50="Muy Baja",AL50="Catastrófico"),AND(AJ50="Baja",AL50="Catastrófico"),AND(AJ50="Media",AL50="Catastrófico"),AND(AJ50="Alta",AL50="Catastrófico"),AND(AJ50="Muy Alta",AL50="Catastrófico")),"Extremo","")))),"")</f>
        <v/>
      </c>
      <c r="AO50" s="195"/>
      <c r="AP50" s="186"/>
      <c r="AQ50" s="196"/>
      <c r="AR50" s="196"/>
      <c r="AS50" s="197"/>
      <c r="AT50" s="376"/>
      <c r="AU50" s="376"/>
      <c r="AV50" s="376"/>
    </row>
    <row r="51" spans="1:48" x14ac:dyDescent="0.2">
      <c r="A51" s="419"/>
      <c r="B51" s="383"/>
      <c r="C51" s="383"/>
      <c r="D51" s="422"/>
      <c r="E51" s="383"/>
      <c r="F51" s="383"/>
      <c r="G51" s="358"/>
      <c r="H51" s="358"/>
      <c r="I51" s="358"/>
      <c r="J51" s="358"/>
      <c r="K51" s="358"/>
      <c r="L51" s="358"/>
      <c r="M51" s="358"/>
      <c r="N51" s="358"/>
      <c r="O51" s="358"/>
      <c r="P51" s="358"/>
      <c r="Q51" s="358"/>
      <c r="R51" s="376"/>
      <c r="S51" s="374"/>
      <c r="T51" s="373"/>
      <c r="U51" s="349"/>
      <c r="V51" s="373">
        <f>IF(NOT(ISERROR(MATCH(U51,_xlfn.ANCHORARRAY(E62),0))),T64&amp;"Por favor no seleccionar los criterios de impacto",U51)</f>
        <v>0</v>
      </c>
      <c r="W51" s="374"/>
      <c r="X51" s="373"/>
      <c r="Y51" s="360"/>
      <c r="Z51" s="214">
        <v>3</v>
      </c>
      <c r="AA51" s="188"/>
      <c r="AB51" s="189" t="str">
        <f>IF(OR(AC51="Preventivo",AC51="Detectivo"),"Probabilidad",IF(AC51="Correctivo","Impacto",""))</f>
        <v/>
      </c>
      <c r="AC51" s="190"/>
      <c r="AD51" s="190"/>
      <c r="AE51" s="191" t="str">
        <f t="shared" si="54"/>
        <v/>
      </c>
      <c r="AF51" s="190"/>
      <c r="AG51" s="190"/>
      <c r="AH51" s="190"/>
      <c r="AI51" s="192" t="str">
        <f>IFERROR(IF(AND(AB50="Probabilidad",AB51="Probabilidad"),(AK50-(+AK50*AE51)),IF(AND(AB50="Impacto",AB51="Probabilidad"),(AK49-(+AK49*AE51)),IF(AB51="Impacto",AK50,""))),"")</f>
        <v/>
      </c>
      <c r="AJ51" s="193" t="str">
        <f t="shared" si="2"/>
        <v/>
      </c>
      <c r="AK51" s="191" t="str">
        <f t="shared" si="55"/>
        <v/>
      </c>
      <c r="AL51" s="193" t="str">
        <f t="shared" si="4"/>
        <v/>
      </c>
      <c r="AM51" s="191" t="str">
        <f t="shared" ref="AM51" si="58">IFERROR(IF(AND(AB50="Impacto",AB51="Impacto"),(AM50-(+AM50*AE51)),IF(AND(AB50="Probabilidad",AB51="Impacto"),(AM49-(+AM49*AE51)),IF(AB51="Probabilidad",AM50,""))),"")</f>
        <v/>
      </c>
      <c r="AN51" s="194" t="str">
        <f t="shared" si="57"/>
        <v/>
      </c>
      <c r="AO51" s="195"/>
      <c r="AP51" s="186"/>
      <c r="AQ51" s="196"/>
      <c r="AR51" s="196"/>
      <c r="AS51" s="197"/>
      <c r="AT51" s="376"/>
      <c r="AU51" s="376"/>
      <c r="AV51" s="376"/>
    </row>
    <row r="52" spans="1:48" x14ac:dyDescent="0.2">
      <c r="A52" s="419"/>
      <c r="B52" s="383"/>
      <c r="C52" s="383"/>
      <c r="D52" s="422"/>
      <c r="E52" s="383"/>
      <c r="F52" s="383"/>
      <c r="G52" s="358"/>
      <c r="H52" s="358"/>
      <c r="I52" s="358"/>
      <c r="J52" s="358"/>
      <c r="K52" s="358"/>
      <c r="L52" s="358"/>
      <c r="M52" s="358"/>
      <c r="N52" s="358"/>
      <c r="O52" s="358"/>
      <c r="P52" s="358"/>
      <c r="Q52" s="358"/>
      <c r="R52" s="376"/>
      <c r="S52" s="374"/>
      <c r="T52" s="373"/>
      <c r="U52" s="349"/>
      <c r="V52" s="373">
        <f>IF(NOT(ISERROR(MATCH(U52,_xlfn.ANCHORARRAY(E63),0))),T65&amp;"Por favor no seleccionar los criterios de impacto",U52)</f>
        <v>0</v>
      </c>
      <c r="W52" s="374"/>
      <c r="X52" s="373"/>
      <c r="Y52" s="360"/>
      <c r="Z52" s="214">
        <v>4</v>
      </c>
      <c r="AA52" s="187"/>
      <c r="AB52" s="189" t="str">
        <f t="shared" ref="AB52:AB54" si="59">IF(OR(AC52="Preventivo",AC52="Detectivo"),"Probabilidad",IF(AC52="Correctivo","Impacto",""))</f>
        <v/>
      </c>
      <c r="AC52" s="190"/>
      <c r="AD52" s="190"/>
      <c r="AE52" s="191" t="str">
        <f t="shared" si="54"/>
        <v/>
      </c>
      <c r="AF52" s="190"/>
      <c r="AG52" s="190"/>
      <c r="AH52" s="190"/>
      <c r="AI52" s="192" t="str">
        <f t="shared" ref="AI52:AI54" si="60">IFERROR(IF(AND(AB51="Probabilidad",AB52="Probabilidad"),(AK51-(+AK51*AE52)),IF(AND(AB51="Impacto",AB52="Probabilidad"),(AK50-(+AK50*AE52)),IF(AB52="Impacto",AK51,""))),"")</f>
        <v/>
      </c>
      <c r="AJ52" s="193" t="str">
        <f t="shared" si="2"/>
        <v/>
      </c>
      <c r="AK52" s="191" t="str">
        <f t="shared" si="55"/>
        <v/>
      </c>
      <c r="AL52" s="193" t="str">
        <f t="shared" si="4"/>
        <v/>
      </c>
      <c r="AM52" s="191" t="str">
        <f t="shared" si="13"/>
        <v/>
      </c>
      <c r="AN52" s="194" t="str">
        <f>IFERROR(IF(OR(AND(AJ52="Muy Baja",AL52="Leve"),AND(AJ52="Muy Baja",AL52="Menor"),AND(AJ52="Baja",AL52="Leve")),"Bajo",IF(OR(AND(AJ52="Muy baja",AL52="Moderado"),AND(AJ52="Baja",AL52="Menor"),AND(AJ52="Baja",AL52="Moderado"),AND(AJ52="Media",AL52="Leve"),AND(AJ52="Media",AL52="Menor"),AND(AJ52="Media",AL52="Moderado"),AND(AJ52="Alta",AL52="Leve"),AND(AJ52="Alta",AL52="Menor")),"Moderado",IF(OR(AND(AJ52="Muy Baja",AL52="Mayor"),AND(AJ52="Baja",AL52="Mayor"),AND(AJ52="Media",AL52="Mayor"),AND(AJ52="Alta",AL52="Moderado"),AND(AJ52="Alta",AL52="Mayor"),AND(AJ52="Muy Alta",AL52="Leve"),AND(AJ52="Muy Alta",AL52="Menor"),AND(AJ52="Muy Alta",AL52="Moderado"),AND(AJ52="Muy Alta",AL52="Mayor")),"Alto",IF(OR(AND(AJ52="Muy Baja",AL52="Catastrófico"),AND(AJ52="Baja",AL52="Catastrófico"),AND(AJ52="Media",AL52="Catastrófico"),AND(AJ52="Alta",AL52="Catastrófico"),AND(AJ52="Muy Alta",AL52="Catastrófico")),"Extremo","")))),"")</f>
        <v/>
      </c>
      <c r="AO52" s="195"/>
      <c r="AP52" s="186"/>
      <c r="AQ52" s="196"/>
      <c r="AR52" s="196"/>
      <c r="AS52" s="197"/>
      <c r="AT52" s="376"/>
      <c r="AU52" s="376"/>
      <c r="AV52" s="376"/>
    </row>
    <row r="53" spans="1:48" x14ac:dyDescent="0.2">
      <c r="A53" s="419"/>
      <c r="B53" s="383"/>
      <c r="C53" s="383"/>
      <c r="D53" s="422"/>
      <c r="E53" s="383"/>
      <c r="F53" s="383"/>
      <c r="G53" s="358"/>
      <c r="H53" s="358"/>
      <c r="I53" s="358"/>
      <c r="J53" s="358"/>
      <c r="K53" s="358"/>
      <c r="L53" s="358"/>
      <c r="M53" s="358"/>
      <c r="N53" s="358"/>
      <c r="O53" s="358"/>
      <c r="P53" s="358"/>
      <c r="Q53" s="358"/>
      <c r="R53" s="376"/>
      <c r="S53" s="374"/>
      <c r="T53" s="373"/>
      <c r="U53" s="349"/>
      <c r="V53" s="373">
        <f>IF(NOT(ISERROR(MATCH(U53,_xlfn.ANCHORARRAY(E64),0))),T66&amp;"Por favor no seleccionar los criterios de impacto",U53)</f>
        <v>0</v>
      </c>
      <c r="W53" s="374"/>
      <c r="X53" s="373"/>
      <c r="Y53" s="360"/>
      <c r="Z53" s="214">
        <v>5</v>
      </c>
      <c r="AA53" s="187"/>
      <c r="AB53" s="189" t="str">
        <f t="shared" si="59"/>
        <v/>
      </c>
      <c r="AC53" s="190"/>
      <c r="AD53" s="190"/>
      <c r="AE53" s="191" t="str">
        <f t="shared" si="54"/>
        <v/>
      </c>
      <c r="AF53" s="190"/>
      <c r="AG53" s="190"/>
      <c r="AH53" s="190"/>
      <c r="AI53" s="192" t="str">
        <f t="shared" si="60"/>
        <v/>
      </c>
      <c r="AJ53" s="193" t="str">
        <f t="shared" si="2"/>
        <v/>
      </c>
      <c r="AK53" s="191" t="str">
        <f t="shared" si="55"/>
        <v/>
      </c>
      <c r="AL53" s="193" t="str">
        <f t="shared" si="4"/>
        <v/>
      </c>
      <c r="AM53" s="191" t="str">
        <f t="shared" si="13"/>
        <v/>
      </c>
      <c r="AN53" s="194" t="str">
        <f t="shared" ref="AN53:AN54" si="61">IFERROR(IF(OR(AND(AJ53="Muy Baja",AL53="Leve"),AND(AJ53="Muy Baja",AL53="Menor"),AND(AJ53="Baja",AL53="Leve")),"Bajo",IF(OR(AND(AJ53="Muy baja",AL53="Moderado"),AND(AJ53="Baja",AL53="Menor"),AND(AJ53="Baja",AL53="Moderado"),AND(AJ53="Media",AL53="Leve"),AND(AJ53="Media",AL53="Menor"),AND(AJ53="Media",AL53="Moderado"),AND(AJ53="Alta",AL53="Leve"),AND(AJ53="Alta",AL53="Menor")),"Moderado",IF(OR(AND(AJ53="Muy Baja",AL53="Mayor"),AND(AJ53="Baja",AL53="Mayor"),AND(AJ53="Media",AL53="Mayor"),AND(AJ53="Alta",AL53="Moderado"),AND(AJ53="Alta",AL53="Mayor"),AND(AJ53="Muy Alta",AL53="Leve"),AND(AJ53="Muy Alta",AL53="Menor"),AND(AJ53="Muy Alta",AL53="Moderado"),AND(AJ53="Muy Alta",AL53="Mayor")),"Alto",IF(OR(AND(AJ53="Muy Baja",AL53="Catastrófico"),AND(AJ53="Baja",AL53="Catastrófico"),AND(AJ53="Media",AL53="Catastrófico"),AND(AJ53="Alta",AL53="Catastrófico"),AND(AJ53="Muy Alta",AL53="Catastrófico")),"Extremo","")))),"")</f>
        <v/>
      </c>
      <c r="AO53" s="195"/>
      <c r="AP53" s="186"/>
      <c r="AQ53" s="196"/>
      <c r="AR53" s="196"/>
      <c r="AS53" s="197"/>
      <c r="AT53" s="376"/>
      <c r="AU53" s="376"/>
      <c r="AV53" s="376"/>
    </row>
    <row r="54" spans="1:48" x14ac:dyDescent="0.2">
      <c r="A54" s="419"/>
      <c r="B54" s="383"/>
      <c r="C54" s="383"/>
      <c r="D54" s="422"/>
      <c r="E54" s="383"/>
      <c r="F54" s="383"/>
      <c r="G54" s="369"/>
      <c r="H54" s="369"/>
      <c r="I54" s="369"/>
      <c r="J54" s="369"/>
      <c r="K54" s="369"/>
      <c r="L54" s="369"/>
      <c r="M54" s="369"/>
      <c r="N54" s="369"/>
      <c r="O54" s="369"/>
      <c r="P54" s="369"/>
      <c r="Q54" s="369"/>
      <c r="R54" s="376"/>
      <c r="S54" s="374"/>
      <c r="T54" s="373"/>
      <c r="U54" s="349"/>
      <c r="V54" s="373">
        <f>IF(NOT(ISERROR(MATCH(U54,_xlfn.ANCHORARRAY(E65),0))),T67&amp;"Por favor no seleccionar los criterios de impacto",U54)</f>
        <v>0</v>
      </c>
      <c r="W54" s="374"/>
      <c r="X54" s="373"/>
      <c r="Y54" s="360"/>
      <c r="Z54" s="214">
        <v>6</v>
      </c>
      <c r="AA54" s="187"/>
      <c r="AB54" s="189" t="str">
        <f t="shared" si="59"/>
        <v/>
      </c>
      <c r="AC54" s="190"/>
      <c r="AD54" s="190"/>
      <c r="AE54" s="191" t="str">
        <f t="shared" si="54"/>
        <v/>
      </c>
      <c r="AF54" s="190"/>
      <c r="AG54" s="190"/>
      <c r="AH54" s="190"/>
      <c r="AI54" s="192" t="str">
        <f t="shared" si="60"/>
        <v/>
      </c>
      <c r="AJ54" s="193" t="str">
        <f t="shared" si="2"/>
        <v/>
      </c>
      <c r="AK54" s="191" t="str">
        <f t="shared" si="55"/>
        <v/>
      </c>
      <c r="AL54" s="193" t="str">
        <f t="shared" si="4"/>
        <v/>
      </c>
      <c r="AM54" s="191" t="str">
        <f t="shared" si="13"/>
        <v/>
      </c>
      <c r="AN54" s="194" t="str">
        <f t="shared" si="61"/>
        <v/>
      </c>
      <c r="AO54" s="195"/>
      <c r="AP54" s="186"/>
      <c r="AQ54" s="196"/>
      <c r="AR54" s="196"/>
      <c r="AS54" s="197"/>
      <c r="AT54" s="376"/>
      <c r="AU54" s="376"/>
      <c r="AV54" s="376"/>
    </row>
    <row r="55" spans="1:48" x14ac:dyDescent="0.2">
      <c r="A55" s="419">
        <v>8</v>
      </c>
      <c r="B55" s="383"/>
      <c r="C55" s="383"/>
      <c r="D55" s="383"/>
      <c r="E55" s="383"/>
      <c r="F55" s="383"/>
      <c r="G55" s="388"/>
      <c r="H55" s="388"/>
      <c r="I55" s="388"/>
      <c r="J55" s="388"/>
      <c r="K55" s="388"/>
      <c r="L55" s="388"/>
      <c r="M55" s="388"/>
      <c r="N55" s="388"/>
      <c r="O55" s="388"/>
      <c r="P55" s="388"/>
      <c r="Q55" s="388"/>
      <c r="R55" s="376"/>
      <c r="S55" s="374" t="str">
        <f>IF(R55&lt;=0,"",IF(R55&lt;=2,"Muy Baja",IF(R55&lt;=24,"Baja",IF(R55&lt;=500,"Media",IF(R55&lt;=5000,"Alta","Muy Alta")))))</f>
        <v/>
      </c>
      <c r="T55" s="373" t="str">
        <f>IF(S55="","",IF(S55="Muy Baja",0.2,IF(S55="Baja",0.4,IF(S55="Media",0.6,IF(S55="Alta",0.8,IF(S55="Muy Alta",1,))))))</f>
        <v/>
      </c>
      <c r="U55" s="349"/>
      <c r="V55" s="373">
        <f>IF(NOT(ISERROR(MATCH(U55,'Tabla Impacto'!$B$222:$B$224,0))),'Tabla Impacto'!$F$224&amp;"Por favor no seleccionar los criterios de impacto(Afectación Económica o presupuestal y Pérdida Reputacional)",U55)</f>
        <v>0</v>
      </c>
      <c r="W55" s="374" t="str">
        <f>IF(OR(V55='Tabla Impacto'!$C$12,V55='Tabla Impacto'!$D$12),"Leve",IF(OR(V55='Tabla Impacto'!$C$13,V55='Tabla Impacto'!$D$13),"Menor",IF(OR(V55='Tabla Impacto'!$C$14,V55='Tabla Impacto'!$D$14),"Moderado",IF(OR(V55='Tabla Impacto'!$C$15,V55='Tabla Impacto'!$D$15),"Mayor",IF(OR(V55='Tabla Impacto'!$C$16,V55='Tabla Impacto'!$D$16),"Catastrófico","")))))</f>
        <v/>
      </c>
      <c r="X55" s="373" t="str">
        <f>IF(W55="","",IF(W55="Leve",0.2,IF(W55="Menor",0.4,IF(W55="Moderado",0.6,IF(W55="Mayor",0.8,IF(W55="Catastrófico",1,))))))</f>
        <v/>
      </c>
      <c r="Y55" s="360" t="str">
        <f>IF(OR(AND(S55="Muy Baja",W55="Leve"),AND(S55="Muy Baja",W55="Menor"),AND(S55="Baja",W55="Leve")),"Bajo",IF(OR(AND(S55="Muy baja",W55="Moderado"),AND(S55="Baja",W55="Menor"),AND(S55="Baja",W55="Moderado"),AND(S55="Media",W55="Leve"),AND(S55="Media",W55="Menor"),AND(S55="Media",W55="Moderado"),AND(S55="Alta",W55="Leve"),AND(S55="Alta",W55="Menor")),"Moderado",IF(OR(AND(S55="Muy Baja",W55="Mayor"),AND(S55="Baja",W55="Mayor"),AND(S55="Media",W55="Mayor"),AND(S55="Alta",W55="Moderado"),AND(S55="Alta",W55="Mayor"),AND(S55="Muy Alta",W55="Leve"),AND(S55="Muy Alta",W55="Menor"),AND(S55="Muy Alta",W55="Moderado"),AND(S55="Muy Alta",W55="Mayor")),"Alto",IF(OR(AND(S55="Muy Baja",W55="Catastrófico"),AND(S55="Baja",W55="Catastrófico"),AND(S55="Media",W55="Catastrófico"),AND(S55="Alta",W55="Catastrófico"),AND(S55="Muy Alta",W55="Catastrófico")),"Extremo",""))))</f>
        <v/>
      </c>
      <c r="Z55" s="214">
        <v>1</v>
      </c>
      <c r="AA55" s="187"/>
      <c r="AB55" s="189" t="str">
        <f>IF(OR(AC55="Preventivo",AC55="Detectivo"),"Probabilidad",IF(AC55="Correctivo","Impacto",""))</f>
        <v/>
      </c>
      <c r="AC55" s="190"/>
      <c r="AD55" s="190"/>
      <c r="AE55" s="191" t="str">
        <f>IF(AND(AC55="Preventivo",AD55="Automático"),"50%",IF(AND(AC55="Preventivo",AD55="Manual"),"40%",IF(AND(AC55="Detectivo",AD55="Automático"),"40%",IF(AND(AC55="Detectivo",AD55="Manual"),"30%",IF(AND(AC55="Correctivo",AD55="Automático"),"35%",IF(AND(AC55="Correctivo",AD55="Manual"),"25%",""))))))</f>
        <v/>
      </c>
      <c r="AF55" s="190"/>
      <c r="AG55" s="190"/>
      <c r="AH55" s="190"/>
      <c r="AI55" s="192" t="str">
        <f>IFERROR(IF(AB55="Probabilidad",(T55-(+T55*AE55)),IF(AB55="Impacto",T55,"")),"")</f>
        <v/>
      </c>
      <c r="AJ55" s="193" t="str">
        <f>IFERROR(IF(AI55="","",IF(AI55&lt;=0.2,"Muy Baja",IF(AI55&lt;=0.4,"Baja",IF(AI55&lt;=0.6,"Media",IF(AI55&lt;=0.8,"Alta","Muy Alta"))))),"")</f>
        <v/>
      </c>
      <c r="AK55" s="191" t="str">
        <f>+AI55</f>
        <v/>
      </c>
      <c r="AL55" s="193" t="str">
        <f>IFERROR(IF(AM55="","",IF(AM55&lt;=0.2,"Leve",IF(AM55&lt;=0.4,"Menor",IF(AM55&lt;=0.6,"Moderado",IF(AM55&lt;=0.8,"Mayor","Catastrófico"))))),"")</f>
        <v/>
      </c>
      <c r="AM55" s="191" t="str">
        <f t="shared" ref="AM55" si="62">IFERROR(IF(AB55="Impacto",(X55-(+X55*AE55)),IF(AB55="Probabilidad",X55,"")),"")</f>
        <v/>
      </c>
      <c r="AN55" s="194" t="str">
        <f>IFERROR(IF(OR(AND(AJ55="Muy Baja",AL55="Leve"),AND(AJ55="Muy Baja",AL55="Menor"),AND(AJ55="Baja",AL55="Leve")),"Bajo",IF(OR(AND(AJ55="Muy baja",AL55="Moderado"),AND(AJ55="Baja",AL55="Menor"),AND(AJ55="Baja",AL55="Moderado"),AND(AJ55="Media",AL55="Leve"),AND(AJ55="Media",AL55="Menor"),AND(AJ55="Media",AL55="Moderado"),AND(AJ55="Alta",AL55="Leve"),AND(AJ55="Alta",AL55="Menor")),"Moderado",IF(OR(AND(AJ55="Muy Baja",AL55="Mayor"),AND(AJ55="Baja",AL55="Mayor"),AND(AJ55="Media",AL55="Mayor"),AND(AJ55="Alta",AL55="Moderado"),AND(AJ55="Alta",AL55="Mayor"),AND(AJ55="Muy Alta",AL55="Leve"),AND(AJ55="Muy Alta",AL55="Menor"),AND(AJ55="Muy Alta",AL55="Moderado"),AND(AJ55="Muy Alta",AL55="Mayor")),"Alto",IF(OR(AND(AJ55="Muy Baja",AL55="Catastrófico"),AND(AJ55="Baja",AL55="Catastrófico"),AND(AJ55="Media",AL55="Catastrófico"),AND(AJ55="Alta",AL55="Catastrófico"),AND(AJ55="Muy Alta",AL55="Catastrófico")),"Extremo","")))),"")</f>
        <v/>
      </c>
      <c r="AO55" s="195"/>
      <c r="AP55" s="186"/>
      <c r="AQ55" s="196"/>
      <c r="AR55" s="196"/>
      <c r="AS55" s="197"/>
      <c r="AT55" s="376"/>
      <c r="AU55" s="376"/>
      <c r="AV55" s="376"/>
    </row>
    <row r="56" spans="1:48" x14ac:dyDescent="0.2">
      <c r="A56" s="419"/>
      <c r="B56" s="383"/>
      <c r="C56" s="383"/>
      <c r="D56" s="383"/>
      <c r="E56" s="383"/>
      <c r="F56" s="383"/>
      <c r="G56" s="358"/>
      <c r="H56" s="358"/>
      <c r="I56" s="358"/>
      <c r="J56" s="358"/>
      <c r="K56" s="358"/>
      <c r="L56" s="358"/>
      <c r="M56" s="358"/>
      <c r="N56" s="358"/>
      <c r="O56" s="358"/>
      <c r="P56" s="358"/>
      <c r="Q56" s="358"/>
      <c r="R56" s="376"/>
      <c r="S56" s="374"/>
      <c r="T56" s="373"/>
      <c r="U56" s="349"/>
      <c r="V56" s="373">
        <f>IF(NOT(ISERROR(MATCH(U56,_xlfn.ANCHORARRAY(E67),0))),T69&amp;"Por favor no seleccionar los criterios de impacto",U56)</f>
        <v>0</v>
      </c>
      <c r="W56" s="374"/>
      <c r="X56" s="373"/>
      <c r="Y56" s="360"/>
      <c r="Z56" s="214">
        <v>2</v>
      </c>
      <c r="AA56" s="187"/>
      <c r="AB56" s="189" t="str">
        <f>IF(OR(AC56="Preventivo",AC56="Detectivo"),"Probabilidad",IF(AC56="Correctivo","Impacto",""))</f>
        <v/>
      </c>
      <c r="AC56" s="190"/>
      <c r="AD56" s="190"/>
      <c r="AE56" s="191" t="str">
        <f t="shared" ref="AE56:AE60" si="63">IF(AND(AC56="Preventivo",AD56="Automático"),"50%",IF(AND(AC56="Preventivo",AD56="Manual"),"40%",IF(AND(AC56="Detectivo",AD56="Automático"),"40%",IF(AND(AC56="Detectivo",AD56="Manual"),"30%",IF(AND(AC56="Correctivo",AD56="Automático"),"35%",IF(AND(AC56="Correctivo",AD56="Manual"),"25%",""))))))</f>
        <v/>
      </c>
      <c r="AF56" s="190"/>
      <c r="AG56" s="190"/>
      <c r="AH56" s="190"/>
      <c r="AI56" s="192" t="str">
        <f>IFERROR(IF(AND(AB55="Probabilidad",AB56="Probabilidad"),(AK55-(+AK55*AE56)),IF(AB56="Probabilidad",(T55-(+T55*AE56)),IF(AB56="Impacto",AK55,""))),"")</f>
        <v/>
      </c>
      <c r="AJ56" s="193" t="str">
        <f t="shared" si="2"/>
        <v/>
      </c>
      <c r="AK56" s="191" t="str">
        <f t="shared" ref="AK56:AK60" si="64">+AI56</f>
        <v/>
      </c>
      <c r="AL56" s="193" t="str">
        <f t="shared" si="4"/>
        <v/>
      </c>
      <c r="AM56" s="191" t="str">
        <f t="shared" ref="AM56" si="65">IFERROR(IF(AND(AB55="Impacto",AB56="Impacto"),(AM55-(+AM55*AE56)),IF(AB56="Impacto",($X$13-(+$X$13*AE56)),IF(AB56="Probabilidad",AM55,""))),"")</f>
        <v/>
      </c>
      <c r="AN56" s="194" t="str">
        <f t="shared" ref="AN56:AN57" si="66">IFERROR(IF(OR(AND(AJ56="Muy Baja",AL56="Leve"),AND(AJ56="Muy Baja",AL56="Menor"),AND(AJ56="Baja",AL56="Leve")),"Bajo",IF(OR(AND(AJ56="Muy baja",AL56="Moderado"),AND(AJ56="Baja",AL56="Menor"),AND(AJ56="Baja",AL56="Moderado"),AND(AJ56="Media",AL56="Leve"),AND(AJ56="Media",AL56="Menor"),AND(AJ56="Media",AL56="Moderado"),AND(AJ56="Alta",AL56="Leve"),AND(AJ56="Alta",AL56="Menor")),"Moderado",IF(OR(AND(AJ56="Muy Baja",AL56="Mayor"),AND(AJ56="Baja",AL56="Mayor"),AND(AJ56="Media",AL56="Mayor"),AND(AJ56="Alta",AL56="Moderado"),AND(AJ56="Alta",AL56="Mayor"),AND(AJ56="Muy Alta",AL56="Leve"),AND(AJ56="Muy Alta",AL56="Menor"),AND(AJ56="Muy Alta",AL56="Moderado"),AND(AJ56="Muy Alta",AL56="Mayor")),"Alto",IF(OR(AND(AJ56="Muy Baja",AL56="Catastrófico"),AND(AJ56="Baja",AL56="Catastrófico"),AND(AJ56="Media",AL56="Catastrófico"),AND(AJ56="Alta",AL56="Catastrófico"),AND(AJ56="Muy Alta",AL56="Catastrófico")),"Extremo","")))),"")</f>
        <v/>
      </c>
      <c r="AO56" s="195"/>
      <c r="AP56" s="186"/>
      <c r="AQ56" s="196"/>
      <c r="AR56" s="196"/>
      <c r="AS56" s="197"/>
      <c r="AT56" s="376"/>
      <c r="AU56" s="376"/>
      <c r="AV56" s="376"/>
    </row>
    <row r="57" spans="1:48" x14ac:dyDescent="0.2">
      <c r="A57" s="419"/>
      <c r="B57" s="383"/>
      <c r="C57" s="383"/>
      <c r="D57" s="383"/>
      <c r="E57" s="383"/>
      <c r="F57" s="383"/>
      <c r="G57" s="358"/>
      <c r="H57" s="358"/>
      <c r="I57" s="358"/>
      <c r="J57" s="358"/>
      <c r="K57" s="358"/>
      <c r="L57" s="358"/>
      <c r="M57" s="358"/>
      <c r="N57" s="358"/>
      <c r="O57" s="358"/>
      <c r="P57" s="358"/>
      <c r="Q57" s="358"/>
      <c r="R57" s="376"/>
      <c r="S57" s="374"/>
      <c r="T57" s="373"/>
      <c r="U57" s="349"/>
      <c r="V57" s="373">
        <f>IF(NOT(ISERROR(MATCH(U57,_xlfn.ANCHORARRAY(E68),0))),T70&amp;"Por favor no seleccionar los criterios de impacto",U57)</f>
        <v>0</v>
      </c>
      <c r="W57" s="374"/>
      <c r="X57" s="373"/>
      <c r="Y57" s="360"/>
      <c r="Z57" s="214">
        <v>3</v>
      </c>
      <c r="AA57" s="188"/>
      <c r="AB57" s="189" t="str">
        <f>IF(OR(AC57="Preventivo",AC57="Detectivo"),"Probabilidad",IF(AC57="Correctivo","Impacto",""))</f>
        <v/>
      </c>
      <c r="AC57" s="190"/>
      <c r="AD57" s="190"/>
      <c r="AE57" s="191" t="str">
        <f t="shared" si="63"/>
        <v/>
      </c>
      <c r="AF57" s="190"/>
      <c r="AG57" s="190"/>
      <c r="AH57" s="190"/>
      <c r="AI57" s="192" t="str">
        <f>IFERROR(IF(AND(AB56="Probabilidad",AB57="Probabilidad"),(AK56-(+AK56*AE57)),IF(AND(AB56="Impacto",AB57="Probabilidad"),(AK55-(+AK55*AE57)),IF(AB57="Impacto",AK56,""))),"")</f>
        <v/>
      </c>
      <c r="AJ57" s="193" t="str">
        <f t="shared" si="2"/>
        <v/>
      </c>
      <c r="AK57" s="191" t="str">
        <f t="shared" si="64"/>
        <v/>
      </c>
      <c r="AL57" s="193" t="str">
        <f t="shared" si="4"/>
        <v/>
      </c>
      <c r="AM57" s="191" t="str">
        <f t="shared" ref="AM57" si="67">IFERROR(IF(AND(AB56="Impacto",AB57="Impacto"),(AM56-(+AM56*AE57)),IF(AND(AB56="Probabilidad",AB57="Impacto"),(AM55-(+AM55*AE57)),IF(AB57="Probabilidad",AM56,""))),"")</f>
        <v/>
      </c>
      <c r="AN57" s="194" t="str">
        <f t="shared" si="66"/>
        <v/>
      </c>
      <c r="AO57" s="195"/>
      <c r="AP57" s="186"/>
      <c r="AQ57" s="196"/>
      <c r="AR57" s="196"/>
      <c r="AS57" s="197"/>
      <c r="AT57" s="376"/>
      <c r="AU57" s="376"/>
      <c r="AV57" s="376"/>
    </row>
    <row r="58" spans="1:48" x14ac:dyDescent="0.2">
      <c r="A58" s="419"/>
      <c r="B58" s="383"/>
      <c r="C58" s="383"/>
      <c r="D58" s="383"/>
      <c r="E58" s="383"/>
      <c r="F58" s="383"/>
      <c r="G58" s="358"/>
      <c r="H58" s="358"/>
      <c r="I58" s="358"/>
      <c r="J58" s="358"/>
      <c r="K58" s="358"/>
      <c r="L58" s="358"/>
      <c r="M58" s="358"/>
      <c r="N58" s="358"/>
      <c r="O58" s="358"/>
      <c r="P58" s="358"/>
      <c r="Q58" s="358"/>
      <c r="R58" s="376"/>
      <c r="S58" s="374"/>
      <c r="T58" s="373"/>
      <c r="U58" s="349"/>
      <c r="V58" s="373">
        <f>IF(NOT(ISERROR(MATCH(U58,_xlfn.ANCHORARRAY(E69),0))),T71&amp;"Por favor no seleccionar los criterios de impacto",U58)</f>
        <v>0</v>
      </c>
      <c r="W58" s="374"/>
      <c r="X58" s="373"/>
      <c r="Y58" s="360"/>
      <c r="Z58" s="214">
        <v>4</v>
      </c>
      <c r="AA58" s="187"/>
      <c r="AB58" s="189" t="str">
        <f t="shared" ref="AB58:AB60" si="68">IF(OR(AC58="Preventivo",AC58="Detectivo"),"Probabilidad",IF(AC58="Correctivo","Impacto",""))</f>
        <v/>
      </c>
      <c r="AC58" s="190"/>
      <c r="AD58" s="190"/>
      <c r="AE58" s="191" t="str">
        <f t="shared" si="63"/>
        <v/>
      </c>
      <c r="AF58" s="190"/>
      <c r="AG58" s="190"/>
      <c r="AH58" s="190"/>
      <c r="AI58" s="192" t="str">
        <f t="shared" ref="AI58:AI60" si="69">IFERROR(IF(AND(AB57="Probabilidad",AB58="Probabilidad"),(AK57-(+AK57*AE58)),IF(AND(AB57="Impacto",AB58="Probabilidad"),(AK56-(+AK56*AE58)),IF(AB58="Impacto",AK57,""))),"")</f>
        <v/>
      </c>
      <c r="AJ58" s="193" t="str">
        <f t="shared" si="2"/>
        <v/>
      </c>
      <c r="AK58" s="191" t="str">
        <f t="shared" si="64"/>
        <v/>
      </c>
      <c r="AL58" s="193" t="str">
        <f t="shared" si="4"/>
        <v/>
      </c>
      <c r="AM58" s="191" t="str">
        <f t="shared" si="13"/>
        <v/>
      </c>
      <c r="AN58" s="194" t="str">
        <f>IFERROR(IF(OR(AND(AJ58="Muy Baja",AL58="Leve"),AND(AJ58="Muy Baja",AL58="Menor"),AND(AJ58="Baja",AL58="Leve")),"Bajo",IF(OR(AND(AJ58="Muy baja",AL58="Moderado"),AND(AJ58="Baja",AL58="Menor"),AND(AJ58="Baja",AL58="Moderado"),AND(AJ58="Media",AL58="Leve"),AND(AJ58="Media",AL58="Menor"),AND(AJ58="Media",AL58="Moderado"),AND(AJ58="Alta",AL58="Leve"),AND(AJ58="Alta",AL58="Menor")),"Moderado",IF(OR(AND(AJ58="Muy Baja",AL58="Mayor"),AND(AJ58="Baja",AL58="Mayor"),AND(AJ58="Media",AL58="Mayor"),AND(AJ58="Alta",AL58="Moderado"),AND(AJ58="Alta",AL58="Mayor"),AND(AJ58="Muy Alta",AL58="Leve"),AND(AJ58="Muy Alta",AL58="Menor"),AND(AJ58="Muy Alta",AL58="Moderado"),AND(AJ58="Muy Alta",AL58="Mayor")),"Alto",IF(OR(AND(AJ58="Muy Baja",AL58="Catastrófico"),AND(AJ58="Baja",AL58="Catastrófico"),AND(AJ58="Media",AL58="Catastrófico"),AND(AJ58="Alta",AL58="Catastrófico"),AND(AJ58="Muy Alta",AL58="Catastrófico")),"Extremo","")))),"")</f>
        <v/>
      </c>
      <c r="AO58" s="195"/>
      <c r="AP58" s="186"/>
      <c r="AQ58" s="196"/>
      <c r="AR58" s="196"/>
      <c r="AS58" s="197"/>
      <c r="AT58" s="376"/>
      <c r="AU58" s="376"/>
      <c r="AV58" s="376"/>
    </row>
    <row r="59" spans="1:48" x14ac:dyDescent="0.2">
      <c r="A59" s="419"/>
      <c r="B59" s="383"/>
      <c r="C59" s="383"/>
      <c r="D59" s="383"/>
      <c r="E59" s="383"/>
      <c r="F59" s="383"/>
      <c r="G59" s="358"/>
      <c r="H59" s="358"/>
      <c r="I59" s="358"/>
      <c r="J59" s="358"/>
      <c r="K59" s="358"/>
      <c r="L59" s="358"/>
      <c r="M59" s="358"/>
      <c r="N59" s="358"/>
      <c r="O59" s="358"/>
      <c r="P59" s="358"/>
      <c r="Q59" s="358"/>
      <c r="R59" s="376"/>
      <c r="S59" s="374"/>
      <c r="T59" s="373"/>
      <c r="U59" s="349"/>
      <c r="V59" s="373">
        <f>IF(NOT(ISERROR(MATCH(U59,_xlfn.ANCHORARRAY(E70),0))),T72&amp;"Por favor no seleccionar los criterios de impacto",U59)</f>
        <v>0</v>
      </c>
      <c r="W59" s="374"/>
      <c r="X59" s="373"/>
      <c r="Y59" s="360"/>
      <c r="Z59" s="214">
        <v>5</v>
      </c>
      <c r="AA59" s="187"/>
      <c r="AB59" s="189" t="str">
        <f t="shared" si="68"/>
        <v/>
      </c>
      <c r="AC59" s="190"/>
      <c r="AD59" s="190"/>
      <c r="AE59" s="191" t="str">
        <f t="shared" si="63"/>
        <v/>
      </c>
      <c r="AF59" s="190"/>
      <c r="AG59" s="190"/>
      <c r="AH59" s="190"/>
      <c r="AI59" s="192" t="str">
        <f t="shared" si="69"/>
        <v/>
      </c>
      <c r="AJ59" s="193" t="str">
        <f t="shared" si="2"/>
        <v/>
      </c>
      <c r="AK59" s="191" t="str">
        <f t="shared" si="64"/>
        <v/>
      </c>
      <c r="AL59" s="193" t="str">
        <f t="shared" si="4"/>
        <v/>
      </c>
      <c r="AM59" s="191" t="str">
        <f t="shared" si="13"/>
        <v/>
      </c>
      <c r="AN59" s="194" t="str">
        <f t="shared" ref="AN59:AN60" si="70">IFERROR(IF(OR(AND(AJ59="Muy Baja",AL59="Leve"),AND(AJ59="Muy Baja",AL59="Menor"),AND(AJ59="Baja",AL59="Leve")),"Bajo",IF(OR(AND(AJ59="Muy baja",AL59="Moderado"),AND(AJ59="Baja",AL59="Menor"),AND(AJ59="Baja",AL59="Moderado"),AND(AJ59="Media",AL59="Leve"),AND(AJ59="Media",AL59="Menor"),AND(AJ59="Media",AL59="Moderado"),AND(AJ59="Alta",AL59="Leve"),AND(AJ59="Alta",AL59="Menor")),"Moderado",IF(OR(AND(AJ59="Muy Baja",AL59="Mayor"),AND(AJ59="Baja",AL59="Mayor"),AND(AJ59="Media",AL59="Mayor"),AND(AJ59="Alta",AL59="Moderado"),AND(AJ59="Alta",AL59="Mayor"),AND(AJ59="Muy Alta",AL59="Leve"),AND(AJ59="Muy Alta",AL59="Menor"),AND(AJ59="Muy Alta",AL59="Moderado"),AND(AJ59="Muy Alta",AL59="Mayor")),"Alto",IF(OR(AND(AJ59="Muy Baja",AL59="Catastrófico"),AND(AJ59="Baja",AL59="Catastrófico"),AND(AJ59="Media",AL59="Catastrófico"),AND(AJ59="Alta",AL59="Catastrófico"),AND(AJ59="Muy Alta",AL59="Catastrófico")),"Extremo","")))),"")</f>
        <v/>
      </c>
      <c r="AO59" s="195"/>
      <c r="AP59" s="186"/>
      <c r="AQ59" s="196"/>
      <c r="AR59" s="196"/>
      <c r="AS59" s="197"/>
      <c r="AT59" s="376"/>
      <c r="AU59" s="376"/>
      <c r="AV59" s="376"/>
    </row>
    <row r="60" spans="1:48" x14ac:dyDescent="0.2">
      <c r="A60" s="419"/>
      <c r="B60" s="383"/>
      <c r="C60" s="383"/>
      <c r="D60" s="383"/>
      <c r="E60" s="383"/>
      <c r="F60" s="383"/>
      <c r="G60" s="369"/>
      <c r="H60" s="369"/>
      <c r="I60" s="369"/>
      <c r="J60" s="369"/>
      <c r="K60" s="369"/>
      <c r="L60" s="369"/>
      <c r="M60" s="369"/>
      <c r="N60" s="369"/>
      <c r="O60" s="369"/>
      <c r="P60" s="369"/>
      <c r="Q60" s="369"/>
      <c r="R60" s="376"/>
      <c r="S60" s="374"/>
      <c r="T60" s="373"/>
      <c r="U60" s="349"/>
      <c r="V60" s="373">
        <f>IF(NOT(ISERROR(MATCH(U60,_xlfn.ANCHORARRAY(E71),0))),U73&amp;"Por favor no seleccionar los criterios de impacto",U60)</f>
        <v>0</v>
      </c>
      <c r="W60" s="374"/>
      <c r="X60" s="373"/>
      <c r="Y60" s="360"/>
      <c r="Z60" s="214">
        <v>6</v>
      </c>
      <c r="AA60" s="187"/>
      <c r="AB60" s="189" t="str">
        <f t="shared" si="68"/>
        <v/>
      </c>
      <c r="AC60" s="190"/>
      <c r="AD60" s="190"/>
      <c r="AE60" s="191" t="str">
        <f t="shared" si="63"/>
        <v/>
      </c>
      <c r="AF60" s="190"/>
      <c r="AG60" s="190"/>
      <c r="AH60" s="190"/>
      <c r="AI60" s="192" t="str">
        <f t="shared" si="69"/>
        <v/>
      </c>
      <c r="AJ60" s="193" t="str">
        <f t="shared" si="2"/>
        <v/>
      </c>
      <c r="AK60" s="191" t="str">
        <f t="shared" si="64"/>
        <v/>
      </c>
      <c r="AL60" s="193" t="str">
        <f t="shared" si="4"/>
        <v/>
      </c>
      <c r="AM60" s="191" t="str">
        <f t="shared" si="13"/>
        <v/>
      </c>
      <c r="AN60" s="194" t="str">
        <f t="shared" si="70"/>
        <v/>
      </c>
      <c r="AO60" s="195"/>
      <c r="AP60" s="186"/>
      <c r="AQ60" s="196"/>
      <c r="AR60" s="196"/>
      <c r="AS60" s="197"/>
      <c r="AT60" s="376"/>
      <c r="AU60" s="376"/>
      <c r="AV60" s="376"/>
    </row>
    <row r="61" spans="1:48" x14ac:dyDescent="0.2">
      <c r="A61" s="419">
        <v>9</v>
      </c>
      <c r="B61" s="383"/>
      <c r="C61" s="383"/>
      <c r="D61" s="383"/>
      <c r="E61" s="383"/>
      <c r="F61" s="383"/>
      <c r="G61" s="388"/>
      <c r="H61" s="388"/>
      <c r="I61" s="388"/>
      <c r="J61" s="388"/>
      <c r="K61" s="388"/>
      <c r="L61" s="388"/>
      <c r="M61" s="221"/>
      <c r="N61" s="221"/>
      <c r="O61" s="221"/>
      <c r="P61" s="388"/>
      <c r="Q61" s="388"/>
      <c r="R61" s="376"/>
      <c r="S61" s="374" t="str">
        <f>IF(R61&lt;=0,"",IF(R61&lt;=2,"Muy Baja",IF(R61&lt;=24,"Baja",IF(R61&lt;=500,"Media",IF(R61&lt;=5000,"Alta","Muy Alta")))))</f>
        <v/>
      </c>
      <c r="T61" s="373" t="str">
        <f>IF(S61="","",IF(S61="Muy Baja",0.2,IF(S61="Baja",0.4,IF(S61="Media",0.6,IF(S61="Alta",0.8,IF(S61="Muy Alta",1,))))))</f>
        <v/>
      </c>
      <c r="U61" s="349"/>
      <c r="V61" s="373">
        <f>IF(NOT(ISERROR(MATCH(U61,'Tabla Impacto'!$B$222:$B$224,0))),'Tabla Impacto'!$F$224&amp;"Por favor no seleccionar los criterios de impacto(Afectación Económica o presupuestal y Pérdida Reputacional)",U61)</f>
        <v>0</v>
      </c>
      <c r="W61" s="374" t="str">
        <f>IF(OR(V61='Tabla Impacto'!$C$12,V61='Tabla Impacto'!$D$12),"Leve",IF(OR(V61='Tabla Impacto'!$C$13,V61='Tabla Impacto'!$D$13),"Menor",IF(OR(V61='Tabla Impacto'!$C$14,V61='Tabla Impacto'!$D$14),"Moderado",IF(OR(V61='Tabla Impacto'!$C$15,V61='Tabla Impacto'!$D$15),"Mayor",IF(OR(V61='Tabla Impacto'!$C$16,V61='Tabla Impacto'!$D$16),"Catastrófico","")))))</f>
        <v/>
      </c>
      <c r="X61" s="373" t="str">
        <f>IF(W61="","",IF(W61="Leve",0.2,IF(W61="Menor",0.4,IF(W61="Moderado",0.6,IF(W61="Mayor",0.8,IF(W61="Catastrófico",1,))))))</f>
        <v/>
      </c>
      <c r="Y61" s="360" t="str">
        <f>IF(OR(AND(S61="Muy Baja",W61="Leve"),AND(S61="Muy Baja",W61="Menor"),AND(S61="Baja",W61="Leve")),"Bajo",IF(OR(AND(S61="Muy baja",W61="Moderado"),AND(S61="Baja",W61="Menor"),AND(S61="Baja",W61="Moderado"),AND(S61="Media",W61="Leve"),AND(S61="Media",W61="Menor"),AND(S61="Media",W61="Moderado"),AND(S61="Alta",W61="Leve"),AND(S61="Alta",W61="Menor")),"Moderado",IF(OR(AND(S61="Muy Baja",W61="Mayor"),AND(S61="Baja",W61="Mayor"),AND(S61="Media",W61="Mayor"),AND(S61="Alta",W61="Moderado"),AND(S61="Alta",W61="Mayor"),AND(S61="Muy Alta",W61="Leve"),AND(S61="Muy Alta",W61="Menor"),AND(S61="Muy Alta",W61="Moderado"),AND(S61="Muy Alta",W61="Mayor")),"Alto",IF(OR(AND(S61="Muy Baja",W61="Catastrófico"),AND(S61="Baja",W61="Catastrófico"),AND(S61="Media",W61="Catastrófico"),AND(S61="Alta",W61="Catastrófico"),AND(S61="Muy Alta",W61="Catastrófico")),"Extremo",""))))</f>
        <v/>
      </c>
      <c r="Z61" s="214">
        <v>1</v>
      </c>
      <c r="AA61" s="187"/>
      <c r="AB61" s="189" t="str">
        <f>IF(OR(AC61="Preventivo",AC61="Detectivo"),"Probabilidad",IF(AC61="Correctivo","Impacto",""))</f>
        <v/>
      </c>
      <c r="AC61" s="190"/>
      <c r="AD61" s="190"/>
      <c r="AE61" s="191" t="str">
        <f>IF(AND(AC61="Preventivo",AD61="Automático"),"50%",IF(AND(AC61="Preventivo",AD61="Manual"),"40%",IF(AND(AC61="Detectivo",AD61="Automático"),"40%",IF(AND(AC61="Detectivo",AD61="Manual"),"30%",IF(AND(AC61="Correctivo",AD61="Automático"),"35%",IF(AND(AC61="Correctivo",AD61="Manual"),"25%",""))))))</f>
        <v/>
      </c>
      <c r="AF61" s="190"/>
      <c r="AG61" s="190"/>
      <c r="AH61" s="190"/>
      <c r="AI61" s="192" t="str">
        <f>IFERROR(IF(AB61="Probabilidad",(T61-(+T61*AE61)),IF(AB61="Impacto",T61,"")),"")</f>
        <v/>
      </c>
      <c r="AJ61" s="193" t="str">
        <f>IFERROR(IF(AI61="","",IF(AI61&lt;=0.2,"Muy Baja",IF(AI61&lt;=0.4,"Baja",IF(AI61&lt;=0.6,"Media",IF(AI61&lt;=0.8,"Alta","Muy Alta"))))),"")</f>
        <v/>
      </c>
      <c r="AK61" s="191" t="str">
        <f>+AI61</f>
        <v/>
      </c>
      <c r="AL61" s="193" t="str">
        <f>IFERROR(IF(AM61="","",IF(AM61&lt;=0.2,"Leve",IF(AM61&lt;=0.4,"Menor",IF(AM61&lt;=0.6,"Moderado",IF(AM61&lt;=0.8,"Mayor","Catastrófico"))))),"")</f>
        <v/>
      </c>
      <c r="AM61" s="191" t="str">
        <f t="shared" ref="AM61" si="71">IFERROR(IF(AB61="Impacto",(X61-(+X61*AE61)),IF(AB61="Probabilidad",X61,"")),"")</f>
        <v/>
      </c>
      <c r="AN61" s="194" t="str">
        <f>IFERROR(IF(OR(AND(AJ61="Muy Baja",AL61="Leve"),AND(AJ61="Muy Baja",AL61="Menor"),AND(AJ61="Baja",AL61="Leve")),"Bajo",IF(OR(AND(AJ61="Muy baja",AL61="Moderado"),AND(AJ61="Baja",AL61="Menor"),AND(AJ61="Baja",AL61="Moderado"),AND(AJ61="Media",AL61="Leve"),AND(AJ61="Media",AL61="Menor"),AND(AJ61="Media",AL61="Moderado"),AND(AJ61="Alta",AL61="Leve"),AND(AJ61="Alta",AL61="Menor")),"Moderado",IF(OR(AND(AJ61="Muy Baja",AL61="Mayor"),AND(AJ61="Baja",AL61="Mayor"),AND(AJ61="Media",AL61="Mayor"),AND(AJ61="Alta",AL61="Moderado"),AND(AJ61="Alta",AL61="Mayor"),AND(AJ61="Muy Alta",AL61="Leve"),AND(AJ61="Muy Alta",AL61="Menor"),AND(AJ61="Muy Alta",AL61="Moderado"),AND(AJ61="Muy Alta",AL61="Mayor")),"Alto",IF(OR(AND(AJ61="Muy Baja",AL61="Catastrófico"),AND(AJ61="Baja",AL61="Catastrófico"),AND(AJ61="Media",AL61="Catastrófico"),AND(AJ61="Alta",AL61="Catastrófico"),AND(AJ61="Muy Alta",AL61="Catastrófico")),"Extremo","")))),"")</f>
        <v/>
      </c>
      <c r="AO61" s="195"/>
      <c r="AP61" s="186"/>
      <c r="AQ61" s="196"/>
      <c r="AR61" s="196"/>
      <c r="AS61" s="197"/>
      <c r="AT61" s="376"/>
      <c r="AU61" s="376"/>
      <c r="AV61" s="376"/>
    </row>
    <row r="62" spans="1:48" x14ac:dyDescent="0.2">
      <c r="A62" s="419"/>
      <c r="B62" s="383"/>
      <c r="C62" s="383"/>
      <c r="D62" s="383"/>
      <c r="E62" s="383"/>
      <c r="F62" s="383"/>
      <c r="G62" s="358"/>
      <c r="H62" s="358"/>
      <c r="I62" s="358"/>
      <c r="J62" s="358"/>
      <c r="K62" s="358"/>
      <c r="L62" s="358"/>
      <c r="M62" s="222"/>
      <c r="N62" s="222"/>
      <c r="O62" s="222"/>
      <c r="P62" s="358"/>
      <c r="Q62" s="358"/>
      <c r="R62" s="376"/>
      <c r="S62" s="374"/>
      <c r="T62" s="373"/>
      <c r="U62" s="349"/>
      <c r="V62" s="373">
        <f>IF(NOT(ISERROR(MATCH(U62,_xlfn.ANCHORARRAY(F73),0))),U75&amp;"Por favor no seleccionar los criterios de impacto",U62)</f>
        <v>0</v>
      </c>
      <c r="W62" s="374"/>
      <c r="X62" s="373"/>
      <c r="Y62" s="360"/>
      <c r="Z62" s="214">
        <v>2</v>
      </c>
      <c r="AA62" s="187"/>
      <c r="AB62" s="189" t="str">
        <f>IF(OR(AC62="Preventivo",AC62="Detectivo"),"Probabilidad",IF(AC62="Correctivo","Impacto",""))</f>
        <v/>
      </c>
      <c r="AC62" s="190"/>
      <c r="AD62" s="190"/>
      <c r="AE62" s="191" t="str">
        <f t="shared" ref="AE62:AE66" si="72">IF(AND(AC62="Preventivo",AD62="Automático"),"50%",IF(AND(AC62="Preventivo",AD62="Manual"),"40%",IF(AND(AC62="Detectivo",AD62="Automático"),"40%",IF(AND(AC62="Detectivo",AD62="Manual"),"30%",IF(AND(AC62="Correctivo",AD62="Automático"),"35%",IF(AND(AC62="Correctivo",AD62="Manual"),"25%",""))))))</f>
        <v/>
      </c>
      <c r="AF62" s="190"/>
      <c r="AG62" s="190"/>
      <c r="AH62" s="190"/>
      <c r="AI62" s="192" t="str">
        <f>IFERROR(IF(AND(AB61="Probabilidad",AB62="Probabilidad"),(AK61-(+AK61*AE62)),IF(AB62="Probabilidad",(T61-(+T61*AE62)),IF(AB62="Impacto",AK61,""))),"")</f>
        <v/>
      </c>
      <c r="AJ62" s="193" t="str">
        <f t="shared" si="2"/>
        <v/>
      </c>
      <c r="AK62" s="191" t="str">
        <f t="shared" ref="AK62:AK66" si="73">+AI62</f>
        <v/>
      </c>
      <c r="AL62" s="193" t="str">
        <f t="shared" si="4"/>
        <v/>
      </c>
      <c r="AM62" s="191" t="str">
        <f t="shared" ref="AM62" si="74">IFERROR(IF(AND(AB61="Impacto",AB62="Impacto"),(AM61-(+AM61*AE62)),IF(AB62="Impacto",($X$13-(+$X$13*AE62)),IF(AB62="Probabilidad",AM61,""))),"")</f>
        <v/>
      </c>
      <c r="AN62" s="194" t="str">
        <f t="shared" ref="AN62:AN63" si="75">IFERROR(IF(OR(AND(AJ62="Muy Baja",AL62="Leve"),AND(AJ62="Muy Baja",AL62="Menor"),AND(AJ62="Baja",AL62="Leve")),"Bajo",IF(OR(AND(AJ62="Muy baja",AL62="Moderado"),AND(AJ62="Baja",AL62="Menor"),AND(AJ62="Baja",AL62="Moderado"),AND(AJ62="Media",AL62="Leve"),AND(AJ62="Media",AL62="Menor"),AND(AJ62="Media",AL62="Moderado"),AND(AJ62="Alta",AL62="Leve"),AND(AJ62="Alta",AL62="Menor")),"Moderado",IF(OR(AND(AJ62="Muy Baja",AL62="Mayor"),AND(AJ62="Baja",AL62="Mayor"),AND(AJ62="Media",AL62="Mayor"),AND(AJ62="Alta",AL62="Moderado"),AND(AJ62="Alta",AL62="Mayor"),AND(AJ62="Muy Alta",AL62="Leve"),AND(AJ62="Muy Alta",AL62="Menor"),AND(AJ62="Muy Alta",AL62="Moderado"),AND(AJ62="Muy Alta",AL62="Mayor")),"Alto",IF(OR(AND(AJ62="Muy Baja",AL62="Catastrófico"),AND(AJ62="Baja",AL62="Catastrófico"),AND(AJ62="Media",AL62="Catastrófico"),AND(AJ62="Alta",AL62="Catastrófico"),AND(AJ62="Muy Alta",AL62="Catastrófico")),"Extremo","")))),"")</f>
        <v/>
      </c>
      <c r="AO62" s="195"/>
      <c r="AP62" s="186"/>
      <c r="AQ62" s="196"/>
      <c r="AR62" s="196"/>
      <c r="AS62" s="197"/>
      <c r="AT62" s="376"/>
      <c r="AU62" s="376"/>
      <c r="AV62" s="376"/>
    </row>
    <row r="63" spans="1:48" x14ac:dyDescent="0.2">
      <c r="A63" s="419"/>
      <c r="B63" s="383"/>
      <c r="C63" s="383"/>
      <c r="D63" s="383"/>
      <c r="E63" s="383"/>
      <c r="F63" s="383"/>
      <c r="G63" s="358"/>
      <c r="H63" s="358"/>
      <c r="I63" s="358"/>
      <c r="J63" s="358"/>
      <c r="K63" s="358"/>
      <c r="L63" s="358"/>
      <c r="M63" s="222"/>
      <c r="N63" s="222"/>
      <c r="O63" s="222"/>
      <c r="P63" s="358"/>
      <c r="Q63" s="358"/>
      <c r="R63" s="376"/>
      <c r="S63" s="374"/>
      <c r="T63" s="373"/>
      <c r="U63" s="349"/>
      <c r="V63" s="373">
        <f>IF(NOT(ISERROR(MATCH(U63,_xlfn.ANCHORARRAY(F74),0))),U76&amp;"Por favor no seleccionar los criterios de impacto",U63)</f>
        <v>0</v>
      </c>
      <c r="W63" s="374"/>
      <c r="X63" s="373"/>
      <c r="Y63" s="360"/>
      <c r="Z63" s="214">
        <v>3</v>
      </c>
      <c r="AA63" s="187"/>
      <c r="AB63" s="189" t="str">
        <f>IF(OR(AC63="Preventivo",AC63="Detectivo"),"Probabilidad",IF(AC63="Correctivo","Impacto",""))</f>
        <v/>
      </c>
      <c r="AC63" s="190"/>
      <c r="AD63" s="190"/>
      <c r="AE63" s="191" t="str">
        <f t="shared" si="72"/>
        <v/>
      </c>
      <c r="AF63" s="190"/>
      <c r="AG63" s="190"/>
      <c r="AH63" s="190"/>
      <c r="AI63" s="192" t="str">
        <f>IFERROR(IF(AND(AB62="Probabilidad",AB63="Probabilidad"),(AK62-(+AK62*AE63)),IF(AND(AB62="Impacto",AB63="Probabilidad"),(AK61-(+AK61*AE63)),IF(AB63="Impacto",AK62,""))),"")</f>
        <v/>
      </c>
      <c r="AJ63" s="193" t="str">
        <f t="shared" si="2"/>
        <v/>
      </c>
      <c r="AK63" s="191" t="str">
        <f t="shared" si="73"/>
        <v/>
      </c>
      <c r="AL63" s="193" t="str">
        <f t="shared" si="4"/>
        <v/>
      </c>
      <c r="AM63" s="191" t="str">
        <f t="shared" ref="AM63" si="76">IFERROR(IF(AND(AB62="Impacto",AB63="Impacto"),(AM62-(+AM62*AE63)),IF(AND(AB62="Probabilidad",AB63="Impacto"),(AM61-(+AM61*AE63)),IF(AB63="Probabilidad",AM62,""))),"")</f>
        <v/>
      </c>
      <c r="AN63" s="194" t="str">
        <f t="shared" si="75"/>
        <v/>
      </c>
      <c r="AO63" s="195"/>
      <c r="AP63" s="186"/>
      <c r="AQ63" s="196"/>
      <c r="AR63" s="196"/>
      <c r="AS63" s="197"/>
      <c r="AT63" s="376"/>
      <c r="AU63" s="376"/>
      <c r="AV63" s="376"/>
    </row>
    <row r="64" spans="1:48" x14ac:dyDescent="0.2">
      <c r="A64" s="419"/>
      <c r="B64" s="383"/>
      <c r="C64" s="383"/>
      <c r="D64" s="383"/>
      <c r="E64" s="383"/>
      <c r="F64" s="383"/>
      <c r="G64" s="358"/>
      <c r="H64" s="358"/>
      <c r="I64" s="358"/>
      <c r="J64" s="358"/>
      <c r="K64" s="358"/>
      <c r="L64" s="358"/>
      <c r="M64" s="222"/>
      <c r="N64" s="222"/>
      <c r="O64" s="222"/>
      <c r="P64" s="358"/>
      <c r="Q64" s="358"/>
      <c r="R64" s="376"/>
      <c r="S64" s="374"/>
      <c r="T64" s="373"/>
      <c r="U64" s="349"/>
      <c r="V64" s="373">
        <f>IF(NOT(ISERROR(MATCH(U64,_xlfn.ANCHORARRAY(F75),0))),U77&amp;"Por favor no seleccionar los criterios de impacto",U64)</f>
        <v>0</v>
      </c>
      <c r="W64" s="374"/>
      <c r="X64" s="373"/>
      <c r="Y64" s="360"/>
      <c r="Z64" s="214">
        <v>4</v>
      </c>
      <c r="AA64" s="187"/>
      <c r="AB64" s="189" t="str">
        <f t="shared" ref="AB64:AB66" si="77">IF(OR(AC64="Preventivo",AC64="Detectivo"),"Probabilidad",IF(AC64="Correctivo","Impacto",""))</f>
        <v/>
      </c>
      <c r="AC64" s="190"/>
      <c r="AD64" s="190"/>
      <c r="AE64" s="191" t="str">
        <f t="shared" si="72"/>
        <v/>
      </c>
      <c r="AF64" s="190"/>
      <c r="AG64" s="190"/>
      <c r="AH64" s="190"/>
      <c r="AI64" s="192" t="str">
        <f t="shared" ref="AI64:AI66" si="78">IFERROR(IF(AND(AB63="Probabilidad",AB64="Probabilidad"),(AK63-(+AK63*AE64)),IF(AND(AB63="Impacto",AB64="Probabilidad"),(AK62-(+AK62*AE64)),IF(AB64="Impacto",AK63,""))),"")</f>
        <v/>
      </c>
      <c r="AJ64" s="193" t="str">
        <f t="shared" si="2"/>
        <v/>
      </c>
      <c r="AK64" s="191" t="str">
        <f t="shared" si="73"/>
        <v/>
      </c>
      <c r="AL64" s="193" t="str">
        <f t="shared" si="4"/>
        <v/>
      </c>
      <c r="AM64" s="191" t="str">
        <f t="shared" si="13"/>
        <v/>
      </c>
      <c r="AN64" s="194" t="str">
        <f>IFERROR(IF(OR(AND(AJ64="Muy Baja",AL64="Leve"),AND(AJ64="Muy Baja",AL64="Menor"),AND(AJ64="Baja",AL64="Leve")),"Bajo",IF(OR(AND(AJ64="Muy baja",AL64="Moderado"),AND(AJ64="Baja",AL64="Menor"),AND(AJ64="Baja",AL64="Moderado"),AND(AJ64="Media",AL64="Leve"),AND(AJ64="Media",AL64="Menor"),AND(AJ64="Media",AL64="Moderado"),AND(AJ64="Alta",AL64="Leve"),AND(AJ64="Alta",AL64="Menor")),"Moderado",IF(OR(AND(AJ64="Muy Baja",AL64="Mayor"),AND(AJ64="Baja",AL64="Mayor"),AND(AJ64="Media",AL64="Mayor"),AND(AJ64="Alta",AL64="Moderado"),AND(AJ64="Alta",AL64="Mayor"),AND(AJ64="Muy Alta",AL64="Leve"),AND(AJ64="Muy Alta",AL64="Menor"),AND(AJ64="Muy Alta",AL64="Moderado"),AND(AJ64="Muy Alta",AL64="Mayor")),"Alto",IF(OR(AND(AJ64="Muy Baja",AL64="Catastrófico"),AND(AJ64="Baja",AL64="Catastrófico"),AND(AJ64="Media",AL64="Catastrófico"),AND(AJ64="Alta",AL64="Catastrófico"),AND(AJ64="Muy Alta",AL64="Catastrófico")),"Extremo","")))),"")</f>
        <v/>
      </c>
      <c r="AO64" s="195"/>
      <c r="AP64" s="186"/>
      <c r="AQ64" s="196"/>
      <c r="AR64" s="196"/>
      <c r="AS64" s="197"/>
      <c r="AT64" s="376"/>
      <c r="AU64" s="376"/>
      <c r="AV64" s="376"/>
    </row>
    <row r="65" spans="1:48" x14ac:dyDescent="0.2">
      <c r="A65" s="419"/>
      <c r="B65" s="383"/>
      <c r="C65" s="383"/>
      <c r="D65" s="383"/>
      <c r="E65" s="383"/>
      <c r="F65" s="383"/>
      <c r="G65" s="358"/>
      <c r="H65" s="358"/>
      <c r="I65" s="358"/>
      <c r="J65" s="358"/>
      <c r="K65" s="358"/>
      <c r="L65" s="358"/>
      <c r="M65" s="222"/>
      <c r="N65" s="222"/>
      <c r="O65" s="222"/>
      <c r="P65" s="358"/>
      <c r="Q65" s="358"/>
      <c r="R65" s="376"/>
      <c r="S65" s="374"/>
      <c r="T65" s="373"/>
      <c r="U65" s="349"/>
      <c r="V65" s="373">
        <f>IF(NOT(ISERROR(MATCH(U65,_xlfn.ANCHORARRAY(F76),0))),U78&amp;"Por favor no seleccionar los criterios de impacto",U65)</f>
        <v>0</v>
      </c>
      <c r="W65" s="374"/>
      <c r="X65" s="373"/>
      <c r="Y65" s="360"/>
      <c r="Z65" s="214">
        <v>5</v>
      </c>
      <c r="AA65" s="187"/>
      <c r="AB65" s="189" t="str">
        <f t="shared" si="77"/>
        <v/>
      </c>
      <c r="AC65" s="190"/>
      <c r="AD65" s="190"/>
      <c r="AE65" s="191" t="str">
        <f t="shared" si="72"/>
        <v/>
      </c>
      <c r="AF65" s="190"/>
      <c r="AG65" s="190"/>
      <c r="AH65" s="190"/>
      <c r="AI65" s="192" t="str">
        <f t="shared" si="78"/>
        <v/>
      </c>
      <c r="AJ65" s="193" t="str">
        <f t="shared" si="2"/>
        <v/>
      </c>
      <c r="AK65" s="191" t="str">
        <f t="shared" si="73"/>
        <v/>
      </c>
      <c r="AL65" s="193" t="str">
        <f t="shared" si="4"/>
        <v/>
      </c>
      <c r="AM65" s="191" t="str">
        <f t="shared" si="13"/>
        <v/>
      </c>
      <c r="AN65" s="194" t="str">
        <f t="shared" ref="AN65:AN66" si="79">IFERROR(IF(OR(AND(AJ65="Muy Baja",AL65="Leve"),AND(AJ65="Muy Baja",AL65="Menor"),AND(AJ65="Baja",AL65="Leve")),"Bajo",IF(OR(AND(AJ65="Muy baja",AL65="Moderado"),AND(AJ65="Baja",AL65="Menor"),AND(AJ65="Baja",AL65="Moderado"),AND(AJ65="Media",AL65="Leve"),AND(AJ65="Media",AL65="Menor"),AND(AJ65="Media",AL65="Moderado"),AND(AJ65="Alta",AL65="Leve"),AND(AJ65="Alta",AL65="Menor")),"Moderado",IF(OR(AND(AJ65="Muy Baja",AL65="Mayor"),AND(AJ65="Baja",AL65="Mayor"),AND(AJ65="Media",AL65="Mayor"),AND(AJ65="Alta",AL65="Moderado"),AND(AJ65="Alta",AL65="Mayor"),AND(AJ65="Muy Alta",AL65="Leve"),AND(AJ65="Muy Alta",AL65="Menor"),AND(AJ65="Muy Alta",AL65="Moderado"),AND(AJ65="Muy Alta",AL65="Mayor")),"Alto",IF(OR(AND(AJ65="Muy Baja",AL65="Catastrófico"),AND(AJ65="Baja",AL65="Catastrófico"),AND(AJ65="Media",AL65="Catastrófico"),AND(AJ65="Alta",AL65="Catastrófico"),AND(AJ65="Muy Alta",AL65="Catastrófico")),"Extremo","")))),"")</f>
        <v/>
      </c>
      <c r="AO65" s="195"/>
      <c r="AP65" s="186"/>
      <c r="AQ65" s="196"/>
      <c r="AR65" s="196"/>
      <c r="AS65" s="197"/>
      <c r="AT65" s="376"/>
      <c r="AU65" s="376"/>
      <c r="AV65" s="376"/>
    </row>
    <row r="66" spans="1:48" x14ac:dyDescent="0.2">
      <c r="A66" s="419"/>
      <c r="B66" s="383"/>
      <c r="C66" s="383"/>
      <c r="D66" s="383"/>
      <c r="E66" s="383"/>
      <c r="F66" s="383"/>
      <c r="G66" s="369"/>
      <c r="H66" s="369"/>
      <c r="I66" s="369"/>
      <c r="J66" s="369"/>
      <c r="K66" s="369"/>
      <c r="L66" s="369"/>
      <c r="M66" s="223"/>
      <c r="N66" s="223"/>
      <c r="O66" s="223"/>
      <c r="P66" s="369"/>
      <c r="Q66" s="369"/>
      <c r="R66" s="376"/>
      <c r="S66" s="374"/>
      <c r="T66" s="373"/>
      <c r="U66" s="349"/>
      <c r="V66" s="373">
        <f>IF(NOT(ISERROR(MATCH(U66,_xlfn.ANCHORARRAY(F77),0))),U79&amp;"Por favor no seleccionar los criterios de impacto",U66)</f>
        <v>0</v>
      </c>
      <c r="W66" s="374"/>
      <c r="X66" s="373"/>
      <c r="Y66" s="360"/>
      <c r="Z66" s="214">
        <v>6</v>
      </c>
      <c r="AA66" s="187"/>
      <c r="AB66" s="189" t="str">
        <f t="shared" si="77"/>
        <v/>
      </c>
      <c r="AC66" s="190"/>
      <c r="AD66" s="190"/>
      <c r="AE66" s="191" t="str">
        <f t="shared" si="72"/>
        <v/>
      </c>
      <c r="AF66" s="190"/>
      <c r="AG66" s="190"/>
      <c r="AH66" s="190"/>
      <c r="AI66" s="192" t="str">
        <f t="shared" si="78"/>
        <v/>
      </c>
      <c r="AJ66" s="193" t="str">
        <f t="shared" si="2"/>
        <v/>
      </c>
      <c r="AK66" s="191" t="str">
        <f t="shared" si="73"/>
        <v/>
      </c>
      <c r="AL66" s="193" t="str">
        <f t="shared" si="4"/>
        <v/>
      </c>
      <c r="AM66" s="191" t="str">
        <f t="shared" si="13"/>
        <v/>
      </c>
      <c r="AN66" s="194" t="str">
        <f t="shared" si="79"/>
        <v/>
      </c>
      <c r="AO66" s="195"/>
      <c r="AP66" s="186"/>
      <c r="AQ66" s="196"/>
      <c r="AR66" s="196"/>
      <c r="AS66" s="197"/>
      <c r="AT66" s="376"/>
      <c r="AU66" s="376"/>
      <c r="AV66" s="376"/>
    </row>
    <row r="67" spans="1:48" x14ac:dyDescent="0.2">
      <c r="A67" s="419">
        <v>10</v>
      </c>
      <c r="B67" s="383"/>
      <c r="C67" s="383"/>
      <c r="D67" s="383"/>
      <c r="E67" s="383"/>
      <c r="F67" s="383"/>
      <c r="G67" s="388"/>
      <c r="H67" s="388"/>
      <c r="I67" s="388"/>
      <c r="J67" s="388"/>
      <c r="K67" s="388"/>
      <c r="L67" s="388"/>
      <c r="M67" s="221"/>
      <c r="N67" s="221"/>
      <c r="O67" s="221"/>
      <c r="P67" s="388"/>
      <c r="Q67" s="388"/>
      <c r="R67" s="376"/>
      <c r="S67" s="374" t="str">
        <f>IF(R67&lt;=0,"",IF(R67&lt;=2,"Muy Baja",IF(R67&lt;=24,"Baja",IF(R67&lt;=500,"Media",IF(R67&lt;=5000,"Alta","Muy Alta")))))</f>
        <v/>
      </c>
      <c r="T67" s="373" t="str">
        <f>IF(S67="","",IF(S67="Muy Baja",0.2,IF(S67="Baja",0.4,IF(S67="Media",0.6,IF(S67="Alta",0.8,IF(S67="Muy Alta",1,))))))</f>
        <v/>
      </c>
      <c r="U67" s="349"/>
      <c r="V67" s="373">
        <f>IF(NOT(ISERROR(MATCH(U67,'Tabla Impacto'!$B$222:$B$224,0))),'Tabla Impacto'!$F$224&amp;"Por favor no seleccionar los criterios de impacto(Afectación Económica o presupuestal y Pérdida Reputacional)",U67)</f>
        <v>0</v>
      </c>
      <c r="W67" s="374" t="str">
        <f>IF(OR(V67='Tabla Impacto'!$C$12,V67='Tabla Impacto'!$D$12),"Leve",IF(OR(V67='Tabla Impacto'!$C$13,V67='Tabla Impacto'!$D$13),"Menor",IF(OR(V67='Tabla Impacto'!$C$14,V67='Tabla Impacto'!$D$14),"Moderado",IF(OR(V67='Tabla Impacto'!$C$15,V67='Tabla Impacto'!$D$15),"Mayor",IF(OR(V67='Tabla Impacto'!$C$16,V67='Tabla Impacto'!$D$16),"Catastrófico","")))))</f>
        <v/>
      </c>
      <c r="X67" s="373" t="str">
        <f>IF(W67="","",IF(W67="Leve",0.2,IF(W67="Menor",0.4,IF(W67="Moderado",0.6,IF(W67="Mayor",0.8,IF(W67="Catastrófico",1,))))))</f>
        <v/>
      </c>
      <c r="Y67" s="360" t="str">
        <f>IF(OR(AND(S67="Muy Baja",W67="Leve"),AND(S67="Muy Baja",W67="Menor"),AND(S67="Baja",W67="Leve")),"Bajo",IF(OR(AND(S67="Muy baja",W67="Moderado"),AND(S67="Baja",W67="Menor"),AND(S67="Baja",W67="Moderado"),AND(S67="Media",W67="Leve"),AND(S67="Media",W67="Menor"),AND(S67="Media",W67="Moderado"),AND(S67="Alta",W67="Leve"),AND(S67="Alta",W67="Menor")),"Moderado",IF(OR(AND(S67="Muy Baja",W67="Mayor"),AND(S67="Baja",W67="Mayor"),AND(S67="Media",W67="Mayor"),AND(S67="Alta",W67="Moderado"),AND(S67="Alta",W67="Mayor"),AND(S67="Muy Alta",W67="Leve"),AND(S67="Muy Alta",W67="Menor"),AND(S67="Muy Alta",W67="Moderado"),AND(S67="Muy Alta",W67="Mayor")),"Alto",IF(OR(AND(S67="Muy Baja",W67="Catastrófico"),AND(S67="Baja",W67="Catastrófico"),AND(S67="Media",W67="Catastrófico"),AND(S67="Alta",W67="Catastrófico"),AND(S67="Muy Alta",W67="Catastrófico")),"Extremo",""))))</f>
        <v/>
      </c>
      <c r="Z67" s="214">
        <v>1</v>
      </c>
      <c r="AA67" s="187"/>
      <c r="AB67" s="189" t="str">
        <f>IF(OR(AC67="Preventivo",AC67="Detectivo"),"Probabilidad",IF(AC67="Correctivo","Impacto",""))</f>
        <v/>
      </c>
      <c r="AC67" s="190"/>
      <c r="AD67" s="190"/>
      <c r="AE67" s="191" t="str">
        <f>IF(AND(AC67="Preventivo",AD67="Automático"),"50%",IF(AND(AC67="Preventivo",AD67="Manual"),"40%",IF(AND(AC67="Detectivo",AD67="Automático"),"40%",IF(AND(AC67="Detectivo",AD67="Manual"),"30%",IF(AND(AC67="Correctivo",AD67="Automático"),"35%",IF(AND(AC67="Correctivo",AD67="Manual"),"25%",""))))))</f>
        <v/>
      </c>
      <c r="AF67" s="190"/>
      <c r="AG67" s="190"/>
      <c r="AH67" s="190"/>
      <c r="AI67" s="192" t="str">
        <f>IFERROR(IF(AB67="Probabilidad",(T67-(+T67*AE67)),IF(AB67="Impacto",T67,"")),"")</f>
        <v/>
      </c>
      <c r="AJ67" s="193" t="str">
        <f>IFERROR(IF(AI67="","",IF(AI67&lt;=0.2,"Muy Baja",IF(AI67&lt;=0.4,"Baja",IF(AI67&lt;=0.6,"Media",IF(AI67&lt;=0.8,"Alta","Muy Alta"))))),"")</f>
        <v/>
      </c>
      <c r="AK67" s="191" t="str">
        <f>+AI67</f>
        <v/>
      </c>
      <c r="AL67" s="193" t="str">
        <f>IFERROR(IF(AM67="","",IF(AM67&lt;=0.2,"Leve",IF(AM67&lt;=0.4,"Menor",IF(AM67&lt;=0.6,"Moderado",IF(AM67&lt;=0.8,"Mayor","Catastrófico"))))),"")</f>
        <v/>
      </c>
      <c r="AM67" s="191" t="str">
        <f t="shared" ref="AM67" si="80">IFERROR(IF(AB67="Impacto",(X67-(+X67*AE67)),IF(AB67="Probabilidad",X67,"")),"")</f>
        <v/>
      </c>
      <c r="AN67" s="194" t="str">
        <f>IFERROR(IF(OR(AND(AJ67="Muy Baja",AL67="Leve"),AND(AJ67="Muy Baja",AL67="Menor"),AND(AJ67="Baja",AL67="Leve")),"Bajo",IF(OR(AND(AJ67="Muy baja",AL67="Moderado"),AND(AJ67="Baja",AL67="Menor"),AND(AJ67="Baja",AL67="Moderado"),AND(AJ67="Media",AL67="Leve"),AND(AJ67="Media",AL67="Menor"),AND(AJ67="Media",AL67="Moderado"),AND(AJ67="Alta",AL67="Leve"),AND(AJ67="Alta",AL67="Menor")),"Moderado",IF(OR(AND(AJ67="Muy Baja",AL67="Mayor"),AND(AJ67="Baja",AL67="Mayor"),AND(AJ67="Media",AL67="Mayor"),AND(AJ67="Alta",AL67="Moderado"),AND(AJ67="Alta",AL67="Mayor"),AND(AJ67="Muy Alta",AL67="Leve"),AND(AJ67="Muy Alta",AL67="Menor"),AND(AJ67="Muy Alta",AL67="Moderado"),AND(AJ67="Muy Alta",AL67="Mayor")),"Alto",IF(OR(AND(AJ67="Muy Baja",AL67="Catastrófico"),AND(AJ67="Baja",AL67="Catastrófico"),AND(AJ67="Media",AL67="Catastrófico"),AND(AJ67="Alta",AL67="Catastrófico"),AND(AJ67="Muy Alta",AL67="Catastrófico")),"Extremo","")))),"")</f>
        <v/>
      </c>
      <c r="AO67" s="195"/>
      <c r="AP67" s="186"/>
      <c r="AQ67" s="196"/>
      <c r="AR67" s="196"/>
      <c r="AS67" s="197"/>
      <c r="AT67" s="376"/>
      <c r="AU67" s="376"/>
      <c r="AV67" s="376"/>
    </row>
    <row r="68" spans="1:48" x14ac:dyDescent="0.2">
      <c r="A68" s="419"/>
      <c r="B68" s="383"/>
      <c r="C68" s="383"/>
      <c r="D68" s="383"/>
      <c r="E68" s="383"/>
      <c r="F68" s="383"/>
      <c r="G68" s="358"/>
      <c r="H68" s="358"/>
      <c r="I68" s="358"/>
      <c r="J68" s="358"/>
      <c r="K68" s="358"/>
      <c r="L68" s="358"/>
      <c r="M68" s="222"/>
      <c r="N68" s="222"/>
      <c r="O68" s="222"/>
      <c r="P68" s="358"/>
      <c r="Q68" s="358"/>
      <c r="R68" s="376"/>
      <c r="S68" s="374"/>
      <c r="T68" s="373"/>
      <c r="U68" s="349"/>
      <c r="V68" s="373">
        <f>IF(NOT(ISERROR(MATCH(U68,_xlfn.ANCHORARRAY(F79),0))),U81&amp;"Por favor no seleccionar los criterios de impacto",U68)</f>
        <v>0</v>
      </c>
      <c r="W68" s="374"/>
      <c r="X68" s="373"/>
      <c r="Y68" s="360"/>
      <c r="Z68" s="214">
        <v>2</v>
      </c>
      <c r="AA68" s="187"/>
      <c r="AB68" s="189" t="str">
        <f>IF(OR(AC68="Preventivo",AC68="Detectivo"),"Probabilidad",IF(AC68="Correctivo","Impacto",""))</f>
        <v/>
      </c>
      <c r="AC68" s="190"/>
      <c r="AD68" s="190"/>
      <c r="AE68" s="191" t="str">
        <f t="shared" ref="AE68:AE72" si="81">IF(AND(AC68="Preventivo",AD68="Automático"),"50%",IF(AND(AC68="Preventivo",AD68="Manual"),"40%",IF(AND(AC68="Detectivo",AD68="Automático"),"40%",IF(AND(AC68="Detectivo",AD68="Manual"),"30%",IF(AND(AC68="Correctivo",AD68="Automático"),"35%",IF(AND(AC68="Correctivo",AD68="Manual"),"25%",""))))))</f>
        <v/>
      </c>
      <c r="AF68" s="190"/>
      <c r="AG68" s="190"/>
      <c r="AH68" s="190"/>
      <c r="AI68" s="192" t="str">
        <f>IFERROR(IF(AND(AB67="Probabilidad",AB68="Probabilidad"),(AK67-(+AK67*AE68)),IF(AB68="Probabilidad",(T67-(+T67*AE68)),IF(AB68="Impacto",AK67,""))),"")</f>
        <v/>
      </c>
      <c r="AJ68" s="193" t="str">
        <f t="shared" si="2"/>
        <v/>
      </c>
      <c r="AK68" s="191" t="str">
        <f t="shared" ref="AK68:AK72" si="82">+AI68</f>
        <v/>
      </c>
      <c r="AL68" s="193" t="str">
        <f t="shared" si="4"/>
        <v/>
      </c>
      <c r="AM68" s="191" t="str">
        <f t="shared" ref="AM68" si="83">IFERROR(IF(AND(AB67="Impacto",AB68="Impacto"),(AM67-(+AM67*AE68)),IF(AB68="Impacto",($X$13-(+$X$13*AE68)),IF(AB68="Probabilidad",AM67,""))),"")</f>
        <v/>
      </c>
      <c r="AN68" s="194" t="str">
        <f t="shared" ref="AN68:AN69" si="84">IFERROR(IF(OR(AND(AJ68="Muy Baja",AL68="Leve"),AND(AJ68="Muy Baja",AL68="Menor"),AND(AJ68="Baja",AL68="Leve")),"Bajo",IF(OR(AND(AJ68="Muy baja",AL68="Moderado"),AND(AJ68="Baja",AL68="Menor"),AND(AJ68="Baja",AL68="Moderado"),AND(AJ68="Media",AL68="Leve"),AND(AJ68="Media",AL68="Menor"),AND(AJ68="Media",AL68="Moderado"),AND(AJ68="Alta",AL68="Leve"),AND(AJ68="Alta",AL68="Menor")),"Moderado",IF(OR(AND(AJ68="Muy Baja",AL68="Mayor"),AND(AJ68="Baja",AL68="Mayor"),AND(AJ68="Media",AL68="Mayor"),AND(AJ68="Alta",AL68="Moderado"),AND(AJ68="Alta",AL68="Mayor"),AND(AJ68="Muy Alta",AL68="Leve"),AND(AJ68="Muy Alta",AL68="Menor"),AND(AJ68="Muy Alta",AL68="Moderado"),AND(AJ68="Muy Alta",AL68="Mayor")),"Alto",IF(OR(AND(AJ68="Muy Baja",AL68="Catastrófico"),AND(AJ68="Baja",AL68="Catastrófico"),AND(AJ68="Media",AL68="Catastrófico"),AND(AJ68="Alta",AL68="Catastrófico"),AND(AJ68="Muy Alta",AL68="Catastrófico")),"Extremo","")))),"")</f>
        <v/>
      </c>
      <c r="AO68" s="195"/>
      <c r="AP68" s="186"/>
      <c r="AQ68" s="196"/>
      <c r="AR68" s="196"/>
      <c r="AS68" s="197"/>
      <c r="AT68" s="376"/>
      <c r="AU68" s="376"/>
      <c r="AV68" s="376"/>
    </row>
    <row r="69" spans="1:48" x14ac:dyDescent="0.2">
      <c r="A69" s="419"/>
      <c r="B69" s="383"/>
      <c r="C69" s="383"/>
      <c r="D69" s="383"/>
      <c r="E69" s="383"/>
      <c r="F69" s="383"/>
      <c r="G69" s="358"/>
      <c r="H69" s="358"/>
      <c r="I69" s="358"/>
      <c r="J69" s="358"/>
      <c r="K69" s="358"/>
      <c r="L69" s="358"/>
      <c r="M69" s="222"/>
      <c r="N69" s="222"/>
      <c r="O69" s="222"/>
      <c r="P69" s="358"/>
      <c r="Q69" s="358"/>
      <c r="R69" s="376"/>
      <c r="S69" s="374"/>
      <c r="T69" s="373"/>
      <c r="U69" s="349"/>
      <c r="V69" s="373">
        <f>IF(NOT(ISERROR(MATCH(U69,_xlfn.ANCHORARRAY(F80),0))),U82&amp;"Por favor no seleccionar los criterios de impacto",U69)</f>
        <v>0</v>
      </c>
      <c r="W69" s="374"/>
      <c r="X69" s="373"/>
      <c r="Y69" s="360"/>
      <c r="Z69" s="214">
        <v>3</v>
      </c>
      <c r="AA69" s="187"/>
      <c r="AB69" s="189" t="str">
        <f>IF(OR(AC69="Preventivo",AC69="Detectivo"),"Probabilidad",IF(AC69="Correctivo","Impacto",""))</f>
        <v/>
      </c>
      <c r="AC69" s="190"/>
      <c r="AD69" s="190"/>
      <c r="AE69" s="191" t="str">
        <f t="shared" si="81"/>
        <v/>
      </c>
      <c r="AF69" s="190"/>
      <c r="AG69" s="190"/>
      <c r="AH69" s="190"/>
      <c r="AI69" s="192" t="str">
        <f>IFERROR(IF(AND(AB68="Probabilidad",AB69="Probabilidad"),(AK68-(+AK68*AE69)),IF(AND(AB68="Impacto",AB69="Probabilidad"),(AK67-(+AK67*AE69)),IF(AB69="Impacto",AK68,""))),"")</f>
        <v/>
      </c>
      <c r="AJ69" s="193" t="str">
        <f t="shared" si="2"/>
        <v/>
      </c>
      <c r="AK69" s="191" t="str">
        <f t="shared" si="82"/>
        <v/>
      </c>
      <c r="AL69" s="193" t="str">
        <f t="shared" si="4"/>
        <v/>
      </c>
      <c r="AM69" s="191" t="str">
        <f t="shared" ref="AM69" si="85">IFERROR(IF(AND(AB68="Impacto",AB69="Impacto"),(AM68-(+AM68*AE69)),IF(AND(AB68="Probabilidad",AB69="Impacto"),(AM67-(+AM67*AE69)),IF(AB69="Probabilidad",AM68,""))),"")</f>
        <v/>
      </c>
      <c r="AN69" s="194" t="str">
        <f t="shared" si="84"/>
        <v/>
      </c>
      <c r="AO69" s="195"/>
      <c r="AP69" s="186"/>
      <c r="AQ69" s="196"/>
      <c r="AR69" s="196"/>
      <c r="AS69" s="197"/>
      <c r="AT69" s="376"/>
      <c r="AU69" s="376"/>
      <c r="AV69" s="376"/>
    </row>
    <row r="70" spans="1:48" x14ac:dyDescent="0.2">
      <c r="A70" s="419"/>
      <c r="B70" s="383"/>
      <c r="C70" s="383"/>
      <c r="D70" s="383"/>
      <c r="E70" s="383"/>
      <c r="F70" s="383"/>
      <c r="G70" s="358"/>
      <c r="H70" s="358"/>
      <c r="I70" s="358"/>
      <c r="J70" s="358"/>
      <c r="K70" s="358"/>
      <c r="L70" s="358"/>
      <c r="M70" s="222"/>
      <c r="N70" s="222"/>
      <c r="O70" s="222"/>
      <c r="P70" s="358"/>
      <c r="Q70" s="358"/>
      <c r="R70" s="376"/>
      <c r="S70" s="374"/>
      <c r="T70" s="373"/>
      <c r="U70" s="349"/>
      <c r="V70" s="373">
        <f>IF(NOT(ISERROR(MATCH(U70,_xlfn.ANCHORARRAY(F81),0))),U83&amp;"Por favor no seleccionar los criterios de impacto",U70)</f>
        <v>0</v>
      </c>
      <c r="W70" s="374"/>
      <c r="X70" s="373"/>
      <c r="Y70" s="360"/>
      <c r="Z70" s="214">
        <v>4</v>
      </c>
      <c r="AA70" s="187"/>
      <c r="AB70" s="189" t="str">
        <f t="shared" ref="AB70:AB72" si="86">IF(OR(AC70="Preventivo",AC70="Detectivo"),"Probabilidad",IF(AC70="Correctivo","Impacto",""))</f>
        <v/>
      </c>
      <c r="AC70" s="190"/>
      <c r="AD70" s="190"/>
      <c r="AE70" s="191" t="str">
        <f t="shared" si="81"/>
        <v/>
      </c>
      <c r="AF70" s="190"/>
      <c r="AG70" s="190"/>
      <c r="AH70" s="190"/>
      <c r="AI70" s="192" t="str">
        <f t="shared" ref="AI70:AI72" si="87">IFERROR(IF(AND(AB69="Probabilidad",AB70="Probabilidad"),(AK69-(+AK69*AE70)),IF(AND(AB69="Impacto",AB70="Probabilidad"),(AK68-(+AK68*AE70)),IF(AB70="Impacto",AK69,""))),"")</f>
        <v/>
      </c>
      <c r="AJ70" s="193" t="str">
        <f t="shared" si="2"/>
        <v/>
      </c>
      <c r="AK70" s="191" t="str">
        <f t="shared" si="82"/>
        <v/>
      </c>
      <c r="AL70" s="193" t="str">
        <f t="shared" si="4"/>
        <v/>
      </c>
      <c r="AM70" s="191" t="str">
        <f t="shared" si="13"/>
        <v/>
      </c>
      <c r="AN70" s="194" t="str">
        <f>IFERROR(IF(OR(AND(AJ70="Muy Baja",AL70="Leve"),AND(AJ70="Muy Baja",AL70="Menor"),AND(AJ70="Baja",AL70="Leve")),"Bajo",IF(OR(AND(AJ70="Muy baja",AL70="Moderado"),AND(AJ70="Baja",AL70="Menor"),AND(AJ70="Baja",AL70="Moderado"),AND(AJ70="Media",AL70="Leve"),AND(AJ70="Media",AL70="Menor"),AND(AJ70="Media",AL70="Moderado"),AND(AJ70="Alta",AL70="Leve"),AND(AJ70="Alta",AL70="Menor")),"Moderado",IF(OR(AND(AJ70="Muy Baja",AL70="Mayor"),AND(AJ70="Baja",AL70="Mayor"),AND(AJ70="Media",AL70="Mayor"),AND(AJ70="Alta",AL70="Moderado"),AND(AJ70="Alta",AL70="Mayor"),AND(AJ70="Muy Alta",AL70="Leve"),AND(AJ70="Muy Alta",AL70="Menor"),AND(AJ70="Muy Alta",AL70="Moderado"),AND(AJ70="Muy Alta",AL70="Mayor")),"Alto",IF(OR(AND(AJ70="Muy Baja",AL70="Catastrófico"),AND(AJ70="Baja",AL70="Catastrófico"),AND(AJ70="Media",AL70="Catastrófico"),AND(AJ70="Alta",AL70="Catastrófico"),AND(AJ70="Muy Alta",AL70="Catastrófico")),"Extremo","")))),"")</f>
        <v/>
      </c>
      <c r="AO70" s="195"/>
      <c r="AP70" s="186"/>
      <c r="AQ70" s="196"/>
      <c r="AR70" s="196"/>
      <c r="AS70" s="197"/>
      <c r="AT70" s="376"/>
      <c r="AU70" s="376"/>
      <c r="AV70" s="376"/>
    </row>
    <row r="71" spans="1:48" x14ac:dyDescent="0.2">
      <c r="A71" s="419"/>
      <c r="B71" s="383"/>
      <c r="C71" s="383"/>
      <c r="D71" s="383"/>
      <c r="E71" s="383"/>
      <c r="F71" s="383"/>
      <c r="G71" s="358"/>
      <c r="H71" s="358"/>
      <c r="I71" s="358"/>
      <c r="J71" s="358"/>
      <c r="K71" s="358"/>
      <c r="L71" s="358"/>
      <c r="M71" s="222"/>
      <c r="N71" s="222"/>
      <c r="O71" s="222"/>
      <c r="P71" s="358"/>
      <c r="Q71" s="358"/>
      <c r="R71" s="376"/>
      <c r="S71" s="374"/>
      <c r="T71" s="373"/>
      <c r="U71" s="349"/>
      <c r="V71" s="373">
        <f>IF(NOT(ISERROR(MATCH(U71,_xlfn.ANCHORARRAY(F82),0))),U84&amp;"Por favor no seleccionar los criterios de impacto",U71)</f>
        <v>0</v>
      </c>
      <c r="W71" s="374"/>
      <c r="X71" s="373"/>
      <c r="Y71" s="360"/>
      <c r="Z71" s="214">
        <v>5</v>
      </c>
      <c r="AA71" s="187"/>
      <c r="AB71" s="189" t="str">
        <f t="shared" si="86"/>
        <v/>
      </c>
      <c r="AC71" s="190"/>
      <c r="AD71" s="190"/>
      <c r="AE71" s="191" t="str">
        <f t="shared" si="81"/>
        <v/>
      </c>
      <c r="AF71" s="190"/>
      <c r="AG71" s="190"/>
      <c r="AH71" s="190"/>
      <c r="AI71" s="192" t="str">
        <f t="shared" si="87"/>
        <v/>
      </c>
      <c r="AJ71" s="193" t="str">
        <f t="shared" si="2"/>
        <v/>
      </c>
      <c r="AK71" s="191" t="str">
        <f t="shared" si="82"/>
        <v/>
      </c>
      <c r="AL71" s="193" t="str">
        <f t="shared" si="4"/>
        <v/>
      </c>
      <c r="AM71" s="191" t="str">
        <f t="shared" si="13"/>
        <v/>
      </c>
      <c r="AN71" s="194" t="str">
        <f t="shared" ref="AN71:AN72" si="88">IFERROR(IF(OR(AND(AJ71="Muy Baja",AL71="Leve"),AND(AJ71="Muy Baja",AL71="Menor"),AND(AJ71="Baja",AL71="Leve")),"Bajo",IF(OR(AND(AJ71="Muy baja",AL71="Moderado"),AND(AJ71="Baja",AL71="Menor"),AND(AJ71="Baja",AL71="Moderado"),AND(AJ71="Media",AL71="Leve"),AND(AJ71="Media",AL71="Menor"),AND(AJ71="Media",AL71="Moderado"),AND(AJ71="Alta",AL71="Leve"),AND(AJ71="Alta",AL71="Menor")),"Moderado",IF(OR(AND(AJ71="Muy Baja",AL71="Mayor"),AND(AJ71="Baja",AL71="Mayor"),AND(AJ71="Media",AL71="Mayor"),AND(AJ71="Alta",AL71="Moderado"),AND(AJ71="Alta",AL71="Mayor"),AND(AJ71="Muy Alta",AL71="Leve"),AND(AJ71="Muy Alta",AL71="Menor"),AND(AJ71="Muy Alta",AL71="Moderado"),AND(AJ71="Muy Alta",AL71="Mayor")),"Alto",IF(OR(AND(AJ71="Muy Baja",AL71="Catastrófico"),AND(AJ71="Baja",AL71="Catastrófico"),AND(AJ71="Media",AL71="Catastrófico"),AND(AJ71="Alta",AL71="Catastrófico"),AND(AJ71="Muy Alta",AL71="Catastrófico")),"Extremo","")))),"")</f>
        <v/>
      </c>
      <c r="AO71" s="195"/>
      <c r="AP71" s="186"/>
      <c r="AQ71" s="196"/>
      <c r="AR71" s="196"/>
      <c r="AS71" s="197"/>
      <c r="AT71" s="376"/>
      <c r="AU71" s="376"/>
      <c r="AV71" s="376"/>
    </row>
    <row r="72" spans="1:48" x14ac:dyDescent="0.2">
      <c r="A72" s="419"/>
      <c r="B72" s="383"/>
      <c r="C72" s="383"/>
      <c r="D72" s="383"/>
      <c r="E72" s="383"/>
      <c r="F72" s="383"/>
      <c r="G72" s="369"/>
      <c r="H72" s="369"/>
      <c r="I72" s="369"/>
      <c r="J72" s="369"/>
      <c r="K72" s="369"/>
      <c r="L72" s="369"/>
      <c r="M72" s="223"/>
      <c r="N72" s="223"/>
      <c r="O72" s="223"/>
      <c r="P72" s="369"/>
      <c r="Q72" s="369"/>
      <c r="R72" s="376"/>
      <c r="S72" s="374"/>
      <c r="T72" s="373"/>
      <c r="U72" s="349"/>
      <c r="V72" s="373">
        <f>IF(NOT(ISERROR(MATCH(U72,_xlfn.ANCHORARRAY(F83),0))),U85&amp;"Por favor no seleccionar los criterios de impacto",U72)</f>
        <v>0</v>
      </c>
      <c r="W72" s="374"/>
      <c r="X72" s="373"/>
      <c r="Y72" s="360"/>
      <c r="Z72" s="214">
        <v>6</v>
      </c>
      <c r="AA72" s="187"/>
      <c r="AB72" s="189" t="str">
        <f t="shared" si="86"/>
        <v/>
      </c>
      <c r="AC72" s="190"/>
      <c r="AD72" s="190"/>
      <c r="AE72" s="191" t="str">
        <f t="shared" si="81"/>
        <v/>
      </c>
      <c r="AF72" s="190"/>
      <c r="AG72" s="190"/>
      <c r="AH72" s="190"/>
      <c r="AI72" s="192" t="str">
        <f t="shared" si="87"/>
        <v/>
      </c>
      <c r="AJ72" s="193" t="str">
        <f t="shared" si="2"/>
        <v/>
      </c>
      <c r="AK72" s="191" t="str">
        <f t="shared" si="82"/>
        <v/>
      </c>
      <c r="AL72" s="193" t="str">
        <f t="shared" si="4"/>
        <v/>
      </c>
      <c r="AM72" s="191" t="str">
        <f t="shared" si="13"/>
        <v/>
      </c>
      <c r="AN72" s="194" t="str">
        <f t="shared" si="88"/>
        <v/>
      </c>
      <c r="AO72" s="195"/>
      <c r="AP72" s="186"/>
      <c r="AQ72" s="196"/>
      <c r="AR72" s="196"/>
      <c r="AS72" s="197"/>
      <c r="AT72" s="376"/>
      <c r="AU72" s="376"/>
      <c r="AV72" s="376"/>
    </row>
    <row r="73" spans="1:48" ht="49.5" customHeight="1" x14ac:dyDescent="0.2">
      <c r="A73" s="216"/>
      <c r="B73" s="423" t="s">
        <v>261</v>
      </c>
      <c r="C73" s="424"/>
      <c r="D73" s="424"/>
      <c r="E73" s="424"/>
      <c r="F73" s="424"/>
      <c r="G73" s="424"/>
      <c r="H73" s="424"/>
      <c r="I73" s="424"/>
      <c r="J73" s="424"/>
      <c r="K73" s="424"/>
      <c r="L73" s="424"/>
      <c r="M73" s="424"/>
      <c r="N73" s="424"/>
      <c r="O73" s="424"/>
      <c r="P73" s="424"/>
      <c r="Q73" s="424"/>
      <c r="R73" s="424"/>
      <c r="S73" s="424"/>
      <c r="T73" s="424"/>
      <c r="U73" s="424"/>
      <c r="V73" s="424"/>
      <c r="W73" s="424"/>
      <c r="X73" s="424"/>
      <c r="Y73" s="424"/>
      <c r="Z73" s="424"/>
      <c r="AA73" s="424"/>
      <c r="AB73" s="424"/>
      <c r="AC73" s="424"/>
      <c r="AD73" s="424"/>
      <c r="AE73" s="424"/>
      <c r="AF73" s="424"/>
      <c r="AG73" s="424"/>
      <c r="AH73" s="424"/>
      <c r="AI73" s="424"/>
      <c r="AJ73" s="424"/>
      <c r="AK73" s="424"/>
      <c r="AL73" s="424"/>
      <c r="AM73" s="424"/>
      <c r="AN73" s="424"/>
      <c r="AO73" s="424"/>
      <c r="AP73" s="424"/>
      <c r="AQ73" s="424"/>
      <c r="AR73" s="424"/>
      <c r="AS73" s="424"/>
      <c r="AT73" s="424"/>
    </row>
    <row r="75" spans="1:48" ht="15.75" x14ac:dyDescent="0.2">
      <c r="A75" s="198"/>
      <c r="B75" s="206" t="s">
        <v>262</v>
      </c>
      <c r="C75" s="198"/>
      <c r="D75" s="198"/>
      <c r="E75" s="198"/>
      <c r="R75" s="198"/>
    </row>
  </sheetData>
  <dataConsolidate/>
  <mergeCells count="343">
    <mergeCell ref="C6:T6"/>
    <mergeCell ref="W6:Y6"/>
    <mergeCell ref="Z6:AR6"/>
    <mergeCell ref="C7:T7"/>
    <mergeCell ref="Z7:AR7"/>
    <mergeCell ref="C8:T8"/>
    <mergeCell ref="Z8:AR8"/>
    <mergeCell ref="A6:B6"/>
    <mergeCell ref="A7:B7"/>
    <mergeCell ref="A8:B8"/>
    <mergeCell ref="A1:C4"/>
    <mergeCell ref="D1:T2"/>
    <mergeCell ref="X1:AR2"/>
    <mergeCell ref="D3:I3"/>
    <mergeCell ref="J3:T3"/>
    <mergeCell ref="X3:AL3"/>
    <mergeCell ref="AM3:AR3"/>
    <mergeCell ref="D4:T4"/>
    <mergeCell ref="X4:AR4"/>
    <mergeCell ref="K10:O10"/>
    <mergeCell ref="P10:Q10"/>
    <mergeCell ref="T10:Z10"/>
    <mergeCell ref="AA10:AI10"/>
    <mergeCell ref="AJ10:AN10"/>
    <mergeCell ref="AO10:AS10"/>
    <mergeCell ref="AT10:AV10"/>
    <mergeCell ref="A11:A12"/>
    <mergeCell ref="B11:B12"/>
    <mergeCell ref="C11:C12"/>
    <mergeCell ref="D11:D12"/>
    <mergeCell ref="E11:E12"/>
    <mergeCell ref="F11:F12"/>
    <mergeCell ref="K11:K12"/>
    <mergeCell ref="L11:L12"/>
    <mergeCell ref="M11:M12"/>
    <mergeCell ref="I11:I12"/>
    <mergeCell ref="J11:J12"/>
    <mergeCell ref="AS11:AS12"/>
    <mergeCell ref="AT11:AT12"/>
    <mergeCell ref="AU11:AU12"/>
    <mergeCell ref="AA11:AA12"/>
    <mergeCell ref="N11:N12"/>
    <mergeCell ref="O11:O12"/>
    <mergeCell ref="V11:V12"/>
    <mergeCell ref="W11:W12"/>
    <mergeCell ref="R11:R12"/>
    <mergeCell ref="S11:S12"/>
    <mergeCell ref="T11:T12"/>
    <mergeCell ref="U11:U12"/>
    <mergeCell ref="X11:X12"/>
    <mergeCell ref="Y11:Y12"/>
    <mergeCell ref="Z11:Z12"/>
    <mergeCell ref="AM11:AM12"/>
    <mergeCell ref="AN11:AN12"/>
    <mergeCell ref="AO11:AO12"/>
    <mergeCell ref="AB11:AB12"/>
    <mergeCell ref="AC11:AH11"/>
    <mergeCell ref="AI11:AI12"/>
    <mergeCell ref="AJ11:AJ12"/>
    <mergeCell ref="AK11:AK12"/>
    <mergeCell ref="AL11:AL12"/>
    <mergeCell ref="R13:R18"/>
    <mergeCell ref="S13:S18"/>
    <mergeCell ref="T13:T18"/>
    <mergeCell ref="U13:U18"/>
    <mergeCell ref="V13:V18"/>
    <mergeCell ref="Y13:Y18"/>
    <mergeCell ref="AT13:AT18"/>
    <mergeCell ref="AU13:AU18"/>
    <mergeCell ref="A13:A18"/>
    <mergeCell ref="B13:B18"/>
    <mergeCell ref="C13:C18"/>
    <mergeCell ref="D13:D18"/>
    <mergeCell ref="E13:E18"/>
    <mergeCell ref="F13:F18"/>
    <mergeCell ref="G13:G18"/>
    <mergeCell ref="H13:H18"/>
    <mergeCell ref="I13:I18"/>
    <mergeCell ref="J13:J18"/>
    <mergeCell ref="AV11:AV12"/>
    <mergeCell ref="AP11:AP12"/>
    <mergeCell ref="AQ11:AQ12"/>
    <mergeCell ref="AR11:AR12"/>
    <mergeCell ref="K19:K24"/>
    <mergeCell ref="L19:L24"/>
    <mergeCell ref="M19:M24"/>
    <mergeCell ref="N19:N24"/>
    <mergeCell ref="O19:O24"/>
    <mergeCell ref="P19:P24"/>
    <mergeCell ref="AT19:AT24"/>
    <mergeCell ref="AU19:AU24"/>
    <mergeCell ref="AV19:AV24"/>
    <mergeCell ref="Y19:Y24"/>
    <mergeCell ref="K13:K18"/>
    <mergeCell ref="L13:L18"/>
    <mergeCell ref="M13:M18"/>
    <mergeCell ref="N13:N18"/>
    <mergeCell ref="O13:O18"/>
    <mergeCell ref="P13:P18"/>
    <mergeCell ref="W13:W18"/>
    <mergeCell ref="X13:X18"/>
    <mergeCell ref="AV13:AV18"/>
    <mergeCell ref="Q13:Q18"/>
    <mergeCell ref="A19:A24"/>
    <mergeCell ref="B19:B24"/>
    <mergeCell ref="C19:C24"/>
    <mergeCell ref="D19:D24"/>
    <mergeCell ref="E19:E24"/>
    <mergeCell ref="F19:F24"/>
    <mergeCell ref="W19:W24"/>
    <mergeCell ref="X19:X24"/>
    <mergeCell ref="Q19:Q24"/>
    <mergeCell ref="R19:R24"/>
    <mergeCell ref="S19:S24"/>
    <mergeCell ref="T19:T24"/>
    <mergeCell ref="U19:U24"/>
    <mergeCell ref="V19:V24"/>
    <mergeCell ref="G19:G24"/>
    <mergeCell ref="H19:H24"/>
    <mergeCell ref="I19:I24"/>
    <mergeCell ref="J19:J24"/>
    <mergeCell ref="K25:K30"/>
    <mergeCell ref="L25:L30"/>
    <mergeCell ref="M25:M30"/>
    <mergeCell ref="N25:N30"/>
    <mergeCell ref="O25:O30"/>
    <mergeCell ref="P25:P30"/>
    <mergeCell ref="A25:A30"/>
    <mergeCell ref="B25:B30"/>
    <mergeCell ref="C25:C30"/>
    <mergeCell ref="D25:D30"/>
    <mergeCell ref="E25:E30"/>
    <mergeCell ref="F25:F30"/>
    <mergeCell ref="G25:G30"/>
    <mergeCell ref="H25:H30"/>
    <mergeCell ref="I25:I30"/>
    <mergeCell ref="J25:J30"/>
    <mergeCell ref="W25:W30"/>
    <mergeCell ref="X25:X30"/>
    <mergeCell ref="Y25:Y30"/>
    <mergeCell ref="AT25:AT30"/>
    <mergeCell ref="AU25:AU30"/>
    <mergeCell ref="AV25:AV30"/>
    <mergeCell ref="Q25:Q30"/>
    <mergeCell ref="R25:R30"/>
    <mergeCell ref="S25:S30"/>
    <mergeCell ref="T25:T30"/>
    <mergeCell ref="U25:U30"/>
    <mergeCell ref="V25:V30"/>
    <mergeCell ref="K31:K36"/>
    <mergeCell ref="L31:L36"/>
    <mergeCell ref="M31:M36"/>
    <mergeCell ref="N31:N36"/>
    <mergeCell ref="O31:O36"/>
    <mergeCell ref="P31:P36"/>
    <mergeCell ref="A31:A36"/>
    <mergeCell ref="B31:B36"/>
    <mergeCell ref="C31:C36"/>
    <mergeCell ref="D31:D36"/>
    <mergeCell ref="E31:E36"/>
    <mergeCell ref="F31:F36"/>
    <mergeCell ref="G31:G36"/>
    <mergeCell ref="H31:H36"/>
    <mergeCell ref="I31:I36"/>
    <mergeCell ref="J31:J36"/>
    <mergeCell ref="W31:W36"/>
    <mergeCell ref="X31:X36"/>
    <mergeCell ref="Y31:Y36"/>
    <mergeCell ref="AT31:AT36"/>
    <mergeCell ref="AU31:AU36"/>
    <mergeCell ref="AV31:AV36"/>
    <mergeCell ref="Q31:Q36"/>
    <mergeCell ref="R31:R36"/>
    <mergeCell ref="S31:S36"/>
    <mergeCell ref="T31:T36"/>
    <mergeCell ref="U31:U36"/>
    <mergeCell ref="V31:V36"/>
    <mergeCell ref="K37:K42"/>
    <mergeCell ref="L37:L42"/>
    <mergeCell ref="M37:M42"/>
    <mergeCell ref="N37:N42"/>
    <mergeCell ref="O37:O42"/>
    <mergeCell ref="P37:P42"/>
    <mergeCell ref="A37:A42"/>
    <mergeCell ref="B37:B42"/>
    <mergeCell ref="C37:C42"/>
    <mergeCell ref="D37:D42"/>
    <mergeCell ref="E37:E42"/>
    <mergeCell ref="F37:F42"/>
    <mergeCell ref="G37:G42"/>
    <mergeCell ref="H37:H42"/>
    <mergeCell ref="I37:I42"/>
    <mergeCell ref="J37:J42"/>
    <mergeCell ref="W37:W42"/>
    <mergeCell ref="X37:X42"/>
    <mergeCell ref="Y37:Y42"/>
    <mergeCell ref="AT37:AT42"/>
    <mergeCell ref="AU37:AU42"/>
    <mergeCell ref="AV37:AV42"/>
    <mergeCell ref="Q37:Q42"/>
    <mergeCell ref="R37:R42"/>
    <mergeCell ref="S37:S42"/>
    <mergeCell ref="T37:T42"/>
    <mergeCell ref="U37:U42"/>
    <mergeCell ref="V37:V42"/>
    <mergeCell ref="K43:K48"/>
    <mergeCell ref="L43:L48"/>
    <mergeCell ref="M43:M48"/>
    <mergeCell ref="N43:N48"/>
    <mergeCell ref="O43:O48"/>
    <mergeCell ref="P43:P48"/>
    <mergeCell ref="A43:A48"/>
    <mergeCell ref="B43:B48"/>
    <mergeCell ref="C43:C48"/>
    <mergeCell ref="D43:D48"/>
    <mergeCell ref="E43:E48"/>
    <mergeCell ref="F43:F48"/>
    <mergeCell ref="G43:G48"/>
    <mergeCell ref="H43:H48"/>
    <mergeCell ref="I43:I48"/>
    <mergeCell ref="J43:J48"/>
    <mergeCell ref="W43:W48"/>
    <mergeCell ref="X43:X48"/>
    <mergeCell ref="Y43:Y48"/>
    <mergeCell ref="AT43:AT48"/>
    <mergeCell ref="AU43:AU48"/>
    <mergeCell ref="AV43:AV48"/>
    <mergeCell ref="Q43:Q48"/>
    <mergeCell ref="R43:R48"/>
    <mergeCell ref="S43:S48"/>
    <mergeCell ref="T43:T48"/>
    <mergeCell ref="U43:U48"/>
    <mergeCell ref="V43:V48"/>
    <mergeCell ref="K49:K54"/>
    <mergeCell ref="L49:L54"/>
    <mergeCell ref="M49:M54"/>
    <mergeCell ref="N49:N54"/>
    <mergeCell ref="O49:O54"/>
    <mergeCell ref="P49:P54"/>
    <mergeCell ref="A49:A54"/>
    <mergeCell ref="B49:B54"/>
    <mergeCell ref="C49:C54"/>
    <mergeCell ref="D49:D54"/>
    <mergeCell ref="E49:E54"/>
    <mergeCell ref="F49:F54"/>
    <mergeCell ref="G49:G54"/>
    <mergeCell ref="H49:H54"/>
    <mergeCell ref="I49:I54"/>
    <mergeCell ref="J49:J54"/>
    <mergeCell ref="W49:W54"/>
    <mergeCell ref="X49:X54"/>
    <mergeCell ref="Y49:Y54"/>
    <mergeCell ref="AT49:AT54"/>
    <mergeCell ref="AU49:AU54"/>
    <mergeCell ref="AV49:AV54"/>
    <mergeCell ref="Q49:Q54"/>
    <mergeCell ref="R49:R54"/>
    <mergeCell ref="S49:S54"/>
    <mergeCell ref="T49:T54"/>
    <mergeCell ref="U49:U54"/>
    <mergeCell ref="V49:V54"/>
    <mergeCell ref="K55:K60"/>
    <mergeCell ref="L55:L60"/>
    <mergeCell ref="M55:M60"/>
    <mergeCell ref="N55:N60"/>
    <mergeCell ref="O55:O60"/>
    <mergeCell ref="P55:P60"/>
    <mergeCell ref="A55:A60"/>
    <mergeCell ref="B55:B60"/>
    <mergeCell ref="C55:C60"/>
    <mergeCell ref="D55:D60"/>
    <mergeCell ref="E55:E60"/>
    <mergeCell ref="F55:F60"/>
    <mergeCell ref="G55:G60"/>
    <mergeCell ref="H55:H60"/>
    <mergeCell ref="I55:I60"/>
    <mergeCell ref="J55:J60"/>
    <mergeCell ref="W55:W60"/>
    <mergeCell ref="X55:X60"/>
    <mergeCell ref="Y55:Y60"/>
    <mergeCell ref="AT55:AT60"/>
    <mergeCell ref="AU55:AU60"/>
    <mergeCell ref="AV55:AV60"/>
    <mergeCell ref="Q55:Q60"/>
    <mergeCell ref="R55:R60"/>
    <mergeCell ref="S55:S60"/>
    <mergeCell ref="T55:T60"/>
    <mergeCell ref="U55:U60"/>
    <mergeCell ref="V55:V60"/>
    <mergeCell ref="Y61:Y66"/>
    <mergeCell ref="K61:K66"/>
    <mergeCell ref="L61:L66"/>
    <mergeCell ref="P61:P66"/>
    <mergeCell ref="Q61:Q66"/>
    <mergeCell ref="R61:R66"/>
    <mergeCell ref="S61:S66"/>
    <mergeCell ref="A61:A66"/>
    <mergeCell ref="B61:B66"/>
    <mergeCell ref="C61:C66"/>
    <mergeCell ref="D61:D66"/>
    <mergeCell ref="E61:E66"/>
    <mergeCell ref="F61:F66"/>
    <mergeCell ref="D67:D72"/>
    <mergeCell ref="E67:E72"/>
    <mergeCell ref="F67:F72"/>
    <mergeCell ref="K67:K72"/>
    <mergeCell ref="T61:T66"/>
    <mergeCell ref="U61:U66"/>
    <mergeCell ref="V61:V66"/>
    <mergeCell ref="W61:W66"/>
    <mergeCell ref="X61:X66"/>
    <mergeCell ref="G67:G72"/>
    <mergeCell ref="H67:H72"/>
    <mergeCell ref="I67:I72"/>
    <mergeCell ref="J67:J72"/>
    <mergeCell ref="G61:G66"/>
    <mergeCell ref="H61:H66"/>
    <mergeCell ref="I61:I66"/>
    <mergeCell ref="J61:J66"/>
    <mergeCell ref="AU67:AU72"/>
    <mergeCell ref="AV67:AV72"/>
    <mergeCell ref="B73:AT73"/>
    <mergeCell ref="A10:J10"/>
    <mergeCell ref="G11:G12"/>
    <mergeCell ref="H11:H12"/>
    <mergeCell ref="U67:U72"/>
    <mergeCell ref="V67:V72"/>
    <mergeCell ref="W67:W72"/>
    <mergeCell ref="X67:X72"/>
    <mergeCell ref="Y67:Y72"/>
    <mergeCell ref="AT67:AT72"/>
    <mergeCell ref="L67:L72"/>
    <mergeCell ref="P67:P72"/>
    <mergeCell ref="Q67:Q72"/>
    <mergeCell ref="R67:R72"/>
    <mergeCell ref="S67:S72"/>
    <mergeCell ref="T67:T72"/>
    <mergeCell ref="AT61:AT66"/>
    <mergeCell ref="AU61:AU66"/>
    <mergeCell ref="AV61:AV66"/>
    <mergeCell ref="A67:A72"/>
    <mergeCell ref="B67:B72"/>
    <mergeCell ref="C67:C72"/>
  </mergeCells>
  <conditionalFormatting sqref="S13 S19">
    <cfRule type="cellIs" dxfId="469" priority="227" operator="equal">
      <formula>"Muy Alta"</formula>
    </cfRule>
    <cfRule type="cellIs" dxfId="468" priority="228" operator="equal">
      <formula>"Alta"</formula>
    </cfRule>
    <cfRule type="cellIs" dxfId="467" priority="229" operator="equal">
      <formula>"Media"</formula>
    </cfRule>
    <cfRule type="cellIs" dxfId="466" priority="230" operator="equal">
      <formula>"Baja"</formula>
    </cfRule>
    <cfRule type="cellIs" dxfId="465" priority="231" operator="equal">
      <formula>"Muy Baja"</formula>
    </cfRule>
  </conditionalFormatting>
  <conditionalFormatting sqref="W13 W19 W25 W31 W37 W43 W49 W55 W61 W67">
    <cfRule type="cellIs" dxfId="464" priority="222" operator="equal">
      <formula>"Catastrófico"</formula>
    </cfRule>
    <cfRule type="cellIs" dxfId="463" priority="223" operator="equal">
      <formula>"Mayor"</formula>
    </cfRule>
    <cfRule type="cellIs" dxfId="462" priority="224" operator="equal">
      <formula>"Moderado"</formula>
    </cfRule>
    <cfRule type="cellIs" dxfId="461" priority="225" operator="equal">
      <formula>"Menor"</formula>
    </cfRule>
    <cfRule type="cellIs" dxfId="460" priority="226" operator="equal">
      <formula>"Leve"</formula>
    </cfRule>
  </conditionalFormatting>
  <conditionalFormatting sqref="Y13">
    <cfRule type="cellIs" dxfId="459" priority="218" operator="equal">
      <formula>"Extremo"</formula>
    </cfRule>
    <cfRule type="cellIs" dxfId="458" priority="219" operator="equal">
      <formula>"Alto"</formula>
    </cfRule>
    <cfRule type="cellIs" dxfId="457" priority="220" operator="equal">
      <formula>"Moderado"</formula>
    </cfRule>
    <cfRule type="cellIs" dxfId="456" priority="221" operator="equal">
      <formula>"Bajo"</formula>
    </cfRule>
  </conditionalFormatting>
  <conditionalFormatting sqref="AJ13:AJ18">
    <cfRule type="cellIs" dxfId="455" priority="213" operator="equal">
      <formula>"Muy Alta"</formula>
    </cfRule>
    <cfRule type="cellIs" dxfId="454" priority="214" operator="equal">
      <formula>"Alta"</formula>
    </cfRule>
    <cfRule type="cellIs" dxfId="453" priority="215" operator="equal">
      <formula>"Media"</formula>
    </cfRule>
    <cfRule type="cellIs" dxfId="452" priority="216" operator="equal">
      <formula>"Baja"</formula>
    </cfRule>
    <cfRule type="cellIs" dxfId="451" priority="217" operator="equal">
      <formula>"Muy Baja"</formula>
    </cfRule>
  </conditionalFormatting>
  <conditionalFormatting sqref="AL13:AL18">
    <cfRule type="cellIs" dxfId="450" priority="208" operator="equal">
      <formula>"Catastrófico"</formula>
    </cfRule>
    <cfRule type="cellIs" dxfId="449" priority="209" operator="equal">
      <formula>"Mayor"</formula>
    </cfRule>
    <cfRule type="cellIs" dxfId="448" priority="210" operator="equal">
      <formula>"Moderado"</formula>
    </cfRule>
    <cfRule type="cellIs" dxfId="447" priority="211" operator="equal">
      <formula>"Menor"</formula>
    </cfRule>
    <cfRule type="cellIs" dxfId="446" priority="212" operator="equal">
      <formula>"Leve"</formula>
    </cfRule>
  </conditionalFormatting>
  <conditionalFormatting sqref="AN13:AN18">
    <cfRule type="cellIs" dxfId="445" priority="204" operator="equal">
      <formula>"Extremo"</formula>
    </cfRule>
    <cfRule type="cellIs" dxfId="444" priority="205" operator="equal">
      <formula>"Alto"</formula>
    </cfRule>
    <cfRule type="cellIs" dxfId="443" priority="206" operator="equal">
      <formula>"Moderado"</formula>
    </cfRule>
    <cfRule type="cellIs" dxfId="442" priority="207" operator="equal">
      <formula>"Bajo"</formula>
    </cfRule>
  </conditionalFormatting>
  <conditionalFormatting sqref="S61">
    <cfRule type="cellIs" dxfId="441" priority="48" operator="equal">
      <formula>"Muy Alta"</formula>
    </cfRule>
    <cfRule type="cellIs" dxfId="440" priority="49" operator="equal">
      <formula>"Alta"</formula>
    </cfRule>
    <cfRule type="cellIs" dxfId="439" priority="50" operator="equal">
      <formula>"Media"</formula>
    </cfRule>
    <cfRule type="cellIs" dxfId="438" priority="51" operator="equal">
      <formula>"Baja"</formula>
    </cfRule>
    <cfRule type="cellIs" dxfId="437" priority="52" operator="equal">
      <formula>"Muy Baja"</formula>
    </cfRule>
  </conditionalFormatting>
  <conditionalFormatting sqref="Y19">
    <cfRule type="cellIs" dxfId="436" priority="200" operator="equal">
      <formula>"Extremo"</formula>
    </cfRule>
    <cfRule type="cellIs" dxfId="435" priority="201" operator="equal">
      <formula>"Alto"</formula>
    </cfRule>
    <cfRule type="cellIs" dxfId="434" priority="202" operator="equal">
      <formula>"Moderado"</formula>
    </cfRule>
    <cfRule type="cellIs" dxfId="433" priority="203" operator="equal">
      <formula>"Bajo"</formula>
    </cfRule>
  </conditionalFormatting>
  <conditionalFormatting sqref="AJ19:AJ24">
    <cfRule type="cellIs" dxfId="432" priority="195" operator="equal">
      <formula>"Muy Alta"</formula>
    </cfRule>
    <cfRule type="cellIs" dxfId="431" priority="196" operator="equal">
      <formula>"Alta"</formula>
    </cfRule>
    <cfRule type="cellIs" dxfId="430" priority="197" operator="equal">
      <formula>"Media"</formula>
    </cfRule>
    <cfRule type="cellIs" dxfId="429" priority="198" operator="equal">
      <formula>"Baja"</formula>
    </cfRule>
    <cfRule type="cellIs" dxfId="428" priority="199" operator="equal">
      <formula>"Muy Baja"</formula>
    </cfRule>
  </conditionalFormatting>
  <conditionalFormatting sqref="AL19:AL24">
    <cfRule type="cellIs" dxfId="427" priority="190" operator="equal">
      <formula>"Catastrófico"</formula>
    </cfRule>
    <cfRule type="cellIs" dxfId="426" priority="191" operator="equal">
      <formula>"Mayor"</formula>
    </cfRule>
    <cfRule type="cellIs" dxfId="425" priority="192" operator="equal">
      <formula>"Moderado"</formula>
    </cfRule>
    <cfRule type="cellIs" dxfId="424" priority="193" operator="equal">
      <formula>"Menor"</formula>
    </cfRule>
    <cfRule type="cellIs" dxfId="423" priority="194" operator="equal">
      <formula>"Leve"</formula>
    </cfRule>
  </conditionalFormatting>
  <conditionalFormatting sqref="AN19:AN24">
    <cfRule type="cellIs" dxfId="422" priority="186" operator="equal">
      <formula>"Extremo"</formula>
    </cfRule>
    <cfRule type="cellIs" dxfId="421" priority="187" operator="equal">
      <formula>"Alto"</formula>
    </cfRule>
    <cfRule type="cellIs" dxfId="420" priority="188" operator="equal">
      <formula>"Moderado"</formula>
    </cfRule>
    <cfRule type="cellIs" dxfId="419" priority="189" operator="equal">
      <formula>"Bajo"</formula>
    </cfRule>
  </conditionalFormatting>
  <conditionalFormatting sqref="S25">
    <cfRule type="cellIs" dxfId="418" priority="181" operator="equal">
      <formula>"Muy Alta"</formula>
    </cfRule>
    <cfRule type="cellIs" dxfId="417" priority="182" operator="equal">
      <formula>"Alta"</formula>
    </cfRule>
    <cfRule type="cellIs" dxfId="416" priority="183" operator="equal">
      <formula>"Media"</formula>
    </cfRule>
    <cfRule type="cellIs" dxfId="415" priority="184" operator="equal">
      <formula>"Baja"</formula>
    </cfRule>
    <cfRule type="cellIs" dxfId="414" priority="185" operator="equal">
      <formula>"Muy Baja"</formula>
    </cfRule>
  </conditionalFormatting>
  <conditionalFormatting sqref="Y25">
    <cfRule type="cellIs" dxfId="413" priority="177" operator="equal">
      <formula>"Extremo"</formula>
    </cfRule>
    <cfRule type="cellIs" dxfId="412" priority="178" operator="equal">
      <formula>"Alto"</formula>
    </cfRule>
    <cfRule type="cellIs" dxfId="411" priority="179" operator="equal">
      <formula>"Moderado"</formula>
    </cfRule>
    <cfRule type="cellIs" dxfId="410" priority="180" operator="equal">
      <formula>"Bajo"</formula>
    </cfRule>
  </conditionalFormatting>
  <conditionalFormatting sqref="AJ25:AJ30">
    <cfRule type="cellIs" dxfId="409" priority="172" operator="equal">
      <formula>"Muy Alta"</formula>
    </cfRule>
    <cfRule type="cellIs" dxfId="408" priority="173" operator="equal">
      <formula>"Alta"</formula>
    </cfRule>
    <cfRule type="cellIs" dxfId="407" priority="174" operator="equal">
      <formula>"Media"</formula>
    </cfRule>
    <cfRule type="cellIs" dxfId="406" priority="175" operator="equal">
      <formula>"Baja"</formula>
    </cfRule>
    <cfRule type="cellIs" dxfId="405" priority="176" operator="equal">
      <formula>"Muy Baja"</formula>
    </cfRule>
  </conditionalFormatting>
  <conditionalFormatting sqref="AL25:AL30">
    <cfRule type="cellIs" dxfId="404" priority="167" operator="equal">
      <formula>"Catastrófico"</formula>
    </cfRule>
    <cfRule type="cellIs" dxfId="403" priority="168" operator="equal">
      <formula>"Mayor"</formula>
    </cfRule>
    <cfRule type="cellIs" dxfId="402" priority="169" operator="equal">
      <formula>"Moderado"</formula>
    </cfRule>
    <cfRule type="cellIs" dxfId="401" priority="170" operator="equal">
      <formula>"Menor"</formula>
    </cfRule>
    <cfRule type="cellIs" dxfId="400" priority="171" operator="equal">
      <formula>"Leve"</formula>
    </cfRule>
  </conditionalFormatting>
  <conditionalFormatting sqref="AN25:AN30">
    <cfRule type="cellIs" dxfId="399" priority="163" operator="equal">
      <formula>"Extremo"</formula>
    </cfRule>
    <cfRule type="cellIs" dxfId="398" priority="164" operator="equal">
      <formula>"Alto"</formula>
    </cfRule>
    <cfRule type="cellIs" dxfId="397" priority="165" operator="equal">
      <formula>"Moderado"</formula>
    </cfRule>
    <cfRule type="cellIs" dxfId="396" priority="166" operator="equal">
      <formula>"Bajo"</formula>
    </cfRule>
  </conditionalFormatting>
  <conditionalFormatting sqref="S31">
    <cfRule type="cellIs" dxfId="395" priority="158" operator="equal">
      <formula>"Muy Alta"</formula>
    </cfRule>
    <cfRule type="cellIs" dxfId="394" priority="159" operator="equal">
      <formula>"Alta"</formula>
    </cfRule>
    <cfRule type="cellIs" dxfId="393" priority="160" operator="equal">
      <formula>"Media"</formula>
    </cfRule>
    <cfRule type="cellIs" dxfId="392" priority="161" operator="equal">
      <formula>"Baja"</formula>
    </cfRule>
    <cfRule type="cellIs" dxfId="391" priority="162" operator="equal">
      <formula>"Muy Baja"</formula>
    </cfRule>
  </conditionalFormatting>
  <conditionalFormatting sqref="Y31">
    <cfRule type="cellIs" dxfId="390" priority="154" operator="equal">
      <formula>"Extremo"</formula>
    </cfRule>
    <cfRule type="cellIs" dxfId="389" priority="155" operator="equal">
      <formula>"Alto"</formula>
    </cfRule>
    <cfRule type="cellIs" dxfId="388" priority="156" operator="equal">
      <formula>"Moderado"</formula>
    </cfRule>
    <cfRule type="cellIs" dxfId="387" priority="157" operator="equal">
      <formula>"Bajo"</formula>
    </cfRule>
  </conditionalFormatting>
  <conditionalFormatting sqref="AJ31:AJ36">
    <cfRule type="cellIs" dxfId="386" priority="149" operator="equal">
      <formula>"Muy Alta"</formula>
    </cfRule>
    <cfRule type="cellIs" dxfId="385" priority="150" operator="equal">
      <formula>"Alta"</formula>
    </cfRule>
    <cfRule type="cellIs" dxfId="384" priority="151" operator="equal">
      <formula>"Media"</formula>
    </cfRule>
    <cfRule type="cellIs" dxfId="383" priority="152" operator="equal">
      <formula>"Baja"</formula>
    </cfRule>
    <cfRule type="cellIs" dxfId="382" priority="153" operator="equal">
      <formula>"Muy Baja"</formula>
    </cfRule>
  </conditionalFormatting>
  <conditionalFormatting sqref="AL31:AL36">
    <cfRule type="cellIs" dxfId="381" priority="144" operator="equal">
      <formula>"Catastrófico"</formula>
    </cfRule>
    <cfRule type="cellIs" dxfId="380" priority="145" operator="equal">
      <formula>"Mayor"</formula>
    </cfRule>
    <cfRule type="cellIs" dxfId="379" priority="146" operator="equal">
      <formula>"Moderado"</formula>
    </cfRule>
    <cfRule type="cellIs" dxfId="378" priority="147" operator="equal">
      <formula>"Menor"</formula>
    </cfRule>
    <cfRule type="cellIs" dxfId="377" priority="148" operator="equal">
      <formula>"Leve"</formula>
    </cfRule>
  </conditionalFormatting>
  <conditionalFormatting sqref="AN31:AN36">
    <cfRule type="cellIs" dxfId="376" priority="140" operator="equal">
      <formula>"Extremo"</formula>
    </cfRule>
    <cfRule type="cellIs" dxfId="375" priority="141" operator="equal">
      <formula>"Alto"</formula>
    </cfRule>
    <cfRule type="cellIs" dxfId="374" priority="142" operator="equal">
      <formula>"Moderado"</formula>
    </cfRule>
    <cfRule type="cellIs" dxfId="373" priority="143" operator="equal">
      <formula>"Bajo"</formula>
    </cfRule>
  </conditionalFormatting>
  <conditionalFormatting sqref="S37">
    <cfRule type="cellIs" dxfId="372" priority="135" operator="equal">
      <formula>"Muy Alta"</formula>
    </cfRule>
    <cfRule type="cellIs" dxfId="371" priority="136" operator="equal">
      <formula>"Alta"</formula>
    </cfRule>
    <cfRule type="cellIs" dxfId="370" priority="137" operator="equal">
      <formula>"Media"</formula>
    </cfRule>
    <cfRule type="cellIs" dxfId="369" priority="138" operator="equal">
      <formula>"Baja"</formula>
    </cfRule>
    <cfRule type="cellIs" dxfId="368" priority="139" operator="equal">
      <formula>"Muy Baja"</formula>
    </cfRule>
  </conditionalFormatting>
  <conditionalFormatting sqref="Y37">
    <cfRule type="cellIs" dxfId="367" priority="131" operator="equal">
      <formula>"Extremo"</formula>
    </cfRule>
    <cfRule type="cellIs" dxfId="366" priority="132" operator="equal">
      <formula>"Alto"</formula>
    </cfRule>
    <cfRule type="cellIs" dxfId="365" priority="133" operator="equal">
      <formula>"Moderado"</formula>
    </cfRule>
    <cfRule type="cellIs" dxfId="364" priority="134" operator="equal">
      <formula>"Bajo"</formula>
    </cfRule>
  </conditionalFormatting>
  <conditionalFormatting sqref="AJ37:AJ42">
    <cfRule type="cellIs" dxfId="363" priority="126" operator="equal">
      <formula>"Muy Alta"</formula>
    </cfRule>
    <cfRule type="cellIs" dxfId="362" priority="127" operator="equal">
      <formula>"Alta"</formula>
    </cfRule>
    <cfRule type="cellIs" dxfId="361" priority="128" operator="equal">
      <formula>"Media"</formula>
    </cfRule>
    <cfRule type="cellIs" dxfId="360" priority="129" operator="equal">
      <formula>"Baja"</formula>
    </cfRule>
    <cfRule type="cellIs" dxfId="359" priority="130" operator="equal">
      <formula>"Muy Baja"</formula>
    </cfRule>
  </conditionalFormatting>
  <conditionalFormatting sqref="AL37:AL42">
    <cfRule type="cellIs" dxfId="358" priority="121" operator="equal">
      <formula>"Catastrófico"</formula>
    </cfRule>
    <cfRule type="cellIs" dxfId="357" priority="122" operator="equal">
      <formula>"Mayor"</formula>
    </cfRule>
    <cfRule type="cellIs" dxfId="356" priority="123" operator="equal">
      <formula>"Moderado"</formula>
    </cfRule>
    <cfRule type="cellIs" dxfId="355" priority="124" operator="equal">
      <formula>"Menor"</formula>
    </cfRule>
    <cfRule type="cellIs" dxfId="354" priority="125" operator="equal">
      <formula>"Leve"</formula>
    </cfRule>
  </conditionalFormatting>
  <conditionalFormatting sqref="AN37:AN42">
    <cfRule type="cellIs" dxfId="353" priority="117" operator="equal">
      <formula>"Extremo"</formula>
    </cfRule>
    <cfRule type="cellIs" dxfId="352" priority="118" operator="equal">
      <formula>"Alto"</formula>
    </cfRule>
    <cfRule type="cellIs" dxfId="351" priority="119" operator="equal">
      <formula>"Moderado"</formula>
    </cfRule>
    <cfRule type="cellIs" dxfId="350" priority="120" operator="equal">
      <formula>"Bajo"</formula>
    </cfRule>
  </conditionalFormatting>
  <conditionalFormatting sqref="S43">
    <cfRule type="cellIs" dxfId="349" priority="112" operator="equal">
      <formula>"Muy Alta"</formula>
    </cfRule>
    <cfRule type="cellIs" dxfId="348" priority="113" operator="equal">
      <formula>"Alta"</formula>
    </cfRule>
    <cfRule type="cellIs" dxfId="347" priority="114" operator="equal">
      <formula>"Media"</formula>
    </cfRule>
    <cfRule type="cellIs" dxfId="346" priority="115" operator="equal">
      <formula>"Baja"</formula>
    </cfRule>
    <cfRule type="cellIs" dxfId="345" priority="116" operator="equal">
      <formula>"Muy Baja"</formula>
    </cfRule>
  </conditionalFormatting>
  <conditionalFormatting sqref="Y43">
    <cfRule type="cellIs" dxfId="344" priority="108" operator="equal">
      <formula>"Extremo"</formula>
    </cfRule>
    <cfRule type="cellIs" dxfId="343" priority="109" operator="equal">
      <formula>"Alto"</formula>
    </cfRule>
    <cfRule type="cellIs" dxfId="342" priority="110" operator="equal">
      <formula>"Moderado"</formula>
    </cfRule>
    <cfRule type="cellIs" dxfId="341" priority="111" operator="equal">
      <formula>"Bajo"</formula>
    </cfRule>
  </conditionalFormatting>
  <conditionalFormatting sqref="AJ43:AJ48">
    <cfRule type="cellIs" dxfId="340" priority="103" operator="equal">
      <formula>"Muy Alta"</formula>
    </cfRule>
    <cfRule type="cellIs" dxfId="339" priority="104" operator="equal">
      <formula>"Alta"</formula>
    </cfRule>
    <cfRule type="cellIs" dxfId="338" priority="105" operator="equal">
      <formula>"Media"</formula>
    </cfRule>
    <cfRule type="cellIs" dxfId="337" priority="106" operator="equal">
      <formula>"Baja"</formula>
    </cfRule>
    <cfRule type="cellIs" dxfId="336" priority="107" operator="equal">
      <formula>"Muy Baja"</formula>
    </cfRule>
  </conditionalFormatting>
  <conditionalFormatting sqref="AL43:AL48">
    <cfRule type="cellIs" dxfId="335" priority="98" operator="equal">
      <formula>"Catastrófico"</formula>
    </cfRule>
    <cfRule type="cellIs" dxfId="334" priority="99" operator="equal">
      <formula>"Mayor"</formula>
    </cfRule>
    <cfRule type="cellIs" dxfId="333" priority="100" operator="equal">
      <formula>"Moderado"</formula>
    </cfRule>
    <cfRule type="cellIs" dxfId="332" priority="101" operator="equal">
      <formula>"Menor"</formula>
    </cfRule>
    <cfRule type="cellIs" dxfId="331" priority="102" operator="equal">
      <formula>"Leve"</formula>
    </cfRule>
  </conditionalFormatting>
  <conditionalFormatting sqref="AN43:AN48">
    <cfRule type="cellIs" dxfId="330" priority="94" operator="equal">
      <formula>"Extremo"</formula>
    </cfRule>
    <cfRule type="cellIs" dxfId="329" priority="95" operator="equal">
      <formula>"Alto"</formula>
    </cfRule>
    <cfRule type="cellIs" dxfId="328" priority="96" operator="equal">
      <formula>"Moderado"</formula>
    </cfRule>
    <cfRule type="cellIs" dxfId="327" priority="97" operator="equal">
      <formula>"Bajo"</formula>
    </cfRule>
  </conditionalFormatting>
  <conditionalFormatting sqref="S49">
    <cfRule type="cellIs" dxfId="326" priority="89" operator="equal">
      <formula>"Muy Alta"</formula>
    </cfRule>
    <cfRule type="cellIs" dxfId="325" priority="90" operator="equal">
      <formula>"Alta"</formula>
    </cfRule>
    <cfRule type="cellIs" dxfId="324" priority="91" operator="equal">
      <formula>"Media"</formula>
    </cfRule>
    <cfRule type="cellIs" dxfId="323" priority="92" operator="equal">
      <formula>"Baja"</formula>
    </cfRule>
    <cfRule type="cellIs" dxfId="322" priority="93" operator="equal">
      <formula>"Muy Baja"</formula>
    </cfRule>
  </conditionalFormatting>
  <conditionalFormatting sqref="Y49">
    <cfRule type="cellIs" dxfId="321" priority="85" operator="equal">
      <formula>"Extremo"</formula>
    </cfRule>
    <cfRule type="cellIs" dxfId="320" priority="86" operator="equal">
      <formula>"Alto"</formula>
    </cfRule>
    <cfRule type="cellIs" dxfId="319" priority="87" operator="equal">
      <formula>"Moderado"</formula>
    </cfRule>
    <cfRule type="cellIs" dxfId="318" priority="88" operator="equal">
      <formula>"Bajo"</formula>
    </cfRule>
  </conditionalFormatting>
  <conditionalFormatting sqref="AJ49:AJ54">
    <cfRule type="cellIs" dxfId="317" priority="80" operator="equal">
      <formula>"Muy Alta"</formula>
    </cfRule>
    <cfRule type="cellIs" dxfId="316" priority="81" operator="equal">
      <formula>"Alta"</formula>
    </cfRule>
    <cfRule type="cellIs" dxfId="315" priority="82" operator="equal">
      <formula>"Media"</formula>
    </cfRule>
    <cfRule type="cellIs" dxfId="314" priority="83" operator="equal">
      <formula>"Baja"</formula>
    </cfRule>
    <cfRule type="cellIs" dxfId="313" priority="84" operator="equal">
      <formula>"Muy Baja"</formula>
    </cfRule>
  </conditionalFormatting>
  <conditionalFormatting sqref="AL49:AL54">
    <cfRule type="cellIs" dxfId="312" priority="75" operator="equal">
      <formula>"Catastrófico"</formula>
    </cfRule>
    <cfRule type="cellIs" dxfId="311" priority="76" operator="equal">
      <formula>"Mayor"</formula>
    </cfRule>
    <cfRule type="cellIs" dxfId="310" priority="77" operator="equal">
      <formula>"Moderado"</formula>
    </cfRule>
    <cfRule type="cellIs" dxfId="309" priority="78" operator="equal">
      <formula>"Menor"</formula>
    </cfRule>
    <cfRule type="cellIs" dxfId="308" priority="79" operator="equal">
      <formula>"Leve"</formula>
    </cfRule>
  </conditionalFormatting>
  <conditionalFormatting sqref="AN49:AN54">
    <cfRule type="cellIs" dxfId="307" priority="71" operator="equal">
      <formula>"Extremo"</formula>
    </cfRule>
    <cfRule type="cellIs" dxfId="306" priority="72" operator="equal">
      <formula>"Alto"</formula>
    </cfRule>
    <cfRule type="cellIs" dxfId="305" priority="73" operator="equal">
      <formula>"Moderado"</formula>
    </cfRule>
    <cfRule type="cellIs" dxfId="304" priority="74" operator="equal">
      <formula>"Bajo"</formula>
    </cfRule>
  </conditionalFormatting>
  <conditionalFormatting sqref="Y55">
    <cfRule type="cellIs" dxfId="303" priority="67" operator="equal">
      <formula>"Extremo"</formula>
    </cfRule>
    <cfRule type="cellIs" dxfId="302" priority="68" operator="equal">
      <formula>"Alto"</formula>
    </cfRule>
    <cfRule type="cellIs" dxfId="301" priority="69" operator="equal">
      <formula>"Moderado"</formula>
    </cfRule>
    <cfRule type="cellIs" dxfId="300" priority="70" operator="equal">
      <formula>"Bajo"</formula>
    </cfRule>
  </conditionalFormatting>
  <conditionalFormatting sqref="AJ55:AJ60">
    <cfRule type="cellIs" dxfId="299" priority="62" operator="equal">
      <formula>"Muy Alta"</formula>
    </cfRule>
    <cfRule type="cellIs" dxfId="298" priority="63" operator="equal">
      <formula>"Alta"</formula>
    </cfRule>
    <cfRule type="cellIs" dxfId="297" priority="64" operator="equal">
      <formula>"Media"</formula>
    </cfRule>
    <cfRule type="cellIs" dxfId="296" priority="65" operator="equal">
      <formula>"Baja"</formula>
    </cfRule>
    <cfRule type="cellIs" dxfId="295" priority="66" operator="equal">
      <formula>"Muy Baja"</formula>
    </cfRule>
  </conditionalFormatting>
  <conditionalFormatting sqref="AL55:AL60">
    <cfRule type="cellIs" dxfId="294" priority="57" operator="equal">
      <formula>"Catastrófico"</formula>
    </cfRule>
    <cfRule type="cellIs" dxfId="293" priority="58" operator="equal">
      <formula>"Mayor"</formula>
    </cfRule>
    <cfRule type="cellIs" dxfId="292" priority="59" operator="equal">
      <formula>"Moderado"</formula>
    </cfRule>
    <cfRule type="cellIs" dxfId="291" priority="60" operator="equal">
      <formula>"Menor"</formula>
    </cfRule>
    <cfRule type="cellIs" dxfId="290" priority="61" operator="equal">
      <formula>"Leve"</formula>
    </cfRule>
  </conditionalFormatting>
  <conditionalFormatting sqref="AN55:AN60">
    <cfRule type="cellIs" dxfId="289" priority="53" operator="equal">
      <formula>"Extremo"</formula>
    </cfRule>
    <cfRule type="cellIs" dxfId="288" priority="54" operator="equal">
      <formula>"Alto"</formula>
    </cfRule>
    <cfRule type="cellIs" dxfId="287" priority="55" operator="equal">
      <formula>"Moderado"</formula>
    </cfRule>
    <cfRule type="cellIs" dxfId="286" priority="56" operator="equal">
      <formula>"Bajo"</formula>
    </cfRule>
  </conditionalFormatting>
  <conditionalFormatting sqref="Y61">
    <cfRule type="cellIs" dxfId="285" priority="44" operator="equal">
      <formula>"Extremo"</formula>
    </cfRule>
    <cfRule type="cellIs" dxfId="284" priority="45" operator="equal">
      <formula>"Alto"</formula>
    </cfRule>
    <cfRule type="cellIs" dxfId="283" priority="46" operator="equal">
      <formula>"Moderado"</formula>
    </cfRule>
    <cfRule type="cellIs" dxfId="282" priority="47" operator="equal">
      <formula>"Bajo"</formula>
    </cfRule>
  </conditionalFormatting>
  <conditionalFormatting sqref="AJ61:AJ66">
    <cfRule type="cellIs" dxfId="281" priority="39" operator="equal">
      <formula>"Muy Alta"</formula>
    </cfRule>
    <cfRule type="cellIs" dxfId="280" priority="40" operator="equal">
      <formula>"Alta"</formula>
    </cfRule>
    <cfRule type="cellIs" dxfId="279" priority="41" operator="equal">
      <formula>"Media"</formula>
    </cfRule>
    <cfRule type="cellIs" dxfId="278" priority="42" operator="equal">
      <formula>"Baja"</formula>
    </cfRule>
    <cfRule type="cellIs" dxfId="277" priority="43" operator="equal">
      <formula>"Muy Baja"</formula>
    </cfRule>
  </conditionalFormatting>
  <conditionalFormatting sqref="AL61:AL66">
    <cfRule type="cellIs" dxfId="276" priority="34" operator="equal">
      <formula>"Catastrófico"</formula>
    </cfRule>
    <cfRule type="cellIs" dxfId="275" priority="35" operator="equal">
      <formula>"Mayor"</formula>
    </cfRule>
    <cfRule type="cellIs" dxfId="274" priority="36" operator="equal">
      <formula>"Moderado"</formula>
    </cfRule>
    <cfRule type="cellIs" dxfId="273" priority="37" operator="equal">
      <formula>"Menor"</formula>
    </cfRule>
    <cfRule type="cellIs" dxfId="272" priority="38" operator="equal">
      <formula>"Leve"</formula>
    </cfRule>
  </conditionalFormatting>
  <conditionalFormatting sqref="AN61:AN66">
    <cfRule type="cellIs" dxfId="271" priority="30" operator="equal">
      <formula>"Extremo"</formula>
    </cfRule>
    <cfRule type="cellIs" dxfId="270" priority="31" operator="equal">
      <formula>"Alto"</formula>
    </cfRule>
    <cfRule type="cellIs" dxfId="269" priority="32" operator="equal">
      <formula>"Moderado"</formula>
    </cfRule>
    <cfRule type="cellIs" dxfId="268" priority="33" operator="equal">
      <formula>"Bajo"</formula>
    </cfRule>
  </conditionalFormatting>
  <conditionalFormatting sqref="S67">
    <cfRule type="cellIs" dxfId="267" priority="25" operator="equal">
      <formula>"Muy Alta"</formula>
    </cfRule>
    <cfRule type="cellIs" dxfId="266" priority="26" operator="equal">
      <formula>"Alta"</formula>
    </cfRule>
    <cfRule type="cellIs" dxfId="265" priority="27" operator="equal">
      <formula>"Media"</formula>
    </cfRule>
    <cfRule type="cellIs" dxfId="264" priority="28" operator="equal">
      <formula>"Baja"</formula>
    </cfRule>
    <cfRule type="cellIs" dxfId="263" priority="29" operator="equal">
      <formula>"Muy Baja"</formula>
    </cfRule>
  </conditionalFormatting>
  <conditionalFormatting sqref="Y67">
    <cfRule type="cellIs" dxfId="262" priority="21" operator="equal">
      <formula>"Extremo"</formula>
    </cfRule>
    <cfRule type="cellIs" dxfId="261" priority="22" operator="equal">
      <formula>"Alto"</formula>
    </cfRule>
    <cfRule type="cellIs" dxfId="260" priority="23" operator="equal">
      <formula>"Moderado"</formula>
    </cfRule>
    <cfRule type="cellIs" dxfId="259" priority="24" operator="equal">
      <formula>"Bajo"</formula>
    </cfRule>
  </conditionalFormatting>
  <conditionalFormatting sqref="AJ67:AJ72">
    <cfRule type="cellIs" dxfId="258" priority="16" operator="equal">
      <formula>"Muy Alta"</formula>
    </cfRule>
    <cfRule type="cellIs" dxfId="257" priority="17" operator="equal">
      <formula>"Alta"</formula>
    </cfRule>
    <cfRule type="cellIs" dxfId="256" priority="18" operator="equal">
      <formula>"Media"</formula>
    </cfRule>
    <cfRule type="cellIs" dxfId="255" priority="19" operator="equal">
      <formula>"Baja"</formula>
    </cfRule>
    <cfRule type="cellIs" dxfId="254" priority="20" operator="equal">
      <formula>"Muy Baja"</formula>
    </cfRule>
  </conditionalFormatting>
  <conditionalFormatting sqref="AL67:AL72">
    <cfRule type="cellIs" dxfId="253" priority="11" operator="equal">
      <formula>"Catastrófico"</formula>
    </cfRule>
    <cfRule type="cellIs" dxfId="252" priority="12" operator="equal">
      <formula>"Mayor"</formula>
    </cfRule>
    <cfRule type="cellIs" dxfId="251" priority="13" operator="equal">
      <formula>"Moderado"</formula>
    </cfRule>
    <cfRule type="cellIs" dxfId="250" priority="14" operator="equal">
      <formula>"Menor"</formula>
    </cfRule>
    <cfRule type="cellIs" dxfId="249" priority="15" operator="equal">
      <formula>"Leve"</formula>
    </cfRule>
  </conditionalFormatting>
  <conditionalFormatting sqref="AN67:AN72">
    <cfRule type="cellIs" dxfId="248" priority="7" operator="equal">
      <formula>"Extremo"</formula>
    </cfRule>
    <cfRule type="cellIs" dxfId="247" priority="8" operator="equal">
      <formula>"Alto"</formula>
    </cfRule>
    <cfRule type="cellIs" dxfId="246" priority="9" operator="equal">
      <formula>"Moderado"</formula>
    </cfRule>
    <cfRule type="cellIs" dxfId="245" priority="10" operator="equal">
      <formula>"Bajo"</formula>
    </cfRule>
  </conditionalFormatting>
  <conditionalFormatting sqref="V13:V72">
    <cfRule type="containsText" dxfId="244" priority="6" operator="containsText" text="❌">
      <formula>NOT(ISERROR(SEARCH("❌",V13)))</formula>
    </cfRule>
  </conditionalFormatting>
  <conditionalFormatting sqref="S55">
    <cfRule type="cellIs" dxfId="243" priority="1" operator="equal">
      <formula>"Muy Alta"</formula>
    </cfRule>
    <cfRule type="cellIs" dxfId="242" priority="2" operator="equal">
      <formula>"Alta"</formula>
    </cfRule>
    <cfRule type="cellIs" dxfId="241" priority="3" operator="equal">
      <formula>"Media"</formula>
    </cfRule>
    <cfRule type="cellIs" dxfId="240" priority="4" operator="equal">
      <formula>"Baja"</formula>
    </cfRule>
    <cfRule type="cellIs" dxfId="239"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&amp;LAvenida Calle 26 No. 69-76,Edificio Elemento ,   Torre Aire , Piso 3, CP-111071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26" max="23" man="1"/>
  </colBreaks>
  <drawing r:id="rId2"/>
  <extLst>
    <ext xmlns:x14="http://schemas.microsoft.com/office/spreadsheetml/2009/9/main" uri="{CCE6A557-97BC-4b89-ADB6-D9C93CAAB3DF}">
      <x14:dataValidations xmlns:xm="http://schemas.microsoft.com/office/excel/2006/main" disablePrompts="1" count="16">
        <x14:dataValidation type="list" allowBlank="1" showInputMessage="1" showErrorMessage="1" xr:uid="{00000000-0002-0000-0800-000000000000}">
          <x14:formula1>
            <xm:f>Listas!$H$14:$H$18</xm:f>
          </x14:formula1>
          <xm:sqref>Q13:Q72</xm:sqref>
        </x14:dataValidation>
        <x14:dataValidation type="list" allowBlank="1" showInputMessage="1" showErrorMessage="1" xr:uid="{00000000-0002-0000-0800-000001000000}">
          <x14:formula1>
            <xm:f>Listas!$H$8:$H$12</xm:f>
          </x14:formula1>
          <xm:sqref>P13:P72</xm:sqref>
        </x14:dataValidation>
        <x14:dataValidation type="list" allowBlank="1" showInputMessage="1" showErrorMessage="1" xr:uid="{00000000-0002-0000-0800-000002000000}">
          <x14:formula1>
            <xm:f>Intructivo!$C$300:$C$316</xm:f>
          </x14:formula1>
          <xm:sqref>C6:Z6</xm:sqref>
        </x14:dataValidation>
        <x14:dataValidation type="list" allowBlank="1" showInputMessage="1" showErrorMessage="1" xr:uid="{00000000-0002-0000-0800-000003000000}">
          <x14:formula1>
            <xm:f>Listas!$F$8:$F$9</xm:f>
          </x14:formula1>
          <xm:sqref>K13:K72</xm:sqref>
        </x14:dataValidation>
        <x14:dataValidation type="list" allowBlank="1" showInputMessage="1" showErrorMessage="1" xr:uid="{00000000-0002-0000-0800-000004000000}">
          <x14:formula1>
            <xm:f>Listas!$B$20:$B$22</xm:f>
          </x14:formula1>
          <xm:sqref>F13:F72</xm:sqref>
        </x14:dataValidation>
        <x14:dataValidation type="custom" allowBlank="1" showInputMessage="1" showErrorMessage="1" error="Recuerde que las acciones se generan bajo la medida de mitigar el riesgo" xr:uid="{00000000-0002-0000-0800-000005000000}">
          <x14:formula1>
            <xm:f>IF(OR(#REF!=Listas!$B$2,#REF!=Listas!$B$3,#REF!=Listas!$B$4),ISBLANK(#REF!),ISTEXT(#REF!))</xm:f>
          </x14:formula1>
          <xm:sqref>AT19:AV19 AT67:AV67 AT61:AV61 AT55:AV55 AT49:AV49 AT43:AV43 AT37:AV37 AT31:AV31 AT25:AV25</xm:sqref>
        </x14:dataValidation>
        <x14:dataValidation type="list" allowBlank="1" showInputMessage="1" showErrorMessage="1" xr:uid="{00000000-0002-0000-0800-000006000000}">
          <x14:formula1>
            <xm:f>'Tabla Impacto'!$F$211:$F$222</xm:f>
          </x14:formula1>
          <xm:sqref>U13:U72</xm:sqref>
        </x14:dataValidation>
        <x14:dataValidation type="list" allowBlank="1" showInputMessage="1" showErrorMessage="1" xr:uid="{00000000-0002-0000-0800-000007000000}">
          <x14:formula1>
            <xm:f>Listas!$B$2:$B$5</xm:f>
          </x14:formula1>
          <xm:sqref>AO13:AO72</xm:sqref>
        </x14:dataValidation>
        <x14:dataValidation type="list" allowBlank="1" showInputMessage="1" showErrorMessage="1" xr:uid="{00000000-0002-0000-0800-000008000000}">
          <x14:formula1>
            <xm:f>Listas!$E$2:$E$4</xm:f>
          </x14:formula1>
          <xm:sqref>B13:B72</xm:sqref>
        </x14:dataValidation>
        <x14:dataValidation type="list" allowBlank="1" showInputMessage="1" showErrorMessage="1" xr:uid="{00000000-0002-0000-0800-000009000000}">
          <x14:formula1>
            <xm:f>'Tabla Valoración controles'!$D$13:$D$14</xm:f>
          </x14:formula1>
          <xm:sqref>AH13:AH72</xm:sqref>
        </x14:dataValidation>
        <x14:dataValidation type="list" allowBlank="1" showInputMessage="1" showErrorMessage="1" xr:uid="{00000000-0002-0000-0800-00000A000000}">
          <x14:formula1>
            <xm:f>'Tabla Valoración controles'!$D$11:$D$12</xm:f>
          </x14:formula1>
          <xm:sqref>AG13:AG72</xm:sqref>
        </x14:dataValidation>
        <x14:dataValidation type="list" allowBlank="1" showInputMessage="1" showErrorMessage="1" xr:uid="{00000000-0002-0000-0800-00000B000000}">
          <x14:formula1>
            <xm:f>'Tabla Valoración controles'!$D$9:$D$10</xm:f>
          </x14:formula1>
          <xm:sqref>AF13:AF72</xm:sqref>
        </x14:dataValidation>
        <x14:dataValidation type="list" allowBlank="1" showInputMessage="1" showErrorMessage="1" xr:uid="{00000000-0002-0000-0800-00000C000000}">
          <x14:formula1>
            <xm:f>'Tabla Valoración controles'!$D$7:$D$8</xm:f>
          </x14:formula1>
          <xm:sqref>AD13:AD72</xm:sqref>
        </x14:dataValidation>
        <x14:dataValidation type="list" allowBlank="1" showInputMessage="1" showErrorMessage="1" xr:uid="{00000000-0002-0000-0800-00000D000000}">
          <x14:formula1>
            <xm:f>'Tabla Valoración controles'!$D$4:$D$6</xm:f>
          </x14:formula1>
          <xm:sqref>AC13:AC72</xm:sqref>
        </x14:dataValidation>
        <x14:dataValidation type="list" allowBlank="1" showInputMessage="1" showErrorMessage="1" xr:uid="{00000000-0002-0000-0800-00000E000000}">
          <x14:formula1>
            <xm:f>Amenazas!$C$2:$C$11</xm:f>
          </x14:formula1>
          <xm:sqref>G13:G72</xm:sqref>
        </x14:dataValidation>
        <x14:dataValidation type="list" allowBlank="1" showInputMessage="1" showErrorMessage="1" xr:uid="{00000000-0002-0000-0800-00000F000000}">
          <x14:formula1>
            <xm:f>Listas!$B$25:$B$32</xm:f>
          </x14:formula1>
          <xm:sqref>I13:I72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29"/>
  <sheetViews>
    <sheetView zoomScaleNormal="100" zoomScaleSheetLayoutView="90" workbookViewId="0">
      <selection activeCell="B25" sqref="B25:F25"/>
    </sheetView>
  </sheetViews>
  <sheetFormatPr baseColWidth="10" defaultColWidth="11.42578125" defaultRowHeight="14.25" x14ac:dyDescent="0.25"/>
  <cols>
    <col min="1" max="1" width="2.140625" style="148" customWidth="1"/>
    <col min="2" max="2" width="11.42578125" style="148"/>
    <col min="3" max="3" width="34.28515625" style="148" customWidth="1"/>
    <col min="4" max="4" width="36.42578125" style="148" customWidth="1"/>
    <col min="5" max="6" width="13.85546875" style="148" customWidth="1"/>
    <col min="7" max="7" width="1.28515625" style="148" customWidth="1"/>
    <col min="8" max="16384" width="11.42578125" style="148"/>
  </cols>
  <sheetData>
    <row r="1" spans="2:6" ht="11.25" customHeight="1" thickBot="1" x14ac:dyDescent="0.3"/>
    <row r="2" spans="2:6" ht="18.75" customHeight="1" thickBot="1" x14ac:dyDescent="0.3">
      <c r="B2" s="622" t="s">
        <v>282</v>
      </c>
      <c r="C2" s="623"/>
      <c r="D2" s="623"/>
      <c r="E2" s="623"/>
      <c r="F2" s="624"/>
    </row>
    <row r="3" spans="2:6" ht="31.9" customHeight="1" x14ac:dyDescent="0.25">
      <c r="B3" s="625" t="s">
        <v>283</v>
      </c>
      <c r="C3" s="627" t="s">
        <v>284</v>
      </c>
      <c r="D3" s="627"/>
      <c r="E3" s="627" t="s">
        <v>285</v>
      </c>
      <c r="F3" s="629"/>
    </row>
    <row r="4" spans="2:6" ht="28.15" customHeight="1" thickBot="1" x14ac:dyDescent="0.3">
      <c r="B4" s="626"/>
      <c r="C4" s="628"/>
      <c r="D4" s="628"/>
      <c r="E4" s="158" t="s">
        <v>286</v>
      </c>
      <c r="F4" s="159" t="s">
        <v>287</v>
      </c>
    </row>
    <row r="5" spans="2:6" ht="23.25" customHeight="1" x14ac:dyDescent="0.25">
      <c r="B5" s="149">
        <v>1</v>
      </c>
      <c r="C5" s="630" t="s">
        <v>288</v>
      </c>
      <c r="D5" s="630"/>
      <c r="E5" s="178"/>
      <c r="F5" s="179"/>
    </row>
    <row r="6" spans="2:6" ht="33" customHeight="1" x14ac:dyDescent="0.25">
      <c r="B6" s="150">
        <v>2</v>
      </c>
      <c r="C6" s="621" t="s">
        <v>289</v>
      </c>
      <c r="D6" s="621"/>
      <c r="E6" s="180"/>
      <c r="F6" s="181"/>
    </row>
    <row r="7" spans="2:6" ht="39" customHeight="1" x14ac:dyDescent="0.25">
      <c r="B7" s="150">
        <v>3</v>
      </c>
      <c r="C7" s="621" t="s">
        <v>290</v>
      </c>
      <c r="D7" s="621"/>
      <c r="E7" s="180"/>
      <c r="F7" s="181"/>
    </row>
    <row r="8" spans="2:6" ht="24.75" customHeight="1" x14ac:dyDescent="0.25">
      <c r="B8" s="150">
        <v>4</v>
      </c>
      <c r="C8" s="621" t="s">
        <v>291</v>
      </c>
      <c r="D8" s="621"/>
      <c r="E8" s="180"/>
      <c r="F8" s="181"/>
    </row>
    <row r="9" spans="2:6" ht="23.25" customHeight="1" x14ac:dyDescent="0.25">
      <c r="B9" s="150">
        <v>5</v>
      </c>
      <c r="C9" s="621" t="s">
        <v>292</v>
      </c>
      <c r="D9" s="621"/>
      <c r="E9" s="180"/>
      <c r="F9" s="181"/>
    </row>
    <row r="10" spans="2:6" ht="23.25" customHeight="1" x14ac:dyDescent="0.25">
      <c r="B10" s="150">
        <v>6</v>
      </c>
      <c r="C10" s="621" t="s">
        <v>293</v>
      </c>
      <c r="D10" s="621"/>
      <c r="E10" s="180"/>
      <c r="F10" s="181"/>
    </row>
    <row r="11" spans="2:6" ht="23.25" customHeight="1" x14ac:dyDescent="0.25">
      <c r="B11" s="150">
        <v>7</v>
      </c>
      <c r="C11" s="621" t="s">
        <v>294</v>
      </c>
      <c r="D11" s="621"/>
      <c r="E11" s="180"/>
      <c r="F11" s="181"/>
    </row>
    <row r="12" spans="2:6" ht="25.5" customHeight="1" x14ac:dyDescent="0.25">
      <c r="B12" s="150">
        <v>8</v>
      </c>
      <c r="C12" s="621" t="s">
        <v>295</v>
      </c>
      <c r="D12" s="621"/>
      <c r="E12" s="151"/>
      <c r="F12" s="152"/>
    </row>
    <row r="13" spans="2:6" ht="23.25" customHeight="1" x14ac:dyDescent="0.25">
      <c r="B13" s="150">
        <v>9</v>
      </c>
      <c r="C13" s="621" t="s">
        <v>296</v>
      </c>
      <c r="D13" s="621"/>
      <c r="E13" s="151"/>
      <c r="F13" s="152"/>
    </row>
    <row r="14" spans="2:6" ht="23.25" customHeight="1" x14ac:dyDescent="0.25">
      <c r="B14" s="150">
        <v>10</v>
      </c>
      <c r="C14" s="621" t="s">
        <v>297</v>
      </c>
      <c r="D14" s="621"/>
      <c r="E14" s="151"/>
      <c r="F14" s="152"/>
    </row>
    <row r="15" spans="2:6" ht="23.25" customHeight="1" x14ac:dyDescent="0.25">
      <c r="B15" s="150">
        <v>11</v>
      </c>
      <c r="C15" s="621" t="s">
        <v>298</v>
      </c>
      <c r="D15" s="621"/>
      <c r="E15" s="151"/>
      <c r="F15" s="152"/>
    </row>
    <row r="16" spans="2:6" ht="23.25" customHeight="1" x14ac:dyDescent="0.25">
      <c r="B16" s="150">
        <v>12</v>
      </c>
      <c r="C16" s="621" t="s">
        <v>299</v>
      </c>
      <c r="D16" s="621"/>
      <c r="E16" s="151"/>
      <c r="F16" s="152"/>
    </row>
    <row r="17" spans="2:6" ht="23.25" customHeight="1" x14ac:dyDescent="0.25">
      <c r="B17" s="150">
        <v>13</v>
      </c>
      <c r="C17" s="621" t="s">
        <v>300</v>
      </c>
      <c r="D17" s="621"/>
      <c r="E17" s="151"/>
      <c r="F17" s="152"/>
    </row>
    <row r="18" spans="2:6" ht="23.25" customHeight="1" x14ac:dyDescent="0.25">
      <c r="B18" s="150">
        <v>14</v>
      </c>
      <c r="C18" s="621" t="s">
        <v>301</v>
      </c>
      <c r="D18" s="621"/>
      <c r="E18" s="151"/>
      <c r="F18" s="152"/>
    </row>
    <row r="19" spans="2:6" ht="23.25" customHeight="1" x14ac:dyDescent="0.25">
      <c r="B19" s="150">
        <v>15</v>
      </c>
      <c r="C19" s="621" t="s">
        <v>302</v>
      </c>
      <c r="D19" s="621"/>
      <c r="E19" s="151"/>
      <c r="F19" s="152"/>
    </row>
    <row r="20" spans="2:6" ht="23.25" customHeight="1" x14ac:dyDescent="0.25">
      <c r="B20" s="150">
        <v>16</v>
      </c>
      <c r="C20" s="621" t="s">
        <v>303</v>
      </c>
      <c r="D20" s="621"/>
      <c r="E20" s="151"/>
      <c r="F20" s="152"/>
    </row>
    <row r="21" spans="2:6" ht="23.25" customHeight="1" x14ac:dyDescent="0.25">
      <c r="B21" s="150">
        <v>17</v>
      </c>
      <c r="C21" s="621" t="s">
        <v>304</v>
      </c>
      <c r="D21" s="621"/>
      <c r="E21" s="151"/>
      <c r="F21" s="152"/>
    </row>
    <row r="22" spans="2:6" ht="23.25" customHeight="1" x14ac:dyDescent="0.25">
      <c r="B22" s="150">
        <v>18</v>
      </c>
      <c r="C22" s="635" t="s">
        <v>305</v>
      </c>
      <c r="D22" s="635"/>
      <c r="E22" s="151"/>
      <c r="F22" s="152"/>
    </row>
    <row r="23" spans="2:6" ht="23.25" customHeight="1" thickBot="1" x14ac:dyDescent="0.3">
      <c r="B23" s="150">
        <v>19</v>
      </c>
      <c r="C23" s="621" t="s">
        <v>306</v>
      </c>
      <c r="D23" s="621"/>
      <c r="E23" s="151"/>
      <c r="F23" s="152"/>
    </row>
    <row r="24" spans="2:6" ht="15.75" customHeight="1" thickBot="1" x14ac:dyDescent="0.3">
      <c r="B24" s="636" t="s">
        <v>307</v>
      </c>
      <c r="C24" s="631"/>
      <c r="D24" s="631"/>
      <c r="E24" s="631">
        <f>COUNTIF(E5:E23,"X")</f>
        <v>0</v>
      </c>
      <c r="F24" s="632"/>
    </row>
    <row r="25" spans="2:6" ht="45.75" customHeight="1" x14ac:dyDescent="0.25">
      <c r="B25" s="633" t="s">
        <v>308</v>
      </c>
      <c r="C25" s="633"/>
      <c r="D25" s="633"/>
      <c r="E25" s="633"/>
      <c r="F25" s="633"/>
    </row>
    <row r="26" spans="2:6" ht="9.75" customHeight="1" x14ac:dyDescent="0.25">
      <c r="B26" s="634"/>
      <c r="C26" s="634"/>
      <c r="D26" s="634"/>
      <c r="E26" s="634"/>
      <c r="F26" s="634"/>
    </row>
    <row r="27" spans="2:6" x14ac:dyDescent="0.25">
      <c r="B27" s="247"/>
    </row>
    <row r="28" spans="2:6" x14ac:dyDescent="0.25">
      <c r="B28" s="247"/>
    </row>
    <row r="29" spans="2:6" x14ac:dyDescent="0.25">
      <c r="B29" s="247"/>
    </row>
  </sheetData>
  <mergeCells count="27">
    <mergeCell ref="E24:F24"/>
    <mergeCell ref="B25:F25"/>
    <mergeCell ref="B26:F26"/>
    <mergeCell ref="C19:D19"/>
    <mergeCell ref="C20:D20"/>
    <mergeCell ref="C21:D21"/>
    <mergeCell ref="C22:D22"/>
    <mergeCell ref="C23:D23"/>
    <mergeCell ref="B24:D24"/>
    <mergeCell ref="C18:D18"/>
    <mergeCell ref="C7:D7"/>
    <mergeCell ref="C8:D8"/>
    <mergeCell ref="C9:D9"/>
    <mergeCell ref="C10:D10"/>
    <mergeCell ref="C11:D11"/>
    <mergeCell ref="C12:D12"/>
    <mergeCell ref="C13:D13"/>
    <mergeCell ref="C14:D14"/>
    <mergeCell ref="C15:D15"/>
    <mergeCell ref="C16:D16"/>
    <mergeCell ref="C17:D17"/>
    <mergeCell ref="C6:D6"/>
    <mergeCell ref="B2:F2"/>
    <mergeCell ref="B3:B4"/>
    <mergeCell ref="C3:D4"/>
    <mergeCell ref="E3:F3"/>
    <mergeCell ref="C5:D5"/>
  </mergeCells>
  <dataValidations count="1">
    <dataValidation type="list" allowBlank="1" showInputMessage="1" showErrorMessage="1" sqref="E5:F23" xr:uid="{00000000-0002-0000-0700-000000000000}">
      <formula1>"X"</formula1>
    </dataValidation>
  </dataValidations>
  <printOptions horizontalCentered="1"/>
  <pageMargins left="0.25" right="0.25" top="0.75" bottom="0.75" header="0.3" footer="0.3"/>
  <pageSetup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9" ma:contentTypeDescription="Crear nuevo documento." ma:contentTypeScope="" ma:versionID="1546d84508d0a19fa9f2decf4348aac9">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54bed18be0c869b59340f686d3cdf95e"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0eaac67-e064-433b-ba54-6f78c0f1ecb1">
      <UserInfo>
        <DisplayName>Stefany Ospino Cuellar</DisplayName>
        <AccountId>1659</AccountId>
        <AccountType/>
      </UserInfo>
      <UserInfo>
        <DisplayName>German Andres Hernandez Matiz</DisplayName>
        <AccountId>571</AccountId>
        <AccountType/>
      </UserInfo>
    </SharedWithUsers>
    <TaxCatchAll xmlns="70eaac67-e064-433b-ba54-6f78c0f1ecb1" xsi:nil="true"/>
    <lcf76f155ced4ddcb4097134ff3c332f xmlns="64d77176-54eb-4753-be67-9b2e2fa23e0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F9D396-168A-421B-BF9D-116A92C771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D5E4EF-2809-49C9-8DCF-B2E4E5208101}">
  <ds:schemaRefs>
    <ds:schemaRef ds:uri="http://schemas.microsoft.com/office/2006/metadata/properties"/>
    <ds:schemaRef ds:uri="http://schemas.microsoft.com/office/2006/documentManagement/types"/>
    <ds:schemaRef ds:uri="http://purl.org/dc/terms/"/>
    <ds:schemaRef ds:uri="http://purl.org/dc/elements/1.1/"/>
    <ds:schemaRef ds:uri="http://purl.org/dc/dcmitype/"/>
    <ds:schemaRef ds:uri="http://schemas.microsoft.com/sharepoint/v3"/>
    <ds:schemaRef ds:uri="http://schemas.microsoft.com/office/infopath/2007/PartnerControls"/>
    <ds:schemaRef ds:uri="http://schemas.openxmlformats.org/package/2006/metadata/core-properties"/>
    <ds:schemaRef ds:uri="70eaac67-e064-433b-ba54-6f78c0f1ecb1"/>
    <ds:schemaRef ds:uri="64d77176-54eb-4753-be67-9b2e2fa23e0f"/>
    <ds:schemaRef ds:uri="http://www.w3.org/XML/1998/namespace"/>
  </ds:schemaRefs>
</ds:datastoreItem>
</file>

<file path=customXml/itemProps3.xml><?xml version="1.0" encoding="utf-8"?>
<ds:datastoreItem xmlns:ds="http://schemas.openxmlformats.org/officeDocument/2006/customXml" ds:itemID="{0238E702-99CD-4A3A-A328-D1F3ADA68E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7</vt:i4>
      </vt:variant>
    </vt:vector>
  </HeadingPairs>
  <TitlesOfParts>
    <vt:vector size="23" baseType="lpstr">
      <vt:lpstr>Intructivo</vt:lpstr>
      <vt:lpstr>Revisión DOFA</vt:lpstr>
      <vt:lpstr>Listas</vt:lpstr>
      <vt:lpstr>Riesgos de Gestión</vt:lpstr>
      <vt:lpstr>Matriz Calor Inherente</vt:lpstr>
      <vt:lpstr>Matriz Calor Residual</vt:lpstr>
      <vt:lpstr>Riesgos de Corrupción</vt:lpstr>
      <vt:lpstr>Riesgos de Seguridad</vt:lpstr>
      <vt:lpstr>Impacto Corrupción </vt:lpstr>
      <vt:lpstr>Tabla probabilidad</vt:lpstr>
      <vt:lpstr>Tabla Impacto</vt:lpstr>
      <vt:lpstr>Tipo de riesgos</vt:lpstr>
      <vt:lpstr>Amenazas</vt:lpstr>
      <vt:lpstr>Ejemplos de riesgos</vt:lpstr>
      <vt:lpstr>Tabla Valoración controles</vt:lpstr>
      <vt:lpstr>Hoja1</vt:lpstr>
      <vt:lpstr>'Impacto Corrupción '!Área_de_impresión</vt:lpstr>
      <vt:lpstr>'Riesgos de Corrupción'!Área_de_impresión</vt:lpstr>
      <vt:lpstr>'Riesgos de Gestión'!Área_de_impresión</vt:lpstr>
      <vt:lpstr>'Riesgos de Seguridad'!Área_de_impresión</vt:lpstr>
      <vt:lpstr>'Riesgos de Corrupción'!Títulos_a_imprimir</vt:lpstr>
      <vt:lpstr>'Riesgos de Gestión'!Títulos_a_imprimir</vt:lpstr>
      <vt:lpstr>'Riesgos de Seguridad'!Títulos_a_imprimir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maria natalia norato mora</cp:lastModifiedBy>
  <cp:revision/>
  <cp:lastPrinted>2022-11-28T21:48:11Z</cp:lastPrinted>
  <dcterms:created xsi:type="dcterms:W3CDTF">2020-03-24T23:12:47Z</dcterms:created>
  <dcterms:modified xsi:type="dcterms:W3CDTF">2023-01-31T02:04:03Z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y fmtid="{D5CDD505-2E9C-101B-9397-08002B2CF9AE}" pid="3" name="MediaServiceImageTags">
    <vt:lpwstr/>
  </property>
</Properties>
</file>